
<file path=[Content_Types].xml><?xml version="1.0" encoding="utf-8"?>
<Types xmlns="http://schemas.openxmlformats.org/package/2006/content-types">
  <Default ContentType="application/vnd.openxmlformats-officedocument.spreadsheetml.printerSettings" Extension="bin"/>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openxmlformats-officedocument.drawing+xml" PartName="/xl/drawings/drawing1.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spreadsheetml.externalLink+xml" PartName="/xl/externalLinks/externalLink1.xml"/>
  <Override ContentType="application/vnd.openxmlformats-officedocument.spreadsheetml.externalLink+xml" PartName="/xl/externalLinks/externalLink10.xml"/>
  <Override ContentType="application/vnd.openxmlformats-officedocument.spreadsheetml.externalLink+xml" PartName="/xl/externalLinks/externalLink11.xml"/>
  <Override ContentType="application/vnd.openxmlformats-officedocument.spreadsheetml.externalLink+xml" PartName="/xl/externalLinks/externalLink12.xml"/>
  <Override ContentType="application/vnd.openxmlformats-officedocument.spreadsheetml.externalLink+xml" PartName="/xl/externalLinks/externalLink13.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externalLink+xml" PartName="/xl/externalLinks/externalLink8.xml"/>
  <Override ContentType="application/vnd.openxmlformats-officedocument.spreadsheetml.externalLink+xml" PartName="/xl/externalLinks/externalLink9.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volatileDependencies+xml" PartName="/xl/volatileDependenci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thumbnail.wmf" Type="http://schemas.openxmlformats.org/package/2006/relationships/metadata/thumbnail"/>
<Relationship Id="rId3" Target="docProps/core.xml" Type="http://schemas.openxmlformats.org/package/2006/relationships/metadata/core-properties"/>
<Relationship Id="rId4" Target="docProps/app.xml" Type="http://schemas.openxmlformats.org/officeDocument/2006/relationships/extended-properties"/>
<Relationship Id="rId5"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0" yWindow="600" windowWidth="17865" windowHeight="7545" tabRatio="890" firstSheet="1" activeTab="1"/>
  </bookViews>
  <sheets>
    <sheet name="summary" sheetId="4" state="veryHidden" r:id="rId1"/>
    <sheet name="ImportantDisclosures" sheetId="96" r:id="rId2"/>
    <sheet name="COVER SHEET" sheetId="8" r:id="rId3"/>
    <sheet name="MW-Cache" sheetId="9" state="veryHidden" r:id="rId4"/>
    <sheet name="IS-ANNUAL" sheetId="10" r:id="rId5"/>
    <sheet name="REV-ANNUAL" sheetId="12" r:id="rId6"/>
    <sheet name="PIPELINE" sheetId="19" r:id="rId7"/>
    <sheet name="PIPELINE_UNADJ" sheetId="20" r:id="rId8"/>
    <sheet name="CFBS" sheetId="15" r:id="rId9"/>
    <sheet name="FOOTNOTES" sheetId="16" r:id="rId10"/>
    <sheet name="AGREEMENTS" sheetId="17" r:id="rId11"/>
    <sheet name="MGMT PROJECTIONS" sheetId="18" r:id="rId12"/>
    <sheet name="DEBT" sheetId="22" r:id="rId13"/>
    <sheet name="DCF" sheetId="79" r:id="rId14"/>
    <sheet name="IndexInformation" sheetId="97" r:id="rId15"/>
    <sheet name="ModPubIndex" sheetId="98"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a1" hidden="1">{"comp1",#N/A,FALSE,"COMPS";"footnotes",#N/A,FALSE,"COMPS"}</definedName>
    <definedName name="__aa1" hidden="1">{#N/A,#N/A,TRUE,"Pro Forma";#N/A,#N/A,TRUE,"PF_Bal";#N/A,#N/A,TRUE,"PF_INC";#N/A,#N/A,TRUE,"CBE";#N/A,#N/A,TRUE,"SWK"}</definedName>
    <definedName name="__ab1" hidden="1">{"comp1",#N/A,FALSE,"COMPS";"footnotes",#N/A,FALSE,"COMPS"}</definedName>
    <definedName name="__ae1" hidden="1">{#N/A,#N/A,FALSE,"Calc";#N/A,#N/A,FALSE,"Sensitivity";#N/A,#N/A,FALSE,"LT Earn.Dil.";#N/A,#N/A,FALSE,"Dil. AVP"}</definedName>
    <definedName name="__am1" hidden="1">{#N/A,#N/A,TRUE,"Pro Forma";#N/A,#N/A,TRUE,"PF_Bal";#N/A,#N/A,TRUE,"PF_INC";#N/A,#N/A,TRUE,"CBE";#N/A,#N/A,TRUE,"SWK"}</definedName>
    <definedName name="__as1" hidden="1">{"comp1",#N/A,FALSE,"COMPS";"footnotes",#N/A,FALSE,"COMPS"}</definedName>
    <definedName name="__f1" hidden="1">{"assumption cash",#N/A,TRUE,"Merger";"has gets cash",#N/A,TRUE,"Merger";"accretion dilution",#N/A,TRUE,"Merger";"comparison credit stats",#N/A,TRUE,"Merger";"pf credit stats",#N/A,TRUE,"Merger";"pf sheets",#N/A,TRUE,"Merger"}</definedName>
    <definedName name="__FDS_HYPERLINK_TOGGLE_STATE__" hidden="1">"ON"</definedName>
    <definedName name="__FDS_UNIQUE_RANGE_ID_GENERATOR_COUNTER" hidden="1">1</definedName>
    <definedName name="__ik1" hidden="1">{"casespecific",#N/A,FALSE,"Assumptions"}</definedName>
    <definedName name="_1__FDSAUDITLINK__" localSheetId="13" hidden="1">{"fdsup://directions/FAT Viewer?action=UPDATE&amp;creator=factset&amp;DYN_ARGS=TRUE&amp;DOC_NAME=FAT:FQL_AUDITING_CLIENT_TEMPLATE.FAT&amp;display_string=Audit&amp;VAR:KEY=MVQNUJWXOR&amp;VAR:QUERY=RkZfUEFZX09VVF9SQVRJTyhBTk4sTk9XKQ==&amp;WINDOW=FIRST_POPUP&amp;HEIGHT=450&amp;WIDTH=450&amp;START_MA","XIMIZED=FALSE&amp;VAR:CALENDAR=FIVEDAY&amp;VAR:SYMBOL=4352097&amp;VAR:INDEX=0"}</definedName>
    <definedName name="_1__FDSAUDITLINK__" hidden="1">{"fdsup://directions/FAT Viewer?action=UPDATE&amp;creator=factset&amp;DYN_ARGS=TRUE&amp;DOC_NAME=FAT:FQL_AUDITING_CLIENT_TEMPLATE.FAT&amp;display_string=Audit&amp;VAR:KEY=MVQNUJWXOR&amp;VAR:QUERY=RkZfUEFZX09VVF9SQVRJTyhBTk4sTk9XKQ==&amp;WINDOW=FIRST_POPUP&amp;HEIGHT=450&amp;WIDTH=450&amp;START_MA","XIMIZED=FALSE&amp;VAR:CALENDAR=FIVEDAY&amp;VAR:SYMBOL=4352097&amp;VAR:INDEX=0"}</definedName>
    <definedName name="_10__FDSAUDITLINK__" localSheetId="13" hidden="1">{"fdsup://directions/FAT%20Viewer?VAR:PED=20071231&amp;VAR:PERIOD=FIXED&amp;VAR:V=10.315862&amp;VAR:AUDIT_ID=00000117&amp;VAR:DATE=20100309&amp;action=UPDATE&amp;creator=factset&amp;DOC_NAME=FAT:FMA_audit_DETAIL.fat&amp;DISPLAY_STRING=Display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0__FDSAUDITLINK__" hidden="1">{"fdsup://directions/FAT%20Viewer?VAR:PED=20071231&amp;VAR:PERIOD=FIXED&amp;VAR:V=10.315862&amp;VAR:AUDIT_ID=00000117&amp;VAR:DATE=20100309&amp;action=UPDATE&amp;creator=factset&amp;DOC_NAME=FAT:FMA_audit_DETAIL.fat&amp;DISPLAY_STRING=Display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00__FDSAUDITLINK__" hidden="1">{"fdsup://directions/FAT Viewer?action=UPDATE&amp;creator=factset&amp;DYN_ARGS=TRUE&amp;DOC_NAME=FAT:FQL_AUDITING_CLIENT_TEMPLATE.FAT&amp;display_string=Audit&amp;VAR:KEY=PSDGZOPMZI&amp;VAR:QUERY=RkZfREVCVChRVFIsMCk=&amp;WINDOW=FIRST_POPUP&amp;HEIGHT=450&amp;WIDTH=450&amp;START_MAXIMIZED=FALSE&amp;VA","R:CALENDAR=FIVEDAY&amp;VAR:SYMBOL=ALXN&amp;VAR:INDEX=0"}</definedName>
    <definedName name="_101__FDSAUDITLINK__" hidden="1">{"fdsup://Directions/FactSet Auditing Viewer?action=AUDIT_VALUE&amp;DB=129&amp;ID1=03116210&amp;VALUEID=02001&amp;SDATE=201102&amp;PERIODTYPE=QTR_STD&amp;SCFT=3&amp;window=popup_no_bar&amp;width=385&amp;height=120&amp;START_MAXIMIZED=FALSE&amp;creator=factset&amp;display_string=Audit"}</definedName>
    <definedName name="_102__FDSAUDITLINK__" hidden="1">{"fdsup://directions/FAT Viewer?action=UPDATE&amp;creator=factset&amp;DYN_ARGS=TRUE&amp;DOC_NAME=FAT:FQL_AUDITING_CLIENT_TEMPLATE.FAT&amp;display_string=Audit&amp;VAR:KEY=VSXYLYBGBQ&amp;VAR:QUERY=RkZfREVCVChRVFIsMCk=&amp;WINDOW=FIRST_POPUP&amp;HEIGHT=450&amp;WIDTH=450&amp;START_MAXIMIZED=FALSE&amp;VA","R:CALENDAR=FIVEDAY&amp;VAR:SYMBOL=AMGN&amp;VAR:INDEX=0"}</definedName>
    <definedName name="_103__FDSAUDITLINK__" hidden="1">{"fdsup://Directions/FactSet Auditing Viewer?action=AUDIT_VALUE&amp;DB=129&amp;ID1=09062X10&amp;VALUEID=02001&amp;SDATE=201102&amp;PERIODTYPE=QTR_STD&amp;SCFT=3&amp;window=popup_no_bar&amp;width=385&amp;height=120&amp;START_MAXIMIZED=FALSE&amp;creator=factset&amp;display_string=Audit"}</definedName>
    <definedName name="_104__FDSAUDITLINK__" hidden="1">{"fdsup://directions/FAT Viewer?action=UPDATE&amp;creator=factset&amp;DYN_ARGS=TRUE&amp;DOC_NAME=FAT:FQL_AUDITING_CLIENT_TEMPLATE.FAT&amp;display_string=Audit&amp;VAR:KEY=VMDCDAZUDU&amp;VAR:QUERY=RkZfREVCVChRVFIsMCk=&amp;WINDOW=FIRST_POPUP&amp;HEIGHT=450&amp;WIDTH=450&amp;START_MAXIMIZED=FALSE&amp;VA","R:CALENDAR=FIVEDAY&amp;VAR:SYMBOL=BIIB&amp;VAR:INDEX=0"}</definedName>
    <definedName name="_105__FDSAUDITLINK__" hidden="1">{"fdsup://Directions/FactSet Auditing Viewer?action=AUDIT_VALUE&amp;DB=129&amp;ID1=15102010&amp;VALUEID=02001&amp;SDATE=201102&amp;PERIODTYPE=QTR_STD&amp;SCFT=3&amp;window=popup_no_bar&amp;width=385&amp;height=120&amp;START_MAXIMIZED=FALSE&amp;creator=factset&amp;display_string=Audit"}</definedName>
    <definedName name="_106__FDSAUDITLINK__" hidden="1">{"fdsup://directions/FAT Viewer?action=UPDATE&amp;creator=factset&amp;DYN_ARGS=TRUE&amp;DOC_NAME=FAT:FQL_AUDITING_CLIENT_TEMPLATE.FAT&amp;display_string=Audit&amp;VAR:KEY=PAZYDCHIJW&amp;VAR:QUERY=RkZfREVCVChRVFIsMCk=&amp;WINDOW=FIRST_POPUP&amp;HEIGHT=450&amp;WIDTH=450&amp;START_MAXIMIZED=FALSE&amp;VA","R:CALENDAR=FIVEDAY&amp;VAR:SYMBOL=CELG&amp;VAR:INDEX=0"}</definedName>
    <definedName name="_107__FDSAUDITLINK__" hidden="1">{"fdsup://Directions/FactSet Auditing Viewer?action=AUDIT_VALUE&amp;DB=129&amp;ID1=37555810&amp;VALUEID=02001&amp;SDATE=201102&amp;PERIODTYPE=QTR_STD&amp;SCFT=3&amp;window=popup_no_bar&amp;width=385&amp;height=120&amp;START_MAXIMIZED=FALSE&amp;creator=factset&amp;display_string=Audit"}</definedName>
    <definedName name="_108__FDSAUDITLINK__" hidden="1">{"fdsup://directions/FAT Viewer?action=UPDATE&amp;creator=factset&amp;DYN_ARGS=TRUE&amp;DOC_NAME=FAT:FQL_AUDITING_CLIENT_TEMPLATE.FAT&amp;display_string=Audit&amp;VAR:KEY=JEFCXSDILQ&amp;VAR:QUERY=RkZfREVCVChRVFIsMCk=&amp;WINDOW=FIRST_POPUP&amp;HEIGHT=450&amp;WIDTH=450&amp;START_MAXIMIZED=FALSE&amp;VA","R:CALENDAR=FIVEDAY&amp;VAR:SYMBOL=GILD&amp;VAR:INDEX=0"}</definedName>
    <definedName name="_109__FDSAUDITLINK__" hidden="1">{"fdsup://Directions/FactSet Auditing Viewer?action=AUDIT_VALUE&amp;DB=129&amp;ID1=01849010&amp;VALUEID=02001&amp;SDATE=201102&amp;PERIODTYPE=QTR_STD&amp;SCFT=3&amp;window=popup_no_bar&amp;width=385&amp;height=120&amp;START_MAXIMIZED=FALSE&amp;creator=factset&amp;display_string=Audit"}</definedName>
    <definedName name="_11__FDSAUDITLINK__" localSheetId="13" hidden="1">{"fdsup://directions/FAT%20Viewer?VAR:PED=20071231&amp;VAR:PERIOD=FIXED&amp;VAR:V=5.892714&amp;VAR:AUDIT_ID=71692910&amp;VAR:DATE=20100309&amp;action=UPDATE&amp;creator=factset&amp;DOC_NAME=FAT:FMA_audit_DETAIL.fat&amp;DISPLAY_STRING=Display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1__FDSAUDITLINK__" hidden="1">{"fdsup://directions/FAT%20Viewer?VAR:PED=20071231&amp;VAR:PERIOD=FIXED&amp;VAR:V=5.892714&amp;VAR:AUDIT_ID=71692910&amp;VAR:DATE=20100309&amp;action=UPDATE&amp;creator=factset&amp;DOC_NAME=FAT:FMA_audit_DETAIL.fat&amp;DISPLAY_STRING=Display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10__FDSAUDITLINK__" hidden="1">{"fdsup://directions/FAT Viewer?action=UPDATE&amp;creator=factset&amp;DYN_ARGS=TRUE&amp;DOC_NAME=FAT:FQL_AUDITING_CLIENT_TEMPLATE.FAT&amp;display_string=Audit&amp;VAR:KEY=VUZWFCLEDW&amp;VAR:QUERY=RkZfREVCVChRVFIsMCk=&amp;WINDOW=FIRST_POPUP&amp;HEIGHT=450&amp;WIDTH=450&amp;START_MAXIMIZED=FALSE&amp;VA","R:CALENDAR=FIVEDAY&amp;VAR:SYMBOL=AGN&amp;VAR:INDEX=0"}</definedName>
    <definedName name="_111__FDSAUDITLINK__" hidden="1">{"fdsup://Directions/FactSet Auditing Viewer?action=AUDIT_VALUE&amp;DB=129&amp;ID1=15670810&amp;VALUEID=02001&amp;SDATE=201102&amp;PERIODTYPE=QTR_STD&amp;SCFT=3&amp;window=popup_no_bar&amp;width=385&amp;height=120&amp;START_MAXIMIZED=FALSE&amp;creator=factset&amp;display_string=Audit"}</definedName>
    <definedName name="_112__FDSAUDITLINK__" hidden="1">{"fdsup://directions/FAT Viewer?action=UPDATE&amp;creator=factset&amp;DYN_ARGS=TRUE&amp;DOC_NAME=FAT:FQL_AUDITING_CLIENT_TEMPLATE.FAT&amp;display_string=Audit&amp;VAR:KEY=BCLCTSFIVE&amp;VAR:QUERY=RkZfREVCVChRVFIsMCk=&amp;WINDOW=FIRST_POPUP&amp;HEIGHT=450&amp;WIDTH=450&amp;START_MAXIMIZED=FALSE&amp;VA","R:CALENDAR=FIVEDAY&amp;VAR:SYMBOL=CEPH&amp;VAR:INDEX=0"}</definedName>
    <definedName name="_113__FDSAUDITLINK__" hidden="1">{"fdsup://Directions/FactSet Auditing Viewer?action=AUDIT_VALUE&amp;DB=129&amp;ID1=29264F20&amp;VALUEID=02001&amp;SDATE=201102&amp;PERIODTYPE=QTR_STD&amp;SCFT=3&amp;window=popup_no_bar&amp;width=385&amp;height=120&amp;START_MAXIMIZED=FALSE&amp;creator=factset&amp;display_string=Audit"}</definedName>
    <definedName name="_114__FDSAUDITLINK__" hidden="1">{"fdsup://directions/FAT Viewer?action=UPDATE&amp;creator=factset&amp;DYN_ARGS=TRUE&amp;DOC_NAME=FAT:FQL_AUDITING_CLIENT_TEMPLATE.FAT&amp;display_string=Audit&amp;VAR:KEY=VIDYPCHCVC&amp;VAR:QUERY=RkZfREVCVChRVFIsMCk=&amp;WINDOW=FIRST_POPUP&amp;HEIGHT=450&amp;WIDTH=450&amp;START_MAXIMIZED=FALSE&amp;VA","R:CALENDAR=FIVEDAY&amp;VAR:SYMBOL=ENDP&amp;VAR:INDEX=0"}</definedName>
    <definedName name="_115__FDSAUDITLINK__" hidden="1">{"fdsup://Directions/FactSet Auditing Viewer?action=AUDIT_VALUE&amp;DB=129&amp;ID1=34583810&amp;VALUEID=02001&amp;SDATE=201101&amp;PERIODTYPE=QTR_STD&amp;SCFT=3&amp;window=popup_no_bar&amp;width=385&amp;height=120&amp;START_MAXIMIZED=FALSE&amp;creator=factset&amp;display_string=Audit"}</definedName>
    <definedName name="_116__FDSAUDITLINK__" hidden="1">{"fdsup://directions/FAT Viewer?action=UPDATE&amp;creator=factset&amp;DYN_ARGS=TRUE&amp;DOC_NAME=FAT:FQL_AUDITING_CLIENT_TEMPLATE.FAT&amp;display_string=Audit&amp;VAR:KEY=VSVENCJCNO&amp;VAR:QUERY=RkZfREVCVChRVFIsMCk=&amp;WINDOW=FIRST_POPUP&amp;HEIGHT=450&amp;WIDTH=450&amp;START_MAXIMIZED=FALSE&amp;VA","R:CALENDAR=FIVEDAY&amp;VAR:SYMBOL=FRX&amp;VAR:INDEX=0"}</definedName>
    <definedName name="_117__FDSAUDITLINK__" hidden="1">{"fdsup://Directions/FactSet Auditing Viewer?action=AUDIT_VALUE&amp;DB=129&amp;ID1=47214710&amp;VALUEID=02001&amp;SDATE=201102&amp;PERIODTYPE=QTR_STD&amp;SCFT=3&amp;window=popup_no_bar&amp;width=385&amp;height=120&amp;START_MAXIMIZED=FALSE&amp;creator=factset&amp;display_string=Audit"}</definedName>
    <definedName name="_118__FDSAUDITLINK__" hidden="1">{"fdsup://directions/FAT Viewer?action=UPDATE&amp;creator=factset&amp;DYN_ARGS=TRUE&amp;DOC_NAME=FAT:FQL_AUDITING_CLIENT_TEMPLATE.FAT&amp;display_string=Audit&amp;VAR:KEY=FUTILMFCBM&amp;VAR:QUERY=RkZfREVCVChRVFIsMCk=&amp;WINDOW=FIRST_POPUP&amp;HEIGHT=450&amp;WIDTH=450&amp;START_MAXIMIZED=FALSE&amp;VA","R:CALENDAR=FIVEDAY&amp;VAR:SYMBOL=JAZZ&amp;VAR:INDEX=0"}</definedName>
    <definedName name="_119__FDSAUDITLINK__" hidden="1">{"fdsup://Directions/FactSet Auditing Viewer?action=AUDIT_VALUE&amp;DB=129&amp;ID1=58469030&amp;VALUEID=02001&amp;SDATE=201102&amp;PERIODTYPE=QTR_STD&amp;SCFT=3&amp;window=popup_no_bar&amp;width=385&amp;height=120&amp;START_MAXIMIZED=FALSE&amp;creator=factset&amp;display_string=Audit"}</definedName>
    <definedName name="_12__FDSAUDITLINK__" localSheetId="13" hidden="1">{"fdsup://directions/FAT%20Viewer?VAR:PED=20071231&amp;VAR:PERIOD=FIXED&amp;VAR:V=10.315862&amp;VAR:AUDIT_ID=00000117&amp;VAR:DATE=20100309&amp;action=UPDATE&amp;creator=factset&amp;DOC_NAME=FAT:FMA_audit_DETAIL.fat&amp;DISPLAY_STRING=Display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2__FDSAUDITLINK__" hidden="1">{"fdsup://directions/FAT%20Viewer?VAR:PED=20071231&amp;VAR:PERIOD=FIXED&amp;VAR:V=10.315862&amp;VAR:AUDIT_ID=00000117&amp;VAR:DATE=20100309&amp;action=UPDATE&amp;creator=factset&amp;DOC_NAME=FAT:FMA_audit_DETAIL.fat&amp;DISPLAY_STRING=Display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20__FDSAUDITLINK__" hidden="1">{"fdsup://directions/FAT Viewer?action=UPDATE&amp;creator=factset&amp;DYN_ARGS=TRUE&amp;DOC_NAME=FAT:FQL_AUDITING_CLIENT_TEMPLATE.FAT&amp;display_string=Audit&amp;VAR:KEY=FGNOVMBIZI&amp;VAR:QUERY=RkZfREVCVChRVFIsMCk=&amp;WINDOW=FIRST_POPUP&amp;HEIGHT=450&amp;WIDTH=450&amp;START_MAXIMIZED=FALSE&amp;VA","R:CALENDAR=FIVEDAY&amp;VAR:SYMBOL=MRX&amp;VAR:INDEX=0"}</definedName>
    <definedName name="_121__FDSAUDITLINK__" hidden="1">{"fdsup://Directions/FactSet Auditing Viewer?action=AUDIT_VALUE&amp;DB=129&amp;ID1=79543510&amp;VALUEID=02001&amp;SDATE=201102&amp;PERIODTYPE=QTR_STD&amp;SCFT=3&amp;window=popup_no_bar&amp;width=385&amp;height=120&amp;START_MAXIMIZED=FALSE&amp;creator=factset&amp;display_string=Audit"}</definedName>
    <definedName name="_122__FDSAUDITLINK__" hidden="1">{"fdsup://directions/FAT Viewer?action=UPDATE&amp;creator=factset&amp;DYN_ARGS=TRUE&amp;DOC_NAME=FAT:FQL_AUDITING_CLIENT_TEMPLATE.FAT&amp;display_string=Audit&amp;VAR:KEY=ZUTEFOPYRO&amp;VAR:QUERY=RkZfREVCVChRVFIsMCk=&amp;WINDOW=FIRST_POPUP&amp;HEIGHT=450&amp;WIDTH=450&amp;START_MAXIMIZED=FALSE&amp;VA","R:CALENDAR=FIVEDAY&amp;VAR:SYMBOL=SLXP&amp;VAR:INDEX=0"}</definedName>
    <definedName name="_123__FDSAUDITLINK__" hidden="1">{"fdsup://directions/FAT Viewer?action=UPDATE&amp;creator=factset&amp;DYN_ARGS=TRUE&amp;DOC_NAME=FAT:FQL_AUDITING_CLIENT_TEMPLATE.FAT&amp;display_string=Audit&amp;VAR:KEY=PYDEHOFGDK&amp;VAR:QUERY=RkZfREVCVChRVFIsMCk=&amp;WINDOW=FIRST_POPUP&amp;HEIGHT=450&amp;WIDTH=450&amp;START_MAXIMIZED=FALSE&amp;VA","R:CALENDAR=FIVEDAY&amp;VAR:SYMBOL=VRX&amp;VAR:INDEX=0"}</definedName>
    <definedName name="_124__FDSAUDITLINK__" hidden="1">{"fdsup://Directions/FactSet Auditing Viewer?action=AUDIT_VALUE&amp;DB=129&amp;ID1=92824110&amp;VALUEID=02001&amp;SDATE=201102&amp;PERIODTYPE=QTR_STD&amp;SCFT=3&amp;window=popup_no_bar&amp;width=385&amp;height=120&amp;START_MAXIMIZED=FALSE&amp;creator=factset&amp;display_string=Audit"}</definedName>
    <definedName name="_125__FDSAUDITLINK__" hidden="1">{"fdsup://directions/FAT Viewer?action=UPDATE&amp;creator=factset&amp;DYN_ARGS=TRUE&amp;DOC_NAME=FAT:FQL_AUDITING_CLIENT_TEMPLATE.FAT&amp;display_string=Audit&amp;VAR:KEY=VYLUTCPEFG&amp;VAR:QUERY=RkZfREVCVChRVFIsMCk=&amp;WINDOW=FIRST_POPUP&amp;HEIGHT=450&amp;WIDTH=450&amp;START_MAXIMIZED=FALSE&amp;VA","R:CALENDAR=FIVEDAY&amp;VAR:SYMBOL=VPHM&amp;VAR:INDEX=0"}</definedName>
    <definedName name="_126__FDSAUDITLINK__" hidden="1">{"fdsup://Directions/FactSet Auditing Viewer?action=AUDIT_VALUE&amp;DB=129&amp;ID1=G9436810&amp;VALUEID=02001&amp;SDATE=201102&amp;PERIODTYPE=QTR_STD&amp;SCFT=3&amp;window=popup_no_bar&amp;width=385&amp;height=120&amp;START_MAXIMIZED=FALSE&amp;creator=factset&amp;display_string=Audit"}</definedName>
    <definedName name="_127__FDSAUDITLINK__" hidden="1">{"fdsup://directions/FAT Viewer?action=UPDATE&amp;creator=factset&amp;DYN_ARGS=TRUE&amp;DOC_NAME=FAT:FQL_AUDITING_CLIENT_TEMPLATE.FAT&amp;display_string=Audit&amp;VAR:KEY=VOFGXWTOLW&amp;VAR:QUERY=RkZfREVCVChRVFIsMCk=&amp;WINDOW=FIRST_POPUP&amp;HEIGHT=450&amp;WIDTH=450&amp;START_MAXIMIZED=FALSE&amp;VA","R:CALENDAR=FIVEDAY&amp;VAR:SYMBOL=WCRX&amp;VAR:INDEX=0"}</definedName>
    <definedName name="_128__FDSAUDITLINK__" hidden="1">{"fdsup://Directions/FactSet Auditing Viewer?action=AUDIT_VALUE&amp;DB=129&amp;ID1=42840B10&amp;VALUEID=02001&amp;SDATE=201004&amp;PERIODTYPE=QTR_STD&amp;SCFT=3&amp;window=popup_no_bar&amp;width=385&amp;height=120&amp;START_MAXIMIZED=FALSE&amp;creator=factset&amp;display_string=Audit"}</definedName>
    <definedName name="_129__FDSAUDITLINK__" hidden="1">{"fdsup://directions/FAT Viewer?action=UPDATE&amp;creator=factset&amp;DYN_ARGS=TRUE&amp;DOC_NAME=FAT:FQL_AUDITING_CLIENT_TEMPLATE.FAT&amp;display_string=Audit&amp;VAR:KEY=HQPMJKLSBE&amp;VAR:QUERY=RkZfREVCVChRVFIsMCk=&amp;WINDOW=FIRST_POPUP&amp;HEIGHT=450&amp;WIDTH=450&amp;START_MAXIMIZED=FALSE&amp;VA","R:CALENDAR=FIVEDAY&amp;VAR:SYMBOL=HITK&amp;VAR:INDEX=0"}</definedName>
    <definedName name="_13__FDSAUDITLINK__" localSheetId="13" hidden="1">{"fdsup://directions/FAT%20Viewer?VAR:PED=20071231&amp;VAR:PERIOD=FIXED&amp;VAR:V=5.958505&amp;VAR:AUDIT_ID=71692910&amp;VAR:DATE=20100322&amp;action=UPDATE&amp;creator=factset&amp;DOC_NAME=FAT:FMA_audit_DETAIL.fat&amp;DISPLAY_STRING=Display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3__FDSAUDITLINK__" hidden="1">{"fdsup://directions/FAT%20Viewer?VAR:PED=20071231&amp;VAR:PERIOD=FIXED&amp;VAR:V=5.958505&amp;VAR:AUDIT_ID=71692910&amp;VAR:DATE=20100322&amp;action=UPDATE&amp;creator=factset&amp;DOC_NAME=FAT:FMA_audit_DETAIL.fat&amp;DISPLAY_STRING=Display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30__FDSAUDITLINK__" hidden="1">{"fdsup://Directions/FactSet Auditing Viewer?action=AUDIT_VALUE&amp;DB=129&amp;ID1=44106010&amp;VALUEID=02001&amp;SDATE=201102&amp;PERIODTYPE=QTR_STD&amp;SCFT=3&amp;window=popup_no_bar&amp;width=385&amp;height=120&amp;START_MAXIMIZED=FALSE&amp;creator=factset&amp;display_string=Audit"}</definedName>
    <definedName name="_131__FDSAUDITLINK__" hidden="1">{"fdsup://directions/FAT Viewer?action=UPDATE&amp;creator=factset&amp;DYN_ARGS=TRUE&amp;DOC_NAME=FAT:FQL_AUDITING_CLIENT_TEMPLATE.FAT&amp;display_string=Audit&amp;VAR:KEY=JOVQVKXOTE&amp;VAR:QUERY=RkZfREVCVChRVFIsMCk=&amp;WINDOW=FIRST_POPUP&amp;HEIGHT=450&amp;WIDTH=450&amp;START_MAXIMIZED=FALSE&amp;VA","R:CALENDAR=FIVEDAY&amp;VAR:SYMBOL=HSP&amp;VAR:INDEX=0"}</definedName>
    <definedName name="_132__FDSAUDITLINK__" hidden="1">{"fdsup://Directions/FactSet Auditing Viewer?action=AUDIT_VALUE&amp;DB=129&amp;ID1=45256B10&amp;VALUEID=02001&amp;SDATE=201102&amp;PERIODTYPE=QTR_STD&amp;SCFT=3&amp;window=popup_no_bar&amp;width=385&amp;height=120&amp;START_MAXIMIZED=FALSE&amp;creator=factset&amp;display_string=Audit"}</definedName>
    <definedName name="_133__FDSAUDITLINK__" hidden="1">{"fdsup://directions/FAT Viewer?action=UPDATE&amp;creator=factset&amp;DYN_ARGS=TRUE&amp;DOC_NAME=FAT:FQL_AUDITING_CLIENT_TEMPLATE.FAT&amp;display_string=Audit&amp;VAR:KEY=HUNQXUHUPG&amp;VAR:QUERY=RkZfREVCVChRVFIsMCk=&amp;WINDOW=FIRST_POPUP&amp;HEIGHT=450&amp;WIDTH=450&amp;START_MAXIMIZED=FALSE&amp;VA","R:CALENDAR=FIVEDAY&amp;VAR:SYMBOL=IPXL&amp;VAR:INDEX=0"}</definedName>
    <definedName name="_134__FDSAUDITLINK__" hidden="1">{"fdsup://Directions/FactSet Auditing Viewer?action=AUDIT_VALUE&amp;DB=129&amp;ID1=62853010&amp;VALUEID=02001&amp;SDATE=201102&amp;PERIODTYPE=QTR_STD&amp;SCFT=3&amp;window=popup_no_bar&amp;width=385&amp;height=120&amp;START_MAXIMIZED=FALSE&amp;creator=factset&amp;display_string=Audit"}</definedName>
    <definedName name="_135__FDSAUDITLINK__" hidden="1">{"fdsup://directions/FAT Viewer?action=UPDATE&amp;creator=factset&amp;DYN_ARGS=TRUE&amp;DOC_NAME=FAT:FQL_AUDITING_CLIENT_TEMPLATE.FAT&amp;display_string=Audit&amp;VAR:KEY=LGRYPMTCTO&amp;VAR:QUERY=RkZfREVCVChRVFIsMCk=&amp;WINDOW=FIRST_POPUP&amp;HEIGHT=450&amp;WIDTH=450&amp;START_MAXIMIZED=FALSE&amp;VA","R:CALENDAR=FIVEDAY&amp;VAR:SYMBOL=MYL&amp;VAR:INDEX=0"}</definedName>
    <definedName name="_136__FDSAUDITLINK__" hidden="1">{"fdsup://Directions/FactSet Auditing Viewer?action=AUDIT_VALUE&amp;DB=129&amp;ID1=71429010&amp;VALUEID=02001&amp;SDATE=201104&amp;PERIODTYPE=QTR_STD&amp;SCFT=3&amp;window=popup_no_bar&amp;width=385&amp;height=120&amp;START_MAXIMIZED=FALSE&amp;creator=factset&amp;display_string=Audit"}</definedName>
    <definedName name="_137__FDSAUDITLINK__" hidden="1">{"fdsup://directions/FAT Viewer?action=UPDATE&amp;creator=factset&amp;DYN_ARGS=TRUE&amp;DOC_NAME=FAT:FQL_AUDITING_CLIENT_TEMPLATE.FAT&amp;display_string=Audit&amp;VAR:KEY=LMPYFOLSXK&amp;VAR:QUERY=RkZfREVCVChRVFIsMCk=&amp;WINDOW=FIRST_POPUP&amp;HEIGHT=450&amp;WIDTH=450&amp;START_MAXIMIZED=FALSE&amp;VA","R:CALENDAR=FIVEDAY&amp;VAR:SYMBOL=PRGO&amp;VAR:INDEX=0"}</definedName>
    <definedName name="_138__FDSAUDITLINK__" hidden="1">{"fdsup://Directions/FactSet Auditing Viewer?action=AUDIT_VALUE&amp;DB=129&amp;ID1=69888P10&amp;VALUEID=02001&amp;SDATE=201102&amp;PERIODTYPE=QTR_STD&amp;SCFT=3&amp;window=popup_no_bar&amp;width=385&amp;height=120&amp;START_MAXIMIZED=FALSE&amp;creator=factset&amp;display_string=Audit"}</definedName>
    <definedName name="_139__FDSAUDITLINK__" hidden="1">{"fdsup://directions/FAT Viewer?action=UPDATE&amp;creator=factset&amp;DYN_ARGS=TRUE&amp;DOC_NAME=FAT:FQL_AUDITING_CLIENT_TEMPLATE.FAT&amp;display_string=Audit&amp;VAR:KEY=ZSVYTCNSBU&amp;VAR:QUERY=RkZfREVCVChRVFIsMCk=&amp;WINDOW=FIRST_POPUP&amp;HEIGHT=450&amp;WIDTH=450&amp;START_MAXIMIZED=FALSE&amp;VA","R:CALENDAR=FIVEDAY&amp;VAR:SYMBOL=PRX&amp;VAR:INDEX=0"}</definedName>
    <definedName name="_14__FDSAUDITLINK__" localSheetId="13" hidden="1">{"fdsup://directions/FAT%20Viewer?VAR:PED=20071231&amp;VAR:PERIOD=FIXED&amp;VAR:V=10.299100&amp;VAR:AUDIT_ID=00000117&amp;VAR:DATE=20100322&amp;action=UPDATE&amp;creator=factset&amp;DOC_NAME=FAT:FMA_audit_DETAIL.fat&amp;DISPLAY_STRING=Display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4__FDSAUDITLINK__" hidden="1">{"fdsup://directions/FAT%20Viewer?VAR:PED=20071231&amp;VAR:PERIOD=FIXED&amp;VAR:V=10.299100&amp;VAR:AUDIT_ID=00000117&amp;VAR:DATE=20100322&amp;action=UPDATE&amp;creator=factset&amp;DOC_NAME=FAT:FMA_audit_DETAIL.fat&amp;DISPLAY_STRING=Display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40__FDSAUDITLINK__" hidden="1">{"fdsup://Directions/FactSet Auditing Viewer?action=AUDIT_VALUE&amp;DB=129&amp;ID1=78669210&amp;VALUEID=02001&amp;SDATE=201102&amp;PERIODTYPE=QTR_STD&amp;SCFT=3&amp;window=popup_no_bar&amp;width=385&amp;height=120&amp;START_MAXIMIZED=FALSE&amp;creator=factset&amp;display_string=Audit"}</definedName>
    <definedName name="_141__FDSAUDITLINK__" hidden="1">{"fdsup://directions/FAT Viewer?action=UPDATE&amp;creator=factset&amp;DYN_ARGS=TRUE&amp;DOC_NAME=FAT:FQL_AUDITING_CLIENT_TEMPLATE.FAT&amp;display_string=Audit&amp;VAR:KEY=FGXQXCPORU&amp;VAR:QUERY=RkZfREVCVChRVFIsMCk=&amp;WINDOW=FIRST_POPUP&amp;HEIGHT=450&amp;WIDTH=450&amp;START_MAXIMIZED=FALSE&amp;VA","R:CALENDAR=FIVEDAY&amp;VAR:SYMBOL=SGNT&amp;VAR:INDEX=0"}</definedName>
    <definedName name="_142__FDSAUDITLINK__" hidden="1">{"fdsup://directions/FAT Viewer?action=UPDATE&amp;creator=factset&amp;DYN_ARGS=TRUE&amp;DOC_NAME=FAT:FQL_AUDITING_CLIENT_TEMPLATE.FAT&amp;display_string=Audit&amp;VAR:KEY=POJIJMTWHO&amp;VAR:QUERY=RkZfREVCVChRVFIsMCk=&amp;WINDOW=FIRST_POPUP&amp;HEIGHT=450&amp;WIDTH=450&amp;START_MAXIMIZED=FALSE&amp;VA","R:CALENDAR=FIVEDAY&amp;VAR:SYMBOL=TEVA&amp;VAR:INDEX=0"}</definedName>
    <definedName name="_143__FDSAUDITLINK__" hidden="1">{"fdsup://Directions/FactSet Auditing Viewer?action=AUDIT_VALUE&amp;DB=129&amp;ID1=94268310&amp;VALUEID=02001&amp;SDATE=201102&amp;PERIODTYPE=QTR_STD&amp;SCFT=3&amp;window=popup_no_bar&amp;width=385&amp;height=120&amp;START_MAXIMIZED=FALSE&amp;creator=factset&amp;display_string=Audit"}</definedName>
    <definedName name="_144__FDSAUDITLINK__" hidden="1">{"fdsup://directions/FAT Viewer?action=UPDATE&amp;creator=factset&amp;DYN_ARGS=TRUE&amp;DOC_NAME=FAT:FQL_AUDITING_CLIENT_TEMPLATE.FAT&amp;display_string=Audit&amp;VAR:KEY=ZIBYFOFQBU&amp;VAR:QUERY=RkZfREVCVChRVFIsMCk=&amp;WINDOW=FIRST_POPUP&amp;HEIGHT=450&amp;WIDTH=450&amp;START_MAXIMIZED=FALSE&amp;VA","R:CALENDAR=FIVEDAY&amp;VAR:SYMBOL=WPI&amp;VAR:INDEX=0"}</definedName>
    <definedName name="_145__FDSAUDITLINK__" hidden="1">{"fdsup://directions/FAT Viewer?action=UPDATE&amp;creator=factset&amp;DYN_ARGS=TRUE&amp;DOC_NAME=FAT:FQL_AUDITING_CLIENT_TEMPLATE.FAT&amp;display_string=Audit&amp;VAR:KEY=ZYZQZMRURU&amp;VAR:QUERY=RkZfREVCVChRVFIsMCk=&amp;WINDOW=FIRST_POPUP&amp;HEIGHT=450&amp;WIDTH=450&amp;START_MAXIMIZED=FALSE&amp;VA","R:CALENDAR=FIVEDAY&amp;VAR:SYMBOL=SP50&amp;VAR:INDEX=0"}</definedName>
    <definedName name="_146__FDSAUDITLINK__" hidden="1">{"fdsup://directions/FAT Viewer?action=UPDATE&amp;creator=factset&amp;DYN_ARGS=TRUE&amp;DOC_NAME=FAT:FQL_AUDITING_CLIENT_TEMPLATE.FAT&amp;display_string=Audit&amp;VAR:KEY=ZWXQZQFWZW&amp;VAR:QUERY=RkZfREVCVChRVFIsMCk=&amp;WINDOW=FIRST_POPUP&amp;HEIGHT=450&amp;WIDTH=450&amp;START_MAXIMIZED=FALSE&amp;VA","R:CALENDAR=FIVEDAY&amp;VAR:SYMBOL=SP565&amp;VAR:INDEX=0"}</definedName>
    <definedName name="_147__FDSAUDITLINK__" hidden="1">{"fdsup://directions/FAT Viewer?action=UPDATE&amp;creator=factset&amp;DYN_ARGS=TRUE&amp;DOC_NAME=FAT:FQL_AUDITING_CLIENT_TEMPLATE.FAT&amp;display_string=Audit&amp;VAR:KEY=DSDATGHMDG&amp;VAR:QUERY=RkZfREVCVChRVFIsMCk=&amp;WINDOW=FIRST_POPUP&amp;HEIGHT=450&amp;WIDTH=450&amp;START_MAXIMIZED=FALSE&amp;VA","R:CALENDAR=FIVEDAY&amp;VAR:SYMBOL=DRG&amp;VAR:INDEX=0"}</definedName>
    <definedName name="_15__FDSAUDITLINK__" localSheetId="13" hidden="1">{"fdsup://directions/FAT%20Viewer?VAR:PED=20071231&amp;VAR:PERIOD=FIXED&amp;VAR:V=5.913890&amp;VAR:AUDIT_ID=71692910&amp;VAR:DATE=20100409&amp;action=UPDATE&amp;creator=factset&amp;DOC_NAME=FAT:FMA_audit_DETAIL.fat&amp;DISPLAY_STRING=Display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5__FDSAUDITLINK__" hidden="1">{"fdsup://directions/FAT%20Viewer?VAR:PED=20071231&amp;VAR:PERIOD=FIXED&amp;VAR:V=5.913890&amp;VAR:AUDIT_ID=71692910&amp;VAR:DATE=20100409&amp;action=UPDATE&amp;creator=factset&amp;DOC_NAME=FAT:FMA_audit_DETAIL.fat&amp;DISPLAY_STRING=Display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6__FDSAUDITLINK__" localSheetId="13" hidden="1">{"fdsup://directions/FAT%20Viewer?VAR:PED=20071231&amp;VAR:PERIOD=FIXED&amp;VAR:V=10.288388&amp;VAR:AUDIT_ID=00000117&amp;VAR:DATE=20100409&amp;action=UPDATE&amp;creator=factset&amp;DOC_NAME=FAT:FMA_audit_DETAIL.fat&amp;DISPLAY_STRING=Display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6__FDSAUDITLINK__" hidden="1">{"fdsup://directions/FAT%20Viewer?VAR:PED=20071231&amp;VAR:PERIOD=FIXED&amp;VAR:V=10.288388&amp;VAR:AUDIT_ID=00000117&amp;VAR:DATE=20100409&amp;action=UPDATE&amp;creator=factset&amp;DOC_NAME=FAT:FMA_audit_DETAIL.fat&amp;DISPLAY_STRING=Display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7__FDSAUDITLINK__" localSheetId="13" hidden="1">{"fdsup://directions/FAT%20Viewer?VAR:PED=20071231&amp;VAR:PERIOD=FIXED&amp;VAR:V=5.937205&amp;VAR:AUDIT_ID=71692910&amp;VAR:DATE=20100419&amp;action=UPDATE&amp;creator=factset&amp;DOC_NAME=FAT:FMA_audit_DETAIL.fat&amp;DISPLAY_STRING=Display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7__FDSAUDITLINK__" hidden="1">{"fdsup://directions/FAT%20Viewer?VAR:PED=20071231&amp;VAR:PERIOD=FIXED&amp;VAR:V=5.937205&amp;VAR:AUDIT_ID=71692910&amp;VAR:DATE=20100419&amp;action=UPDATE&amp;creator=factset&amp;DOC_NAME=FAT:FMA_audit_DETAIL.fat&amp;DISPLAY_STRING=Display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8__FDSAUDITLINK__" localSheetId="13" hidden="1">{"fdsup://directions/FAT%20Viewer?VAR:PED=20071231&amp;VAR:PERIOD=FIXED&amp;VAR:V=10.293473&amp;VAR:AUDIT_ID=00000117&amp;VAR:DATE=20100419&amp;action=UPDATE&amp;creator=factset&amp;DOC_NAME=FAT:FMA_audit_DETAIL.fat&amp;DISPLAY_STRING=Display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8__FDSAUDITLINK__" hidden="1">{"fdsup://directions/FAT%20Viewer?VAR:PED=20071231&amp;VAR:PERIOD=FIXED&amp;VAR:V=10.293473&amp;VAR:AUDIT_ID=00000117&amp;VAR:DATE=20100419&amp;action=UPDATE&amp;creator=factset&amp;DOC_NAME=FAT:FMA_audit_DETAIL.fat&amp;DISPLAY_STRING=Display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9__FDSAUDITLINK__" localSheetId="13" hidden="1">{"fdsup://directions/FAT%20Viewer?VAR:PED=20071231&amp;VAR:PERIOD=FIXED&amp;VAR:V=5.937205&amp;VAR:AUDIT_ID=71692910&amp;VAR:DATE=20100419&amp;action=UPDATE&amp;creator=factset&amp;DOC_NAME=FAT:FMA_audit_DETAIL.fat&amp;DISPLAY_STRING=Display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19__FDSAUDITLINK__" hidden="1">{"fdsup://directions/FAT%20Viewer?VAR:PED=20071231&amp;VAR:PERIOD=FIXED&amp;VAR:V=5.937205&amp;VAR:AUDIT_ID=71692910&amp;VAR:DATE=20100419&amp;action=UPDATE&amp;creator=factset&amp;DOC_NAME=FAT:FMA_audit_DETAIL.fat&amp;DISPLAY_STRING=Display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__FDSAUDITLINK__" localSheetId="13" hidden="1">{"fdsup://directions/FAT Viewer?action=UPDATE&amp;creator=factset&amp;DYN_ARGS=TRUE&amp;DOC_NAME=FAT:FQL_AUDITING_CLIENT_TEMPLATE.FAT&amp;display_string=Audit&amp;VAR:KEY=WPYDUNIPWP&amp;VAR:QUERY=RkZfUEFZX09VVF9SQVRJTyhBTk4sTk9XKQ==&amp;WINDOW=FIRST_POPUP&amp;HEIGHT=450&amp;WIDTH=450&amp;START_MA","XIMIZED=FALSE&amp;VAR:CALENDAR=FIVEDAY&amp;VAR:SYMBOL=B2QKY05&amp;VAR:INDEX=0"}</definedName>
    <definedName name="_2__FDSAUDITLINK__" hidden="1">{"fdsup://directions/FAT Viewer?action=UPDATE&amp;creator=factset&amp;DYN_ARGS=TRUE&amp;DOC_NAME=FAT:FQL_AUDITING_CLIENT_TEMPLATE.FAT&amp;display_string=Audit&amp;VAR:KEY=WPYDUNIPWP&amp;VAR:QUERY=RkZfUEFZX09VVF9SQVRJTyhBTk4sTk9XKQ==&amp;WINDOW=FIRST_POPUP&amp;HEIGHT=450&amp;WIDTH=450&amp;START_MA","XIMIZED=FALSE&amp;VAR:CALENDAR=FIVEDAY&amp;VAR:SYMBOL=B2QKY05&amp;VAR:INDEX=0"}</definedName>
    <definedName name="_20__FDSAUDITLINK__" localSheetId="13" hidden="1">{"fdsup://directions/FAT%20Viewer?VAR:PED=20071231&amp;VAR:PERIOD=FIXED&amp;VAR:V=10.293473&amp;VAR:AUDIT_ID=00000117&amp;VAR:DATE=20100419&amp;action=UPDATE&amp;creator=factset&amp;DOC_NAME=FAT:FMA_audit_DETAIL.fat&amp;DISPLAY_STRING=Display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0__FDSAUDITLINK__" hidden="1">{"fdsup://directions/FAT%20Viewer?VAR:PED=20071231&amp;VAR:PERIOD=FIXED&amp;VAR:V=10.293473&amp;VAR:AUDIT_ID=00000117&amp;VAR:DATE=20100419&amp;action=UPDATE&amp;creator=factset&amp;DOC_NAME=FAT:FMA_audit_DETAIL.fat&amp;DISPLAY_STRING=Display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1__FDSAUDITLINK__" localSheetId="13" hidden="1">{"fdsup://directions/FAT%20Viewer?VAR:PED=20071231&amp;VAR:PERIOD=FIXED&amp;VAR:V=5.940494&amp;VAR:PCT=N&amp;VAR:AUDIT_ID=71692910&amp;VAR:DATE=20100616&amp;action=UPDATE&amp;creator=factset&amp;DOC_NAME=FAT:FMA_audit_DETAIL.fat&amp;DISPLAY_STRING=Display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1__FDSAUDITLINK__" hidden="1">{"fdsup://directions/FAT%20Viewer?VAR:PED=20071231&amp;VAR:PERIOD=FIXED&amp;VAR:V=5.940494&amp;VAR:PCT=N&amp;VAR:AUDIT_ID=71692910&amp;VAR:DATE=20100616&amp;action=UPDATE&amp;creator=factset&amp;DOC_NAME=FAT:FMA_audit_DETAIL.fat&amp;DISPLAY_STRING=Display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2__FDSAUDITLINK__" localSheetId="13" hidden="1">{"fdsup://directions/FAT%20Viewer?VAR:PED=20071231&amp;VAR:PERIOD=FIXED&amp;VAR:V=10.501677&amp;VAR:PCT=N&amp;VAR:AUDIT_ID=00000117&amp;VAR:DATE=20100616&amp;action=UPDATE&amp;creator=factset&amp;DOC_NAME=FAT:FMA_audit_DETAIL.fat&amp;DISPLAY_STRING=Display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2__FDSAUDITLINK__" hidden="1">{"fdsup://directions/FAT%20Viewer?VAR:PED=20071231&amp;VAR:PERIOD=FIXED&amp;VAR:V=10.501677&amp;VAR:PCT=N&amp;VAR:AUDIT_ID=00000117&amp;VAR:DATE=20100616&amp;action=UPDATE&amp;creator=factset&amp;DOC_NAME=FAT:FMA_audit_DETAIL.fat&amp;DISPLAY_STRING=Display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3__FDSAUDITLINK__" localSheetId="13" hidden="1">{"fdsup://directions/FAT%20Viewer?VAR:PED=20071231&amp;VAR:PERIOD=FIXED&amp;VAR:V=6.031065&amp;VAR:PCT=N&amp;VAR:AUDIT_ID=71692910&amp;VAR:DATE=20100706&amp;action=UPDATE&amp;creator=factset&amp;DOC_NAME=FAT:FMA_audit_DETAIL.fat&amp;DISPLAY_STRING=Display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3__FDSAUDITLINK__" hidden="1">{"fdsup://directions/FAT%20Viewer?VAR:PED=20071231&amp;VAR:PERIOD=FIXED&amp;VAR:V=6.031065&amp;VAR:PCT=N&amp;VAR:AUDIT_ID=71692910&amp;VAR:DATE=20100706&amp;action=UPDATE&amp;creator=factset&amp;DOC_NAME=FAT:FMA_audit_DETAIL.fat&amp;DISPLAY_STRING=Display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4__FDSAUDITLINK__" localSheetId="13" hidden="1">{"fdsup://directions/FAT%20Viewer?VAR:PED=20071231&amp;VAR:PERIOD=FIXED&amp;VAR:V=10.466925&amp;VAR:PCT=N&amp;VAR:AUDIT_ID=00000117&amp;VAR:DATE=20100706&amp;action=UPDATE&amp;creator=factset&amp;DOC_NAME=FAT:FMA_audit_DETAIL.fat&amp;DISPLAY_STRING=Display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4__FDSAUDITLINK__" hidden="1">{"fdsup://directions/FAT%20Viewer?VAR:PED=20071231&amp;VAR:PERIOD=FIXED&amp;VAR:V=10.466925&amp;VAR:PCT=N&amp;VAR:AUDIT_ID=00000117&amp;VAR:DATE=20100706&amp;action=UPDATE&amp;creator=factset&amp;DOC_NAME=FAT:FMA_audit_DETAIL.fat&amp;DISPLAY_STRING=Display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5__FDSAUDITLINK__" localSheetId="13" hidden="1">{"fdsup://directions/FAT%20Viewer?VAR:PED=20071231&amp;VAR:PERIOD=FIXED&amp;VAR:V=5.602277&amp;VAR:PCT=N&amp;VAR:AUDIT_ID=71692910&amp;VAR:DATE=20100804&amp;action=UPDATE&amp;creator=factset&amp;DOC_NAME=FAT:FMA_audit_DETAIL.fat&amp;DISPLAY_STRING=Display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5__FDSAUDITLINK__" hidden="1">{"fdsup://directions/FAT%20Viewer?VAR:PED=20071231&amp;VAR:PERIOD=FIXED&amp;VAR:V=5.602277&amp;VAR:PCT=N&amp;VAR:AUDIT_ID=71692910&amp;VAR:DATE=20100804&amp;action=UPDATE&amp;creator=factset&amp;DOC_NAME=FAT:FMA_audit_DETAIL.fat&amp;DISPLAY_STRING=Display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6__FDSAUDITLINK__" localSheetId="13" hidden="1">{"fdsup://directions/FAT%20Viewer?VAR:PED=20071231&amp;VAR:PERIOD=FIXED&amp;VAR:V=10.555395&amp;VAR:PCT=N&amp;VAR:AUDIT_ID=00000117&amp;VAR:DATE=20100804&amp;action=UPDATE&amp;creator=factset&amp;DOC_NAME=FAT:FMA_audit_DETAIL.fat&amp;DISPLAY_STRING=Display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6__FDSAUDITLINK__" hidden="1">{"fdsup://directions/FAT%20Viewer?VAR:PED=20071231&amp;VAR:PERIOD=FIXED&amp;VAR:V=10.555395&amp;VAR:PCT=N&amp;VAR:AUDIT_ID=00000117&amp;VAR:DATE=20100804&amp;action=UPDATE&amp;creator=factset&amp;DOC_NAME=FAT:FMA_audit_DETAIL.fat&amp;DISPLAY_STRING=Display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7__FDSAUDITLINK__" localSheetId="13" hidden="1">{"fdsup://directions/FAT%20Viewer?VAR:PED=20071231&amp;VAR:PERIOD=FIXED&amp;VAR:V=5.617591&amp;VAR:PCT=N&amp;VAR:AUDIT_ID=71692910&amp;VAR:DATE=20100817&amp;action=UPDATE&amp;creator=factset&amp;DOC_NAME=FAT:FMA_audit_DETAIL.fat&amp;DISPLAY_STRING=Display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7__FDSAUDITLINK__" hidden="1">{"fdsup://directions/FAT%20Viewer?VAR:PED=20071231&amp;VAR:PERIOD=FIXED&amp;VAR:V=5.617591&amp;VAR:PCT=N&amp;VAR:AUDIT_ID=71692910&amp;VAR:DATE=20100817&amp;action=UPDATE&amp;creator=factset&amp;DOC_NAME=FAT:FMA_audit_DETAIL.fat&amp;DISPLAY_STRING=Display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8__FDSAUDITLINK__" localSheetId="13" hidden="1">{"fdsup://directions/FAT%20Viewer?VAR:PED=20071231&amp;VAR:PERIOD=FIXED&amp;VAR:V=10.494746&amp;VAR:PCT=N&amp;VAR:AUDIT_ID=00000117&amp;VAR:DATE=20100817&amp;action=UPDATE&amp;creator=factset&amp;DOC_NAME=FAT:FMA_audit_DETAIL.fat&amp;DISPLAY_STRING=Display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8__FDSAUDITLINK__" hidden="1">{"fdsup://directions/FAT%20Viewer?VAR:PED=20071231&amp;VAR:PERIOD=FIXED&amp;VAR:V=10.494746&amp;VAR:PCT=N&amp;VAR:AUDIT_ID=00000117&amp;VAR:DATE=20100817&amp;action=UPDATE&amp;creator=factset&amp;DOC_NAME=FAT:FMA_audit_DETAIL.fat&amp;DISPLAY_STRING=Display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29__FDSAUDITLINK__" hidden="1">{"fdsup://directions/FAT Viewer?action=UPDATE&amp;creator=factset&amp;DYN_ARGS=TRUE&amp;DOC_NAME=FAT:FQL_AUDITING_CLIENT_TEMPLATE.FAT&amp;display_string=Audit&amp;VAR:KEY=PUPARQXUXG&amp;VAR:QUERY=RkZfUEFZX09VVF9SQVRJTyhBTk4sTk9XKQ==&amp;WINDOW=FIRST_POPUP&amp;HEIGHT=450&amp;WIDTH=450&amp;START_MA","XIMIZED=FALSE&amp;VAR:CALENDAR=FIVEDAY&amp;VAR:SYMBOL=AMGN&amp;VAR:INDEX=0"}</definedName>
    <definedName name="_3__FDSAUDITLINK__" localSheetId="13" hidden="1">{"fdsup://directions/FAT Viewer?action=UPDATE&amp;creator=factset&amp;DYN_ARGS=TRUE&amp;DOC_NAME=FAT:FQL_AUDITING_CLIENT_TEMPLATE.FAT&amp;display_string=Audit&amp;VAR:KEY=IPYLKXMLOD&amp;VAR:QUERY=RkZfUEFZX09VVF9SQVRJTyhBTk4sTk9XKQ==&amp;WINDOW=FIRST_POPUP&amp;HEIGHT=450&amp;WIDTH=450&amp;START_MA","XIMIZED=FALSE&amp;VAR:CALENDAR=FIVEDAY&amp;VAR:SYMBOL=5671735&amp;VAR:INDEX=0"}</definedName>
    <definedName name="_3__FDSAUDITLINK__" hidden="1">{"fdsup://directions/FAT Viewer?action=UPDATE&amp;creator=factset&amp;DYN_ARGS=TRUE&amp;DOC_NAME=FAT:FQL_AUDITING_CLIENT_TEMPLATE.FAT&amp;display_string=Audit&amp;VAR:KEY=IPYLKXMLOD&amp;VAR:QUERY=RkZfUEFZX09VVF9SQVRJTyhBTk4sTk9XKQ==&amp;WINDOW=FIRST_POPUP&amp;HEIGHT=450&amp;WIDTH=450&amp;START_MA","XIMIZED=FALSE&amp;VAR:CALENDAR=FIVEDAY&amp;VAR:SYMBOL=5671735&amp;VAR:INDEX=0"}</definedName>
    <definedName name="_30__FDSAUDITLINK__" hidden="1">{"fdsup://directions/FAT Viewer?action=UPDATE&amp;creator=factset&amp;DYN_ARGS=TRUE&amp;DOC_NAME=FAT:FQL_AUDITING_CLIENT_TEMPLATE.FAT&amp;display_string=Audit&amp;VAR:KEY=NOBIVMNGPE&amp;VAR:QUERY=RkZfUEFZX09VVF9SQVRJTyhBTk4sTk9XKQ==&amp;WINDOW=FIRST_POPUP&amp;HEIGHT=450&amp;WIDTH=450&amp;START_MA","XIMIZED=FALSE&amp;VAR:CALENDAR=FIVEDAY&amp;VAR:SYMBOL=ALXN&amp;VAR:INDEX=0"}</definedName>
    <definedName name="_38__FDSAUDITLINK__" hidden="1">{"fdsup://directions/FAT Viewer?action=UPDATE&amp;creator=factset&amp;DYN_ARGS=TRUE&amp;DOC_NAME=FAT:FQL_AUDITING_CLIENT_TEMPLATE.FAT&amp;display_string=Audit&amp;VAR:KEY=NQHQDUZKFC&amp;VAR:QUERY=RkZfUEFZX09VVF9SQVRJTyhBTk4sTk9XKQ==&amp;WINDOW=FIRST_POPUP&amp;HEIGHT=450&amp;WIDTH=450&amp;START_MA","XIMIZED=FALSE&amp;VAR:CALENDAR=FIVEDAY&amp;VAR:SYMBOL=BAYRY&amp;VAR:INDEX=0"}</definedName>
    <definedName name="_39__FDSAUDITLINK__" hidden="1">{"fdsup://directions/FAT Viewer?action=UPDATE&amp;creator=factset&amp;DYN_ARGS=TRUE&amp;DOC_NAME=FAT:FQL_AUDITING_CLIENT_TEMPLATE.FAT&amp;display_string=Audit&amp;VAR:KEY=LOPGHWHAPU&amp;VAR:QUERY=RkZfUEFZX09VVF9SQVRJTyhBTk4sTk9XKQ==&amp;WINDOW=FIRST_POPUP&amp;HEIGHT=450&amp;WIDTH=450&amp;START_MA","XIMIZED=FALSE&amp;VAR:CALENDAR=FIVEDAY&amp;VAR:SYMBOL=AZN&amp;VAR:INDEX=0"}</definedName>
    <definedName name="_4__FDSAUDITLINK__" localSheetId="13" hidden="1">{"fdsup://directions/FAT Viewer?action=UPDATE&amp;creator=factset&amp;DYN_ARGS=TRUE&amp;DOC_NAME=FAT:FQL_AUDITING_CLIENT_TEMPLATE.FAT&amp;display_string=Audit&amp;VAR:KEY=MVWLWPUBKF&amp;VAR:QUERY=RkZfUEFZX09VVF9SQVRJTyhBTk4sTk9XKQ==&amp;WINDOW=FIRST_POPUP&amp;HEIGHT=450&amp;WIDTH=450&amp;START_MA","XIMIZED=FALSE&amp;VAR:CALENDAR=FIVEDAY&amp;VAR:SYMBOL=7110388&amp;VAR:INDEX=0"}</definedName>
    <definedName name="_4__FDSAUDITLINK__" hidden="1">{"fdsup://directions/FAT Viewer?action=UPDATE&amp;creator=factset&amp;DYN_ARGS=TRUE&amp;DOC_NAME=FAT:FQL_AUDITING_CLIENT_TEMPLATE.FAT&amp;display_string=Audit&amp;VAR:KEY=MVWLWPUBKF&amp;VAR:QUERY=RkZfUEFZX09VVF9SQVRJTyhBTk4sTk9XKQ==&amp;WINDOW=FIRST_POPUP&amp;HEIGHT=450&amp;WIDTH=450&amp;START_MA","XIMIZED=FALSE&amp;VAR:CALENDAR=FIVEDAY&amp;VAR:SYMBOL=7110388&amp;VAR:INDEX=0"}</definedName>
    <definedName name="_40__FDSAUDITLINK__" hidden="1">{"fdsup://directions/FAT Viewer?action=UPDATE&amp;creator=factset&amp;DYN_ARGS=TRUE&amp;DOC_NAME=FAT:FQL_AUDITING_CLIENT_TEMPLATE.FAT&amp;display_string=Audit&amp;VAR:KEY=ZCLCRSDAPS&amp;VAR:QUERY=RkZfUEFZX09VVF9SQVRJTyhBTk4sTk9XKQ==&amp;WINDOW=FIRST_POPUP&amp;HEIGHT=450&amp;WIDTH=450&amp;START_MA","XIMIZED=FALSE&amp;VAR:CALENDAR=FIVEDAY&amp;VAR:SYMBOL=PFE&amp;VAR:INDEX=0"}</definedName>
    <definedName name="_41__FDSAUDITLINK__" hidden="1">{"fdsup://directions/FAT Viewer?action=UPDATE&amp;creator=factset&amp;DYN_ARGS=TRUE&amp;DOC_NAME=FAT:FQL_AUDITING_CLIENT_TEMPLATE.FAT&amp;display_string=Audit&amp;VAR:KEY=BYLCVWFIZG&amp;VAR:QUERY=RkZfUEFZX09VVF9SQVRJTyhBTk4sTk9XKQ==&amp;WINDOW=FIRST_POPUP&amp;HEIGHT=450&amp;WIDTH=450&amp;START_MA","XIMIZED=FALSE&amp;VAR:CALENDAR=FIVEDAY&amp;VAR:SYMBOL=MRK&amp;VAR:INDEX=0"}</definedName>
    <definedName name="_42__FDSAUDITLINK__" hidden="1">{"fdsup://directions/FAT Viewer?action=UPDATE&amp;creator=factset&amp;DYN_ARGS=TRUE&amp;DOC_NAME=FAT:FQL_AUDITING_CLIENT_TEMPLATE.FAT&amp;display_string=Audit&amp;VAR:KEY=ZIRGRQDQTW&amp;VAR:QUERY=RkZfUEFZX09VVF9SQVRJTyhBTk4sTk9XKQ==&amp;WINDOW=FIRST_POPUP&amp;HEIGHT=450&amp;WIDTH=450&amp;START_MA","XIMIZED=FALSE&amp;VAR:CALENDAR=FIVEDAY&amp;VAR:SYMBOL=LLY&amp;VAR:INDEX=0"}</definedName>
    <definedName name="_43__FDSAUDITLINK__" hidden="1">{"fdsup://directions/FAT Viewer?action=UPDATE&amp;creator=factset&amp;DYN_ARGS=TRUE&amp;DOC_NAME=FAT:FQL_AUDITING_CLIENT_TEMPLATE.FAT&amp;display_string=Audit&amp;VAR:KEY=NEPKPEBABG&amp;VAR:QUERY=RkZfUEFZX09VVF9SQVRJTyhBTk4sTk9XKQ==&amp;WINDOW=FIRST_POPUP&amp;HEIGHT=450&amp;WIDTH=450&amp;START_MA","XIMIZED=FALSE&amp;VAR:CALENDAR=FIVEDAY&amp;VAR:SYMBOL=JNJ&amp;VAR:INDEX=0"}</definedName>
    <definedName name="_44__FDSAUDITLINK__" hidden="1">{"fdsup://directions/FAT Viewer?action=UPDATE&amp;creator=factset&amp;DYN_ARGS=TRUE&amp;DOC_NAME=FAT:FQL_AUDITING_CLIENT_TEMPLATE.FAT&amp;display_string=Audit&amp;VAR:KEY=DCPCRGJOXS&amp;VAR:QUERY=RkZfUEFZX09VVF9SQVRJTyhBTk4sTk9XKQ==&amp;WINDOW=FIRST_POPUP&amp;HEIGHT=450&amp;WIDTH=450&amp;START_MA","XIMIZED=FALSE&amp;VAR:CALENDAR=FIVEDAY&amp;VAR:SYMBOL=BMY&amp;VAR:INDEX=0"}</definedName>
    <definedName name="_45__FDSAUDITLINK__" hidden="1">{"fdsup://directions/FAT Viewer?action=UPDATE&amp;creator=factset&amp;DYN_ARGS=TRUE&amp;DOC_NAME=FAT:FQL_AUDITING_CLIENT_TEMPLATE.FAT&amp;display_string=Audit&amp;VAR:KEY=ZYZAZOHSNG&amp;VAR:QUERY=RkZfUEFZX09VVF9SQVRJTyhBTk4sTk9XKQ==&amp;WINDOW=FIRST_POPUP&amp;HEIGHT=450&amp;WIDTH=450&amp;START_MA","XIMIZED=FALSE&amp;VAR:CALENDAR=FIVEDAY&amp;VAR:SYMBOL=ABT&amp;VAR:INDEX=0"}</definedName>
    <definedName name="_46__FDSAUDITLINK__" hidden="1">{"fdsup://directions/FAT Viewer?action=UPDATE&amp;creator=factset&amp;DYN_ARGS=TRUE&amp;DOC_NAME=FAT:FQL_AUDITING_CLIENT_TEMPLATE.FAT&amp;display_string=Audit&amp;VAR:KEY=BCPWDIXCDW&amp;VAR:QUERY=RkZfSU5WRVNUX0xUKFFUUiwwKQ==&amp;WINDOW=FIRST_POPUP&amp;HEIGHT=450&amp;WIDTH=450&amp;START_MAXIMIZED=","FALSE&amp;VAR:CALENDAR=FIVEDAY&amp;VAR:SYMBOL=DRG&amp;VAR:INDEX=0"}</definedName>
    <definedName name="_47__FDSAUDITLINK__" hidden="1">{"fdsup://directions/FAT Viewer?action=UPDATE&amp;creator=factset&amp;DYN_ARGS=TRUE&amp;DOC_NAME=FAT:FQL_AUDITING_CLIENT_TEMPLATE.FAT&amp;display_string=Audit&amp;VAR:KEY=TEDYJYHWRU&amp;VAR:QUERY=RkZfSU5WRVNUX0xUKFFUUiwwKQ==&amp;WINDOW=FIRST_POPUP&amp;HEIGHT=450&amp;WIDTH=450&amp;START_MAXIMIZED=","FALSE&amp;VAR:CALENDAR=FIVEDAY&amp;VAR:SYMBOL=SP565&amp;VAR:INDEX=0"}</definedName>
    <definedName name="_48__FDSAUDITLINK__" hidden="1">{"fdsup://directions/FAT Viewer?action=UPDATE&amp;creator=factset&amp;DYN_ARGS=TRUE&amp;DOC_NAME=FAT:FQL_AUDITING_CLIENT_TEMPLATE.FAT&amp;display_string=Audit&amp;VAR:KEY=DSLAREBAXY&amp;VAR:QUERY=RkZfSU5WRVNUX0xUKFFUUiwwKQ==&amp;WINDOW=FIRST_POPUP&amp;HEIGHT=450&amp;WIDTH=450&amp;START_MAXIMIZED=","FALSE&amp;VAR:CALENDAR=FIVEDAY&amp;VAR:SYMBOL=SP50&amp;VAR:INDEX=0"}</definedName>
    <definedName name="_49__FDSAUDITLINK__" hidden="1">{"fdsup://directions/FAT Viewer?action=UPDATE&amp;creator=factset&amp;DYN_ARGS=TRUE&amp;DOC_NAME=FAT:FQL_AUDITING_CLIENT_TEMPLATE.FAT&amp;display_string=Audit&amp;VAR:KEY=BCRAPSHKZU&amp;VAR:QUERY=RkZfSU5WRVNUX0xUKFFUUiwwKQ==&amp;WINDOW=FIRST_POPUP&amp;HEIGHT=450&amp;WIDTH=450&amp;START_MAXIMIZED=","FALSE&amp;VAR:CALENDAR=FIVEDAY&amp;VAR:SYMBOL=WPI&amp;VAR:INDEX=0"}</definedName>
    <definedName name="_5__FDSAUDITLINK__" localSheetId="13" hidden="1">{"fdsup://directions/FAT Viewer?action=UPDATE&amp;creator=factset&amp;DYN_ARGS=TRUE&amp;DOC_NAME=FAT:FQL_AUDITING_CLIENT_TEMPLATE.FAT&amp;display_string=Audit&amp;VAR:KEY=UFKTALAPEF&amp;VAR:QUERY=RkZfUEFZX09VVF9SQVRJTyhBTk4sTk9XKQ==&amp;WINDOW=FIRST_POPUP&amp;HEIGHT=450&amp;WIDTH=450&amp;START_MA","XIMIZED=FALSE&amp;VAR:CALENDAR=FIVEDAY&amp;VAR:SYMBOL=7077524&amp;VAR:INDEX=0"}</definedName>
    <definedName name="_5__FDSAUDITLINK__" hidden="1">{"fdsup://directions/FAT Viewer?action=UPDATE&amp;creator=factset&amp;DYN_ARGS=TRUE&amp;DOC_NAME=FAT:FQL_AUDITING_CLIENT_TEMPLATE.FAT&amp;display_string=Audit&amp;VAR:KEY=UFKTALAPEF&amp;VAR:QUERY=RkZfUEFZX09VVF9SQVRJTyhBTk4sTk9XKQ==&amp;WINDOW=FIRST_POPUP&amp;HEIGHT=450&amp;WIDTH=450&amp;START_MA","XIMIZED=FALSE&amp;VAR:CALENDAR=FIVEDAY&amp;VAR:SYMBOL=7077524&amp;VAR:INDEX=0"}</definedName>
    <definedName name="_50__FDSAUDITLINK__" hidden="1">{"fdsup://directions/FAT Viewer?action=UPDATE&amp;creator=factset&amp;DYN_ARGS=TRUE&amp;DOC_NAME=FAT:FQL_AUDITING_CLIENT_TEMPLATE.FAT&amp;display_string=Audit&amp;VAR:KEY=DKBYXGNAJE&amp;VAR:QUERY=RkZfSU5WRVNUX0xUKFFUUiwwKQ==&amp;WINDOW=FIRST_POPUP&amp;HEIGHT=450&amp;WIDTH=450&amp;START_MAXIMIZED=","FALSE&amp;VAR:CALENDAR=FIVEDAY&amp;VAR:SYMBOL=TEVA&amp;VAR:INDEX=0"}</definedName>
    <definedName name="_51__FDSAUDITLINK__" hidden="1">{"fdsup://directions/FAT Viewer?action=UPDATE&amp;creator=factset&amp;DYN_ARGS=TRUE&amp;DOC_NAME=FAT:FQL_AUDITING_CLIENT_TEMPLATE.FAT&amp;display_string=Audit&amp;VAR:KEY=BSRGLGNQFU&amp;VAR:QUERY=RkZfSU5WRVNUX0xUKFFUUiwwKQ==&amp;WINDOW=FIRST_POPUP&amp;HEIGHT=450&amp;WIDTH=450&amp;START_MAXIMIZED=","FALSE&amp;VAR:CALENDAR=FIVEDAY&amp;VAR:SYMBOL=SGNT&amp;VAR:INDEX=0"}</definedName>
    <definedName name="_52__FDSAUDITLINK__" hidden="1">{"fdsup://directions/FAT Viewer?action=UPDATE&amp;creator=factset&amp;DYN_ARGS=TRUE&amp;DOC_NAME=FAT:FQL_AUDITING_CLIENT_TEMPLATE.FAT&amp;display_string=Audit&amp;VAR:KEY=JYNYLSNKZK&amp;VAR:QUERY=RkZfSU5WRVNUX0xUKFFUUiwwKQ==&amp;WINDOW=FIRST_POPUP&amp;HEIGHT=450&amp;WIDTH=450&amp;START_MAXIMIZED=","FALSE&amp;VAR:CALENDAR=FIVEDAY&amp;VAR:SYMBOL=PRX&amp;VAR:INDEX=0"}</definedName>
    <definedName name="_53__FDSAUDITLINK__" hidden="1">{"fdsup://directions/FAT Viewer?action=UPDATE&amp;creator=factset&amp;DYN_ARGS=TRUE&amp;DOC_NAME=FAT:FQL_AUDITING_CLIENT_TEMPLATE.FAT&amp;display_string=Audit&amp;VAR:KEY=VORGDSBSHE&amp;VAR:QUERY=RkZfSU5WRVNUX0xUKFFUUiwwKQ==&amp;WINDOW=FIRST_POPUP&amp;HEIGHT=450&amp;WIDTH=450&amp;START_MAXIMIZED=","FALSE&amp;VAR:CALENDAR=FIVEDAY&amp;VAR:SYMBOL=PRGO&amp;VAR:INDEX=0"}</definedName>
    <definedName name="_54__FDSAUDITLINK__" hidden="1">{"fdsup://directions/FAT Viewer?action=UPDATE&amp;creator=factset&amp;DYN_ARGS=TRUE&amp;DOC_NAME=FAT:FQL_AUDITING_CLIENT_TEMPLATE.FAT&amp;display_string=Audit&amp;VAR:KEY=NWLCFEHKDW&amp;VAR:QUERY=RkZfSU5WRVNUX0xUKFFUUiwwKQ==&amp;WINDOW=FIRST_POPUP&amp;HEIGHT=450&amp;WIDTH=450&amp;START_MAXIMIZED=","FALSE&amp;VAR:CALENDAR=FIVEDAY&amp;VAR:SYMBOL=MYL&amp;VAR:INDEX=0"}</definedName>
    <definedName name="_55__FDSAUDITLINK__" hidden="1">{"fdsup://directions/FAT Viewer?action=UPDATE&amp;creator=factset&amp;DYN_ARGS=TRUE&amp;DOC_NAME=FAT:FQL_AUDITING_CLIENT_TEMPLATE.FAT&amp;display_string=Audit&amp;VAR:KEY=VOTWJIPIRG&amp;VAR:QUERY=RkZfSU5WRVNUX0xUKFFUUiwwKQ==&amp;WINDOW=FIRST_POPUP&amp;HEIGHT=450&amp;WIDTH=450&amp;START_MAXIMIZED=","FALSE&amp;VAR:CALENDAR=FIVEDAY&amp;VAR:SYMBOL=IPXL&amp;VAR:INDEX=0"}</definedName>
    <definedName name="_56__FDSAUDITLINK__" hidden="1">{"fdsup://directions/FAT Viewer?action=UPDATE&amp;creator=factset&amp;DYN_ARGS=TRUE&amp;DOC_NAME=FAT:FQL_AUDITING_CLIENT_TEMPLATE.FAT&amp;display_string=Audit&amp;VAR:KEY=HYXOPWBMVW&amp;VAR:QUERY=RkZfSU5WRVNUX0xUKFFUUiwwKQ==&amp;WINDOW=FIRST_POPUP&amp;HEIGHT=450&amp;WIDTH=450&amp;START_MAXIMIZED=","FALSE&amp;VAR:CALENDAR=FIVEDAY&amp;VAR:SYMBOL=HSP&amp;VAR:INDEX=0"}</definedName>
    <definedName name="_57__FDSAUDITLINK__" hidden="1">{"fdsup://directions/FAT Viewer?action=UPDATE&amp;creator=factset&amp;DYN_ARGS=TRUE&amp;DOC_NAME=FAT:FQL_AUDITING_CLIENT_TEMPLATE.FAT&amp;display_string=Audit&amp;VAR:KEY=JGLIBUVSXS&amp;VAR:QUERY=RkZfSU5WRVNUX0xUKFFUUiwwKQ==&amp;WINDOW=FIRST_POPUP&amp;HEIGHT=450&amp;WIDTH=450&amp;START_MAXIMIZED=","FALSE&amp;VAR:CALENDAR=FIVEDAY&amp;VAR:SYMBOL=HITK&amp;VAR:INDEX=0"}</definedName>
    <definedName name="_58__FDSAUDITLINK__" hidden="1">{"fdsup://directions/FAT Viewer?action=UPDATE&amp;creator=factset&amp;DYN_ARGS=TRUE&amp;DOC_NAME=FAT:FQL_AUDITING_CLIENT_TEMPLATE.FAT&amp;display_string=Audit&amp;VAR:KEY=LIZAJWFUFG&amp;VAR:QUERY=RkZfSU5WRVNUX0xUKFFUUiwwKQ==&amp;WINDOW=FIRST_POPUP&amp;HEIGHT=450&amp;WIDTH=450&amp;START_MAXIMIZED=","FALSE&amp;VAR:CALENDAR=FIVEDAY&amp;VAR:SYMBOL=WCRX&amp;VAR:INDEX=0"}</definedName>
    <definedName name="_59__FDSAUDITLINK__" hidden="1">{"fdsup://directions/FAT Viewer?action=UPDATE&amp;creator=factset&amp;DYN_ARGS=TRUE&amp;DOC_NAME=FAT:FQL_AUDITING_CLIENT_TEMPLATE.FAT&amp;display_string=Audit&amp;VAR:KEY=ZAPCZANCVI&amp;VAR:QUERY=RkZfSU5WRVNUX0xUKFFUUiwwKQ==&amp;WINDOW=FIRST_POPUP&amp;HEIGHT=450&amp;WIDTH=450&amp;START_MAXIMIZED=","FALSE&amp;VAR:CALENDAR=FIVEDAY&amp;VAR:SYMBOL=VPHM&amp;VAR:INDEX=0"}</definedName>
    <definedName name="_6__FDSAUDITLINK__" localSheetId="13" hidden="1">{"fdsup://directions/FAT Viewer?action=UPDATE&amp;creator=factset&amp;DYN_ARGS=TRUE&amp;DOC_NAME=FAT:FQL_AUDITING_CLIENT_TEMPLATE.FAT&amp;display_string=Audit&amp;VAR:KEY=SHKXSJGVWR&amp;VAR:QUERY=RkZfUEFZX09VVF9SQVRJTyhBTk4sTk9XKQ==&amp;WINDOW=FIRST_POPUP&amp;HEIGHT=450&amp;WIDTH=450&amp;START_MA","XIMIZED=FALSE&amp;VAR:CALENDAR=FIVEDAY&amp;VAR:SYMBOL=7103065&amp;VAR:INDEX=0"}</definedName>
    <definedName name="_6__FDSAUDITLINK__" hidden="1">{"fdsup://directions/FAT Viewer?action=UPDATE&amp;creator=factset&amp;DYN_ARGS=TRUE&amp;DOC_NAME=FAT:FQL_AUDITING_CLIENT_TEMPLATE.FAT&amp;display_string=Audit&amp;VAR:KEY=SHKXSJGVWR&amp;VAR:QUERY=RkZfUEFZX09VVF9SQVRJTyhBTk4sTk9XKQ==&amp;WINDOW=FIRST_POPUP&amp;HEIGHT=450&amp;WIDTH=450&amp;START_MA","XIMIZED=FALSE&amp;VAR:CALENDAR=FIVEDAY&amp;VAR:SYMBOL=7103065&amp;VAR:INDEX=0"}</definedName>
    <definedName name="_60__FDSAUDITLINK__" hidden="1">{"fdsup://directions/FAT Viewer?action=UPDATE&amp;creator=factset&amp;DYN_ARGS=TRUE&amp;DOC_NAME=FAT:FQL_AUDITING_CLIENT_TEMPLATE.FAT&amp;display_string=Audit&amp;VAR:KEY=DMPWPUVYLW&amp;VAR:QUERY=RkZfSU5WRVNUX0xUKFFUUiwwKQ==&amp;WINDOW=FIRST_POPUP&amp;HEIGHT=450&amp;WIDTH=450&amp;START_MAXIMIZED=","FALSE&amp;VAR:CALENDAR=FIVEDAY&amp;VAR:SYMBOL=VRX&amp;VAR:INDEX=0"}</definedName>
    <definedName name="_61__FDSAUDITLINK__" hidden="1">{"fdsup://directions/FAT Viewer?action=UPDATE&amp;creator=factset&amp;DYN_ARGS=TRUE&amp;DOC_NAME=FAT:FQL_AUDITING_CLIENT_TEMPLATE.FAT&amp;display_string=Audit&amp;VAR:KEY=ZWLERMTOXY&amp;VAR:QUERY=RkZfSU5WRVNUX0xUKFFUUiwwKQ==&amp;WINDOW=FIRST_POPUP&amp;HEIGHT=450&amp;WIDTH=450&amp;START_MAXIMIZED=","FALSE&amp;VAR:CALENDAR=FIVEDAY&amp;VAR:SYMBOL=SLXP&amp;VAR:INDEX=0"}</definedName>
    <definedName name="_62__FDSAUDITLINK__" hidden="1">{"fdsup://directions/FAT Viewer?action=UPDATE&amp;creator=factset&amp;DYN_ARGS=TRUE&amp;DOC_NAME=FAT:FQL_AUDITING_CLIENT_TEMPLATE.FAT&amp;display_string=Audit&amp;VAR:KEY=TEVCJYNIRA&amp;VAR:QUERY=RkZfSU5WRVNUX0xUKFFUUiwwKQ==&amp;WINDOW=FIRST_POPUP&amp;HEIGHT=450&amp;WIDTH=450&amp;START_MAXIMIZED=","FALSE&amp;VAR:CALENDAR=FIVEDAY&amp;VAR:SYMBOL=MRX&amp;VAR:INDEX=0"}</definedName>
    <definedName name="_63__FDSAUDITLINK__" hidden="1">{"fdsup://directions/FAT Viewer?action=UPDATE&amp;creator=factset&amp;DYN_ARGS=TRUE&amp;DOC_NAME=FAT:FQL_AUDITING_CLIENT_TEMPLATE.FAT&amp;display_string=Audit&amp;VAR:KEY=PQXQHMJAJK&amp;VAR:QUERY=RkZfSU5WRVNUX0xUKFFUUiwwKQ==&amp;WINDOW=FIRST_POPUP&amp;HEIGHT=450&amp;WIDTH=450&amp;START_MAXIMIZED=","FALSE&amp;VAR:CALENDAR=FIVEDAY&amp;VAR:SYMBOL=JAZZ&amp;VAR:INDEX=0"}</definedName>
    <definedName name="_64__FDSAUDITLINK__" hidden="1">{"fdsup://directions/FAT Viewer?action=UPDATE&amp;creator=factset&amp;DYN_ARGS=TRUE&amp;DOC_NAME=FAT:FQL_AUDITING_CLIENT_TEMPLATE.FAT&amp;display_string=Audit&amp;VAR:KEY=HORKLYBSXK&amp;VAR:QUERY=RkZfSU5WRVNUX0xUKFFUUiwwKQ==&amp;WINDOW=FIRST_POPUP&amp;HEIGHT=450&amp;WIDTH=450&amp;START_MAXIMIZED=","FALSE&amp;VAR:CALENDAR=FIVEDAY&amp;VAR:SYMBOL=FRX&amp;VAR:INDEX=0"}</definedName>
    <definedName name="_65__FDSAUDITLINK__" hidden="1">{"fdsup://directions/FAT Viewer?action=UPDATE&amp;creator=factset&amp;DYN_ARGS=TRUE&amp;DOC_NAME=FAT:FQL_AUDITING_CLIENT_TEMPLATE.FAT&amp;display_string=Audit&amp;VAR:KEY=DITIHIDQBQ&amp;VAR:QUERY=RkZfSU5WRVNUX0xUKFFUUiwwKQ==&amp;WINDOW=FIRST_POPUP&amp;HEIGHT=450&amp;WIDTH=450&amp;START_MAXIMIZED=","FALSE&amp;VAR:CALENDAR=FIVEDAY&amp;VAR:SYMBOL=ENDP&amp;VAR:INDEX=0"}</definedName>
    <definedName name="_66__FDSAUDITLINK__" hidden="1">{"fdsup://directions/FAT Viewer?action=UPDATE&amp;creator=factset&amp;DYN_ARGS=TRUE&amp;DOC_NAME=FAT:FQL_AUDITING_CLIENT_TEMPLATE.FAT&amp;display_string=Audit&amp;VAR:KEY=RKVMRORARM&amp;VAR:QUERY=RkZfSU5WRVNUX0xUKFFUUiwwKQ==&amp;WINDOW=FIRST_POPUP&amp;HEIGHT=450&amp;WIDTH=450&amp;START_MAXIMIZED=","FALSE&amp;VAR:CALENDAR=FIVEDAY&amp;VAR:SYMBOL=CEPH&amp;VAR:INDEX=0"}</definedName>
    <definedName name="_67__FDSAUDITLINK__" hidden="1">{"fdsup://directions/FAT Viewer?action=UPDATE&amp;creator=factset&amp;DYN_ARGS=TRUE&amp;DOC_NAME=FAT:FQL_AUDITING_CLIENT_TEMPLATE.FAT&amp;display_string=Audit&amp;VAR:KEY=XILINMFINW&amp;VAR:QUERY=RkZfSU5WRVNUX0xUKFFUUiwwKQ==&amp;WINDOW=FIRST_POPUP&amp;HEIGHT=450&amp;WIDTH=450&amp;START_MAXIMIZED=","FALSE&amp;VAR:CALENDAR=FIVEDAY&amp;VAR:SYMBOL=AGN&amp;VAR:INDEX=0"}</definedName>
    <definedName name="_68__FDSAUDITLINK__" hidden="1">{"fdsup://directions/FAT Viewer?action=UPDATE&amp;creator=factset&amp;DYN_ARGS=TRUE&amp;DOC_NAME=FAT:FQL_AUDITING_CLIENT_TEMPLATE.FAT&amp;display_string=Audit&amp;VAR:KEY=NAHOLSNWDY&amp;VAR:QUERY=RkZfSU5WRVNUX0xUKFFUUiwwKQ==&amp;WINDOW=FIRST_POPUP&amp;HEIGHT=450&amp;WIDTH=450&amp;START_MAXIMIZED=","FALSE&amp;VAR:CALENDAR=FIVEDAY&amp;VAR:SYMBOL=GILD&amp;VAR:INDEX=0"}</definedName>
    <definedName name="_69__FDSAUDITLINK__" hidden="1">{"fdsup://directions/FAT Viewer?action=UPDATE&amp;creator=factset&amp;DYN_ARGS=TRUE&amp;DOC_NAME=FAT:FQL_AUDITING_CLIENT_TEMPLATE.FAT&amp;display_string=Audit&amp;VAR:KEY=XYVWDOTINK&amp;VAR:QUERY=RkZfSU5WRVNUX0xUKFFUUiwwKQ==&amp;WINDOW=FIRST_POPUP&amp;HEIGHT=450&amp;WIDTH=450&amp;START_MAXIMIZED=","FALSE&amp;VAR:CALENDAR=FIVEDAY&amp;VAR:SYMBOL=CELG&amp;VAR:INDEX=0"}</definedName>
    <definedName name="_7__FDSAUDITLINK__" localSheetId="13" hidden="1">{"fdsup://directions/FAT Viewer?action=UPDATE&amp;creator=factset&amp;DYN_ARGS=TRUE&amp;DOC_NAME=FAT:FQL_AUDITING_CLIENT_TEMPLATE.FAT&amp;display_string=Audit&amp;VAR:KEY=UFQZWXYJCZ&amp;VAR:QUERY=RkZfUEFZX09VVF9SQVRJTyhBTk4sTk9XKQ==&amp;WINDOW=FIRST_POPUP&amp;HEIGHT=450&amp;WIDTH=450&amp;START_MA","XIMIZED=FALSE&amp;VAR:CALENDAR=FIVEDAY&amp;VAR:SYMBOL=0925288&amp;VAR:INDEX=0"}</definedName>
    <definedName name="_7__FDSAUDITLINK__" hidden="1">{"fdsup://directions/FAT Viewer?action=UPDATE&amp;creator=factset&amp;DYN_ARGS=TRUE&amp;DOC_NAME=FAT:FQL_AUDITING_CLIENT_TEMPLATE.FAT&amp;display_string=Audit&amp;VAR:KEY=UFQZWXYJCZ&amp;VAR:QUERY=RkZfUEFZX09VVF9SQVRJTyhBTk4sTk9XKQ==&amp;WINDOW=FIRST_POPUP&amp;HEIGHT=450&amp;WIDTH=450&amp;START_MA","XIMIZED=FALSE&amp;VAR:CALENDAR=FIVEDAY&amp;VAR:SYMBOL=0925288&amp;VAR:INDEX=0"}</definedName>
    <definedName name="_70__FDSAUDITLINK__" hidden="1">{"fdsup://directions/FAT Viewer?action=UPDATE&amp;creator=factset&amp;DYN_ARGS=TRUE&amp;DOC_NAME=FAT:FQL_AUDITING_CLIENT_TEMPLATE.FAT&amp;display_string=Audit&amp;VAR:KEY=VGXUNQXELC&amp;VAR:QUERY=RkZfSU5WRVNUX0xUKFFUUiwwKQ==&amp;WINDOW=FIRST_POPUP&amp;HEIGHT=450&amp;WIDTH=450&amp;START_MAXIMIZED=","FALSE&amp;VAR:CALENDAR=FIVEDAY&amp;VAR:SYMBOL=BIIB&amp;VAR:INDEX=0"}</definedName>
    <definedName name="_71__FDSAUDITLINK__" hidden="1">{"fdsup://directions/FAT Viewer?action=UPDATE&amp;creator=factset&amp;DYN_ARGS=TRUE&amp;DOC_NAME=FAT:FQL_AUDITING_CLIENT_TEMPLATE.FAT&amp;display_string=Audit&amp;VAR:KEY=ZWDUTWDEPG&amp;VAR:QUERY=RkZfSU5WRVNUX0xUKFFUUiwwKQ==&amp;WINDOW=FIRST_POPUP&amp;HEIGHT=450&amp;WIDTH=450&amp;START_MAXIMIZED=","FALSE&amp;VAR:CALENDAR=FIVEDAY&amp;VAR:SYMBOL=AMGN&amp;VAR:INDEX=0"}</definedName>
    <definedName name="_72__FDSAUDITLINK__" hidden="1">{"fdsup://directions/FAT Viewer?action=UPDATE&amp;creator=factset&amp;DYN_ARGS=TRUE&amp;DOC_NAME=FAT:FQL_AUDITING_CLIENT_TEMPLATE.FAT&amp;display_string=Audit&amp;VAR:KEY=LOPUXAFKXA&amp;VAR:QUERY=RkZfSU5WRVNUX0xUKFFUUiwwKQ==&amp;WINDOW=FIRST_POPUP&amp;HEIGHT=450&amp;WIDTH=450&amp;START_MAXIMIZED=","FALSE&amp;VAR:CALENDAR=FIVEDAY&amp;VAR:SYMBOL=ALXN&amp;VAR:INDEX=0"}</definedName>
    <definedName name="_73__FDSAUDITLINK__" hidden="1">{"fdsup://directions/FAT Viewer?action=UPDATE&amp;creator=factset&amp;DYN_ARGS=TRUE&amp;DOC_NAME=FAT:FQL_AUDITING_CLIENT_TEMPLATE.FAT&amp;display_string=Audit&amp;VAR:KEY=ZSHOZIHUTA&amp;VAR:QUERY=RkZfSU5WRVNUX0xUKFFUUiwwKQ==&amp;WINDOW=FIRST_POPUP&amp;HEIGHT=450&amp;WIDTH=450&amp;START_MAXIMIZED=","FALSE&amp;VAR:CALENDAR=FIVEDAY&amp;VAR:SYMBOL=435209&amp;VAR:INDEX=0"}</definedName>
    <definedName name="_74__FDSAUDITLINK__" hidden="1">{"fdsup://directions/FAT Viewer?action=UPDATE&amp;creator=factset&amp;DYN_ARGS=TRUE&amp;DOC_NAME=FAT:FQL_AUDITING_CLIENT_TEMPLATE.FAT&amp;display_string=Audit&amp;VAR:KEY=VQFEJCHUXU&amp;VAR:QUERY=RkZfREVCVChRVFIsMCk=&amp;WINDOW=FIRST_POPUP&amp;HEIGHT=450&amp;WIDTH=450&amp;START_MAXIMIZED=FALSE&amp;VA","R:CALENDAR=FIVEDAY&amp;VAR:SYMBOL=435209&amp;VAR:INDEX=0"}</definedName>
    <definedName name="_75__FDSAUDITLINK__" hidden="1">{"fdsup://directions/FAT Viewer?action=UPDATE&amp;creator=factset&amp;DYN_ARGS=TRUE&amp;DOC_NAME=FAT:FQL_AUDITING_CLIENT_TEMPLATE.FAT&amp;display_string=Audit&amp;VAR:KEY=LCJMPUTERA&amp;VAR:QUERY=RkZfSU5WRVNUX0xUKFFUUiwwKQ==&amp;WINDOW=FIRST_POPUP&amp;HEIGHT=450&amp;WIDTH=450&amp;START_MAXIMIZED=","FALSE&amp;VAR:CALENDAR=FIVEDAY&amp;VAR:SYMBOL=PFE&amp;VAR:INDEX=0"}</definedName>
    <definedName name="_76__FDSAUDITLINK__" hidden="1">{"fdsup://directions/FAT Viewer?action=UPDATE&amp;creator=factset&amp;DYN_ARGS=TRUE&amp;DOC_NAME=FAT:FQL_AUDITING_CLIENT_TEMPLATE.FAT&amp;display_string=Audit&amp;VAR:KEY=HYLCZGJGBW&amp;VAR:QUERY=RkZfSU5WRVNUX0xUKFFUUiwwKQ==&amp;WINDOW=FIRST_POPUP&amp;HEIGHT=450&amp;WIDTH=450&amp;START_MAXIMIZED=","FALSE&amp;VAR:CALENDAR=FIVEDAY&amp;VAR:SYMBOL=MRK&amp;VAR:INDEX=0"}</definedName>
    <definedName name="_77__FDSAUDITLINK__" hidden="1">{"fdsup://directions/FAT Viewer?action=UPDATE&amp;creator=factset&amp;DYN_ARGS=TRUE&amp;DOC_NAME=FAT:FQL_AUDITING_CLIENT_TEMPLATE.FAT&amp;display_string=Audit&amp;VAR:KEY=DERQHCPOHU&amp;VAR:QUERY=RkZfSU5WRVNUX0xUKFFUUiwwKQ==&amp;WINDOW=FIRST_POPUP&amp;HEIGHT=450&amp;WIDTH=450&amp;START_MAXIMIZED=","FALSE&amp;VAR:CALENDAR=FIVEDAY&amp;VAR:SYMBOL=LLY&amp;VAR:INDEX=0"}</definedName>
    <definedName name="_78__FDSAUDITLINK__" hidden="1">{"fdsup://directions/FAT Viewer?action=UPDATE&amp;creator=factset&amp;DYN_ARGS=TRUE&amp;DOC_NAME=FAT:FQL_AUDITING_CLIENT_TEMPLATE.FAT&amp;display_string=Audit&amp;VAR:KEY=FGNKPMPQZY&amp;VAR:QUERY=RkZfSU5WRVNUX0xUKFFUUiwwKQ==&amp;WINDOW=FIRST_POPUP&amp;HEIGHT=450&amp;WIDTH=450&amp;START_MAXIMIZED=","FALSE&amp;VAR:CALENDAR=FIVEDAY&amp;VAR:SYMBOL=JNJ&amp;VAR:INDEX=0"}</definedName>
    <definedName name="_79__FDSAUDITLINK__" hidden="1">{"fdsup://directions/FAT Viewer?action=UPDATE&amp;creator=factset&amp;DYN_ARGS=TRUE&amp;DOC_NAME=FAT:FQL_AUDITING_CLIENT_TEMPLATE.FAT&amp;display_string=Audit&amp;VAR:KEY=LYXSRCBOHA&amp;VAR:QUERY=RkZfSU5WRVNUX0xUKFFUUiwwKQ==&amp;WINDOW=FIRST_POPUP&amp;HEIGHT=450&amp;WIDTH=450&amp;START_MAXIMIZED=","FALSE&amp;VAR:CALENDAR=FIVEDAY&amp;VAR:SYMBOL=BMY&amp;VAR:INDEX=0"}</definedName>
    <definedName name="_8__FDSAUDITLINK__" localSheetId="13" hidden="1">{"fdsup://directions/FAT%20Viewer?VAR:PED=20071231&amp;VAR:PERIOD=FIXED&amp;VAR:V=10.306315&amp;VAR:AUDIT_ID=00000117&amp;VAR:DATE=20100308&amp;action=UPDATE&amp;creator=factset&amp;DOC_NAME=FAT:FMA_audit_DETAIL.fat&amp;DISPLAY_STRING=Display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8__FDSAUDITLINK__" hidden="1">{"fdsup://directions/FAT%20Viewer?VAR:PED=20071231&amp;VAR:PERIOD=FIXED&amp;VAR:V=10.306315&amp;VAR:AUDIT_ID=00000117&amp;VAR:DATE=20100308&amp;action=UPDATE&amp;creator=factset&amp;DOC_NAME=FAT:FMA_audit_DETAIL.fat&amp;DISPLAY_STRING=Display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80__FDSAUDITLINK__" hidden="1">{"fdsup://directions/FAT Viewer?action=UPDATE&amp;creator=factset&amp;DYN_ARGS=TRUE&amp;DOC_NAME=FAT:FQL_AUDITING_CLIENT_TEMPLATE.FAT&amp;display_string=Audit&amp;VAR:KEY=ZOVAZMHKPC&amp;VAR:QUERY=RkZfSU5WRVNUX0xUKFFUUiwwKQ==&amp;WINDOW=FIRST_POPUP&amp;HEIGHT=450&amp;WIDTH=450&amp;START_MAXIMIZED=","FALSE&amp;VAR:CALENDAR=FIVEDAY&amp;VAR:SYMBOL=ABT&amp;VAR:INDEX=0"}</definedName>
    <definedName name="_81__FDSAUDITLINK__" hidden="1">{"fdsup://directions/FAT Viewer?action=UPDATE&amp;creator=factset&amp;DYN_ARGS=TRUE&amp;DOC_NAME=FAT:FQL_AUDITING_CLIENT_TEMPLATE.FAT&amp;display_string=Audit&amp;VAR:KEY=JSLSBKVYHS&amp;VAR:QUERY=RkZfSU5WRVNUX0xUKFFUUiwwKQ==&amp;WINDOW=FIRST_POPUP&amp;HEIGHT=450&amp;WIDTH=450&amp;START_MAXIMIZED=","FALSE&amp;VAR:CALENDAR=FIVEDAY&amp;VAR:SYMBOL=AZN&amp;VAR:INDEX=0"}</definedName>
    <definedName name="_82__FDSAUDITLINK__" hidden="1">{"fdsup://directions/FAT Viewer?action=UPDATE&amp;creator=factset&amp;DYN_ARGS=TRUE&amp;DOC_NAME=FAT:FQL_AUDITING_CLIENT_TEMPLATE.FAT&amp;display_string=Audit&amp;VAR:KEY=HAHKXMLERQ&amp;VAR:QUERY=RkZfSU5WRVNUX0xUKFFUUiwwKQ==&amp;WINDOW=FIRST_POPUP&amp;HEIGHT=450&amp;WIDTH=450&amp;START_MAXIMIZED=","FALSE&amp;VAR:CALENDAR=FIVEDAY&amp;VAR:SYMBOL=NVS&amp;VAR:INDEX=0"}</definedName>
    <definedName name="_83__FDSAUDITLINK__" hidden="1">{"fdsup://directions/FAT Viewer?action=UPDATE&amp;creator=factset&amp;DYN_ARGS=TRUE&amp;DOC_NAME=FAT:FQL_AUDITING_CLIENT_TEMPLATE.FAT&amp;display_string=Audit&amp;VAR:KEY=ZGBABKVOBO&amp;VAR:QUERY=RkZfSU5WRVNUX0xUKFFUUiwwKQ==&amp;WINDOW=FIRST_POPUP&amp;HEIGHT=450&amp;WIDTH=450&amp;START_MAXIMIZED=","FALSE&amp;VAR:CALENDAR=FIVEDAY&amp;VAR:SYMBOL=SHPGY&amp;VAR:INDEX=0"}</definedName>
    <definedName name="_84__FDSAUDITLINK__" hidden="1">{"fdsup://Directions/FactSet Auditing Viewer?action=AUDIT_VALUE&amp;DB=129&amp;ID1=00282410&amp;VALUEID=02001&amp;SDATE=201102&amp;PERIODTYPE=QTR_STD&amp;SCFT=3&amp;window=popup_no_bar&amp;width=385&amp;height=120&amp;START_MAXIMIZED=FALSE&amp;creator=factset&amp;display_string=Audit"}</definedName>
    <definedName name="_85__FDSAUDITLINK__" hidden="1">{"fdsup://directions/FAT Viewer?action=UPDATE&amp;creator=factset&amp;DYN_ARGS=TRUE&amp;DOC_NAME=FAT:FQL_AUDITING_CLIENT_TEMPLATE.FAT&amp;display_string=Audit&amp;VAR:KEY=FQVITULUDU&amp;VAR:QUERY=RkZfREVCVChRVFIsMCk=&amp;WINDOW=FIRST_POPUP&amp;HEIGHT=450&amp;WIDTH=450&amp;START_MAXIMIZED=FALSE&amp;VA","R:CALENDAR=FIVEDAY&amp;VAR:SYMBOL=ABT&amp;VAR:INDEX=0"}</definedName>
    <definedName name="_86__FDSAUDITLINK__" hidden="1">{"fdsup://Directions/FactSet Auditing Viewer?action=AUDIT_VALUE&amp;DB=129&amp;ID1=11012210&amp;VALUEID=02001&amp;SDATE=201102&amp;PERIODTYPE=QTR_STD&amp;SCFT=3&amp;window=popup_no_bar&amp;width=385&amp;height=120&amp;START_MAXIMIZED=FALSE&amp;creator=factset&amp;display_string=Audit"}</definedName>
    <definedName name="_87__FDSAUDITLINK__" hidden="1">{"fdsup://directions/FAT Viewer?action=UPDATE&amp;creator=factset&amp;DYN_ARGS=TRUE&amp;DOC_NAME=FAT:FQL_AUDITING_CLIENT_TEMPLATE.FAT&amp;display_string=Audit&amp;VAR:KEY=DKTMXEVMHY&amp;VAR:QUERY=RkZfREVCVChRVFIsMCk=&amp;WINDOW=FIRST_POPUP&amp;HEIGHT=450&amp;WIDTH=450&amp;START_MAXIMIZED=FALSE&amp;VA","R:CALENDAR=FIVEDAY&amp;VAR:SYMBOL=BMY&amp;VAR:INDEX=0"}</definedName>
    <definedName name="_88__FDSAUDITLINK__" hidden="1">{"fdsup://Directions/FactSet Auditing Viewer?action=AUDIT_VALUE&amp;DB=129&amp;ID1=47816010&amp;VALUEID=02001&amp;SDATE=201102&amp;PERIODTYPE=QTR_STD&amp;SCFT=3&amp;window=popup_no_bar&amp;width=385&amp;height=120&amp;START_MAXIMIZED=FALSE&amp;creator=factset&amp;display_string=Audit"}</definedName>
    <definedName name="_89__FDSAUDITLINK__" hidden="1">{"fdsup://directions/FAT Viewer?action=UPDATE&amp;creator=factset&amp;DYN_ARGS=TRUE&amp;DOC_NAME=FAT:FQL_AUDITING_CLIENT_TEMPLATE.FAT&amp;display_string=Audit&amp;VAR:KEY=TCZQTEZSZW&amp;VAR:QUERY=RkZfREVCVChRVFIsMCk=&amp;WINDOW=FIRST_POPUP&amp;HEIGHT=450&amp;WIDTH=450&amp;START_MAXIMIZED=FALSE&amp;VA","R:CALENDAR=FIVEDAY&amp;VAR:SYMBOL=JNJ&amp;VAR:INDEX=0"}</definedName>
    <definedName name="_9__FDSAUDITLINK__" localSheetId="13" hidden="1">{"fdsup://directions/FAT%20Viewer?VAR:PED=20071231&amp;VAR:PERIOD=FIXED&amp;VAR:V=5.892714&amp;VAR:AUDIT_ID=71692910&amp;VAR:DATE=20100309&amp;action=UPDATE&amp;creator=factset&amp;DOC_NAME=FAT:FMA_audit_DETAIL.fat&amp;DISPLAY_STRING=Display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9__FDSAUDITLINK__" hidden="1">{"fdsup://directions/FAT%20Viewer?VAR:PED=20071231&amp;VAR:PERIOD=FIXED&amp;VAR:V=5.892714&amp;VAR:AUDIT_ID=71692910&amp;VAR:DATE=20100309&amp;action=UPDATE&amp;creator=factset&amp;DOC_NAME=FAT:FMA_audit_DETAIL.fat&amp;DISPLAY_STRING=Display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_90__FDSAUDITLINK__" hidden="1">{"fdsup://Directions/FactSet Auditing Viewer?action=AUDIT_VALUE&amp;DB=129&amp;ID1=53245710&amp;VALUEID=02001&amp;SDATE=201102&amp;PERIODTYPE=QTR_STD&amp;SCFT=3&amp;window=popup_no_bar&amp;width=385&amp;height=120&amp;START_MAXIMIZED=FALSE&amp;creator=factset&amp;display_string=Audit"}</definedName>
    <definedName name="_91__FDSAUDITLINK__" hidden="1">{"fdsup://directions/FAT Viewer?action=UPDATE&amp;creator=factset&amp;DYN_ARGS=TRUE&amp;DOC_NAME=FAT:FQL_AUDITING_CLIENT_TEMPLATE.FAT&amp;display_string=Audit&amp;VAR:KEY=XEBYRMFCTI&amp;VAR:QUERY=RkZfREVCVChRVFIsMCk=&amp;WINDOW=FIRST_POPUP&amp;HEIGHT=450&amp;WIDTH=450&amp;START_MAXIMIZED=FALSE&amp;VA","R:CALENDAR=FIVEDAY&amp;VAR:SYMBOL=LLY&amp;VAR:INDEX=0"}</definedName>
    <definedName name="_92__FDSAUDITLINK__" hidden="1">{"fdsup://Directions/FactSet Auditing Viewer?action=AUDIT_VALUE&amp;DB=129&amp;ID1=58933Y10&amp;VALUEID=02001&amp;SDATE=201102&amp;PERIODTYPE=QTR_STD&amp;SCFT=3&amp;window=popup_no_bar&amp;width=385&amp;height=120&amp;START_MAXIMIZED=FALSE&amp;creator=factset&amp;display_string=Audit"}</definedName>
    <definedName name="_93__FDSAUDITLINK__" hidden="1">{"fdsup://directions/FAT Viewer?action=UPDATE&amp;creator=factset&amp;DYN_ARGS=TRUE&amp;DOC_NAME=FAT:FQL_AUDITING_CLIENT_TEMPLATE.FAT&amp;display_string=Audit&amp;VAR:KEY=VSHAXOFKJC&amp;VAR:QUERY=RkZfREVCVChRVFIsMCk=&amp;WINDOW=FIRST_POPUP&amp;HEIGHT=450&amp;WIDTH=450&amp;START_MAXIMIZED=FALSE&amp;VA","R:CALENDAR=FIVEDAY&amp;VAR:SYMBOL=MRK&amp;VAR:INDEX=0"}</definedName>
    <definedName name="_94__FDSAUDITLINK__" hidden="1">{"fdsup://Directions/FactSet Auditing Viewer?action=AUDIT_VALUE&amp;DB=129&amp;ID1=71708110&amp;VALUEID=02001&amp;SDATE=201102&amp;PERIODTYPE=QTR_STD&amp;SCFT=3&amp;window=popup_no_bar&amp;width=385&amp;height=120&amp;START_MAXIMIZED=FALSE&amp;creator=factset&amp;display_string=Audit"}</definedName>
    <definedName name="_95__FDSAUDITLINK__" hidden="1">{"fdsup://directions/FAT Viewer?action=UPDATE&amp;creator=factset&amp;DYN_ARGS=TRUE&amp;DOC_NAME=FAT:FQL_AUDITING_CLIENT_TEMPLATE.FAT&amp;display_string=Audit&amp;VAR:KEY=DKFMPYNSHQ&amp;VAR:QUERY=RkZfREVCVChRVFIsMCk=&amp;WINDOW=FIRST_POPUP&amp;HEIGHT=450&amp;WIDTH=450&amp;START_MAXIMIZED=FALSE&amp;VA","R:CALENDAR=FIVEDAY&amp;VAR:SYMBOL=PFE&amp;VAR:INDEX=0"}</definedName>
    <definedName name="_96__FDSAUDITLINK__" hidden="1">{"fdsup://directions/FAT Viewer?action=UPDATE&amp;creator=factset&amp;DYN_ARGS=TRUE&amp;DOC_NAME=FAT:FQL_AUDITING_CLIENT_TEMPLATE.FAT&amp;display_string=Audit&amp;VAR:KEY=JWRODKFUNO&amp;VAR:QUERY=RkZfREVCVChRVFIsMCk=&amp;WINDOW=FIRST_POPUP&amp;HEIGHT=450&amp;WIDTH=450&amp;START_MAXIMIZED=FALSE&amp;VA","R:CALENDAR=FIVEDAY&amp;VAR:SYMBOL=AZN&amp;VAR:INDEX=0"}</definedName>
    <definedName name="_97__FDSAUDITLINK__" hidden="1">{"fdsup://directions/FAT Viewer?action=UPDATE&amp;creator=factset&amp;DYN_ARGS=TRUE&amp;DOC_NAME=FAT:FQL_AUDITING_CLIENT_TEMPLATE.FAT&amp;display_string=Audit&amp;VAR:KEY=DIZEHARWFQ&amp;VAR:QUERY=RkZfREVCVChRVFIsMCk=&amp;WINDOW=FIRST_POPUP&amp;HEIGHT=450&amp;WIDTH=450&amp;START_MAXIMIZED=FALSE&amp;VA","R:CALENDAR=FIVEDAY&amp;VAR:SYMBOL=NVS&amp;VAR:INDEX=0"}</definedName>
    <definedName name="_98__FDSAUDITLINK__" hidden="1">{"fdsup://directions/FAT Viewer?action=UPDATE&amp;creator=factset&amp;DYN_ARGS=TRUE&amp;DOC_NAME=FAT:FQL_AUDITING_CLIENT_TEMPLATE.FAT&amp;display_string=Audit&amp;VAR:KEY=VSPITILQPU&amp;VAR:QUERY=RkZfREVCVChRVFIsMCk=&amp;WINDOW=FIRST_POPUP&amp;HEIGHT=450&amp;WIDTH=450&amp;START_MAXIMIZED=FALSE&amp;VA","R:CALENDAR=FIVEDAY&amp;VAR:SYMBOL=SHPGY&amp;VAR:INDEX=0"}</definedName>
    <definedName name="_99__FDSAUDITLINK__" hidden="1">{"fdsup://Directions/FactSet Auditing Viewer?action=AUDIT_VALUE&amp;DB=129&amp;ID1=01535110&amp;VALUEID=02001&amp;SDATE=201102&amp;PERIODTYPE=QTR_STD&amp;SCFT=3&amp;window=popup_no_bar&amp;width=385&amp;height=120&amp;START_MAXIMIZED=FALSE&amp;creator=factset&amp;display_string=Audit"}</definedName>
    <definedName name="_a1" localSheetId="13" hidden="1">{"comp1",#N/A,FALSE,"COMPS";"footnotes",#N/A,FALSE,"COMPS"}</definedName>
    <definedName name="_a1" hidden="1">{"comp1",#N/A,FALSE,"COMPS";"footnotes",#N/A,FALSE,"COMPS"}</definedName>
    <definedName name="_aa1" localSheetId="13" hidden="1">{#N/A,#N/A,TRUE,"Pro Forma";#N/A,#N/A,TRUE,"PF_Bal";#N/A,#N/A,TRUE,"PF_INC";#N/A,#N/A,TRUE,"CBE";#N/A,#N/A,TRUE,"SWK"}</definedName>
    <definedName name="_aa1" hidden="1">{#N/A,#N/A,TRUE,"Pro Forma";#N/A,#N/A,TRUE,"PF_Bal";#N/A,#N/A,TRUE,"PF_INC";#N/A,#N/A,TRUE,"CBE";#N/A,#N/A,TRUE,"SWK"}</definedName>
    <definedName name="_ab1" localSheetId="13" hidden="1">{"comp1",#N/A,FALSE,"COMPS";"footnotes",#N/A,FALSE,"COMPS"}</definedName>
    <definedName name="_ab1" hidden="1">{"comp1",#N/A,FALSE,"COMPS";"footnotes",#N/A,FALSE,"COMPS"}</definedName>
    <definedName name="_ae1" localSheetId="13" hidden="1">{#N/A,#N/A,FALSE,"Calc";#N/A,#N/A,FALSE,"Sensitivity";#N/A,#N/A,FALSE,"LT Earn.Dil.";#N/A,#N/A,FALSE,"Dil. AVP"}</definedName>
    <definedName name="_ae1" hidden="1">{#N/A,#N/A,FALSE,"Calc";#N/A,#N/A,FALSE,"Sensitivity";#N/A,#N/A,FALSE,"LT Earn.Dil.";#N/A,#N/A,FALSE,"Dil. AVP"}</definedName>
    <definedName name="_Agreement1">AGREEMENTS!$H$9:$S$83</definedName>
    <definedName name="_Agreement2">AGREEMENTS!$H$84:$S$146</definedName>
    <definedName name="_AIS">'IS-ANNUAL'!$H$9:$CE$79</definedName>
    <definedName name="_am1" localSheetId="13" hidden="1">{#N/A,#N/A,TRUE,"Pro Forma";#N/A,#N/A,TRUE,"PF_Bal";#N/A,#N/A,TRUE,"PF_INC";#N/A,#N/A,TRUE,"CBE";#N/A,#N/A,TRUE,"SWK"}</definedName>
    <definedName name="_am1" hidden="1">{#N/A,#N/A,TRUE,"Pro Forma";#N/A,#N/A,TRUE,"PF_Bal";#N/A,#N/A,TRUE,"PF_INC";#N/A,#N/A,TRUE,"CBE";#N/A,#N/A,TRUE,"SWK"}</definedName>
    <definedName name="_ARev1">'REV-ANNUAL'!$H$9:$CE$82</definedName>
    <definedName name="_ARev2">'REV-ANNUAL'!$H$106:$CE$217</definedName>
    <definedName name="_ARev3">'REV-ANNUAL'!$H$219:$CE$237</definedName>
    <definedName name="_ARev4">'REV-ANNUAL'!$H$239:$CE$333</definedName>
    <definedName name="_ARev5">'REV-ANNUAL'!$H$336:$CE$447</definedName>
    <definedName name="_ARev6">'REV-ANNUAL'!$H$449:$CE$467</definedName>
    <definedName name="_as1" localSheetId="13" hidden="1">{"comp1",#N/A,FALSE,"COMPS";"footnotes",#N/A,FALSE,"COMPS"}</definedName>
    <definedName name="_as1" hidden="1">{"comp1",#N/A,FALSE,"COMPS";"footnotes",#N/A,FALSE,"COMPS"}</definedName>
    <definedName name="_bdm.02E29E7B1053433EA3CCCBE4E5141596.edm" hidden="1">[1]Sheet1!$A:$IV</definedName>
    <definedName name="_bdm.06AF178765BE4565BCE2E84E9474D231.edm" hidden="1">CFBS!$1:$1048576</definedName>
    <definedName name="_bdm.1BB247BF873F4738A7B222A36B9E0B0F.edm" localSheetId="13" hidden="1">DCF!$1:$1048576</definedName>
    <definedName name="_bdm.20667C216A124341A0273BF21B3763C0.edm" localSheetId="4" hidden="1">'IS-ANNUAL'!$H$9:$BN$77</definedName>
    <definedName name="_bdm.2DD2C96D34A94119897BA9F9064DA371.edm" hidden="1">'[2]rev change analysis'!$A:$IV</definedName>
    <definedName name="_bdm.312C5E895E1543D19C7EFF6DFE3C9678.edm" hidden="1">[3]Performance!$A:$IV</definedName>
    <definedName name="_bdm.31B38A4456914D13B036C519BB497D92.edm" hidden="1">'[4]rev change analysis'!$A:$IV</definedName>
    <definedName name="_bdm.33BD916E163D409F89865F1B3C0A5AC1.edm" hidden="1">summary!$1:$1048576</definedName>
    <definedName name="_bdm.384BFCED33ED4B149016C877E23F998D.edm" hidden="1">'[4]short IS'!$A:$IV</definedName>
    <definedName name="_bdm.3B726EA5D78546D78DBA16E6076EE53C.edm" localSheetId="4" hidden="1">'IS-ANNUAL'!$H$9:$BN$78</definedName>
    <definedName name="_bdm.3CD6C5FB1E2940EEA95530C1917BABEC.edm" hidden="1">'MGMT PROJECTIONS'!$1:$1048576</definedName>
    <definedName name="_bdm.3DF503356A774849BDB0CF86A1DEB5AC.edm" hidden="1">AGREEMENTS!$1:$1048576</definedName>
    <definedName name="_bdm.42F67CCC3C1C45638B5EC98256E90947.edm" hidden="1">'[5]Good 12-00 (2)'!$A:$IV</definedName>
    <definedName name="_bdm.46D56600DB7840728F138544F8E425DB.edm" hidden="1">'[5]Good 11-36'!$A:$IV</definedName>
    <definedName name="_bdm.47A9582B933E4E72A394E87C9154471A.edm" hidden="1">'[3]PE FY1'!$A:$IV</definedName>
    <definedName name="_bdm.4B0C5E9A7A304C39AE91E40CECBE19EC.edm" hidden="1">'[6]Vs Global'!$A:$IV</definedName>
    <definedName name="_bdm.60A1016E4A5045B0B4BE42FB21AAF6D6.edm" hidden="1">'[5]Good 11-50'!$A:$IV</definedName>
    <definedName name="_bdm.616E44005FE6405981F35900D6DC2E1A.edm" hidden="1">'[7]SLC USD'!$A:$IV</definedName>
    <definedName name="_bdm.668984B1EF71437AAE4ED8776F8353BA.edm" hidden="1">PIPELINE!$1:$1048576</definedName>
    <definedName name="_bdm.68F476F29C8A451FA62C5A769C2B8C4E.edm" hidden="1">FOOTNOTES!$1:$1048576</definedName>
    <definedName name="_bdm.7317521E367C4A50896524C70180A68C.edm" hidden="1">'[4]2015 rev change'!$A:$IV</definedName>
    <definedName name="_bdm.76074D17ADD044A287D271B1AAFC4036.edm" hidden="1">'[4]Product Mix 100%'!$A:$IV</definedName>
    <definedName name="_bdm.77192A69936D48368D0A13E908672759.edm" hidden="1">'[4]cost savings'!$A:$IV</definedName>
    <definedName name="_bdm.7BD26B3608B542F58E240F2B55D81C5F.edm" hidden="1">[3]Results!$A:$IV</definedName>
    <definedName name="_bdm.84F38A9759994A80A6CF34B5BBEB633C.edm" hidden="1">'[8]rev change analysis'!$A:$IV</definedName>
    <definedName name="_bdm.9344FC9C6CD546EF9E01BADCFACED7DC.edm" hidden="1">'IS-ANNUAL'!$1:$1048576</definedName>
    <definedName name="_bdm.9B45399882F64A698DD1C1BDB9A04C25.edm" hidden="1">[6]Peers!$A:$IV</definedName>
    <definedName name="_bdm.A60B90AFA2D849039B481F95FC97D08B.edm" localSheetId="5" hidden="1">'REV-ANNUAL'!$H$219:$BN$238</definedName>
    <definedName name="_bdm.ABF68B911D8942438A2B464C7A4E0C3F.edm" hidden="1">'[7]AGRO BRL'!$A:$IV</definedName>
    <definedName name="_bdm.B2C35400B3634E1582C162DD4F1F8C37.edm" localSheetId="13" hidden="1">DCF!$H$9:$BN$59</definedName>
    <definedName name="_bdm.C0F16696A42048FCB296B23080F4315F.edm" localSheetId="0" hidden="1">summary!$H$40:$K$49</definedName>
    <definedName name="_bdm.C7C6FBA36F39444B8BCEC128D5B7F931.edm" hidden="1">'[5]Sheet3 (5)'!$A:$IV</definedName>
    <definedName name="_bdm.E2B991B7B5454C4CBE252B2B73D6513B.edm" hidden="1">[9]margins!$A:$IV</definedName>
    <definedName name="_bdm.E8E1D9C16424403FB6536CF6D099CF86.edm" hidden="1">[6]Performance!$A:$IV</definedName>
    <definedName name="_bdm.F0D73515AC3D4919BC3602806970DE2D.edm" hidden="1">'[4]Per Pharma Traditional &amp; Biolog'!$A:$IV</definedName>
    <definedName name="_bdm.F503F160FFA641EDB1AD757205401861.edm" hidden="1">'[9]rev change analysis'!$A:$IV</definedName>
    <definedName name="_bdm.F565A4E21F354ACEAD41933A69E04D44.edm" hidden="1">'REV-ANNUAL'!$1:$1048576</definedName>
    <definedName name="_bdm.F9ADE949B60A46FFB465EF2779E20668.edm" localSheetId="11" hidden="1">'MGMT PROJECTIONS'!$H$10:$H$20</definedName>
    <definedName name="_BS">CFBS!$H$64:$CE$115</definedName>
    <definedName name="_CF">CFBS!$H$9:$CE$59</definedName>
    <definedName name="_DCF" localSheetId="13">DCF!$H$9:$CE$59</definedName>
    <definedName name="_f1" localSheetId="13" hidden="1">{"assumption cash",#N/A,TRUE,"Merger";"has gets cash",#N/A,TRUE,"Merger";"accretion dilution",#N/A,TRUE,"Merger";"comparison credit stats",#N/A,TRUE,"Merger";"pf credit stats",#N/A,TRUE,"Merger";"pf sheets",#N/A,TRUE,"Merger"}</definedName>
    <definedName name="_f1" hidden="1">{"assumption cash",#N/A,TRUE,"Merger";"has gets cash",#N/A,TRUE,"Merger";"accretion dilution",#N/A,TRUE,"Merger";"comparison credit stats",#N/A,TRUE,"Merger";"pf credit stats",#N/A,TRUE,"Merger";"pf sheets",#N/A,TRUE,"Merger"}</definedName>
    <definedName name="_FCF" localSheetId="13">DCF!$H$9:$CE$14</definedName>
    <definedName name="_FinMet">CFBS!$H$120:$CE$183</definedName>
    <definedName name="_Footnotes">FOOTNOTES!$H$10:$P$268</definedName>
    <definedName name="_ik1" localSheetId="13" hidden="1">{"casespecific",#N/A,FALSE,"Assumptions"}</definedName>
    <definedName name="_ik1" hidden="1">{"casespecific",#N/A,FALSE,"Assumptions"}</definedName>
    <definedName name="_Key1" hidden="1">[10]単独!$U$1</definedName>
    <definedName name="_MgmtProj">'MGMT PROJECTIONS'!$H$10:$O$22</definedName>
    <definedName name="_Order1" hidden="1">255</definedName>
    <definedName name="_Pipe1">PIPELINE!$H$9:$CE$45</definedName>
    <definedName name="_Pipe2">PIPELINE!$H$46:$CE$78</definedName>
    <definedName name="_Sort" hidden="1">[10]単独!$A$512:$AC$552</definedName>
    <definedName name="_TheoPipe">PIPELINE!$H$80:$CE$91</definedName>
    <definedName name="a" hidden="1">[10]ｾｸﾞﾒﾝﾄ!$E$165:$I$165</definedName>
    <definedName name="ab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ctual" hidden="1">{#N/A,#N/A,TRUE,"Historicals";#N/A,#N/A,TRUE,"Charts";#N/A,#N/A,TRUE,"Forecasts"}</definedName>
    <definedName name="AdditionalInstructions">IndexInformation!$B$42</definedName>
    <definedName name="Address" localSheetId="1">ImportantDisclosures!$A$2:$A$2</definedName>
    <definedName name="ANA" localSheetId="15">ModPubIndex!$A$7</definedName>
    <definedName name="asda" hidden="1">{"fdsup://directions/FAT%20Viewer?VAR:PED=20071231&amp;VAR:PERIOD=FIXED&amp;VAR:V=5.898401&amp;VAR:AUDIT_ID=71692910&amp;VAR:DATE=20100305&amp;action=UPDATE&amp;creator=factset&amp;DOC_NAME=FAT:FMA_audit_DETAIL.fat&amp;DISPLAY_STRING=Display Audit for EPS LTG&amp;DYN_ARGS=TRUE&amp;WINDOW=first_po","pup&amp;START_MAXIMIZED=FALSE&amp;width=910&amp;height=525&amp;TITLEBAR=FactSet Market Aggregates&amp;VAR:MEASURE=LTG_EPS&amp;VAR:CALC_MODE=PORTFOLIO&amp;VAR:CHGPERIOD=NA&amp;VAR:FQLFORMULA=FMA_LTG_EPS&amp;VAR:CURRENCY=USD&amp;VAR:P=NA&amp;VAR:THRESH=||||&amp;VAR:null=.html"}</definedName>
    <definedName name="Authors" localSheetId="1">ImportantDisclosures!$A$7</definedName>
    <definedName name="Authors" localSheetId="14">IndexInformation!$B$18</definedName>
    <definedName name="b" hidden="1">[10]ｾｸﾞﾒﾝﾄ!$E$167:$I$167</definedName>
    <definedName name="BRO" localSheetId="15">ModPubIndex!$A$1</definedName>
    <definedName name="CompanyName" localSheetId="10">summary!$J$7</definedName>
    <definedName name="CompanyName" localSheetId="8">summary!$J$7</definedName>
    <definedName name="CompanyName" localSheetId="2">summary!$J$7</definedName>
    <definedName name="CompanyName" localSheetId="13">summary!$J$7</definedName>
    <definedName name="CompanyName" localSheetId="12">summary!$J$7</definedName>
    <definedName name="CompanyName" localSheetId="9">summary!$J$7</definedName>
    <definedName name="CompanyName" localSheetId="4">summary!$J$7</definedName>
    <definedName name="CompanyName" localSheetId="6">summary!$J$7</definedName>
    <definedName name="CompanyName" localSheetId="7">summary!$J$7</definedName>
    <definedName name="CompanyName" localSheetId="5">summary!$J$7</definedName>
    <definedName name="CompanyName">summary!$J$7</definedName>
    <definedName name="CompanyTicker" localSheetId="2">summary!$J$8</definedName>
    <definedName name="CompanyTicker">summary!$J$8</definedName>
    <definedName name="CopyrightStamp">ImportantDisclosures!$A$27</definedName>
    <definedName name="COU" localSheetId="15">ModPubIndex!$A$5</definedName>
    <definedName name="CQEnd" localSheetId="14">IndexInformation!$B$31</definedName>
    <definedName name="Currency" localSheetId="14">IndexInformation!$B$24</definedName>
    <definedName name="CurrentStockPrice" localSheetId="14">IndexInformation!$B$23</definedName>
    <definedName name="CurrPrice">[11]summary!$J$16</definedName>
    <definedName name="CurrQtrEPS" localSheetId="14">IndexInformation!$B$29</definedName>
    <definedName name="CurrYearEPS" localSheetId="14">IndexInformation!$B$11</definedName>
    <definedName name="CurrYearTotalRevenue" localSheetId="14">IndexInformation!$B$10</definedName>
    <definedName name="CurrYearTotalRevenueActual" localSheetId="14">IndexInformation!$B$32</definedName>
    <definedName name="CUSIP" localSheetId="14">IndexInformation!$B$20</definedName>
    <definedName name="CYEnd" localSheetId="14">IndexInformation!$B$30</definedName>
    <definedName name="dataseries4">OFFSET([12]c1!$G$12,0,0,COUNTA([12]c1!$G$12:$G$31),1)</definedName>
    <definedName name="Date" localSheetId="1">ImportantDisclosures!$A$8</definedName>
    <definedName name="Deleted" localSheetId="14">IndexInformation!$B$27</definedName>
    <definedName name="Description" localSheetId="14">IndexInformation!$B$7</definedName>
    <definedName name="Discipline" localSheetId="14">IndexInformation!$B$3</definedName>
    <definedName name="DISCIPLINE" localSheetId="15">ModPubIndex!$A$12</definedName>
    <definedName name="DisclosuresText">ImportantDisclosures!$A$22</definedName>
    <definedName name="Distribution" localSheetId="14">IndexInformation!$B$26</definedName>
    <definedName name="DistTable" localSheetId="1">ImportantDisclosures!#REF!</definedName>
    <definedName name="DistTablePreamble" localSheetId="1">ImportantDisclosures!#REF!</definedName>
    <definedName name="DOCDAT" localSheetId="15">ModPubIndex!$A$2</definedName>
    <definedName name="DOCTIME" localSheetId="15">ModPubIndex!$A$3</definedName>
    <definedName name="DocType" localSheetId="14">IndexInformation!$B$5</definedName>
    <definedName name="Drugs" localSheetId="13">DCF!Drugs</definedName>
    <definedName name="Drugs">DCF!Drugs</definedName>
    <definedName name="DtLastUpdt" localSheetId="2">summary!$J$14</definedName>
    <definedName name="DtLastUpdt">summary!$J$14</definedName>
    <definedName name="EMAIL_ALERT" localSheetId="15">ModPubIndex!$A$10</definedName>
    <definedName name="EmailAlert" localSheetId="14">IndexInformation!$B$28</definedName>
    <definedName name="ｆ" hidden="1">"iQShowAnnual"</definedName>
    <definedName name="FDS_ticker" localSheetId="4">summary!$J$9</definedName>
    <definedName name="FDS_ticker">summary!$J$9</definedName>
    <definedName name="FiveYearGrowthRate" localSheetId="14">IndexInformation!$B$16</definedName>
    <definedName name="FollowingYearEPS" localSheetId="14">IndexInformation!$B$15</definedName>
    <definedName name="FollowingYearTotalRevenue" localSheetId="14">IndexInformation!$B$14</definedName>
    <definedName name="FollowingYearTotalRevenueActual" localSheetId="14">IndexInformation!$B$34</definedName>
    <definedName name="HL" localSheetId="15">ModPubIndex!$A$8</definedName>
    <definedName name="Img_ML_7g5e5e2b" hidden="1">"IMG_12"</definedName>
    <definedName name="IND" localSheetId="15">ModPubIndex!$A$9</definedName>
    <definedName name="Industry" localSheetId="1">ImportantDisclosures!$A$12</definedName>
    <definedName name="IndustryId">IndexInformation!$B$40</definedName>
    <definedName name="IndustryRating" localSheetId="1">ImportantDisclosures!$A$13</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39489.6256597222</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QShowHideColumns" hidden="1">"iQShowAll"</definedName>
    <definedName name="KeepVersions" localSheetId="14">IndexInformation!$B$8</definedName>
    <definedName name="LanguageCode">IndexInformation!$B$38</definedName>
    <definedName name="LastCell" localSheetId="1">ImportantDisclosures!$A$22</definedName>
    <definedName name="LastPrice">summary!$J$17</definedName>
    <definedName name="LastPriceDate">summary!$K$17</definedName>
    <definedName name="LatestFiledQ" localSheetId="8">summary!$J$11</definedName>
    <definedName name="LatestFiledQ" localSheetId="13">summary!$J$11</definedName>
    <definedName name="LatestFiledQ" localSheetId="12">summary!$J$11</definedName>
    <definedName name="LatestFiledQ" localSheetId="4">summary!$J$11</definedName>
    <definedName name="LatestFiledQ" localSheetId="6">summary!$J$11</definedName>
    <definedName name="LatestFiledQ" localSheetId="7">summary!$J$11</definedName>
    <definedName name="LatestFiledQ" localSheetId="5">summary!$J$11</definedName>
    <definedName name="LatestFiledQ">summary!$J$11</definedName>
    <definedName name="LatestRpQ" localSheetId="8">summary!$J$10</definedName>
    <definedName name="LatestRpQ" localSheetId="13">summary!$J$10</definedName>
    <definedName name="LatestRpQ" localSheetId="12">summary!$J$10</definedName>
    <definedName name="LatestRpQ" localSheetId="4">summary!$J$10</definedName>
    <definedName name="LatestRpQ" localSheetId="6">summary!$J$10</definedName>
    <definedName name="LatestRpQ" localSheetId="7">summary!$J$10</definedName>
    <definedName name="LatestRpQ" localSheetId="5">summary!$J$10</definedName>
    <definedName name="LatestRpQ">summary!$J$10</definedName>
    <definedName name="Linking_10">summary!$I$62:$CM$70</definedName>
    <definedName name="Linking_12">'MGMT PROJECTIONS'!$H$10:$P$22</definedName>
    <definedName name="Linking_2">'REV-ANNUAL'!$H$105:$CE$173</definedName>
    <definedName name="Linking_3">'REV-ANNUAL'!$H$178:$CE$237</definedName>
    <definedName name="Linking_4">'REV-ANNUAL'!$H$239:$CE$312</definedName>
    <definedName name="Linking_5">'REV-ANNUAL'!$H$335:$CE$403</definedName>
    <definedName name="Linking_6">'REV-ANNUAL'!$H$408:$CE$467</definedName>
    <definedName name="Linking_7">PIPELINE!$H$5:$CE$74</definedName>
    <definedName name="Linking_8">PIPELINE!$H$9:$CE$74</definedName>
    <definedName name="Linking_9">summary!$H$62:$CM$70</definedName>
    <definedName name="Linking_Range_10">PIPELINE!$H$46:$CE$78</definedName>
    <definedName name="Linking_Range_11">'IS-ANNUAL'!$H$9:$CE$79</definedName>
    <definedName name="Linking_Range_12">'REV-ANNUAL'!$H$9:$CE$82</definedName>
    <definedName name="Linking_Range_13">'REV-ANNUAL'!$H$336:$CE$447</definedName>
    <definedName name="Linking_Range_14">summary!$AX$157:$BX$173</definedName>
    <definedName name="Linking_Range_20">PIPELINE!$A$9:$CE$43</definedName>
    <definedName name="Linking_Range_24">'IS-ANNUAL'!$A$9:$CE$78</definedName>
    <definedName name="Linking_Range_29">'REV-ANNUAL'!$H$105:$CE$238</definedName>
    <definedName name="Linking_Range_3" localSheetId="13">DCF!$H$9:$CE$59</definedName>
    <definedName name="Linking_Range_30">'REV-ANNUAL'!$H$239:$CE$365</definedName>
    <definedName name="Linking_Range_31">'REV-ANNUAL'!$H$335:$CE$467</definedName>
    <definedName name="Linking_Range_37">PIPELINE!$H$9:$CE$43</definedName>
    <definedName name="Linking_Range_38">PIPELINE!$H$46:$CE$91</definedName>
    <definedName name="Linking_Range_39">FOOTNOTES!$A$10:$P$223</definedName>
    <definedName name="Linking_Range_48">'REV-ANNUAL'!$H$105:$CE$204</definedName>
    <definedName name="Linking_Range_49">'REV-ANNUAL'!$H$205:$CE$238</definedName>
    <definedName name="Linking_Range_50">'REV-ANNUAL'!$H$335:$CE$434</definedName>
    <definedName name="Linking_Range_51">'REV-ANNUAL'!$H$435:$CE$468</definedName>
    <definedName name="Linking_Range_58">FOOTNOTES!$H$10:$P$224</definedName>
    <definedName name="Linking_Range_59">PIPELINE!$H$9:$CE$45</definedName>
    <definedName name="Linking_Range_6">CFBS!$H$120:$CE$182</definedName>
    <definedName name="Linking_Range_60">PIPELINE!$H$9:$CE$41</definedName>
    <definedName name="Linking_Range_61">PIPELINE!$H$46:$CE$75</definedName>
    <definedName name="Linking_Range_62">PIPELINE!$H$80:$CE$91</definedName>
    <definedName name="Linking_Range_70">PIPELINE!$H$46:$CE$74</definedName>
    <definedName name="Linking_Range_71">'MGMT PROJECTIONS'!$H$10:$O$22</definedName>
    <definedName name="Linking_Range_72">DCF!$H$9:$CG$59</definedName>
    <definedName name="Linking_Range_77">DCF!$H$9:$CE$58</definedName>
    <definedName name="Linking_Range_9">PIPELINE!$H$9:$CE$40</definedName>
    <definedName name="MacroVersion" localSheetId="14">IndexInformation!$B$1</definedName>
    <definedName name="ModelPrice" localSheetId="1">ImportantDisclosures!$A$14</definedName>
    <definedName name="Multiplier" localSheetId="14">IndexInformation!$B$35</definedName>
    <definedName name="MW_ticker">summary!$J$15</definedName>
    <definedName name="NextYearEPS" localSheetId="14">IndexInformation!$B$13</definedName>
    <definedName name="NextYearTotalRevenue" localSheetId="14">IndexInformation!$B$12</definedName>
    <definedName name="NextYearTotalRevenueActual" localSheetId="14">IndexInformation!$B$33</definedName>
    <definedName name="ObjectType" localSheetId="14">IndexInformation!$B$37</definedName>
    <definedName name="ObjectType">[13]IndexInformation!$B$37</definedName>
    <definedName name="PANA" localSheetId="15">ModPubIndex!$A$11</definedName>
    <definedName name="PathName" localSheetId="14">IndexInformation!$B$25</definedName>
    <definedName name="PriceTarget" localSheetId="2">summary!$J$13</definedName>
    <definedName name="PriceTarget">summary!$J$13</definedName>
    <definedName name="_xlnm.Print_Area" localSheetId="10">AGREEMENTS!$A$1:$S$155</definedName>
    <definedName name="_xlnm.Print_Area" localSheetId="8">CFBS!$H$5:$CH$181</definedName>
    <definedName name="_xlnm.Print_Area" localSheetId="2">'COVER SHEET'!$A$1:$G$20</definedName>
    <definedName name="_xlnm.Print_Area" localSheetId="13">DCF!$H$5:$CH$54</definedName>
    <definedName name="_xlnm.Print_Area" localSheetId="9">FOOTNOTES!$A$1:$P$189</definedName>
    <definedName name="_xlnm.Print_Area" localSheetId="4">'IS-ANNUAL'!$H$5:$CH$77</definedName>
    <definedName name="_xlnm.Print_Area" localSheetId="6">PIPELINE!$H$5:$CH$91</definedName>
    <definedName name="_xlnm.Print_Area" localSheetId="7">PIPELINE_UNADJ!$H$5:$CH$72</definedName>
    <definedName name="_xlnm.Print_Area" localSheetId="5">'REV-ANNUAL'!$H$5:$CH$467</definedName>
    <definedName name="_xlnm.Print_Area">#N/A</definedName>
    <definedName name="_xlnm.Print_Titles" localSheetId="10">AGREEMENTS!$5:$9</definedName>
    <definedName name="_xlnm.Print_Titles" localSheetId="12">DEBT!$5:$9</definedName>
    <definedName name="_xlnm.Print_Titles" localSheetId="9">FOOTNOTES!$5:$6</definedName>
    <definedName name="_xlnm.Print_Titles" localSheetId="4">'IS-ANNUAL'!$5:$9</definedName>
    <definedName name="_xlnm.Print_Titles" localSheetId="7">PIPELINE_UNADJ!$5:$6</definedName>
    <definedName name="PRODUCT" localSheetId="15">ModPubIndex!$A$6</definedName>
    <definedName name="ProjectName" localSheetId="13">{"Client Name or Project Name"}</definedName>
    <definedName name="ProjectName">{"Client Name or Project Name"}</definedName>
    <definedName name="PSYM" localSheetId="15">ModPubIndex!$A$4</definedName>
    <definedName name="PublishDate" localSheetId="14">IndexInformation!$B$2</definedName>
    <definedName name="Rating" localSheetId="2">summary!$J$12</definedName>
    <definedName name="Rating" localSheetId="14">IndexInformation!$B$9</definedName>
    <definedName name="Rating">summary!$J$12</definedName>
    <definedName name="RatingsDefined" localSheetId="1">ImportantDisclosures!$A$21</definedName>
    <definedName name="RatingsDefs" localSheetId="1">ImportantDisclosures!#REF!</definedName>
    <definedName name="RegACDisclosure" localSheetId="1">ImportantDisclosures!#REF!</definedName>
    <definedName name="ResearchTopic" localSheetId="14">IndexInformation!$B$4</definedName>
    <definedName name="RIC" localSheetId="14">IndexInformation!$B$21</definedName>
    <definedName name="SECSettlement" localSheetId="1">ImportantDisclosures!#REF!</definedName>
    <definedName name="SEDOL" localSheetId="14">IndexInformation!$B$22</definedName>
    <definedName name="SourceDefined" localSheetId="1">ImportantDisclosures!$A$19</definedName>
    <definedName name="StockRating" localSheetId="1">ImportantDisclosures!$A$11</definedName>
    <definedName name="SubjectCode" localSheetId="14">IndexInformation!$B$6</definedName>
    <definedName name="SubmitterUserId">IndexInformation!$B$39</definedName>
    <definedName name="SUPPRESSED" localSheetId="15">ModPubIndex!$A$13</definedName>
    <definedName name="TargetPrice" localSheetId="1">ImportantDisclosures!$A$15</definedName>
    <definedName name="TemplateRegion">IndexInformation!$B$36</definedName>
    <definedName name="Ticker" localSheetId="1">ImportantDisclosures!$A$10</definedName>
    <definedName name="TickerRegion">IndexInformation!$B$41</definedName>
    <definedName name="Tickers" localSheetId="14">IndexInformation!$B$19</definedName>
    <definedName name="trc_XLS_DATASHEET_ProtectDate">36879.7503587963</definedName>
    <definedName name="UpdateReason" localSheetId="14">IndexInformation!$B$17</definedName>
    <definedName name="USRegDisclosures" localSheetId="1">ImportantDisclosures!#REF!</definedName>
    <definedName name="v" hidden="1">[10]ｾｸﾞﾒﾝﾄ!$E$164:$I$164</definedName>
    <definedName name="w" hidden="1">[10]単独!$AR$14:$AR$18</definedName>
    <definedName name="wrn.2._.pagers." hidden="1">{"Cover",#N/A,FALSE,"Cover";"Summary",#N/A,FALSE,"Summarpage"}</definedName>
    <definedName name="wrn.allpages." hidden="1">{#N/A,#N/A,TRUE,"Historicals";#N/A,#N/A,TRUE,"Charts";#N/A,#N/A,TRUE,"Forecasts"}</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Industry.xls." hidden="1">{#N/A,#N/A,FALSE,"Earnings";#N/A,#N/A,FALSE,"Overview";#N/A,#N/A,FALSE,"Summary";#N/A,#N/A,FALSE,"Summary II";#N/A,#N/A,FALSE,"R&amp;D";#N/A,#N/A,FALSE,"R&amp;D Forecast";#N/A,#N/A,FALSE,"Tax Adj";#N/A,#N/A,FALSE,"Goodwill";#N/A,#N/A,FALSE,"FX ";#N/A,#N/A,FALSE,"Consolidation";#N/A,#N/A,FALSE,"Provisions"}</definedName>
    <definedName name="wrn.MOBIL." hidden="1">{"quarter",#N/A,FALSE,"MOB"}</definedName>
    <definedName name="wrn.Pulp." hidden="1">{"Pulp Production",#N/A,FALSE,"Pulp";"Pulp Earnings",#N/A,FALSE,"Pulp"}</definedName>
  </definedNames>
  <calcPr calcId="145621"/>
</workbook>
</file>

<file path=xl/calcChain.xml><?xml version="1.0" encoding="utf-8"?>
<calcChain xmlns="http://schemas.openxmlformats.org/spreadsheetml/2006/main">
  <c r="CB94" i="10" l="1"/>
  <c r="CA94" i="10"/>
  <c r="BZ94" i="10"/>
  <c r="BY94" i="10"/>
  <c r="BX94" i="10"/>
  <c r="BT94" i="10"/>
  <c r="BS94" i="10"/>
  <c r="BO94" i="10"/>
  <c r="BN94" i="10"/>
  <c r="BJ94" i="10"/>
  <c r="BI94" i="10"/>
  <c r="BE94" i="10"/>
  <c r="BD94" i="10"/>
  <c r="AZ94" i="10"/>
  <c r="AY94" i="10"/>
  <c r="AU94" i="10"/>
  <c r="AT94" i="10"/>
  <c r="AP94" i="10"/>
  <c r="AO94" i="10"/>
  <c r="AK94" i="10"/>
  <c r="AJ94" i="10"/>
  <c r="AF94" i="10"/>
  <c r="AE94" i="10"/>
  <c r="AA94" i="10"/>
  <c r="Z94" i="10"/>
  <c r="V94" i="10"/>
  <c r="U94" i="10"/>
  <c r="Q94" i="10"/>
  <c r="P94" i="10"/>
  <c r="N94" i="10"/>
  <c r="N93" i="10" s="1"/>
  <c r="M94" i="10"/>
  <c r="M93" i="10" s="1"/>
  <c r="L94" i="10"/>
  <c r="L93" i="10" s="1"/>
  <c r="AN92" i="10"/>
  <c r="AS92" i="10" s="1"/>
  <c r="AX92" i="10" s="1"/>
  <c r="BC92" i="10" s="1"/>
  <c r="BH92" i="10" s="1"/>
  <c r="BM92" i="10" s="1"/>
  <c r="BR92" i="10" s="1"/>
  <c r="BW92" i="10" s="1"/>
  <c r="CB92" i="10" s="1"/>
  <c r="AM92" i="10"/>
  <c r="AR92" i="10" s="1"/>
  <c r="AW92" i="10" s="1"/>
  <c r="BB92" i="10" s="1"/>
  <c r="BG92" i="10" s="1"/>
  <c r="BL92" i="10" s="1"/>
  <c r="BQ92" i="10" s="1"/>
  <c r="BV92" i="10" s="1"/>
  <c r="CA92" i="10" s="1"/>
  <c r="AL92" i="10"/>
  <c r="AQ92" i="10" s="1"/>
  <c r="AV92" i="10" s="1"/>
  <c r="BA92" i="10" s="1"/>
  <c r="BF92" i="10" s="1"/>
  <c r="BK92" i="10" s="1"/>
  <c r="BP92" i="10" s="1"/>
  <c r="BU92" i="10" s="1"/>
  <c r="BZ92" i="10" s="1"/>
  <c r="AK92" i="10"/>
  <c r="AP92" i="10" s="1"/>
  <c r="AU92" i="10" s="1"/>
  <c r="AZ92" i="10" s="1"/>
  <c r="BE92" i="10" s="1"/>
  <c r="BJ92" i="10" s="1"/>
  <c r="BO92" i="10" s="1"/>
  <c r="BT92" i="10" s="1"/>
  <c r="BY92" i="10" s="1"/>
  <c r="AJ92" i="10"/>
  <c r="AO92" i="10" s="1"/>
  <c r="AT92" i="10" s="1"/>
  <c r="AY92" i="10" s="1"/>
  <c r="BD92" i="10" s="1"/>
  <c r="BI92" i="10" s="1"/>
  <c r="BN92" i="10" s="1"/>
  <c r="BS92" i="10" s="1"/>
  <c r="BX92" i="10" s="1"/>
  <c r="CC92" i="10" s="1"/>
  <c r="CD92" i="10" s="1"/>
  <c r="CE92" i="10" s="1"/>
  <c r="CF92" i="10" s="1"/>
  <c r="CG92" i="10" s="1"/>
  <c r="CH92" i="10" s="1"/>
  <c r="AI92" i="10"/>
  <c r="AH92" i="10"/>
  <c r="AG92" i="10"/>
  <c r="AF92" i="10"/>
  <c r="AE92" i="10"/>
  <c r="AD92" i="10"/>
  <c r="AC92" i="10"/>
  <c r="AB92" i="10"/>
  <c r="AA92" i="10"/>
  <c r="Z92" i="10"/>
  <c r="Y92" i="10"/>
  <c r="X92" i="10"/>
  <c r="W92" i="10"/>
  <c r="V92" i="10"/>
  <c r="U92" i="10"/>
  <c r="T92" i="10"/>
  <c r="S92" i="10"/>
  <c r="R92" i="10"/>
  <c r="Q92" i="10"/>
  <c r="P92" i="10"/>
  <c r="O92" i="10"/>
  <c r="N92" i="10"/>
  <c r="M92" i="10"/>
  <c r="L92" i="10"/>
  <c r="CH91" i="10"/>
  <c r="CG91" i="10"/>
  <c r="CF91" i="10"/>
  <c r="CE91" i="10"/>
  <c r="CD91" i="10"/>
  <c r="CC91" i="10"/>
  <c r="CB91" i="10"/>
  <c r="CA91" i="10"/>
  <c r="BZ91" i="10"/>
  <c r="BY91" i="10"/>
  <c r="BX91" i="10"/>
  <c r="BW91" i="10"/>
  <c r="BV91" i="10"/>
  <c r="BU91" i="10"/>
  <c r="BT91" i="10"/>
  <c r="BS91" i="10"/>
  <c r="BR91" i="10"/>
  <c r="BQ91" i="10"/>
  <c r="BP91" i="10"/>
  <c r="BO91" i="10"/>
  <c r="BN91" i="10"/>
  <c r="BM91" i="10"/>
  <c r="BL91" i="10"/>
  <c r="BK91" i="10"/>
  <c r="BJ91" i="10"/>
  <c r="BI91" i="10"/>
  <c r="J88" i="10"/>
  <c r="H88" i="10"/>
  <c r="H87" i="10"/>
  <c r="H86" i="10"/>
  <c r="CC66" i="10"/>
  <c r="BW77" i="10"/>
  <c r="BV77" i="10"/>
  <c r="BU77" i="10"/>
  <c r="BT77" i="10"/>
  <c r="BR77" i="10"/>
  <c r="BQ77" i="10"/>
  <c r="BP77" i="10"/>
  <c r="BO77" i="10"/>
  <c r="BM77" i="10"/>
  <c r="BL77" i="10"/>
  <c r="BK77" i="10"/>
  <c r="BJ77" i="10"/>
  <c r="BH77" i="10"/>
  <c r="BG77" i="10"/>
  <c r="BG51" i="10" s="1"/>
  <c r="BG52" i="10" s="1"/>
  <c r="BF77" i="10"/>
  <c r="BE77" i="10"/>
  <c r="BE51" i="10" s="1"/>
  <c r="BE52" i="10" s="1"/>
  <c r="BC77" i="10"/>
  <c r="BB77" i="10"/>
  <c r="BA77" i="10"/>
  <c r="AZ77" i="10"/>
  <c r="AX77" i="10"/>
  <c r="AX51" i="10" s="1"/>
  <c r="BC51" i="10" s="1"/>
  <c r="AW77" i="10"/>
  <c r="AV77" i="10"/>
  <c r="AU77" i="10"/>
  <c r="AS77" i="10"/>
  <c r="AR77" i="10"/>
  <c r="AQ77" i="10"/>
  <c r="AP77" i="10"/>
  <c r="AN77" i="10"/>
  <c r="AM77" i="10"/>
  <c r="AL77" i="10"/>
  <c r="AK77" i="10"/>
  <c r="AI77" i="10"/>
  <c r="AH77" i="10"/>
  <c r="AG77" i="10"/>
  <c r="AF77" i="10"/>
  <c r="AD77" i="10"/>
  <c r="AC77" i="10"/>
  <c r="AB77" i="10"/>
  <c r="AA77" i="10"/>
  <c r="Y77" i="10"/>
  <c r="X77" i="10"/>
  <c r="W77" i="10"/>
  <c r="V77" i="10"/>
  <c r="T77" i="10"/>
  <c r="S77" i="10"/>
  <c r="R77" i="10"/>
  <c r="Q77" i="10"/>
  <c r="H77" i="10"/>
  <c r="H76" i="10"/>
  <c r="H75" i="10"/>
  <c r="H74" i="10"/>
  <c r="AT66" i="10"/>
  <c r="AO66" i="10"/>
  <c r="H72" i="10"/>
  <c r="H71" i="10"/>
  <c r="H70" i="10"/>
  <c r="H69" i="10"/>
  <c r="H68" i="10"/>
  <c r="H67" i="10"/>
  <c r="BW71" i="10"/>
  <c r="BV71" i="10"/>
  <c r="BU71" i="10"/>
  <c r="BR71" i="10"/>
  <c r="BQ71" i="10"/>
  <c r="BP71" i="10"/>
  <c r="BB71" i="10"/>
  <c r="BA71" i="10"/>
  <c r="AZ71" i="10"/>
  <c r="AW71" i="10"/>
  <c r="AV71" i="10"/>
  <c r="AU71" i="10"/>
  <c r="BW70" i="10"/>
  <c r="BV70" i="10"/>
  <c r="BU70" i="10"/>
  <c r="BR70" i="10"/>
  <c r="BC70" i="10"/>
  <c r="BB70" i="10"/>
  <c r="BA70" i="10"/>
  <c r="AZ70" i="10"/>
  <c r="AX70" i="10"/>
  <c r="AW70" i="10"/>
  <c r="AV70" i="10"/>
  <c r="AU70" i="10"/>
  <c r="CH66" i="10"/>
  <c r="CG66" i="10"/>
  <c r="CF66" i="10"/>
  <c r="CE66" i="10"/>
  <c r="CD66" i="10"/>
  <c r="BW68" i="10"/>
  <c r="BV68" i="10"/>
  <c r="BU68" i="10"/>
  <c r="BT68" i="10"/>
  <c r="BR68" i="10"/>
  <c r="BQ68" i="10"/>
  <c r="BP68" i="10"/>
  <c r="BO68" i="10"/>
  <c r="BC68" i="10"/>
  <c r="BB68" i="10"/>
  <c r="BA68" i="10"/>
  <c r="AZ68" i="10"/>
  <c r="AX68" i="10"/>
  <c r="AW68" i="10"/>
  <c r="AV68" i="10"/>
  <c r="AU68" i="10"/>
  <c r="CB66" i="10"/>
  <c r="CA66" i="10"/>
  <c r="BZ66" i="10"/>
  <c r="BY66" i="10"/>
  <c r="BX66" i="10"/>
  <c r="BW66" i="10"/>
  <c r="BV66" i="10"/>
  <c r="BU66" i="10"/>
  <c r="BT66" i="10"/>
  <c r="BS66" i="10"/>
  <c r="BR66" i="10"/>
  <c r="BQ66" i="10"/>
  <c r="BP66" i="10"/>
  <c r="BO66" i="10"/>
  <c r="BN66" i="10"/>
  <c r="BM66" i="10"/>
  <c r="BL66" i="10"/>
  <c r="BK66" i="10"/>
  <c r="BJ66" i="10"/>
  <c r="BI66" i="10"/>
  <c r="BH66" i="10"/>
  <c r="BG66" i="10"/>
  <c r="BF66" i="10"/>
  <c r="BE66" i="10"/>
  <c r="BD66" i="10"/>
  <c r="BC66" i="10"/>
  <c r="BB66" i="10"/>
  <c r="BA66" i="10"/>
  <c r="AZ66" i="10"/>
  <c r="AY66" i="10"/>
  <c r="AX66" i="10"/>
  <c r="AW66" i="10"/>
  <c r="AV66" i="10"/>
  <c r="AU66" i="10"/>
  <c r="AS71" i="10"/>
  <c r="AR71" i="10"/>
  <c r="AQ71" i="10"/>
  <c r="AP71" i="10"/>
  <c r="AS70" i="10"/>
  <c r="AR70" i="10"/>
  <c r="AQ70" i="10"/>
  <c r="AP70" i="10"/>
  <c r="AS68" i="10"/>
  <c r="AR68" i="10"/>
  <c r="AQ68" i="10"/>
  <c r="AP68" i="10"/>
  <c r="AS66" i="10"/>
  <c r="AR66" i="10"/>
  <c r="AQ66" i="10"/>
  <c r="AP66" i="10"/>
  <c r="AN71" i="10"/>
  <c r="AM71" i="10"/>
  <c r="AL71" i="10"/>
  <c r="AK71" i="10"/>
  <c r="AI71" i="10"/>
  <c r="AH71" i="10"/>
  <c r="AG71" i="10"/>
  <c r="AF71" i="10"/>
  <c r="AD71" i="10"/>
  <c r="AC71" i="10"/>
  <c r="AB71" i="10"/>
  <c r="AA71" i="10"/>
  <c r="Y71" i="10"/>
  <c r="X71" i="10"/>
  <c r="W71" i="10"/>
  <c r="V71" i="10"/>
  <c r="T71" i="10"/>
  <c r="S71" i="10"/>
  <c r="R71" i="10"/>
  <c r="Q71" i="10"/>
  <c r="AN70" i="10"/>
  <c r="AM70" i="10"/>
  <c r="AL70" i="10"/>
  <c r="AK70" i="10"/>
  <c r="AI70" i="10"/>
  <c r="AH70" i="10"/>
  <c r="AG70" i="10"/>
  <c r="AF70" i="10"/>
  <c r="AD70" i="10"/>
  <c r="AC70" i="10"/>
  <c r="AB70" i="10"/>
  <c r="AA70" i="10"/>
  <c r="Y70" i="10"/>
  <c r="X70" i="10"/>
  <c r="W70" i="10"/>
  <c r="V70" i="10"/>
  <c r="T70" i="10"/>
  <c r="S70" i="10"/>
  <c r="R70" i="10"/>
  <c r="Q70" i="10"/>
  <c r="AN68" i="10"/>
  <c r="AM68" i="10"/>
  <c r="AL68" i="10"/>
  <c r="AK68" i="10"/>
  <c r="AI68" i="10"/>
  <c r="AH68" i="10"/>
  <c r="AG68" i="10"/>
  <c r="AF68" i="10"/>
  <c r="AD68" i="10"/>
  <c r="AC68" i="10"/>
  <c r="AB68" i="10"/>
  <c r="AA68" i="10"/>
  <c r="Y68" i="10"/>
  <c r="X68" i="10"/>
  <c r="W68" i="10"/>
  <c r="V68" i="10"/>
  <c r="T68" i="10"/>
  <c r="S68" i="10"/>
  <c r="R68" i="10"/>
  <c r="Q68" i="10"/>
  <c r="AN66" i="10"/>
  <c r="AM66" i="10"/>
  <c r="AL66" i="10"/>
  <c r="AK66" i="10"/>
  <c r="AJ66" i="10"/>
  <c r="AI66" i="10"/>
  <c r="AH66" i="10"/>
  <c r="AG66" i="10"/>
  <c r="AF66" i="10"/>
  <c r="AE66" i="10"/>
  <c r="AD66" i="10"/>
  <c r="AC66" i="10"/>
  <c r="AB66" i="10"/>
  <c r="AA66" i="10"/>
  <c r="Z66" i="10"/>
  <c r="Y66" i="10"/>
  <c r="X66" i="10"/>
  <c r="W66" i="10"/>
  <c r="V66" i="10"/>
  <c r="U66" i="10"/>
  <c r="T66" i="10"/>
  <c r="S66" i="10"/>
  <c r="R66" i="10"/>
  <c r="Q66" i="10"/>
  <c r="P66" i="10"/>
  <c r="O66" i="10"/>
  <c r="N66" i="10"/>
  <c r="M66" i="10"/>
  <c r="L66" i="10"/>
  <c r="H59" i="10"/>
  <c r="H58" i="10"/>
  <c r="CC55" i="10"/>
  <c r="H56" i="10"/>
  <c r="CH55" i="10"/>
  <c r="CG55" i="10"/>
  <c r="CF55" i="10"/>
  <c r="CE55" i="10"/>
  <c r="CD55" i="10"/>
  <c r="CB55" i="10"/>
  <c r="CA55" i="10"/>
  <c r="BZ55" i="10"/>
  <c r="BY55" i="10"/>
  <c r="BX55" i="10"/>
  <c r="BW55" i="10"/>
  <c r="BV55" i="10"/>
  <c r="BU55" i="10"/>
  <c r="BT55" i="10"/>
  <c r="BS55" i="10"/>
  <c r="BR55" i="10"/>
  <c r="BQ55" i="10"/>
  <c r="BP55" i="10"/>
  <c r="BO55" i="10"/>
  <c r="BN55" i="10"/>
  <c r="BM55" i="10"/>
  <c r="BL55" i="10"/>
  <c r="BK55" i="10"/>
  <c r="BJ55" i="10"/>
  <c r="BI55" i="10"/>
  <c r="BH55" i="10"/>
  <c r="BG55" i="10"/>
  <c r="BF55" i="10"/>
  <c r="BE55" i="10"/>
  <c r="BD55" i="10"/>
  <c r="BC55" i="10"/>
  <c r="BB55" i="10"/>
  <c r="BA55" i="10"/>
  <c r="AZ55" i="10"/>
  <c r="AY55" i="10"/>
  <c r="AX55" i="10"/>
  <c r="AW55" i="10"/>
  <c r="AV55" i="10"/>
  <c r="AU55" i="10"/>
  <c r="AT55" i="10"/>
  <c r="AS55" i="10"/>
  <c r="AR55" i="10"/>
  <c r="AQ55" i="10"/>
  <c r="AP55" i="10"/>
  <c r="AO55" i="10"/>
  <c r="AN55" i="10"/>
  <c r="AM55" i="10"/>
  <c r="AL55" i="10"/>
  <c r="AK55" i="10"/>
  <c r="AJ55" i="10"/>
  <c r="AI55" i="10"/>
  <c r="AH55" i="10"/>
  <c r="AG55" i="10"/>
  <c r="AF55" i="10"/>
  <c r="AE55" i="10"/>
  <c r="AD55" i="10"/>
  <c r="AC55" i="10"/>
  <c r="AB55" i="10"/>
  <c r="AA55" i="10"/>
  <c r="Z55" i="10"/>
  <c r="Y55" i="10"/>
  <c r="X55" i="10"/>
  <c r="W55" i="10"/>
  <c r="V55" i="10"/>
  <c r="U55" i="10"/>
  <c r="T55" i="10"/>
  <c r="S55" i="10"/>
  <c r="R55" i="10"/>
  <c r="Q55" i="10"/>
  <c r="P55" i="10"/>
  <c r="O55" i="10"/>
  <c r="N55" i="10"/>
  <c r="M55" i="10"/>
  <c r="L55" i="10"/>
  <c r="BW52" i="10"/>
  <c r="BB52" i="10"/>
  <c r="BA52" i="10"/>
  <c r="AZ52" i="10"/>
  <c r="AW52" i="10"/>
  <c r="AV52" i="10"/>
  <c r="AS52" i="10"/>
  <c r="AR52" i="10"/>
  <c r="AQ52" i="10"/>
  <c r="AP52" i="10"/>
  <c r="AN52" i="10"/>
  <c r="AM52" i="10"/>
  <c r="AL52" i="10"/>
  <c r="AK52" i="10"/>
  <c r="AI52" i="10"/>
  <c r="AH52" i="10"/>
  <c r="AG52" i="10"/>
  <c r="AF52" i="10"/>
  <c r="AD52" i="10"/>
  <c r="AC52" i="10"/>
  <c r="AB52" i="10"/>
  <c r="AA52" i="10"/>
  <c r="Y52" i="10"/>
  <c r="X52" i="10"/>
  <c r="W52" i="10"/>
  <c r="V52" i="10"/>
  <c r="T52" i="10"/>
  <c r="S52" i="10"/>
  <c r="R52" i="10"/>
  <c r="Q52" i="10"/>
  <c r="O52" i="10"/>
  <c r="N52" i="10"/>
  <c r="M52" i="10"/>
  <c r="L52" i="10"/>
  <c r="BF51" i="10"/>
  <c r="BK51" i="10" s="1"/>
  <c r="AT51" i="10"/>
  <c r="AT52" i="10" s="1"/>
  <c r="AT50" i="10"/>
  <c r="AO51" i="10"/>
  <c r="AO52" i="10" s="1"/>
  <c r="AO50" i="10"/>
  <c r="AJ51" i="10"/>
  <c r="AJ52" i="10" s="1"/>
  <c r="AJ50" i="10"/>
  <c r="AE51" i="10"/>
  <c r="AE52" i="10" s="1"/>
  <c r="AE50" i="10"/>
  <c r="Z51" i="10"/>
  <c r="Z52" i="10" s="1"/>
  <c r="Z50" i="10"/>
  <c r="U51" i="10"/>
  <c r="U52" i="10" s="1"/>
  <c r="U50" i="10"/>
  <c r="P51" i="10"/>
  <c r="P52" i="10" s="1"/>
  <c r="P50" i="10"/>
  <c r="BS50" i="10"/>
  <c r="BN50" i="10"/>
  <c r="BI50" i="10"/>
  <c r="BD50" i="10"/>
  <c r="AY50" i="10"/>
  <c r="CB51" i="10"/>
  <c r="CB52" i="10" s="1"/>
  <c r="CB50" i="10"/>
  <c r="CA50" i="10"/>
  <c r="BZ50" i="10"/>
  <c r="BY50" i="10"/>
  <c r="BY77" i="10" s="1"/>
  <c r="BX50" i="10"/>
  <c r="BX77" i="10" s="1"/>
  <c r="BS45" i="10"/>
  <c r="BN45" i="10"/>
  <c r="BH45" i="10"/>
  <c r="BG45" i="10"/>
  <c r="BF45" i="10"/>
  <c r="BE45" i="10"/>
  <c r="BD45" i="10"/>
  <c r="AY45" i="10"/>
  <c r="AT45" i="10"/>
  <c r="AO45" i="10"/>
  <c r="AJ45" i="10"/>
  <c r="AE45" i="10"/>
  <c r="AE43" i="10"/>
  <c r="AE42" i="10"/>
  <c r="AE41" i="10"/>
  <c r="AE40" i="10"/>
  <c r="AE39" i="10"/>
  <c r="AE38" i="10"/>
  <c r="AE36" i="10"/>
  <c r="AE35" i="10"/>
  <c r="Z45" i="10"/>
  <c r="Z43" i="10"/>
  <c r="Z42" i="10"/>
  <c r="Z41" i="10"/>
  <c r="Z40" i="10"/>
  <c r="Z39" i="10"/>
  <c r="Z38" i="10"/>
  <c r="Z36" i="10"/>
  <c r="Z35" i="10"/>
  <c r="U45" i="10"/>
  <c r="U43" i="10"/>
  <c r="U42" i="10"/>
  <c r="U41" i="10"/>
  <c r="U40" i="10"/>
  <c r="U39" i="10"/>
  <c r="U38" i="10"/>
  <c r="U36" i="10"/>
  <c r="U35" i="10"/>
  <c r="P45" i="10"/>
  <c r="BY45" i="10"/>
  <c r="BX45" i="10"/>
  <c r="AO42" i="10"/>
  <c r="AO41" i="10"/>
  <c r="AO40" i="10"/>
  <c r="AO39" i="10"/>
  <c r="AO38" i="10"/>
  <c r="AO36" i="10"/>
  <c r="AO35" i="10"/>
  <c r="AJ42" i="10"/>
  <c r="AJ41" i="10"/>
  <c r="AJ40" i="10"/>
  <c r="AJ39" i="10"/>
  <c r="AJ38" i="10"/>
  <c r="AJ36" i="10"/>
  <c r="AJ88" i="10" s="1"/>
  <c r="AJ35" i="10"/>
  <c r="P42" i="10"/>
  <c r="P41" i="10"/>
  <c r="P40" i="10"/>
  <c r="P39" i="10"/>
  <c r="P38" i="10"/>
  <c r="P36" i="10"/>
  <c r="P35" i="10"/>
  <c r="BW41" i="10"/>
  <c r="CB41" i="10" s="1"/>
  <c r="BV41" i="10"/>
  <c r="CA41" i="10" s="1"/>
  <c r="BU41" i="10"/>
  <c r="BZ41" i="10" s="1"/>
  <c r="BT41" i="10"/>
  <c r="BY41" i="10" s="1"/>
  <c r="BH41" i="10"/>
  <c r="BG41" i="10"/>
  <c r="BF41" i="10"/>
  <c r="AY41" i="10"/>
  <c r="BD41" i="10" s="1"/>
  <c r="BI41" i="10" s="1"/>
  <c r="BN41" i="10" s="1"/>
  <c r="BS41" i="10" s="1"/>
  <c r="BX41" i="10" s="1"/>
  <c r="CC41" i="10" s="1"/>
  <c r="CD41" i="10" s="1"/>
  <c r="CE41" i="10" s="1"/>
  <c r="CF41" i="10" s="1"/>
  <c r="CG41" i="10" s="1"/>
  <c r="CH41" i="10" s="1"/>
  <c r="AY40" i="10"/>
  <c r="AY39" i="10"/>
  <c r="AY38" i="10"/>
  <c r="AY37" i="10"/>
  <c r="AY36" i="10"/>
  <c r="AY35" i="10"/>
  <c r="AY32" i="10"/>
  <c r="AY30" i="10"/>
  <c r="AT41" i="10"/>
  <c r="AT40" i="10"/>
  <c r="AT39" i="10"/>
  <c r="AT38" i="10"/>
  <c r="AT36" i="10"/>
  <c r="AT35" i="10"/>
  <c r="CC37" i="10"/>
  <c r="CC32" i="10"/>
  <c r="BX37" i="10"/>
  <c r="BX36" i="10"/>
  <c r="BX35" i="10"/>
  <c r="BX32" i="10"/>
  <c r="BS37" i="10"/>
  <c r="BS36" i="10"/>
  <c r="BS35" i="10"/>
  <c r="BS32" i="10"/>
  <c r="BN37" i="10"/>
  <c r="BN36" i="10"/>
  <c r="BN35" i="10"/>
  <c r="BN32" i="10"/>
  <c r="BI36" i="10"/>
  <c r="BI35" i="10"/>
  <c r="BI32" i="10"/>
  <c r="BG37" i="10"/>
  <c r="BI37" i="10" s="1"/>
  <c r="BD37" i="10"/>
  <c r="BD36" i="10"/>
  <c r="BD35" i="10"/>
  <c r="BD32" i="10"/>
  <c r="BD30" i="10"/>
  <c r="BD28" i="10"/>
  <c r="AS37" i="10"/>
  <c r="AR37" i="10"/>
  <c r="AR34" i="10" s="1"/>
  <c r="AQ37" i="10"/>
  <c r="AQ34" i="10" s="1"/>
  <c r="AN37" i="10"/>
  <c r="AN34" i="10" s="1"/>
  <c r="AM37" i="10"/>
  <c r="AM34" i="10" s="1"/>
  <c r="AL37" i="10"/>
  <c r="AL34" i="10" s="1"/>
  <c r="AK37" i="10"/>
  <c r="AK34" i="10" s="1"/>
  <c r="AI37" i="10"/>
  <c r="AI34" i="10" s="1"/>
  <c r="AH37" i="10"/>
  <c r="AH34" i="10" s="1"/>
  <c r="AG37" i="10"/>
  <c r="AG34" i="10" s="1"/>
  <c r="AF37" i="10"/>
  <c r="AF34" i="10" s="1"/>
  <c r="AD37" i="10"/>
  <c r="AD34" i="10" s="1"/>
  <c r="AC37" i="10"/>
  <c r="AC34" i="10" s="1"/>
  <c r="AB37" i="10"/>
  <c r="AB34" i="10" s="1"/>
  <c r="AA37" i="10"/>
  <c r="AA34" i="10" s="1"/>
  <c r="Y37" i="10"/>
  <c r="Y34" i="10" s="1"/>
  <c r="X37" i="10"/>
  <c r="X34" i="10" s="1"/>
  <c r="W37" i="10"/>
  <c r="W34" i="10" s="1"/>
  <c r="V37" i="10"/>
  <c r="V34" i="10" s="1"/>
  <c r="T37" i="10"/>
  <c r="T34" i="10" s="1"/>
  <c r="S37" i="10"/>
  <c r="S34" i="10" s="1"/>
  <c r="R37" i="10"/>
  <c r="R34" i="10" s="1"/>
  <c r="Q37" i="10"/>
  <c r="Q34" i="10" s="1"/>
  <c r="O37" i="10"/>
  <c r="O34" i="10" s="1"/>
  <c r="N37" i="10"/>
  <c r="N34" i="10" s="1"/>
  <c r="M37" i="10"/>
  <c r="M34" i="10" s="1"/>
  <c r="L37" i="10"/>
  <c r="L34" i="10" s="1"/>
  <c r="CD32" i="10"/>
  <c r="CE32" i="10" s="1"/>
  <c r="CF32" i="10" s="1"/>
  <c r="CG32" i="10" s="1"/>
  <c r="CH32" i="10" s="1"/>
  <c r="AS34" i="10"/>
  <c r="AP34" i="10"/>
  <c r="CB36" i="10"/>
  <c r="CA36" i="10"/>
  <c r="BZ36" i="10"/>
  <c r="BY36" i="10"/>
  <c r="BY35" i="10"/>
  <c r="BW34" i="10"/>
  <c r="BV34" i="10"/>
  <c r="BU34" i="10"/>
  <c r="BT34" i="10"/>
  <c r="BR34" i="10"/>
  <c r="BQ34" i="10"/>
  <c r="BP34" i="10"/>
  <c r="BO34" i="10"/>
  <c r="BM34" i="10"/>
  <c r="BL34" i="10"/>
  <c r="BK34" i="10"/>
  <c r="BJ34" i="10"/>
  <c r="BH34" i="10"/>
  <c r="BF34" i="10"/>
  <c r="BE34" i="10"/>
  <c r="BC34" i="10"/>
  <c r="BB34" i="10"/>
  <c r="BA34" i="10"/>
  <c r="AZ34" i="10"/>
  <c r="AX34" i="10"/>
  <c r="AW34" i="10"/>
  <c r="AV34" i="10"/>
  <c r="AU34" i="10"/>
  <c r="AF32" i="10"/>
  <c r="AA32" i="10"/>
  <c r="V32" i="10"/>
  <c r="Q32" i="10"/>
  <c r="L32" i="10"/>
  <c r="M32" i="10" s="1"/>
  <c r="CB28" i="10"/>
  <c r="CA28" i="10"/>
  <c r="BZ28" i="10"/>
  <c r="BY28" i="10"/>
  <c r="BX28" i="10"/>
  <c r="BO28" i="10"/>
  <c r="BS28" i="10" s="1"/>
  <c r="BN28" i="10"/>
  <c r="BH28" i="10"/>
  <c r="BG28" i="10"/>
  <c r="BF28" i="10"/>
  <c r="BE28" i="10"/>
  <c r="AX28" i="10"/>
  <c r="AT28" i="10"/>
  <c r="AO28" i="10"/>
  <c r="AJ28" i="10"/>
  <c r="AE28" i="10"/>
  <c r="Z28" i="10"/>
  <c r="Z27" i="10"/>
  <c r="Z26" i="10"/>
  <c r="Z24" i="10"/>
  <c r="U28" i="10"/>
  <c r="U27" i="10"/>
  <c r="U26" i="10"/>
  <c r="U24" i="10"/>
  <c r="P28" i="10"/>
  <c r="CC27" i="10"/>
  <c r="BX27" i="10"/>
  <c r="BX24" i="10"/>
  <c r="BT26" i="10"/>
  <c r="BO26" i="10"/>
  <c r="BS26" i="10" s="1"/>
  <c r="BL26" i="10"/>
  <c r="BK26" i="10"/>
  <c r="BH26" i="10"/>
  <c r="BG26" i="10"/>
  <c r="BF26" i="10"/>
  <c r="BE26" i="10"/>
  <c r="BD26" i="10"/>
  <c r="AY26" i="10"/>
  <c r="AY24" i="10"/>
  <c r="AT26" i="10"/>
  <c r="AT24" i="10"/>
  <c r="AO26" i="10"/>
  <c r="AO24" i="10"/>
  <c r="AJ26" i="10"/>
  <c r="AJ24" i="10"/>
  <c r="AE26" i="10"/>
  <c r="AE24" i="10"/>
  <c r="P26" i="10"/>
  <c r="P24" i="10"/>
  <c r="P25" i="10" s="1"/>
  <c r="O25" i="10"/>
  <c r="O29" i="10" s="1"/>
  <c r="N25" i="10"/>
  <c r="N29" i="10" s="1"/>
  <c r="M25" i="10"/>
  <c r="M29" i="10" s="1"/>
  <c r="L25" i="10"/>
  <c r="L29" i="10" s="1"/>
  <c r="CB26" i="10"/>
  <c r="CA26" i="10"/>
  <c r="BZ26" i="10"/>
  <c r="BY26" i="10"/>
  <c r="BY24" i="10"/>
  <c r="BS24" i="10"/>
  <c r="BN24" i="10"/>
  <c r="BH24" i="10"/>
  <c r="BG24" i="10"/>
  <c r="BF24" i="10"/>
  <c r="BE24" i="10"/>
  <c r="BD24" i="10"/>
  <c r="BG34" i="10" l="1"/>
  <c r="BY34" i="10"/>
  <c r="Z37" i="10"/>
  <c r="BS34" i="10"/>
  <c r="BI34" i="10"/>
  <c r="BX34" i="10"/>
  <c r="Z34" i="10"/>
  <c r="CC36" i="10"/>
  <c r="CD36" i="10" s="1"/>
  <c r="CE36" i="10" s="1"/>
  <c r="BN34" i="10"/>
  <c r="P37" i="10"/>
  <c r="P34" i="10" s="1"/>
  <c r="AO37" i="10"/>
  <c r="AO34" i="10" s="1"/>
  <c r="U37" i="10"/>
  <c r="U34" i="10" s="1"/>
  <c r="U77" i="10"/>
  <c r="AE77" i="10"/>
  <c r="AO77" i="10"/>
  <c r="L33" i="10"/>
  <c r="L62" i="10" s="1"/>
  <c r="R32" i="10"/>
  <c r="S32" i="10" s="1"/>
  <c r="T32" i="10" s="1"/>
  <c r="W32" i="10"/>
  <c r="X32" i="10" s="1"/>
  <c r="Y32" i="10" s="1"/>
  <c r="AB32" i="10"/>
  <c r="AC32" i="10" s="1"/>
  <c r="AD32" i="10" s="1"/>
  <c r="AG32" i="10"/>
  <c r="AH32" i="10" s="1"/>
  <c r="AI32" i="10" s="1"/>
  <c r="AT37" i="10"/>
  <c r="AT34" i="10" s="1"/>
  <c r="BD34" i="10"/>
  <c r="AJ37" i="10"/>
  <c r="AJ34" i="10" s="1"/>
  <c r="AE37" i="10"/>
  <c r="AE34" i="10" s="1"/>
  <c r="AY77" i="10"/>
  <c r="AY51" i="10"/>
  <c r="AY52" i="10" s="1"/>
  <c r="BJ51" i="10"/>
  <c r="BO51" i="10" s="1"/>
  <c r="BT51" i="10" s="1"/>
  <c r="M33" i="10"/>
  <c r="M62" i="10" s="1"/>
  <c r="N32" i="10"/>
  <c r="O32" i="10" s="1"/>
  <c r="O33" i="10" s="1"/>
  <c r="O62" i="10" s="1"/>
  <c r="AY34" i="10"/>
  <c r="BL51" i="10"/>
  <c r="BQ51" i="10" s="1"/>
  <c r="BQ52" i="10" s="1"/>
  <c r="BL68" i="10"/>
  <c r="BG68" i="10"/>
  <c r="BS68" i="10"/>
  <c r="BD68" i="10"/>
  <c r="BF68" i="10"/>
  <c r="BK68" i="10"/>
  <c r="BH68" i="10"/>
  <c r="BM68" i="10"/>
  <c r="BY68" i="10"/>
  <c r="BY70" i="10"/>
  <c r="CC26" i="10"/>
  <c r="N33" i="10"/>
  <c r="N62" i="10" s="1"/>
  <c r="P29" i="10"/>
  <c r="AJ70" i="10"/>
  <c r="BK52" i="10"/>
  <c r="BP51" i="10"/>
  <c r="BJ68" i="10"/>
  <c r="BE68" i="10"/>
  <c r="BI24" i="10"/>
  <c r="AJ68" i="10"/>
  <c r="BC52" i="10"/>
  <c r="BD52" i="10" s="1"/>
  <c r="BH51" i="10"/>
  <c r="BD51" i="10"/>
  <c r="AT68" i="10"/>
  <c r="AT70" i="10"/>
  <c r="BD70" i="10"/>
  <c r="BF70" i="10"/>
  <c r="BH70" i="10"/>
  <c r="BM70" i="10"/>
  <c r="BP70" i="10"/>
  <c r="BK70" i="10"/>
  <c r="BN26" i="10"/>
  <c r="BS70" i="10" s="1"/>
  <c r="U68" i="10"/>
  <c r="U70" i="10"/>
  <c r="U71" i="10"/>
  <c r="AE71" i="10"/>
  <c r="AO71" i="10"/>
  <c r="BC71" i="10"/>
  <c r="AX71" i="10"/>
  <c r="BK71" i="10"/>
  <c r="BF71" i="10"/>
  <c r="BM71" i="10"/>
  <c r="BH71" i="10"/>
  <c r="BS71" i="10"/>
  <c r="BY71" i="10"/>
  <c r="CC28" i="10"/>
  <c r="AX52" i="10"/>
  <c r="BF52" i="10"/>
  <c r="AE68" i="10"/>
  <c r="AE70" i="10"/>
  <c r="AO68" i="10"/>
  <c r="AO70" i="10"/>
  <c r="AY68" i="10"/>
  <c r="AY70" i="10"/>
  <c r="BJ70" i="10"/>
  <c r="BE70" i="10"/>
  <c r="BG70" i="10"/>
  <c r="BI26" i="10"/>
  <c r="BL70" i="10"/>
  <c r="BQ70" i="10"/>
  <c r="BO70" i="10"/>
  <c r="BT70" i="10"/>
  <c r="BX68" i="10"/>
  <c r="BX26" i="10"/>
  <c r="Z68" i="10"/>
  <c r="Z70" i="10"/>
  <c r="Z71" i="10"/>
  <c r="AJ71" i="10"/>
  <c r="AT71" i="10"/>
  <c r="BE71" i="10"/>
  <c r="BJ71" i="10"/>
  <c r="BG71" i="10"/>
  <c r="BL71" i="10"/>
  <c r="BI28" i="10"/>
  <c r="BO71" i="10"/>
  <c r="BT71" i="10"/>
  <c r="BX71" i="10"/>
  <c r="AY28" i="10"/>
  <c r="BI45" i="10"/>
  <c r="CC50" i="10"/>
  <c r="BD77" i="10"/>
  <c r="BI77" i="10"/>
  <c r="BN77" i="10"/>
  <c r="BS77" i="10"/>
  <c r="Z77" i="10"/>
  <c r="AJ77" i="10"/>
  <c r="AT77" i="10"/>
  <c r="BI51" i="10"/>
  <c r="BJ52" i="10" l="1"/>
  <c r="BV51" i="10"/>
  <c r="BV52" i="10" s="1"/>
  <c r="BO52" i="10"/>
  <c r="BL52" i="10"/>
  <c r="BN51" i="10"/>
  <c r="CC77" i="10"/>
  <c r="CD50" i="10"/>
  <c r="CE50" i="10" s="1"/>
  <c r="CF50" i="10" s="1"/>
  <c r="CG50" i="10" s="1"/>
  <c r="CH50" i="10" s="1"/>
  <c r="BX70" i="10"/>
  <c r="BI70" i="10"/>
  <c r="CC71" i="10"/>
  <c r="CD28" i="10"/>
  <c r="CA51" i="10"/>
  <c r="CA52" i="10" s="1"/>
  <c r="BI68" i="10"/>
  <c r="BY51" i="10"/>
  <c r="BY52" i="10" s="1"/>
  <c r="BT52" i="10"/>
  <c r="BU51" i="10"/>
  <c r="BP52" i="10"/>
  <c r="P44" i="10"/>
  <c r="P33" i="10"/>
  <c r="P62" i="10" s="1"/>
  <c r="BN68" i="10"/>
  <c r="AY71" i="10"/>
  <c r="BD71" i="10"/>
  <c r="BI71" i="10"/>
  <c r="BN71" i="10"/>
  <c r="BN70" i="10"/>
  <c r="BM51" i="10"/>
  <c r="BH52" i="10"/>
  <c r="BI52" i="10" s="1"/>
  <c r="CF36" i="10"/>
  <c r="CC70" i="10"/>
  <c r="CD26" i="10"/>
  <c r="CE26" i="10" l="1"/>
  <c r="CG36" i="10"/>
  <c r="BM52" i="10"/>
  <c r="BR51" i="10"/>
  <c r="BR52" i="10" s="1"/>
  <c r="BU52" i="10"/>
  <c r="BZ51" i="10"/>
  <c r="BZ52" i="10" s="1"/>
  <c r="P47" i="10"/>
  <c r="P46" i="10"/>
  <c r="CE28" i="10"/>
  <c r="BS51" i="10"/>
  <c r="BN52" i="10"/>
  <c r="CF28" i="10" l="1"/>
  <c r="CF26" i="10"/>
  <c r="BS52" i="10"/>
  <c r="BX51" i="10"/>
  <c r="P93" i="10"/>
  <c r="P49" i="10"/>
  <c r="CH36" i="10"/>
  <c r="CC51" i="10" l="1"/>
  <c r="BX52" i="10"/>
  <c r="CG26" i="10"/>
  <c r="CG28" i="10"/>
  <c r="Y22" i="10"/>
  <c r="X22" i="10"/>
  <c r="W22" i="10"/>
  <c r="V22" i="10"/>
  <c r="T22" i="10"/>
  <c r="S22" i="10"/>
  <c r="R22" i="10"/>
  <c r="Q22" i="10"/>
  <c r="H20" i="10"/>
  <c r="H19" i="10"/>
  <c r="H18" i="10"/>
  <c r="H17" i="10"/>
  <c r="H16" i="10"/>
  <c r="H15" i="10"/>
  <c r="H14" i="10"/>
  <c r="H13" i="10"/>
  <c r="BX22" i="10"/>
  <c r="BW22" i="10"/>
  <c r="BV22" i="10"/>
  <c r="BU22" i="10"/>
  <c r="BT22" i="10"/>
  <c r="BS22" i="10"/>
  <c r="BR22" i="10"/>
  <c r="BQ22" i="10"/>
  <c r="BP22" i="10"/>
  <c r="BO22" i="10"/>
  <c r="BN22" i="10"/>
  <c r="BM22" i="10"/>
  <c r="BL22" i="10"/>
  <c r="BK22" i="10"/>
  <c r="BJ22" i="10"/>
  <c r="BI22" i="10"/>
  <c r="BH22" i="10"/>
  <c r="BG22" i="10"/>
  <c r="BF22" i="10"/>
  <c r="BE22" i="10"/>
  <c r="BD22" i="10"/>
  <c r="BC22" i="10"/>
  <c r="BB22" i="10"/>
  <c r="BA22" i="10"/>
  <c r="AZ22" i="10"/>
  <c r="AY22" i="10"/>
  <c r="AX22" i="10"/>
  <c r="AW22" i="10"/>
  <c r="AV22" i="10"/>
  <c r="AU22" i="10"/>
  <c r="AT22" i="10"/>
  <c r="AS22" i="10"/>
  <c r="AR22" i="10"/>
  <c r="AQ22" i="10"/>
  <c r="AP22" i="10"/>
  <c r="AO22" i="10"/>
  <c r="AN22" i="10"/>
  <c r="AM22" i="10"/>
  <c r="AL22" i="10"/>
  <c r="AK22" i="10"/>
  <c r="AJ22" i="10"/>
  <c r="AI22" i="10"/>
  <c r="AH22" i="10"/>
  <c r="AG22" i="10"/>
  <c r="AF22" i="10"/>
  <c r="U20" i="10"/>
  <c r="T20" i="10"/>
  <c r="S20" i="10"/>
  <c r="R20" i="10"/>
  <c r="Q20" i="10"/>
  <c r="P20" i="10"/>
  <c r="O20" i="10"/>
  <c r="N20" i="10"/>
  <c r="M20" i="10"/>
  <c r="L20" i="10"/>
  <c r="P19" i="10"/>
  <c r="O19" i="10"/>
  <c r="N19" i="10"/>
  <c r="M19" i="10"/>
  <c r="L19" i="10"/>
  <c r="P18" i="10"/>
  <c r="O18" i="10"/>
  <c r="N18" i="10"/>
  <c r="M18" i="10"/>
  <c r="L18" i="10"/>
  <c r="P17" i="10"/>
  <c r="O17" i="10"/>
  <c r="N17" i="10"/>
  <c r="M17" i="10"/>
  <c r="L17" i="10"/>
  <c r="P16" i="10"/>
  <c r="O16" i="10"/>
  <c r="N16" i="10"/>
  <c r="M16" i="10"/>
  <c r="L16" i="10"/>
  <c r="AO15" i="10"/>
  <c r="AY14" i="10"/>
  <c r="AY13" i="10"/>
  <c r="AY12" i="10"/>
  <c r="AT14" i="10"/>
  <c r="AT13" i="10"/>
  <c r="AT12" i="10"/>
  <c r="AO14" i="10"/>
  <c r="AO13" i="10"/>
  <c r="AO12" i="10"/>
  <c r="BF14" i="10"/>
  <c r="BE14" i="10"/>
  <c r="BD14" i="10"/>
  <c r="BD13" i="10"/>
  <c r="BM12" i="10"/>
  <c r="BL12" i="10"/>
  <c r="BK12" i="10"/>
  <c r="BJ12" i="10"/>
  <c r="BH12" i="10"/>
  <c r="BG12" i="10"/>
  <c r="BF12" i="10"/>
  <c r="BE12" i="10"/>
  <c r="BC12" i="10"/>
  <c r="BB12" i="10"/>
  <c r="BA12" i="10"/>
  <c r="AZ12" i="10"/>
  <c r="AX12" i="10"/>
  <c r="AW12" i="10"/>
  <c r="AV12" i="10"/>
  <c r="AU12" i="10"/>
  <c r="AS12" i="10"/>
  <c r="AR12" i="10"/>
  <c r="AQ12" i="10"/>
  <c r="AP12" i="10"/>
  <c r="AN12" i="10"/>
  <c r="AM12" i="10"/>
  <c r="AL12" i="10"/>
  <c r="AK12" i="10"/>
  <c r="AI12" i="10"/>
  <c r="AH12" i="10"/>
  <c r="AG12" i="10"/>
  <c r="AF12" i="10"/>
  <c r="AD12" i="10"/>
  <c r="AC12" i="10"/>
  <c r="AB12" i="10"/>
  <c r="AA12" i="10"/>
  <c r="Z12" i="10"/>
  <c r="Y12" i="10"/>
  <c r="X12" i="10"/>
  <c r="W12" i="10"/>
  <c r="V12" i="10"/>
  <c r="U12" i="10"/>
  <c r="T12" i="10"/>
  <c r="S12" i="10"/>
  <c r="R12" i="10"/>
  <c r="Q12" i="10"/>
  <c r="AE12" i="10" l="1"/>
  <c r="AJ12" i="10"/>
  <c r="CH28" i="10"/>
  <c r="CH26" i="10"/>
  <c r="CC52" i="10"/>
  <c r="CD51" i="10"/>
  <c r="CH9" i="10"/>
  <c r="CG9" i="10"/>
  <c r="CF9" i="10"/>
  <c r="CE9" i="10"/>
  <c r="CD9" i="10"/>
  <c r="CC9" i="10"/>
  <c r="CB9" i="10"/>
  <c r="CA9" i="10"/>
  <c r="CA3" i="10" s="1"/>
  <c r="BZ9" i="10"/>
  <c r="BY9" i="10"/>
  <c r="BX9" i="10"/>
  <c r="BW9" i="10"/>
  <c r="BV9" i="10"/>
  <c r="BV3" i="10" s="1"/>
  <c r="BU9" i="10"/>
  <c r="BT9" i="10"/>
  <c r="BT3" i="10" s="1"/>
  <c r="BS9" i="10"/>
  <c r="BR3" i="10" s="1"/>
  <c r="BR9" i="10"/>
  <c r="BQ9" i="10"/>
  <c r="BQ3" i="10" s="1"/>
  <c r="BP9" i="10"/>
  <c r="BO9" i="10"/>
  <c r="BO3" i="10" s="1"/>
  <c r="BN9" i="10"/>
  <c r="BM9" i="10"/>
  <c r="BL9" i="10"/>
  <c r="BL3" i="10" s="1"/>
  <c r="BK9" i="10"/>
  <c r="BJ9" i="10"/>
  <c r="BJ3" i="10" s="1"/>
  <c r="BI9" i="10"/>
  <c r="BH9" i="10"/>
  <c r="BG9" i="10"/>
  <c r="BG3" i="10" s="1"/>
  <c r="BF9" i="10"/>
  <c r="BE9" i="10"/>
  <c r="BD9" i="10"/>
  <c r="BC9" i="10"/>
  <c r="BB9" i="10"/>
  <c r="BB3" i="10" s="1"/>
  <c r="BA9" i="10"/>
  <c r="AZ9" i="10"/>
  <c r="AZ3" i="10" s="1"/>
  <c r="AY9" i="10"/>
  <c r="AX9" i="10"/>
  <c r="AW9" i="10"/>
  <c r="AW3" i="10" s="1"/>
  <c r="AV9" i="10"/>
  <c r="AU9" i="10"/>
  <c r="AU3" i="10" s="1"/>
  <c r="AT9" i="10"/>
  <c r="AS9" i="10"/>
  <c r="AR9" i="10"/>
  <c r="AQ9" i="10"/>
  <c r="AP9" i="10"/>
  <c r="AO9" i="10"/>
  <c r="AN9" i="10"/>
  <c r="AM9" i="10"/>
  <c r="AL9" i="10"/>
  <c r="AK9" i="10"/>
  <c r="AJ9" i="10"/>
  <c r="AI9" i="10"/>
  <c r="AH9" i="10"/>
  <c r="AG9" i="10"/>
  <c r="AF9" i="10"/>
  <c r="AE9" i="10"/>
  <c r="AD9" i="10"/>
  <c r="AC9" i="10"/>
  <c r="AB9" i="10"/>
  <c r="AA9" i="10"/>
  <c r="Z9" i="10"/>
  <c r="Y9" i="10"/>
  <c r="X9" i="10"/>
  <c r="W9" i="10"/>
  <c r="V9" i="10"/>
  <c r="U9" i="10"/>
  <c r="T9" i="10"/>
  <c r="S9" i="10"/>
  <c r="R9" i="10"/>
  <c r="Q9" i="10"/>
  <c r="P9" i="10"/>
  <c r="O9" i="10"/>
  <c r="N9" i="10"/>
  <c r="M9" i="10"/>
  <c r="L9" i="10"/>
  <c r="J6" i="10"/>
  <c r="J5" i="10"/>
  <c r="H5" i="10"/>
  <c r="BY3" i="10"/>
  <c r="BM3" i="10"/>
  <c r="BE3" i="10"/>
  <c r="AX173" i="4"/>
  <c r="BX170" i="4"/>
  <c r="BP3" i="10" l="1"/>
  <c r="BC3" i="10"/>
  <c r="BH3" i="10"/>
  <c r="BW3" i="10"/>
  <c r="CB3" i="10"/>
  <c r="BF3" i="10"/>
  <c r="BZ3" i="10"/>
  <c r="AV3" i="10"/>
  <c r="AS3" i="10"/>
  <c r="AX3" i="10"/>
  <c r="BA3" i="10"/>
  <c r="BK3" i="10"/>
  <c r="BU3" i="10"/>
  <c r="CD52" i="10"/>
  <c r="CE51" i="10"/>
  <c r="BX171" i="4"/>
  <c r="BS170" i="4"/>
  <c r="AY170" i="4"/>
  <c r="BN170" i="4"/>
  <c r="BI170" i="4"/>
  <c r="BD170" i="4"/>
  <c r="CE52" i="10" l="1"/>
  <c r="CF51" i="10"/>
  <c r="BX166" i="4"/>
  <c r="BS166" i="4"/>
  <c r="BN166" i="4"/>
  <c r="BI166" i="4"/>
  <c r="BD166" i="4"/>
  <c r="AY166" i="4"/>
  <c r="BX163" i="4"/>
  <c r="BS163" i="4"/>
  <c r="BN163" i="4"/>
  <c r="BI163" i="4"/>
  <c r="BD163" i="4"/>
  <c r="AY163" i="4"/>
  <c r="BX160" i="4"/>
  <c r="CF52" i="10" l="1"/>
  <c r="CG51" i="10"/>
  <c r="BX161" i="4"/>
  <c r="BN160" i="4"/>
  <c r="BD160" i="4"/>
  <c r="AY160" i="4"/>
  <c r="BS160" i="4"/>
  <c r="BI160" i="4"/>
  <c r="CG52" i="10" l="1"/>
  <c r="CH51" i="10"/>
  <c r="CH52" i="10" s="1"/>
  <c r="CM119" i="4"/>
  <c r="CM116" i="4"/>
  <c r="CH119" i="4"/>
  <c r="CH116" i="4"/>
  <c r="P119" i="4"/>
  <c r="O119" i="4"/>
  <c r="N119" i="4"/>
  <c r="M119" i="4"/>
  <c r="L119" i="4"/>
  <c r="P118" i="4"/>
  <c r="O118" i="4"/>
  <c r="N118" i="4"/>
  <c r="M118" i="4"/>
  <c r="L118" i="4"/>
  <c r="P117" i="4"/>
  <c r="O117" i="4"/>
  <c r="N117" i="4"/>
  <c r="M117" i="4"/>
  <c r="L117" i="4"/>
  <c r="P116" i="4"/>
  <c r="O116" i="4"/>
  <c r="N116" i="4"/>
  <c r="M116" i="4"/>
  <c r="L116" i="4"/>
  <c r="CM112" i="4"/>
  <c r="CH112" i="4"/>
  <c r="CC112" i="4"/>
  <c r="AI112" i="4"/>
  <c r="AH112" i="4"/>
  <c r="AG112" i="4"/>
  <c r="AF112" i="4"/>
  <c r="AD112" i="4"/>
  <c r="AC112" i="4"/>
  <c r="AB112" i="4"/>
  <c r="AA112" i="4"/>
  <c r="Y112" i="4"/>
  <c r="X112" i="4"/>
  <c r="W112" i="4"/>
  <c r="V112" i="4"/>
  <c r="T112" i="4"/>
  <c r="S112" i="4"/>
  <c r="R112" i="4"/>
  <c r="Q112" i="4"/>
  <c r="P112" i="4"/>
  <c r="O112" i="4"/>
  <c r="N112" i="4"/>
  <c r="M112" i="4"/>
  <c r="L112" i="4"/>
  <c r="CM106" i="4"/>
  <c r="CH106" i="4"/>
  <c r="CC106" i="4"/>
  <c r="BX108" i="4"/>
  <c r="BX106" i="4"/>
  <c r="BS108" i="4"/>
  <c r="BS106" i="4"/>
  <c r="BN108" i="4"/>
  <c r="BN106" i="4"/>
  <c r="BI108" i="4"/>
  <c r="BI106" i="4"/>
  <c r="BD108" i="4"/>
  <c r="BD106" i="4"/>
  <c r="AY108" i="4"/>
  <c r="AY106" i="4"/>
  <c r="AT108" i="4"/>
  <c r="AT106" i="4"/>
  <c r="AO108" i="4"/>
  <c r="AO106" i="4"/>
  <c r="P110" i="4"/>
  <c r="O110" i="4"/>
  <c r="N110" i="4"/>
  <c r="M110" i="4"/>
  <c r="L110" i="4"/>
  <c r="O109" i="4"/>
  <c r="N109" i="4"/>
  <c r="M109" i="4"/>
  <c r="L109" i="4"/>
  <c r="AJ108" i="4"/>
  <c r="AI108" i="4"/>
  <c r="AH108" i="4"/>
  <c r="AG108" i="4"/>
  <c r="AF108" i="4"/>
  <c r="AE108" i="4"/>
  <c r="AD108" i="4"/>
  <c r="AC108" i="4"/>
  <c r="AB108" i="4"/>
  <c r="AA108" i="4"/>
  <c r="Z108" i="4"/>
  <c r="Y108" i="4"/>
  <c r="X108" i="4"/>
  <c r="W108" i="4"/>
  <c r="V108" i="4"/>
  <c r="U108" i="4"/>
  <c r="T108" i="4"/>
  <c r="S108" i="4"/>
  <c r="R108" i="4"/>
  <c r="Q108" i="4"/>
  <c r="P108" i="4"/>
  <c r="O108" i="4"/>
  <c r="N108" i="4"/>
  <c r="M108" i="4"/>
  <c r="L108" i="4"/>
  <c r="AI107" i="4"/>
  <c r="AH107" i="4"/>
  <c r="AG107" i="4"/>
  <c r="AF107" i="4"/>
  <c r="AD107" i="4"/>
  <c r="AC107" i="4"/>
  <c r="AB107" i="4"/>
  <c r="AA107" i="4"/>
  <c r="Y107" i="4"/>
  <c r="X107" i="4"/>
  <c r="W107" i="4"/>
  <c r="V107" i="4"/>
  <c r="T107" i="4"/>
  <c r="S107" i="4"/>
  <c r="R107" i="4"/>
  <c r="Q107" i="4"/>
  <c r="O107" i="4"/>
  <c r="N107" i="4"/>
  <c r="M107" i="4"/>
  <c r="L107" i="4"/>
  <c r="AJ106" i="4"/>
  <c r="AI106" i="4"/>
  <c r="AH106" i="4"/>
  <c r="AG106" i="4"/>
  <c r="AF106" i="4"/>
  <c r="AE106" i="4"/>
  <c r="AD106" i="4"/>
  <c r="AC106" i="4"/>
  <c r="AB106" i="4"/>
  <c r="AA106" i="4"/>
  <c r="Z106" i="4"/>
  <c r="Y106" i="4"/>
  <c r="X106" i="4"/>
  <c r="W106" i="4"/>
  <c r="V106" i="4"/>
  <c r="U106" i="4"/>
  <c r="T106" i="4"/>
  <c r="S106" i="4"/>
  <c r="R106" i="4"/>
  <c r="Q106" i="4"/>
  <c r="P106" i="4"/>
  <c r="O106" i="4"/>
  <c r="N106" i="4"/>
  <c r="M106" i="4"/>
  <c r="L106" i="4"/>
  <c r="CM103" i="4"/>
  <c r="CH103" i="4"/>
  <c r="CC103" i="4"/>
  <c r="P103" i="4"/>
  <c r="O103" i="4"/>
  <c r="N103" i="4"/>
  <c r="M103" i="4"/>
  <c r="L103" i="4"/>
  <c r="CL97" i="4"/>
  <c r="CK97" i="4"/>
  <c r="CJ97" i="4"/>
  <c r="CI97" i="4"/>
  <c r="CG97" i="4"/>
  <c r="CF97" i="4"/>
  <c r="CE97" i="4"/>
  <c r="CD97" i="4"/>
  <c r="CB97" i="4"/>
  <c r="CA97" i="4"/>
  <c r="BZ97" i="4"/>
  <c r="BY97" i="4"/>
  <c r="P97" i="4"/>
  <c r="O97" i="4"/>
  <c r="N97" i="4"/>
  <c r="M97" i="4"/>
  <c r="L97" i="4"/>
  <c r="BX95" i="4"/>
  <c r="BS95" i="4"/>
  <c r="BN95" i="4"/>
  <c r="BI95" i="4"/>
  <c r="BD95" i="4"/>
  <c r="AY95" i="4"/>
  <c r="AT95" i="4"/>
  <c r="AO95" i="4"/>
  <c r="AJ95" i="4"/>
  <c r="AF95" i="4"/>
  <c r="AE95" i="4"/>
  <c r="AA95" i="4"/>
  <c r="Z95" i="4"/>
  <c r="V95" i="4"/>
  <c r="U95" i="4"/>
  <c r="Q95" i="4"/>
  <c r="P95" i="4"/>
  <c r="N95" i="4"/>
  <c r="M95" i="4"/>
  <c r="L95" i="4"/>
  <c r="P89" i="4"/>
  <c r="O89" i="4"/>
  <c r="N89" i="4"/>
  <c r="M89" i="4"/>
  <c r="L89" i="4"/>
  <c r="P86" i="4"/>
  <c r="O86" i="4"/>
  <c r="N86" i="4"/>
  <c r="M86" i="4"/>
  <c r="L86" i="4"/>
  <c r="P83" i="4"/>
  <c r="O83" i="4"/>
  <c r="N83" i="4"/>
  <c r="M83" i="4"/>
  <c r="L83" i="4"/>
  <c r="AD79" i="4"/>
  <c r="AC79" i="4"/>
  <c r="AB79" i="4"/>
  <c r="AA79" i="4"/>
  <c r="Z79" i="4"/>
  <c r="Y79" i="4"/>
  <c r="X79" i="4"/>
  <c r="W79" i="4"/>
  <c r="V79" i="4"/>
  <c r="U79" i="4"/>
  <c r="T79" i="4"/>
  <c r="S79" i="4"/>
  <c r="R79" i="4"/>
  <c r="Q79" i="4"/>
  <c r="P79" i="4"/>
  <c r="O79" i="4"/>
  <c r="N79" i="4"/>
  <c r="M79" i="4"/>
  <c r="L79" i="4"/>
  <c r="N78" i="4"/>
  <c r="M78" i="4"/>
  <c r="L78" i="4"/>
  <c r="BX74" i="4"/>
  <c r="BS74" i="4"/>
  <c r="BN74" i="4"/>
  <c r="BI74" i="4"/>
  <c r="BD74" i="4"/>
  <c r="AY74" i="4"/>
  <c r="AT74" i="4"/>
  <c r="AO74" i="4"/>
  <c r="P75" i="4"/>
  <c r="O75" i="4"/>
  <c r="N75" i="4"/>
  <c r="M75" i="4"/>
  <c r="L75" i="4"/>
  <c r="AJ74" i="4"/>
  <c r="AE74" i="4"/>
  <c r="Z74" i="4"/>
  <c r="U74" i="4"/>
  <c r="P74" i="4"/>
  <c r="P73" i="4"/>
  <c r="O73" i="4"/>
  <c r="O87" i="4" s="1"/>
  <c r="N73" i="4"/>
  <c r="M73" i="4"/>
  <c r="M87" i="4" s="1"/>
  <c r="L73" i="4"/>
  <c r="CM62" i="4"/>
  <c r="CL62" i="4"/>
  <c r="CK62" i="4"/>
  <c r="CJ62" i="4"/>
  <c r="CI62" i="4"/>
  <c r="CH62" i="4"/>
  <c r="CG62" i="4"/>
  <c r="CF62" i="4"/>
  <c r="CE62" i="4"/>
  <c r="CD62" i="4"/>
  <c r="CC62" i="4"/>
  <c r="CB62" i="4"/>
  <c r="CA62" i="4"/>
  <c r="BZ62" i="4"/>
  <c r="BY62" i="4"/>
  <c r="BX62" i="4"/>
  <c r="BW62" i="4"/>
  <c r="BV62" i="4"/>
  <c r="BU62" i="4"/>
  <c r="BT62" i="4"/>
  <c r="BS62" i="4"/>
  <c r="BN58" i="4"/>
  <c r="CM51" i="4"/>
  <c r="CL51" i="4"/>
  <c r="CK51" i="4"/>
  <c r="CJ51" i="4"/>
  <c r="CI51" i="4"/>
  <c r="CH51" i="4"/>
  <c r="CG51" i="4"/>
  <c r="CF51" i="4"/>
  <c r="CE51" i="4"/>
  <c r="CD51" i="4"/>
  <c r="CC51" i="4"/>
  <c r="CB51" i="4"/>
  <c r="CA51" i="4"/>
  <c r="BZ51" i="4"/>
  <c r="BY51" i="4"/>
  <c r="BX51" i="4"/>
  <c r="BX157" i="4" s="1"/>
  <c r="BW51" i="4"/>
  <c r="BV51" i="4"/>
  <c r="BU51" i="4"/>
  <c r="BT51" i="4"/>
  <c r="BS51" i="4"/>
  <c r="BS157" i="4" s="1"/>
  <c r="BR51" i="4"/>
  <c r="BQ51" i="4"/>
  <c r="BP51" i="4"/>
  <c r="BO51" i="4"/>
  <c r="BN51" i="4"/>
  <c r="BN157" i="4" s="1"/>
  <c r="BM51" i="4"/>
  <c r="BL51" i="4"/>
  <c r="BK51" i="4"/>
  <c r="BJ51" i="4"/>
  <c r="BI51" i="4"/>
  <c r="BI157" i="4" s="1"/>
  <c r="BH51" i="4"/>
  <c r="BG51" i="4"/>
  <c r="BF51" i="4"/>
  <c r="BE51" i="4"/>
  <c r="BD51" i="4"/>
  <c r="BD157" i="4" s="1"/>
  <c r="BC51" i="4"/>
  <c r="BB51" i="4"/>
  <c r="BA51" i="4"/>
  <c r="AZ51" i="4"/>
  <c r="AY51" i="4"/>
  <c r="AY157" i="4" s="1"/>
  <c r="AX51" i="4"/>
  <c r="AW51" i="4"/>
  <c r="AV51" i="4"/>
  <c r="AU51" i="4"/>
  <c r="AT51" i="4"/>
  <c r="AS51" i="4"/>
  <c r="AR51" i="4"/>
  <c r="AQ51" i="4"/>
  <c r="AP51" i="4"/>
  <c r="AO51" i="4"/>
  <c r="AN51" i="4"/>
  <c r="AM51" i="4"/>
  <c r="AL51" i="4"/>
  <c r="AK51" i="4"/>
  <c r="AJ51" i="4"/>
  <c r="AI51" i="4"/>
  <c r="AH51" i="4"/>
  <c r="AG51" i="4"/>
  <c r="AF51" i="4"/>
  <c r="AE51" i="4"/>
  <c r="AD51" i="4"/>
  <c r="AC51" i="4"/>
  <c r="AB51" i="4"/>
  <c r="AA51" i="4"/>
  <c r="Z51" i="4"/>
  <c r="Y51" i="4"/>
  <c r="X51" i="4"/>
  <c r="W51" i="4"/>
  <c r="V51" i="4"/>
  <c r="U51" i="4"/>
  <c r="T51" i="4"/>
  <c r="S51" i="4"/>
  <c r="R51" i="4"/>
  <c r="Q51" i="4"/>
  <c r="P51" i="4"/>
  <c r="O51" i="4"/>
  <c r="N51" i="4"/>
  <c r="M51" i="4"/>
  <c r="L51" i="4"/>
  <c r="H49" i="4"/>
  <c r="H48" i="4"/>
  <c r="H47" i="4"/>
  <c r="H46" i="4"/>
  <c r="H45" i="4"/>
  <c r="H44" i="4"/>
  <c r="H43" i="4"/>
  <c r="H42" i="4"/>
  <c r="H41" i="4"/>
  <c r="K45" i="4"/>
  <c r="J45" i="4"/>
  <c r="K44" i="4"/>
  <c r="J44" i="4"/>
  <c r="K40" i="4"/>
  <c r="H92" i="4" s="1"/>
  <c r="J40" i="4"/>
  <c r="H93" i="4" s="1"/>
  <c r="AE36" i="4"/>
  <c r="AE34" i="4"/>
  <c r="J34" i="4"/>
  <c r="M76" i="4" l="1"/>
  <c r="O76" i="4"/>
  <c r="L76" i="4"/>
  <c r="N76" i="4"/>
  <c r="P76" i="4"/>
  <c r="M101" i="4"/>
  <c r="O101" i="4"/>
  <c r="M84" i="4"/>
  <c r="N101" i="4"/>
  <c r="L84" i="4"/>
  <c r="N84" i="4"/>
  <c r="P84" i="4"/>
  <c r="O84" i="4"/>
  <c r="L87" i="4"/>
  <c r="L101" i="4"/>
  <c r="N87" i="4"/>
  <c r="P87" i="4"/>
  <c r="P101" i="4"/>
  <c r="J26" i="4"/>
  <c r="J18" i="4"/>
  <c r="J17" i="4"/>
  <c r="K17" i="4"/>
  <c r="AI113" i="4" l="1"/>
  <c r="AG113" i="4"/>
  <c r="AC113" i="4"/>
  <c r="AA113" i="4"/>
  <c r="Y113" i="4"/>
  <c r="W113" i="4"/>
  <c r="S113" i="4"/>
  <c r="Q113" i="4"/>
  <c r="O113" i="4"/>
  <c r="M113" i="4"/>
  <c r="L113" i="4"/>
  <c r="P113" i="4"/>
  <c r="T113" i="4"/>
  <c r="X113" i="4"/>
  <c r="AB113" i="4"/>
  <c r="AF113" i="4"/>
  <c r="CM113" i="4"/>
  <c r="CC113" i="4"/>
  <c r="N113" i="4"/>
  <c r="R113" i="4"/>
  <c r="V113" i="4"/>
  <c r="AD113" i="4"/>
  <c r="AH113" i="4"/>
  <c r="CH113" i="4"/>
  <c r="J19" i="4"/>
  <c r="CT13" i="4"/>
  <c r="CU13" i="4" s="1"/>
  <c r="CV13" i="4" s="1"/>
  <c r="CS13" i="4"/>
  <c r="CQ13" i="4"/>
  <c r="CP13" i="4" s="1"/>
  <c r="J6" i="4"/>
  <c r="J5" i="4"/>
  <c r="H5" i="4"/>
  <c r="BY214" i="12" l="1"/>
  <c r="BY211" i="12"/>
  <c r="BY441" i="12" s="1"/>
  <c r="BY208" i="12"/>
  <c r="BY180" i="12"/>
  <c r="BY410" i="12" s="1"/>
  <c r="BY176" i="12"/>
  <c r="BY173" i="12"/>
  <c r="BY403" i="12" s="1"/>
  <c r="BY170" i="12"/>
  <c r="BY148" i="12"/>
  <c r="BY378" i="12" s="1"/>
  <c r="BY145" i="12"/>
  <c r="BY139" i="12"/>
  <c r="BY151" i="12" s="1"/>
  <c r="BY132" i="12"/>
  <c r="BY362" i="12" s="1"/>
  <c r="BY126" i="12"/>
  <c r="BY120" i="12"/>
  <c r="BY350" i="12" s="1"/>
  <c r="BY117" i="12"/>
  <c r="BY111" i="12"/>
  <c r="BY108" i="12"/>
  <c r="BY79" i="12"/>
  <c r="BY76" i="12"/>
  <c r="BY306" i="12" s="1"/>
  <c r="BY73" i="12"/>
  <c r="BY70" i="12"/>
  <c r="BY64" i="12"/>
  <c r="BY61" i="12"/>
  <c r="BY291" i="12" s="1"/>
  <c r="BY55" i="12"/>
  <c r="BY52" i="12"/>
  <c r="BY282" i="12" s="1"/>
  <c r="BY49" i="12"/>
  <c r="BY30" i="12"/>
  <c r="BY27" i="12"/>
  <c r="BY24" i="12"/>
  <c r="BY254" i="12" s="1"/>
  <c r="BY21" i="12"/>
  <c r="BY17" i="12"/>
  <c r="BY13" i="12"/>
  <c r="BY213" i="12"/>
  <c r="BY443" i="12" s="1"/>
  <c r="BY210" i="12"/>
  <c r="BY440" i="12" s="1"/>
  <c r="BY207" i="12"/>
  <c r="BY179" i="12"/>
  <c r="BY409" i="12" s="1"/>
  <c r="BY172" i="12"/>
  <c r="BY402" i="12" s="1"/>
  <c r="BY169" i="12"/>
  <c r="BY399" i="12" s="1"/>
  <c r="BY147" i="12"/>
  <c r="BY377" i="12" s="1"/>
  <c r="BY144" i="12"/>
  <c r="BY374" i="12" s="1"/>
  <c r="BY138" i="12"/>
  <c r="BY368" i="12" s="1"/>
  <c r="BY131" i="12"/>
  <c r="BY361" i="12" s="1"/>
  <c r="BY125" i="12"/>
  <c r="BY355" i="12" s="1"/>
  <c r="BY119" i="12"/>
  <c r="BY116" i="12"/>
  <c r="BY346" i="12" s="1"/>
  <c r="BY110" i="12"/>
  <c r="BY107" i="12"/>
  <c r="BY134" i="12" s="1"/>
  <c r="BY78" i="12"/>
  <c r="BY75" i="12"/>
  <c r="BY305" i="12" s="1"/>
  <c r="BY72" i="12"/>
  <c r="BY69" i="12"/>
  <c r="BY299" i="12" s="1"/>
  <c r="BY63" i="12"/>
  <c r="BY60" i="12"/>
  <c r="BY290" i="12" s="1"/>
  <c r="BY54" i="12"/>
  <c r="BY51" i="12"/>
  <c r="BY50" i="12" s="1"/>
  <c r="BY48" i="12"/>
  <c r="BY29" i="12"/>
  <c r="BY259" i="12" s="1"/>
  <c r="BY26" i="12"/>
  <c r="BY25" i="12" s="1"/>
  <c r="BY16" i="10" s="1"/>
  <c r="BY23" i="12"/>
  <c r="BY253" i="12" s="1"/>
  <c r="BY20" i="12"/>
  <c r="BY16" i="12"/>
  <c r="BY12" i="12"/>
  <c r="BY444" i="12"/>
  <c r="BY406" i="12"/>
  <c r="BY400" i="12"/>
  <c r="BY375" i="12"/>
  <c r="BY356" i="12"/>
  <c r="BY349" i="12"/>
  <c r="BY347" i="12"/>
  <c r="BY344" i="12"/>
  <c r="BY343" i="12"/>
  <c r="BY309" i="12"/>
  <c r="BY308" i="12"/>
  <c r="BY303" i="12"/>
  <c r="BY302" i="12"/>
  <c r="BY300" i="12"/>
  <c r="BY294" i="12"/>
  <c r="BY293" i="12"/>
  <c r="BY285" i="12"/>
  <c r="BY284" i="12"/>
  <c r="BY281" i="12"/>
  <c r="BY279" i="12"/>
  <c r="BY278" i="12"/>
  <c r="BY266" i="12"/>
  <c r="BY265" i="12"/>
  <c r="BY264" i="12"/>
  <c r="BY260" i="12"/>
  <c r="BY257" i="12"/>
  <c r="BY256" i="12"/>
  <c r="BY251" i="12"/>
  <c r="BY250" i="12"/>
  <c r="BY212" i="12"/>
  <c r="BY185" i="12"/>
  <c r="BY174" i="12"/>
  <c r="BY146" i="12"/>
  <c r="BY143" i="12"/>
  <c r="BY20" i="10" s="1"/>
  <c r="BY137" i="12"/>
  <c r="BY130" i="12"/>
  <c r="BY115" i="12"/>
  <c r="BY71" i="12"/>
  <c r="BY62" i="12"/>
  <c r="BY53" i="12"/>
  <c r="BY28" i="12"/>
  <c r="BY19" i="12"/>
  <c r="BY18" i="12" s="1"/>
  <c r="BY47" i="12"/>
  <c r="BY68" i="12" l="1"/>
  <c r="BY74" i="12"/>
  <c r="BY171" i="12"/>
  <c r="BY178" i="12"/>
  <c r="BY186" i="12"/>
  <c r="BY369" i="12"/>
  <c r="BY106" i="12"/>
  <c r="BY124" i="12"/>
  <c r="BY209" i="12"/>
  <c r="BY135" i="12"/>
  <c r="BY206" i="12"/>
  <c r="BY21" i="10" s="1"/>
  <c r="BY18" i="10"/>
  <c r="BY15" i="10"/>
  <c r="BY17" i="10"/>
  <c r="BY14" i="10"/>
  <c r="BY19" i="10"/>
  <c r="BY184" i="12"/>
  <c r="BY118" i="12"/>
  <c r="BY109" i="12"/>
  <c r="BY133" i="12"/>
  <c r="BY77" i="12"/>
  <c r="BY33" i="12"/>
  <c r="BY22" i="12"/>
  <c r="BY168" i="12"/>
  <c r="BY150" i="12"/>
  <c r="BY59" i="12"/>
  <c r="BY32" i="12"/>
  <c r="BY15" i="12"/>
  <c r="BY13" i="10" l="1"/>
  <c r="BY149" i="12"/>
  <c r="BY31" i="12"/>
  <c r="BX20" i="22" l="1"/>
  <c r="BX36" i="15" l="1"/>
  <c r="BX180" i="15"/>
  <c r="BX112" i="4" s="1"/>
  <c r="BX113" i="4" s="1"/>
  <c r="BW181" i="15"/>
  <c r="BW178" i="15"/>
  <c r="BW175" i="15"/>
  <c r="BW191" i="15"/>
  <c r="BW195" i="15" s="1"/>
  <c r="BW189" i="15"/>
  <c r="BW188" i="15"/>
  <c r="BW124" i="15" s="1"/>
  <c r="BW131" i="15" s="1"/>
  <c r="BW123" i="15" l="1"/>
  <c r="BW132" i="15" s="1"/>
  <c r="BX112" i="15"/>
  <c r="BX111" i="15"/>
  <c r="BX110" i="15"/>
  <c r="BX109" i="15"/>
  <c r="BX108" i="15"/>
  <c r="BX107" i="15"/>
  <c r="BX106" i="15"/>
  <c r="BX105" i="15"/>
  <c r="BX98" i="15"/>
  <c r="BX96" i="15"/>
  <c r="BX18" i="22" s="1"/>
  <c r="BX93" i="15"/>
  <c r="BX92" i="15"/>
  <c r="BX91" i="15"/>
  <c r="BX90" i="15"/>
  <c r="BX89" i="15"/>
  <c r="BX87" i="15"/>
  <c r="BX86" i="15"/>
  <c r="BX83" i="15"/>
  <c r="BX82" i="15"/>
  <c r="BX81" i="15"/>
  <c r="BX78" i="15"/>
  <c r="BX75" i="15"/>
  <c r="BX74" i="15"/>
  <c r="BX72" i="15"/>
  <c r="BX71" i="15"/>
  <c r="BX70" i="15"/>
  <c r="BX68" i="15"/>
  <c r="BW103" i="15"/>
  <c r="BW104" i="15" s="1"/>
  <c r="BW99" i="15"/>
  <c r="BX99" i="15" s="1"/>
  <c r="BW88" i="15"/>
  <c r="BX88" i="15" s="1"/>
  <c r="BW80" i="15"/>
  <c r="BX80" i="15" s="1"/>
  <c r="BW79" i="15"/>
  <c r="BX79" i="15" s="1"/>
  <c r="BW73" i="15"/>
  <c r="BX73" i="15" s="1"/>
  <c r="BW69" i="15"/>
  <c r="BW51" i="15"/>
  <c r="BW34" i="15"/>
  <c r="BW26" i="15"/>
  <c r="BW18" i="15"/>
  <c r="BX49" i="15"/>
  <c r="BX46" i="15"/>
  <c r="BX53" i="15" s="1"/>
  <c r="BX35" i="15"/>
  <c r="BX32" i="15"/>
  <c r="BX103" i="4" s="1"/>
  <c r="BX24" i="15"/>
  <c r="BX19" i="15"/>
  <c r="BX17" i="15"/>
  <c r="BW94" i="15" l="1"/>
  <c r="BW97" i="15"/>
  <c r="BX97" i="15" s="1"/>
  <c r="BX103" i="15"/>
  <c r="BX104" i="15" s="1"/>
  <c r="BX107" i="4"/>
  <c r="BX69" i="15"/>
  <c r="BX137" i="15" s="1"/>
  <c r="BX30" i="15"/>
  <c r="BX97" i="4" s="1"/>
  <c r="BX94" i="15"/>
  <c r="BX175" i="15"/>
  <c r="BW100" i="15" l="1"/>
  <c r="BX100" i="15"/>
  <c r="BX152" i="15"/>
  <c r="BX153" i="15" l="1"/>
  <c r="BX154" i="15" s="1"/>
  <c r="CB83" i="19" l="1"/>
  <c r="CB85" i="19" s="1"/>
  <c r="CB86" i="19" s="1"/>
  <c r="CA83" i="19"/>
  <c r="CA85" i="19" s="1"/>
  <c r="CA86" i="19" s="1"/>
  <c r="CA87" i="19" s="1"/>
  <c r="BZ83" i="19"/>
  <c r="BZ85" i="19" s="1"/>
  <c r="BZ86" i="19" s="1"/>
  <c r="BZ87" i="19" s="1"/>
  <c r="BY83" i="19"/>
  <c r="BY85" i="19" s="1"/>
  <c r="BY86" i="19" l="1"/>
  <c r="BY87" i="19" s="1"/>
  <c r="BX178" i="15"/>
  <c r="CB87" i="19"/>
  <c r="BX191" i="15" l="1"/>
  <c r="BX98" i="4" s="1"/>
  <c r="BX99" i="4" s="1"/>
  <c r="BX188" i="15"/>
  <c r="BX189" i="15"/>
  <c r="BX145" i="15" l="1"/>
  <c r="BX195" i="15"/>
  <c r="BX150" i="15"/>
  <c r="BW362" i="12" l="1"/>
  <c r="BW361" i="12"/>
  <c r="CB110" i="12"/>
  <c r="CC9" i="12"/>
  <c r="CC105" i="12"/>
  <c r="BW236" i="12" l="1"/>
  <c r="BV135" i="12" l="1"/>
  <c r="BU135" i="12"/>
  <c r="BT135" i="12"/>
  <c r="BV134" i="12"/>
  <c r="BU134" i="12"/>
  <c r="BT134" i="12"/>
  <c r="BW135" i="12"/>
  <c r="BW134" i="12"/>
  <c r="BW109" i="12" l="1"/>
  <c r="BZ109" i="12"/>
  <c r="CA109" i="12"/>
  <c r="CB109" i="12"/>
  <c r="BX110" i="12"/>
  <c r="CC110" i="12"/>
  <c r="BX111" i="12"/>
  <c r="CC111" i="12"/>
  <c r="BW212" i="12"/>
  <c r="BW209" i="12"/>
  <c r="BW206" i="12"/>
  <c r="BW21" i="10" s="1"/>
  <c r="BW413" i="12"/>
  <c r="BW403" i="12"/>
  <c r="BW402" i="12"/>
  <c r="BW400" i="12"/>
  <c r="BW399" i="12"/>
  <c r="BW378" i="12"/>
  <c r="BW377" i="12"/>
  <c r="BW375" i="12"/>
  <c r="BW374" i="12"/>
  <c r="BW372" i="12"/>
  <c r="BW371" i="12"/>
  <c r="BW369" i="12"/>
  <c r="BW368" i="12"/>
  <c r="BW359" i="12"/>
  <c r="BW358" i="12"/>
  <c r="BW356" i="12"/>
  <c r="BW355" i="12"/>
  <c r="BW350" i="12"/>
  <c r="BW349" i="12"/>
  <c r="BW347" i="12"/>
  <c r="BW346" i="12"/>
  <c r="BW344" i="12"/>
  <c r="BW343" i="12"/>
  <c r="BW338" i="12"/>
  <c r="BW337" i="12"/>
  <c r="BW309" i="12"/>
  <c r="BW308" i="12"/>
  <c r="BW306" i="12"/>
  <c r="BW305" i="12"/>
  <c r="BW303" i="12"/>
  <c r="BW302" i="12"/>
  <c r="BW300" i="12"/>
  <c r="BW299" i="12"/>
  <c r="BW297" i="12"/>
  <c r="BW296" i="12"/>
  <c r="BW294" i="12"/>
  <c r="BW293" i="12"/>
  <c r="BW291" i="12"/>
  <c r="BW290" i="12"/>
  <c r="BW288" i="12"/>
  <c r="BW287" i="12"/>
  <c r="BW285" i="12"/>
  <c r="BW284" i="12"/>
  <c r="BW282" i="12"/>
  <c r="BW281" i="12"/>
  <c r="BW279" i="12"/>
  <c r="BW278" i="12"/>
  <c r="BW260" i="12"/>
  <c r="BW259" i="12"/>
  <c r="BW257" i="12"/>
  <c r="BW256" i="12"/>
  <c r="BW254" i="12"/>
  <c r="BW253" i="12"/>
  <c r="BW251" i="12"/>
  <c r="BW250" i="12"/>
  <c r="BW247" i="12"/>
  <c r="BW246" i="12"/>
  <c r="BW243" i="12"/>
  <c r="BW242" i="12"/>
  <c r="BW186" i="12"/>
  <c r="BW185" i="12"/>
  <c r="BW181" i="12"/>
  <c r="BW178" i="12"/>
  <c r="BW174" i="12"/>
  <c r="BW171" i="12"/>
  <c r="BW168" i="12"/>
  <c r="BW151" i="12"/>
  <c r="BW150" i="12"/>
  <c r="BW146" i="12"/>
  <c r="BW143" i="12"/>
  <c r="BW20" i="10" s="1"/>
  <c r="BW140" i="12"/>
  <c r="BW137" i="12"/>
  <c r="BW130" i="12"/>
  <c r="BW127" i="12"/>
  <c r="BW124" i="12"/>
  <c r="BW118" i="12"/>
  <c r="BW13" i="10" s="1"/>
  <c r="BW115" i="12"/>
  <c r="BW19" i="10" s="1"/>
  <c r="BW112" i="12"/>
  <c r="BW106" i="12"/>
  <c r="CB339" i="12" l="1"/>
  <c r="BW184" i="12"/>
  <c r="CC341" i="12"/>
  <c r="CD110" i="12"/>
  <c r="CE110" i="12" s="1"/>
  <c r="CC340" i="12"/>
  <c r="CC109" i="12"/>
  <c r="BX109" i="12"/>
  <c r="BW133" i="12"/>
  <c r="CD111" i="12"/>
  <c r="CE111" i="12" s="1"/>
  <c r="CF111" i="12" s="1"/>
  <c r="CG111" i="12" s="1"/>
  <c r="CH111" i="12" s="1"/>
  <c r="BW149" i="12"/>
  <c r="CC339" i="12" l="1"/>
  <c r="CD109" i="12"/>
  <c r="CD339" i="12" s="1"/>
  <c r="CE109" i="12"/>
  <c r="CF110" i="12"/>
  <c r="BW82" i="12"/>
  <c r="BW81" i="12"/>
  <c r="BW77" i="12"/>
  <c r="BW74" i="12"/>
  <c r="BW71" i="12"/>
  <c r="BW14" i="10" s="1"/>
  <c r="BW68" i="12"/>
  <c r="BW15" i="10" s="1"/>
  <c r="BW65" i="12"/>
  <c r="BW62" i="12"/>
  <c r="BW59" i="12"/>
  <c r="BW56" i="12"/>
  <c r="BW53" i="12"/>
  <c r="BW18" i="10" s="1"/>
  <c r="BW50" i="12"/>
  <c r="BW17" i="10" s="1"/>
  <c r="BW47" i="12"/>
  <c r="BW33" i="12"/>
  <c r="BW32" i="12"/>
  <c r="BW28" i="12"/>
  <c r="BW25" i="12"/>
  <c r="BW16" i="10" s="1"/>
  <c r="BW22" i="12"/>
  <c r="BW19" i="12"/>
  <c r="BW18" i="12" s="1"/>
  <c r="BW15" i="12"/>
  <c r="BW11" i="12" l="1"/>
  <c r="BW12" i="10" s="1"/>
  <c r="CE339" i="12"/>
  <c r="BW31" i="12"/>
  <c r="CF109" i="12"/>
  <c r="CF339" i="12" s="1"/>
  <c r="CG110" i="12"/>
  <c r="BW80" i="12"/>
  <c r="CG109" i="12" l="1"/>
  <c r="CG339" i="12" s="1"/>
  <c r="CH110" i="12"/>
  <c r="CH109" i="12" s="1"/>
  <c r="CH339" i="12" l="1"/>
  <c r="CC21" i="20" l="1"/>
  <c r="CC13" i="20"/>
  <c r="CC12" i="20"/>
  <c r="CB20" i="20"/>
  <c r="CA20" i="20"/>
  <c r="CB11" i="20"/>
  <c r="CA11" i="20"/>
  <c r="BZ11" i="20"/>
  <c r="BY11" i="20"/>
  <c r="CB34" i="19"/>
  <c r="CA34" i="19"/>
  <c r="BZ34" i="19"/>
  <c r="BY34" i="19"/>
  <c r="CB33" i="19"/>
  <c r="CA33" i="19"/>
  <c r="BZ33" i="19"/>
  <c r="BY33" i="19"/>
  <c r="CB32" i="19"/>
  <c r="CA32" i="19"/>
  <c r="BZ32" i="19"/>
  <c r="BY32" i="19"/>
  <c r="CB31" i="19"/>
  <c r="CA31" i="19"/>
  <c r="BZ31" i="19"/>
  <c r="BY31" i="19"/>
  <c r="CB30" i="19"/>
  <c r="CA30" i="19"/>
  <c r="BZ30" i="19"/>
  <c r="BY30" i="19"/>
  <c r="CB29" i="19"/>
  <c r="CA29" i="19"/>
  <c r="BZ29" i="19"/>
  <c r="BY29" i="19"/>
  <c r="CB28" i="19"/>
  <c r="CA28" i="19"/>
  <c r="BZ28" i="19"/>
  <c r="BY28" i="19"/>
  <c r="CB27" i="19"/>
  <c r="CA27" i="19"/>
  <c r="BZ27" i="19"/>
  <c r="BY27" i="19"/>
  <c r="CB26" i="19"/>
  <c r="CA26" i="19"/>
  <c r="BZ26" i="19"/>
  <c r="BY26" i="19"/>
  <c r="CB25" i="19"/>
  <c r="CA25" i="19"/>
  <c r="BZ25" i="19"/>
  <c r="BY25" i="19"/>
  <c r="CB24" i="19"/>
  <c r="CA24" i="19"/>
  <c r="BZ24" i="19"/>
  <c r="BY24" i="19"/>
  <c r="CB23" i="19"/>
  <c r="CA23" i="19"/>
  <c r="BZ23" i="19"/>
  <c r="CB21" i="19"/>
  <c r="CA21" i="19"/>
  <c r="BZ21" i="19"/>
  <c r="BY21" i="19"/>
  <c r="CB20" i="19"/>
  <c r="CB19" i="19"/>
  <c r="CA19" i="19"/>
  <c r="BZ19" i="19"/>
  <c r="BY19" i="19"/>
  <c r="CB18" i="19"/>
  <c r="CA18" i="19"/>
  <c r="BZ18" i="19"/>
  <c r="BY18" i="19"/>
  <c r="CB17" i="19"/>
  <c r="CA17" i="19"/>
  <c r="BZ17" i="19"/>
  <c r="BY17" i="19"/>
  <c r="CB16" i="19"/>
  <c r="CA16" i="19"/>
  <c r="BZ16" i="19"/>
  <c r="BY16" i="19"/>
  <c r="CB15" i="19"/>
  <c r="CB14" i="19" s="1"/>
  <c r="CA15" i="19"/>
  <c r="CA14" i="19" s="1"/>
  <c r="BZ15" i="19"/>
  <c r="BZ14" i="19" s="1"/>
  <c r="BY15" i="19"/>
  <c r="BY14" i="19" s="1"/>
  <c r="CB13" i="19"/>
  <c r="CA13" i="19"/>
  <c r="BZ13" i="19"/>
  <c r="BY13" i="19"/>
  <c r="CB12" i="19"/>
  <c r="CB11" i="19" s="1"/>
  <c r="CA12" i="19"/>
  <c r="CA11" i="19" s="1"/>
  <c r="BZ12" i="19"/>
  <c r="BZ11" i="19" s="1"/>
  <c r="BY12" i="19"/>
  <c r="BY11" i="19" s="1"/>
  <c r="BY23" i="19" l="1"/>
  <c r="BY37" i="19"/>
  <c r="CA37" i="19"/>
  <c r="CB35" i="19"/>
  <c r="BZ36" i="19"/>
  <c r="CB36" i="19"/>
  <c r="BZ37" i="19"/>
  <c r="CB37" i="19"/>
  <c r="BY20" i="19"/>
  <c r="BY35" i="19" s="1"/>
  <c r="BY36" i="19"/>
  <c r="CA20" i="19"/>
  <c r="CA35" i="19" s="1"/>
  <c r="CA36" i="19"/>
  <c r="BZ20" i="19"/>
  <c r="BZ35" i="19" s="1"/>
  <c r="CB132" i="12" l="1"/>
  <c r="CA132" i="12"/>
  <c r="BZ132" i="12"/>
  <c r="CB131" i="12"/>
  <c r="CA131" i="12"/>
  <c r="BZ131" i="12"/>
  <c r="CC470" i="12" l="1"/>
  <c r="CC435" i="12"/>
  <c r="CC384" i="12"/>
  <c r="CC383" i="12"/>
  <c r="CC382" i="12"/>
  <c r="CC335" i="12"/>
  <c r="CC266" i="12"/>
  <c r="CC265" i="12"/>
  <c r="CC264" i="12"/>
  <c r="CC239" i="12"/>
  <c r="CC205" i="12"/>
  <c r="CC157" i="12"/>
  <c r="CC156" i="12"/>
  <c r="CC132" i="12"/>
  <c r="CC131" i="12"/>
  <c r="CC94" i="12"/>
  <c r="CC93" i="12"/>
  <c r="CC91" i="12"/>
  <c r="CC130" i="12" l="1"/>
  <c r="CC155" i="12"/>
  <c r="CC83" i="12"/>
  <c r="CC92" i="12"/>
  <c r="CB387" i="12"/>
  <c r="CA387" i="12"/>
  <c r="BZ387" i="12"/>
  <c r="CB386" i="12"/>
  <c r="CA386" i="12"/>
  <c r="BZ386" i="12"/>
  <c r="CB385" i="12"/>
  <c r="CA385" i="12"/>
  <c r="BZ385" i="12"/>
  <c r="CB384" i="12"/>
  <c r="CA384" i="12"/>
  <c r="BZ384" i="12"/>
  <c r="CB383" i="12"/>
  <c r="CA383" i="12"/>
  <c r="BZ383" i="12"/>
  <c r="CB382" i="12"/>
  <c r="CA382" i="12"/>
  <c r="BZ382" i="12"/>
  <c r="CB266" i="12"/>
  <c r="CA266" i="12"/>
  <c r="BZ266" i="12"/>
  <c r="CB265" i="12"/>
  <c r="CA265" i="12"/>
  <c r="BZ265" i="12"/>
  <c r="CB264" i="12"/>
  <c r="CA264" i="12"/>
  <c r="BZ264" i="12"/>
  <c r="CB239" i="12"/>
  <c r="CA239" i="12"/>
  <c r="BZ239" i="12"/>
  <c r="BY239" i="12"/>
  <c r="CA214" i="12"/>
  <c r="BZ214" i="12"/>
  <c r="CA213" i="12"/>
  <c r="BZ213" i="12"/>
  <c r="CA211" i="12"/>
  <c r="BZ211" i="12"/>
  <c r="CA210" i="12"/>
  <c r="CA207" i="12" s="1"/>
  <c r="CA437" i="12" s="1"/>
  <c r="BZ210" i="12"/>
  <c r="CB176" i="12"/>
  <c r="CB174" i="12" s="1"/>
  <c r="CB404" i="12" s="1"/>
  <c r="CA176" i="12"/>
  <c r="BZ176" i="12"/>
  <c r="BZ174" i="12" s="1"/>
  <c r="CB186" i="12"/>
  <c r="CB185" i="12"/>
  <c r="CA174" i="12"/>
  <c r="CB173" i="12"/>
  <c r="CA173" i="12"/>
  <c r="CA170" i="12" s="1"/>
  <c r="CA400" i="12" s="1"/>
  <c r="BZ173" i="12"/>
  <c r="CB172" i="12"/>
  <c r="CA172" i="12"/>
  <c r="BZ172" i="12"/>
  <c r="CB151" i="12"/>
  <c r="CB150" i="12"/>
  <c r="CB148" i="12"/>
  <c r="CA148" i="12"/>
  <c r="BZ148" i="12"/>
  <c r="CB147" i="12"/>
  <c r="CA147" i="12"/>
  <c r="BZ147" i="12"/>
  <c r="CB145" i="12"/>
  <c r="CA145" i="12"/>
  <c r="BZ145" i="12"/>
  <c r="CB144" i="12"/>
  <c r="CA144" i="12"/>
  <c r="BZ144" i="12"/>
  <c r="CB130" i="12"/>
  <c r="CB360" i="12" s="1"/>
  <c r="CA130" i="12"/>
  <c r="BZ130" i="12"/>
  <c r="CB126" i="12"/>
  <c r="CA126" i="12"/>
  <c r="BZ126" i="12"/>
  <c r="CB125" i="12"/>
  <c r="CA125" i="12"/>
  <c r="BZ125" i="12"/>
  <c r="CB120" i="12"/>
  <c r="CA120" i="12"/>
  <c r="BZ120" i="12"/>
  <c r="CB119" i="12"/>
  <c r="CA119" i="12"/>
  <c r="BZ119" i="12"/>
  <c r="CB117" i="12"/>
  <c r="CA117" i="12"/>
  <c r="BZ117" i="12"/>
  <c r="CB116" i="12"/>
  <c r="CA116" i="12"/>
  <c r="BZ116" i="12"/>
  <c r="CB342" i="12"/>
  <c r="CB82" i="12"/>
  <c r="CB81" i="12"/>
  <c r="CB79" i="12"/>
  <c r="CA79" i="12"/>
  <c r="BZ79" i="12"/>
  <c r="CB78" i="12"/>
  <c r="CA78" i="12"/>
  <c r="BZ78" i="12"/>
  <c r="CB76" i="12"/>
  <c r="CA76" i="12"/>
  <c r="BZ76" i="12"/>
  <c r="CB75" i="12"/>
  <c r="CA75" i="12"/>
  <c r="BZ75" i="12"/>
  <c r="CB73" i="12"/>
  <c r="CA73" i="12"/>
  <c r="BZ73" i="12"/>
  <c r="CB72" i="12"/>
  <c r="CA72" i="12"/>
  <c r="BZ72" i="12"/>
  <c r="CB70" i="12"/>
  <c r="CA70" i="12"/>
  <c r="BZ70" i="12"/>
  <c r="CB69" i="12"/>
  <c r="CA69" i="12"/>
  <c r="BZ69" i="12"/>
  <c r="CB64" i="12"/>
  <c r="CA64" i="12"/>
  <c r="BZ64" i="12"/>
  <c r="CB63" i="12"/>
  <c r="CA63" i="12"/>
  <c r="BZ63" i="12"/>
  <c r="CB61" i="12"/>
  <c r="CA61" i="12"/>
  <c r="BZ61" i="12"/>
  <c r="CB60" i="12"/>
  <c r="CA60" i="12"/>
  <c r="BZ60" i="12"/>
  <c r="CB55" i="12"/>
  <c r="CA55" i="12"/>
  <c r="BZ55" i="12"/>
  <c r="CB54" i="12"/>
  <c r="CA54" i="12"/>
  <c r="BZ54" i="12"/>
  <c r="CB52" i="12"/>
  <c r="CA52" i="12"/>
  <c r="BZ52" i="12"/>
  <c r="CB51" i="12"/>
  <c r="CA51" i="12"/>
  <c r="BZ51" i="12"/>
  <c r="CB33" i="12"/>
  <c r="CB32" i="12"/>
  <c r="CB30" i="12"/>
  <c r="CA30" i="12"/>
  <c r="BZ30" i="12"/>
  <c r="CB29" i="12"/>
  <c r="CA29" i="12"/>
  <c r="BZ29" i="12"/>
  <c r="CB27" i="12"/>
  <c r="CA27" i="12"/>
  <c r="BZ27" i="12"/>
  <c r="CB26" i="12"/>
  <c r="CA26" i="12"/>
  <c r="BZ26" i="12"/>
  <c r="CB24" i="12"/>
  <c r="CA24" i="12"/>
  <c r="BZ24" i="12"/>
  <c r="CB23" i="12"/>
  <c r="CA23" i="12"/>
  <c r="BZ23" i="12"/>
  <c r="CB21" i="12"/>
  <c r="CA21" i="12"/>
  <c r="BZ21" i="12"/>
  <c r="CB20" i="12"/>
  <c r="CA20" i="12"/>
  <c r="BZ20" i="12"/>
  <c r="BZ22" i="12" l="1"/>
  <c r="CB22" i="12"/>
  <c r="CB252" i="12" s="1"/>
  <c r="BZ28" i="12"/>
  <c r="BZ59" i="12"/>
  <c r="BZ62" i="12"/>
  <c r="CB62" i="12"/>
  <c r="CB292" i="12" s="1"/>
  <c r="CB71" i="12"/>
  <c r="CB14" i="10" s="1"/>
  <c r="CB143" i="12"/>
  <c r="CB20" i="10" s="1"/>
  <c r="CA143" i="12"/>
  <c r="CA20" i="10" s="1"/>
  <c r="BZ171" i="12"/>
  <c r="CB171" i="12"/>
  <c r="CB401" i="12" s="1"/>
  <c r="CA22" i="12"/>
  <c r="CA62" i="12"/>
  <c r="CA124" i="12"/>
  <c r="CA77" i="12"/>
  <c r="CA146" i="12"/>
  <c r="CA59" i="12"/>
  <c r="CB115" i="12"/>
  <c r="CB19" i="10" s="1"/>
  <c r="BZ53" i="12"/>
  <c r="BZ18" i="10" s="1"/>
  <c r="CA74" i="12"/>
  <c r="BZ74" i="12"/>
  <c r="CB53" i="12"/>
  <c r="CB18" i="10" s="1"/>
  <c r="CA50" i="12"/>
  <c r="CA17" i="10" s="1"/>
  <c r="CA68" i="12"/>
  <c r="CA15" i="10" s="1"/>
  <c r="CA171" i="12"/>
  <c r="CA169" i="12"/>
  <c r="CA399" i="12" s="1"/>
  <c r="CB169" i="12"/>
  <c r="CB399" i="12" s="1"/>
  <c r="BZ169" i="12"/>
  <c r="BZ399" i="12" s="1"/>
  <c r="CA118" i="12"/>
  <c r="CA13" i="10" s="1"/>
  <c r="BZ118" i="12"/>
  <c r="BZ13" i="10" s="1"/>
  <c r="CA115" i="12"/>
  <c r="CA19" i="10" s="1"/>
  <c r="BZ115" i="12"/>
  <c r="BZ19" i="10" s="1"/>
  <c r="CB77" i="12"/>
  <c r="CB307" i="12" s="1"/>
  <c r="BZ77" i="12"/>
  <c r="CB68" i="12"/>
  <c r="CB15" i="10" s="1"/>
  <c r="CA25" i="12"/>
  <c r="CA16" i="10" s="1"/>
  <c r="CB19" i="12"/>
  <c r="CB249" i="12" s="1"/>
  <c r="CA19" i="12"/>
  <c r="CA18" i="12" s="1"/>
  <c r="BZ19" i="12"/>
  <c r="BZ18" i="12" s="1"/>
  <c r="BZ25" i="12"/>
  <c r="BZ16" i="10" s="1"/>
  <c r="BZ124" i="12"/>
  <c r="CB124" i="12"/>
  <c r="CB354" i="12" s="1"/>
  <c r="BZ146" i="12"/>
  <c r="CA71" i="12"/>
  <c r="CA14" i="10" s="1"/>
  <c r="BZ143" i="12"/>
  <c r="BZ20" i="10" s="1"/>
  <c r="BZ71" i="12"/>
  <c r="BZ14" i="10" s="1"/>
  <c r="BZ68" i="12"/>
  <c r="BZ15" i="10" s="1"/>
  <c r="CA53" i="12"/>
  <c r="CA18" i="10" s="1"/>
  <c r="BZ212" i="12"/>
  <c r="BZ208" i="12"/>
  <c r="BZ438" i="12" s="1"/>
  <c r="BY437" i="12"/>
  <c r="CA209" i="12"/>
  <c r="CB184" i="12"/>
  <c r="CB414" i="12" s="1"/>
  <c r="CB179" i="12"/>
  <c r="CB409" i="12" s="1"/>
  <c r="CB108" i="12"/>
  <c r="CB338" i="12" s="1"/>
  <c r="CB107" i="12"/>
  <c r="CB337" i="12" s="1"/>
  <c r="CB17" i="12"/>
  <c r="CB247" i="12" s="1"/>
  <c r="CB31" i="12"/>
  <c r="CB261" i="12" s="1"/>
  <c r="CB16" i="12"/>
  <c r="CB80" i="12"/>
  <c r="CB310" i="12" s="1"/>
  <c r="CB149" i="12"/>
  <c r="CB379" i="12" s="1"/>
  <c r="CB133" i="12"/>
  <c r="CB246" i="12"/>
  <c r="CC145" i="12"/>
  <c r="BZ209" i="12"/>
  <c r="BY438" i="12"/>
  <c r="CA208" i="12"/>
  <c r="CA438" i="12" s="1"/>
  <c r="CA212" i="12"/>
  <c r="CC26" i="12"/>
  <c r="CC27" i="12"/>
  <c r="CA28" i="12"/>
  <c r="BZ50" i="12"/>
  <c r="BZ17" i="10" s="1"/>
  <c r="CC51" i="12"/>
  <c r="CB48" i="12"/>
  <c r="CC52" i="12"/>
  <c r="CB49" i="12"/>
  <c r="CB279" i="12" s="1"/>
  <c r="CC54" i="12"/>
  <c r="CC55" i="12"/>
  <c r="CC60" i="12"/>
  <c r="CC61" i="12"/>
  <c r="CC63" i="12"/>
  <c r="CC64" i="12"/>
  <c r="CC69" i="12"/>
  <c r="CC70" i="12"/>
  <c r="CC72" i="12"/>
  <c r="CC73" i="12"/>
  <c r="CC116" i="12"/>
  <c r="CC117" i="12"/>
  <c r="CC144" i="12"/>
  <c r="CC20" i="12"/>
  <c r="CC21" i="12"/>
  <c r="CC23" i="12"/>
  <c r="CC24" i="12"/>
  <c r="CC29" i="12"/>
  <c r="CC30" i="12"/>
  <c r="CC75" i="12"/>
  <c r="CC76" i="12"/>
  <c r="CC78" i="12"/>
  <c r="CC79" i="12"/>
  <c r="CC119" i="12"/>
  <c r="CC120" i="12"/>
  <c r="CC125" i="12"/>
  <c r="CC126" i="12"/>
  <c r="CB138" i="12"/>
  <c r="CB139" i="12"/>
  <c r="CB369" i="12" s="1"/>
  <c r="CC147" i="12"/>
  <c r="CC148" i="12"/>
  <c r="BZ170" i="12"/>
  <c r="CB170" i="12"/>
  <c r="CC172" i="12"/>
  <c r="CC169" i="12" s="1"/>
  <c r="CC173" i="12"/>
  <c r="BZ207" i="12"/>
  <c r="CC176" i="12"/>
  <c r="CC174" i="12" s="1"/>
  <c r="CB118" i="12"/>
  <c r="CB13" i="10" s="1"/>
  <c r="CB146" i="12"/>
  <c r="CB376" i="12" s="1"/>
  <c r="CB180" i="12"/>
  <c r="CB50" i="12"/>
  <c r="CB17" i="10" s="1"/>
  <c r="CB74" i="12"/>
  <c r="CB25" i="12"/>
  <c r="CB16" i="10" s="1"/>
  <c r="CB28" i="12"/>
  <c r="CB258" i="12" s="1"/>
  <c r="CB59" i="12"/>
  <c r="CB289" i="12" s="1"/>
  <c r="CB298" i="12"/>
  <c r="CB301" i="12"/>
  <c r="BY203" i="12"/>
  <c r="BY433" i="12" s="1"/>
  <c r="CA203" i="12"/>
  <c r="BY201" i="12"/>
  <c r="CA201" i="12"/>
  <c r="CA22" i="10" s="1"/>
  <c r="BY202" i="12"/>
  <c r="BY432" i="12" s="1"/>
  <c r="CA202" i="12"/>
  <c r="BZ203" i="12"/>
  <c r="CB203" i="12"/>
  <c r="BZ201" i="12"/>
  <c r="BZ22" i="10" s="1"/>
  <c r="CB201" i="12"/>
  <c r="CB22" i="10" s="1"/>
  <c r="BZ202" i="12"/>
  <c r="CB202" i="12"/>
  <c r="CB283" i="12" l="1"/>
  <c r="CB373" i="12"/>
  <c r="CB345" i="12"/>
  <c r="BY22" i="10"/>
  <c r="BY431" i="12"/>
  <c r="CB15" i="12"/>
  <c r="CB245" i="12" s="1"/>
  <c r="CB18" i="12"/>
  <c r="CB248" i="12" s="1"/>
  <c r="CA168" i="12"/>
  <c r="CC25" i="12"/>
  <c r="CC16" i="10" s="1"/>
  <c r="CC28" i="12"/>
  <c r="CC62" i="12"/>
  <c r="CC124" i="12"/>
  <c r="CC19" i="12"/>
  <c r="CC18" i="12" s="1"/>
  <c r="CA206" i="12"/>
  <c r="CA21" i="10" s="1"/>
  <c r="CC143" i="12"/>
  <c r="CC20" i="10" s="1"/>
  <c r="CC71" i="12"/>
  <c r="CC14" i="10" s="1"/>
  <c r="CC50" i="12"/>
  <c r="CC77" i="12"/>
  <c r="CC74" i="12"/>
  <c r="CC59" i="12"/>
  <c r="CC53" i="12"/>
  <c r="CC18" i="10" s="1"/>
  <c r="CB106" i="12"/>
  <c r="CB336" i="12" s="1"/>
  <c r="CC171" i="12"/>
  <c r="CC68" i="12"/>
  <c r="CC15" i="10" s="1"/>
  <c r="CC170" i="12"/>
  <c r="CC168" i="12" s="1"/>
  <c r="CC146" i="12"/>
  <c r="CC118" i="12"/>
  <c r="CC13" i="10" s="1"/>
  <c r="BZ400" i="12"/>
  <c r="BZ168" i="12"/>
  <c r="CB368" i="12"/>
  <c r="CB137" i="12"/>
  <c r="CB367" i="12" s="1"/>
  <c r="CB278" i="12"/>
  <c r="CB47" i="12"/>
  <c r="CB277" i="12" s="1"/>
  <c r="CC115" i="12"/>
  <c r="CC19" i="10" s="1"/>
  <c r="BZ437" i="12"/>
  <c r="BZ206" i="12"/>
  <c r="BZ21" i="10" s="1"/>
  <c r="CB400" i="12"/>
  <c r="CB168" i="12"/>
  <c r="CB398" i="12" s="1"/>
  <c r="CC22" i="12"/>
  <c r="CB410" i="12"/>
  <c r="CB178" i="12"/>
  <c r="CB408" i="12" s="1"/>
  <c r="CB348" i="12"/>
  <c r="CB304" i="12"/>
  <c r="CB280" i="12"/>
  <c r="CB255" i="12"/>
  <c r="CB12" i="12"/>
  <c r="CB13" i="12"/>
  <c r="CC17" i="10" l="1"/>
  <c r="CC54" i="4"/>
  <c r="CB11" i="12"/>
  <c r="CB12" i="10" s="1"/>
  <c r="BV39" i="15" l="1"/>
  <c r="BW39" i="15" s="1"/>
  <c r="BV28" i="15"/>
  <c r="BW28" i="15" s="1"/>
  <c r="BV181" i="15"/>
  <c r="BV178" i="15"/>
  <c r="BV175" i="15"/>
  <c r="BV99" i="15"/>
  <c r="BV88" i="15"/>
  <c r="BV94" i="15" s="1"/>
  <c r="BV79" i="15"/>
  <c r="BV103" i="15"/>
  <c r="BV104" i="15" s="1"/>
  <c r="BV97" i="15"/>
  <c r="BV80" i="15"/>
  <c r="BV73" i="15"/>
  <c r="BV69" i="15"/>
  <c r="BV100" i="15" l="1"/>
  <c r="BV206" i="12" l="1"/>
  <c r="BV21" i="10" s="1"/>
  <c r="CA436" i="12" l="1"/>
  <c r="BV444" i="12" l="1"/>
  <c r="BV443" i="12"/>
  <c r="BV441" i="12"/>
  <c r="BV440" i="12"/>
  <c r="BV413" i="12"/>
  <c r="BV403" i="12"/>
  <c r="BV402" i="12"/>
  <c r="BV378" i="12"/>
  <c r="BV377" i="12"/>
  <c r="BV375" i="12"/>
  <c r="BV374" i="12"/>
  <c r="BV372" i="12"/>
  <c r="BV371" i="12"/>
  <c r="BV369" i="12"/>
  <c r="BV368" i="12"/>
  <c r="BV359" i="12"/>
  <c r="BV358" i="12"/>
  <c r="BV356" i="12"/>
  <c r="BV355" i="12"/>
  <c r="BV350" i="12"/>
  <c r="BV349" i="12"/>
  <c r="BV347" i="12"/>
  <c r="BV346" i="12"/>
  <c r="BV344" i="12"/>
  <c r="BV343" i="12"/>
  <c r="BV309" i="12"/>
  <c r="BV306" i="12"/>
  <c r="BV305" i="12"/>
  <c r="BV303" i="12"/>
  <c r="BV302" i="12"/>
  <c r="BV300" i="12"/>
  <c r="BV299" i="12"/>
  <c r="BV297" i="12"/>
  <c r="BV296" i="12"/>
  <c r="BV294" i="12"/>
  <c r="BV293" i="12"/>
  <c r="BV291" i="12"/>
  <c r="BV290" i="12"/>
  <c r="BV288" i="12"/>
  <c r="BV287" i="12"/>
  <c r="BV285" i="12"/>
  <c r="BV284" i="12"/>
  <c r="BV282" i="12"/>
  <c r="BV281" i="12"/>
  <c r="BV279" i="12"/>
  <c r="BV278" i="12"/>
  <c r="BV260" i="12"/>
  <c r="BV259" i="12"/>
  <c r="BV257" i="12"/>
  <c r="BV256" i="12"/>
  <c r="BV254" i="12"/>
  <c r="BV253" i="12"/>
  <c r="BV251" i="12"/>
  <c r="BV250" i="12"/>
  <c r="BV209" i="12"/>
  <c r="CA439" i="12" s="1"/>
  <c r="BV186" i="12"/>
  <c r="CA186" i="12" s="1"/>
  <c r="CA180" i="12" s="1"/>
  <c r="CA410" i="12" s="1"/>
  <c r="BV185" i="12"/>
  <c r="CA185" i="12" s="1"/>
  <c r="CA107" i="12"/>
  <c r="BV130" i="12"/>
  <c r="CA360" i="12" s="1"/>
  <c r="BV127" i="12"/>
  <c r="BV124" i="12"/>
  <c r="CA354" i="12" s="1"/>
  <c r="BV118" i="12"/>
  <c r="BV13" i="10" s="1"/>
  <c r="BV115" i="12"/>
  <c r="BV19" i="10" s="1"/>
  <c r="BV112" i="12"/>
  <c r="CA342" i="12" s="1"/>
  <c r="BV106" i="12"/>
  <c r="BV82" i="12"/>
  <c r="CA82" i="12" s="1"/>
  <c r="CA49" i="12" s="1"/>
  <c r="CA279" i="12" s="1"/>
  <c r="BV81" i="12"/>
  <c r="CA81" i="12" s="1"/>
  <c r="BU82" i="12"/>
  <c r="BZ82" i="12" s="1"/>
  <c r="BZ49" i="12" s="1"/>
  <c r="BZ279" i="12" s="1"/>
  <c r="BU81" i="12"/>
  <c r="BZ81" i="12" s="1"/>
  <c r="BT82" i="12"/>
  <c r="BT81" i="12"/>
  <c r="BV33" i="12"/>
  <c r="CA33" i="12" s="1"/>
  <c r="CA17" i="12" s="1"/>
  <c r="BV32" i="12"/>
  <c r="CA32" i="12" s="1"/>
  <c r="CA108" i="12" l="1"/>
  <c r="CA338" i="12" s="1"/>
  <c r="CA247" i="12"/>
  <c r="CA348" i="12"/>
  <c r="CA133" i="12"/>
  <c r="CA184" i="12"/>
  <c r="CA179" i="12"/>
  <c r="CA31" i="12"/>
  <c r="CA16" i="12"/>
  <c r="BZ80" i="12"/>
  <c r="BZ48" i="12"/>
  <c r="CA80" i="12"/>
  <c r="CA48" i="12"/>
  <c r="CA345" i="12"/>
  <c r="BV133" i="12"/>
  <c r="CA246" i="12" l="1"/>
  <c r="CA15" i="12"/>
  <c r="CA278" i="12"/>
  <c r="CA47" i="12"/>
  <c r="BZ278" i="12"/>
  <c r="BZ47" i="12"/>
  <c r="CA178" i="12"/>
  <c r="CA409" i="12"/>
  <c r="CA337" i="12"/>
  <c r="CA106" i="12"/>
  <c r="CA336" i="12" s="1"/>
  <c r="BU9" i="15" l="1"/>
  <c r="BU181" i="15" l="1"/>
  <c r="BU178" i="15"/>
  <c r="BU175" i="15"/>
  <c r="BU103" i="15"/>
  <c r="BU104" i="15" s="1"/>
  <c r="BU99" i="15"/>
  <c r="BU97" i="15" s="1"/>
  <c r="BU88" i="15"/>
  <c r="BU94" i="15" s="1"/>
  <c r="BU80" i="15"/>
  <c r="BU79" i="15"/>
  <c r="BU78" i="15"/>
  <c r="BU73" i="15"/>
  <c r="BU69" i="15"/>
  <c r="BU52" i="15"/>
  <c r="BV52" i="15" s="1"/>
  <c r="BW52" i="15" s="1"/>
  <c r="BU55" i="15"/>
  <c r="BV55" i="15" s="1"/>
  <c r="BW55" i="15" s="1"/>
  <c r="BU50" i="15"/>
  <c r="BV50" i="15" s="1"/>
  <c r="BU48" i="15"/>
  <c r="BV48" i="15" s="1"/>
  <c r="BW48" i="15" s="1"/>
  <c r="BU47" i="15"/>
  <c r="BU45" i="15"/>
  <c r="BV45" i="15" s="1"/>
  <c r="BW45" i="15" s="1"/>
  <c r="BU44" i="15"/>
  <c r="BV44" i="15" s="1"/>
  <c r="BW44" i="15" s="1"/>
  <c r="BU41" i="15"/>
  <c r="BV41" i="15" s="1"/>
  <c r="BW41" i="15" s="1"/>
  <c r="BU40" i="15"/>
  <c r="BV40" i="15" s="1"/>
  <c r="BW40" i="15" s="1"/>
  <c r="BU38" i="15"/>
  <c r="BV38" i="15" s="1"/>
  <c r="BW38" i="15" s="1"/>
  <c r="BU37" i="15"/>
  <c r="BV37" i="15" s="1"/>
  <c r="BW37" i="15" s="1"/>
  <c r="BU33" i="15"/>
  <c r="BV33" i="15" s="1"/>
  <c r="BW33" i="15" s="1"/>
  <c r="BW32" i="15" s="1"/>
  <c r="BU29" i="15"/>
  <c r="BV29" i="15" s="1"/>
  <c r="BW29" i="15" s="1"/>
  <c r="BU27" i="15"/>
  <c r="BV27" i="15" s="1"/>
  <c r="BW27" i="15" s="1"/>
  <c r="BU25" i="15"/>
  <c r="BU19" i="15"/>
  <c r="BV19" i="15" s="1"/>
  <c r="BW19" i="15" s="1"/>
  <c r="BU16" i="15"/>
  <c r="BU15" i="15"/>
  <c r="BU94" i="10" s="1"/>
  <c r="BU49" i="15"/>
  <c r="BV49" i="15" l="1"/>
  <c r="BW50" i="15"/>
  <c r="BW49" i="15" s="1"/>
  <c r="BV15" i="15"/>
  <c r="BV94" i="10" s="1"/>
  <c r="BU17" i="15"/>
  <c r="BV16" i="15"/>
  <c r="BW16" i="15" s="1"/>
  <c r="BV47" i="15"/>
  <c r="BU32" i="15"/>
  <c r="BV32" i="15"/>
  <c r="BV25" i="15"/>
  <c r="BU46" i="15"/>
  <c r="BU53" i="15" s="1"/>
  <c r="BU100" i="15"/>
  <c r="BU24" i="15"/>
  <c r="BU30" i="15" s="1"/>
  <c r="BU97" i="4" s="1"/>
  <c r="BV308" i="12"/>
  <c r="BV24" i="15" l="1"/>
  <c r="BV30" i="15" s="1"/>
  <c r="BV97" i="4" s="1"/>
  <c r="BW25" i="15"/>
  <c r="BV46" i="15"/>
  <c r="BV53" i="15" s="1"/>
  <c r="BW47" i="15"/>
  <c r="BW46" i="15" s="1"/>
  <c r="BW53" i="15" s="1"/>
  <c r="BW17" i="15"/>
  <c r="BW15" i="15"/>
  <c r="BW94" i="10" s="1"/>
  <c r="BV17" i="15"/>
  <c r="BU152" i="15"/>
  <c r="BV152" i="15" l="1"/>
  <c r="BV153" i="15" s="1"/>
  <c r="BV154" i="15" s="1"/>
  <c r="BW197" i="15"/>
  <c r="BW145" i="15"/>
  <c r="BU153" i="15"/>
  <c r="BU154" i="15" s="1"/>
  <c r="J52" i="79" l="1"/>
  <c r="CH22" i="79" s="1"/>
  <c r="J32" i="79"/>
  <c r="CH27" i="79"/>
  <c r="J30" i="79"/>
  <c r="CH16" i="79"/>
  <c r="CG16" i="79"/>
  <c r="CF16" i="79"/>
  <c r="CE16" i="79"/>
  <c r="CD16" i="79"/>
  <c r="CC16" i="79"/>
  <c r="BX16" i="79"/>
  <c r="CH13" i="79"/>
  <c r="CH11" i="79"/>
  <c r="CH9" i="79"/>
  <c r="CG13" i="79"/>
  <c r="CG11" i="79"/>
  <c r="CG9" i="79"/>
  <c r="CF13" i="79"/>
  <c r="CF11" i="79"/>
  <c r="CF9" i="79"/>
  <c r="CE13" i="79"/>
  <c r="CE11" i="79"/>
  <c r="CE9" i="79"/>
  <c r="CD13" i="79"/>
  <c r="CD11" i="79"/>
  <c r="CD9" i="79"/>
  <c r="CC13" i="79"/>
  <c r="CC11" i="79"/>
  <c r="CC9" i="79"/>
  <c r="BX13" i="79"/>
  <c r="BX11" i="79"/>
  <c r="BX9" i="79"/>
  <c r="CB9" i="79"/>
  <c r="CA9" i="79"/>
  <c r="BZ9" i="79"/>
  <c r="BY9" i="79"/>
  <c r="BW9" i="79"/>
  <c r="BV9" i="79"/>
  <c r="BU9" i="79"/>
  <c r="BT9" i="79"/>
  <c r="BS9" i="79"/>
  <c r="BR9" i="79"/>
  <c r="BQ9" i="79"/>
  <c r="BP9" i="79"/>
  <c r="BO9" i="79"/>
  <c r="BN9" i="79"/>
  <c r="BM9" i="79"/>
  <c r="BL9" i="79"/>
  <c r="BK9" i="79"/>
  <c r="BJ9" i="79"/>
  <c r="BI9" i="79"/>
  <c r="BH9" i="79"/>
  <c r="BG9" i="79"/>
  <c r="BF9" i="79"/>
  <c r="BE9" i="79"/>
  <c r="BD9" i="79"/>
  <c r="BC9" i="79"/>
  <c r="BB9" i="79"/>
  <c r="BA9" i="79"/>
  <c r="AZ9" i="79"/>
  <c r="AY9" i="79"/>
  <c r="AX9" i="79"/>
  <c r="AW9" i="79"/>
  <c r="AV9" i="79"/>
  <c r="AU9" i="79"/>
  <c r="AT9" i="79"/>
  <c r="AS9" i="79"/>
  <c r="AR9" i="79"/>
  <c r="AQ9" i="79"/>
  <c r="AP9" i="79"/>
  <c r="AO9" i="79"/>
  <c r="AN9" i="79"/>
  <c r="AM9" i="79"/>
  <c r="AL9" i="79"/>
  <c r="AK9" i="79"/>
  <c r="AJ9" i="79"/>
  <c r="AI9" i="79"/>
  <c r="AH9" i="79"/>
  <c r="AG9" i="79"/>
  <c r="AF9" i="79"/>
  <c r="AE9" i="79"/>
  <c r="AD9" i="79"/>
  <c r="AC9" i="79"/>
  <c r="AB9" i="79"/>
  <c r="AA9" i="79"/>
  <c r="Z9" i="79"/>
  <c r="Y9" i="79"/>
  <c r="X9" i="79"/>
  <c r="W9" i="79"/>
  <c r="V9" i="79"/>
  <c r="U9" i="79"/>
  <c r="T9" i="79"/>
  <c r="S9" i="79"/>
  <c r="R9" i="79"/>
  <c r="Q9" i="79"/>
  <c r="P9" i="79"/>
  <c r="O9" i="79"/>
  <c r="N9" i="79"/>
  <c r="M9" i="79"/>
  <c r="L9" i="79"/>
  <c r="K5" i="79"/>
  <c r="J5" i="79"/>
  <c r="H5" i="79"/>
  <c r="CF178" i="22"/>
  <c r="CG178" i="22" s="1"/>
  <c r="CH178" i="22" s="1"/>
  <c r="BD173" i="22"/>
  <c r="BI173" i="22" s="1"/>
  <c r="BN173" i="22" s="1"/>
  <c r="BS173" i="22" s="1"/>
  <c r="AJ172" i="22"/>
  <c r="AE172" i="22"/>
  <c r="AY170" i="22"/>
  <c r="AY172" i="22" s="1"/>
  <c r="AJ167" i="22"/>
  <c r="AO163" i="22"/>
  <c r="AO165" i="22" s="1"/>
  <c r="AJ156" i="22"/>
  <c r="AJ158" i="22" s="1"/>
  <c r="AJ149" i="22"/>
  <c r="AJ151" i="22" s="1"/>
  <c r="AJ142" i="22"/>
  <c r="AJ144" i="22" s="1"/>
  <c r="AJ146" i="22" s="1"/>
  <c r="AJ135" i="22"/>
  <c r="AJ137" i="22" s="1"/>
  <c r="AJ139" i="22" s="1"/>
  <c r="AJ128" i="22"/>
  <c r="AJ130" i="22" s="1"/>
  <c r="AJ121" i="22"/>
  <c r="AJ123" i="22" s="1"/>
  <c r="AJ114" i="22"/>
  <c r="AJ116" i="22" s="1"/>
  <c r="AJ107" i="22"/>
  <c r="AJ109" i="22" s="1"/>
  <c r="AO107" i="22" s="1"/>
  <c r="AO109" i="22" s="1"/>
  <c r="AO103" i="22"/>
  <c r="AT103" i="22" s="1"/>
  <c r="AY103" i="22" s="1"/>
  <c r="AJ100" i="22"/>
  <c r="AJ102" i="22" s="1"/>
  <c r="AO96" i="22"/>
  <c r="AT96" i="22" s="1"/>
  <c r="AY96" i="22" s="1"/>
  <c r="AJ93" i="22"/>
  <c r="AJ95" i="22" s="1"/>
  <c r="AO93" i="22" s="1"/>
  <c r="AO95" i="22" s="1"/>
  <c r="AT93" i="22" s="1"/>
  <c r="AT95" i="22" s="1"/>
  <c r="BN89" i="22"/>
  <c r="BS89" i="22" s="1"/>
  <c r="BX89" i="22" s="1"/>
  <c r="AO89" i="22"/>
  <c r="BI86" i="22"/>
  <c r="BI88" i="22" s="1"/>
  <c r="BN86" i="22" s="1"/>
  <c r="BN88" i="22" s="1"/>
  <c r="BS86" i="22" s="1"/>
  <c r="BS88" i="22" s="1"/>
  <c r="BX86" i="22" s="1"/>
  <c r="BX88" i="22" s="1"/>
  <c r="CC86" i="22" s="1"/>
  <c r="AJ86" i="22"/>
  <c r="AJ88" i="22" s="1"/>
  <c r="AO86" i="22" s="1"/>
  <c r="AO88" i="22" s="1"/>
  <c r="BN82" i="22"/>
  <c r="AO82" i="22"/>
  <c r="BI79" i="22"/>
  <c r="BI81" i="22" s="1"/>
  <c r="BI83" i="22" s="1"/>
  <c r="AJ79" i="22"/>
  <c r="AJ81" i="22" s="1"/>
  <c r="BX68" i="22"/>
  <c r="AO68" i="22"/>
  <c r="BS65" i="22"/>
  <c r="BS67" i="22" s="1"/>
  <c r="BX65" i="22" s="1"/>
  <c r="AJ65" i="22"/>
  <c r="AJ67" i="22" s="1"/>
  <c r="AO65" i="22" s="1"/>
  <c r="AO67" i="22" s="1"/>
  <c r="BS61" i="22"/>
  <c r="BX61" i="22" s="1"/>
  <c r="CC61" i="22" s="1"/>
  <c r="AO61" i="22"/>
  <c r="BN58" i="22"/>
  <c r="BN60" i="22" s="1"/>
  <c r="AJ58" i="22"/>
  <c r="AJ60" i="22" s="1"/>
  <c r="BS54" i="22"/>
  <c r="BX54" i="22" s="1"/>
  <c r="CC54" i="22" s="1"/>
  <c r="CD54" i="22" s="1"/>
  <c r="CE54" i="22" s="1"/>
  <c r="CF54" i="22" s="1"/>
  <c r="AO54" i="22"/>
  <c r="BN51" i="22"/>
  <c r="BN53" i="22" s="1"/>
  <c r="BS51" i="22" s="1"/>
  <c r="BS53" i="22" s="1"/>
  <c r="AJ51" i="22"/>
  <c r="AJ53" i="22" s="1"/>
  <c r="AJ55" i="22" s="1"/>
  <c r="BS47" i="22"/>
  <c r="BX47" i="22" s="1"/>
  <c r="CC47" i="22" s="1"/>
  <c r="CD47" i="22" s="1"/>
  <c r="AO47" i="22"/>
  <c r="BN44" i="22"/>
  <c r="BN46" i="22" s="1"/>
  <c r="BN48" i="22" s="1"/>
  <c r="AJ44" i="22"/>
  <c r="AJ46" i="22" s="1"/>
  <c r="BS40" i="22"/>
  <c r="BX40" i="22" s="1"/>
  <c r="CC40" i="22" s="1"/>
  <c r="AO40" i="22"/>
  <c r="BN38" i="22"/>
  <c r="BN37" i="22"/>
  <c r="AJ37" i="22"/>
  <c r="AJ39" i="22" s="1"/>
  <c r="BS33" i="22"/>
  <c r="BX33" i="22" s="1"/>
  <c r="CC33" i="22" s="1"/>
  <c r="AO33" i="22"/>
  <c r="BN31" i="22"/>
  <c r="BN30" i="22"/>
  <c r="AJ30" i="22"/>
  <c r="AJ32" i="22" s="1"/>
  <c r="AJ34" i="22" s="1"/>
  <c r="BS26" i="22"/>
  <c r="BX26" i="22" s="1"/>
  <c r="CC26" i="22" s="1"/>
  <c r="AO26" i="22"/>
  <c r="BN24" i="22"/>
  <c r="BN23" i="22"/>
  <c r="AJ23" i="22"/>
  <c r="AJ25" i="22" s="1"/>
  <c r="AO23" i="22" s="1"/>
  <c r="AO25" i="22" s="1"/>
  <c r="BS20" i="22"/>
  <c r="BN20" i="22"/>
  <c r="BI20" i="22"/>
  <c r="BD20" i="22"/>
  <c r="AY20" i="22"/>
  <c r="AT20" i="22"/>
  <c r="AO20" i="22"/>
  <c r="AJ20" i="22"/>
  <c r="AE20" i="22"/>
  <c r="AP18" i="22"/>
  <c r="BS14" i="22"/>
  <c r="BX14" i="22" s="1"/>
  <c r="CC14" i="22" s="1"/>
  <c r="CD14" i="22" s="1"/>
  <c r="AP13" i="22"/>
  <c r="CH9" i="22"/>
  <c r="CG9" i="22"/>
  <c r="CF9" i="22"/>
  <c r="CE9" i="22"/>
  <c r="CD9" i="22"/>
  <c r="CC9" i="22"/>
  <c r="CB9" i="22"/>
  <c r="CA9" i="22"/>
  <c r="BZ9" i="22"/>
  <c r="BY9" i="22"/>
  <c r="BX9" i="22"/>
  <c r="BW9" i="22"/>
  <c r="BV9" i="22"/>
  <c r="BU9" i="22"/>
  <c r="BT9" i="22"/>
  <c r="BS9" i="22"/>
  <c r="BR9" i="22"/>
  <c r="BQ9" i="22"/>
  <c r="BP9" i="22"/>
  <c r="BO9" i="22"/>
  <c r="BN9" i="22"/>
  <c r="BM9" i="22"/>
  <c r="BL9" i="22"/>
  <c r="BK9" i="22"/>
  <c r="BJ9" i="22"/>
  <c r="BI9" i="22"/>
  <c r="BH9" i="22"/>
  <c r="BG9" i="22"/>
  <c r="BF9" i="22"/>
  <c r="BE9" i="22"/>
  <c r="BD9" i="22"/>
  <c r="BC9" i="22"/>
  <c r="BB9" i="22"/>
  <c r="BA9"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J6" i="22"/>
  <c r="J5" i="22"/>
  <c r="H5" i="22"/>
  <c r="BN25" i="22" l="1"/>
  <c r="BS23" i="22" s="1"/>
  <c r="BS25" i="22" s="1"/>
  <c r="BS27" i="22" s="1"/>
  <c r="AO27" i="22"/>
  <c r="BN39" i="22"/>
  <c r="BN41" i="22" s="1"/>
  <c r="CC87" i="22"/>
  <c r="CC88" i="22" s="1"/>
  <c r="CD86" i="22" s="1"/>
  <c r="CD88" i="22" s="1"/>
  <c r="CE86" i="22" s="1"/>
  <c r="CE88" i="22" s="1"/>
  <c r="CF86" i="22" s="1"/>
  <c r="CF88" i="22" s="1"/>
  <c r="CG86" i="22" s="1"/>
  <c r="CG88" i="22" s="1"/>
  <c r="CH86" i="22" s="1"/>
  <c r="CH88" i="22" s="1"/>
  <c r="BX23" i="22"/>
  <c r="BX25" i="22" s="1"/>
  <c r="CC23" i="22" s="1"/>
  <c r="CC25" i="22" s="1"/>
  <c r="CD23" i="22" s="1"/>
  <c r="CD25" i="22" s="1"/>
  <c r="CE23" i="22" s="1"/>
  <c r="CE25" i="22" s="1"/>
  <c r="CF23" i="22" s="1"/>
  <c r="CF25" i="22" s="1"/>
  <c r="CG23" i="22" s="1"/>
  <c r="CG24" i="22" s="1"/>
  <c r="CG25" i="22" s="1"/>
  <c r="CH23" i="22" s="1"/>
  <c r="CH25" i="22" s="1"/>
  <c r="BS55" i="22"/>
  <c r="BX51" i="22"/>
  <c r="BX53" i="22" s="1"/>
  <c r="CC51" i="22" s="1"/>
  <c r="CC53" i="22" s="1"/>
  <c r="CD51" i="22" s="1"/>
  <c r="CD53" i="22" s="1"/>
  <c r="CE51" i="22" s="1"/>
  <c r="CE53" i="22" s="1"/>
  <c r="CF51" i="22" s="1"/>
  <c r="CF53" i="22" s="1"/>
  <c r="CG51" i="22" s="1"/>
  <c r="CG53" i="22" s="1"/>
  <c r="CH51" i="22" s="1"/>
  <c r="CH53" i="22" s="1"/>
  <c r="AT163" i="22"/>
  <c r="AT165" i="22" s="1"/>
  <c r="AT167" i="22" s="1"/>
  <c r="AO167" i="22"/>
  <c r="AJ41" i="22"/>
  <c r="AO37" i="22"/>
  <c r="AO39" i="22" s="1"/>
  <c r="AO41" i="22" s="1"/>
  <c r="AO156" i="22"/>
  <c r="AO158" i="22" s="1"/>
  <c r="AJ160" i="22"/>
  <c r="BS69" i="22"/>
  <c r="BN32" i="22"/>
  <c r="BN34" i="22" s="1"/>
  <c r="BS44" i="22"/>
  <c r="BS46" i="22" s="1"/>
  <c r="BX44" i="22" s="1"/>
  <c r="BX46" i="22" s="1"/>
  <c r="CC44" i="22" s="1"/>
  <c r="CC46" i="22" s="1"/>
  <c r="CD44" i="22" s="1"/>
  <c r="CD46" i="22" s="1"/>
  <c r="CE44" i="22" s="1"/>
  <c r="CE46" i="22" s="1"/>
  <c r="CF44" i="22" s="1"/>
  <c r="CF46" i="22" s="1"/>
  <c r="CG44" i="22" s="1"/>
  <c r="CG46" i="22" s="1"/>
  <c r="CH44" i="22" s="1"/>
  <c r="CH46" i="22" s="1"/>
  <c r="AO51" i="22"/>
  <c r="AO53" i="22" s="1"/>
  <c r="AO55" i="22" s="1"/>
  <c r="AO135" i="22"/>
  <c r="AO137" i="22" s="1"/>
  <c r="AO139" i="22" s="1"/>
  <c r="AO142" i="22"/>
  <c r="AO144" i="22" s="1"/>
  <c r="AO146" i="22" s="1"/>
  <c r="AJ83" i="22"/>
  <c r="AO79" i="22"/>
  <c r="AO81" i="22" s="1"/>
  <c r="AO83" i="22" s="1"/>
  <c r="CD61" i="22"/>
  <c r="BN62" i="22"/>
  <c r="BS58" i="22"/>
  <c r="BS60" i="22" s="1"/>
  <c r="BX58" i="22" s="1"/>
  <c r="BX60" i="22" s="1"/>
  <c r="CC58" i="22" s="1"/>
  <c r="BS30" i="22"/>
  <c r="BS32" i="22" s="1"/>
  <c r="BX30" i="22" s="1"/>
  <c r="BX32" i="22" s="1"/>
  <c r="CC30" i="22" s="1"/>
  <c r="CC32" i="22" s="1"/>
  <c r="CD30" i="22" s="1"/>
  <c r="CD32" i="22" s="1"/>
  <c r="CE30" i="22" s="1"/>
  <c r="CE32" i="22" s="1"/>
  <c r="CF30" i="22" s="1"/>
  <c r="CF32" i="22" s="1"/>
  <c r="CG30" i="22" s="1"/>
  <c r="CG32" i="22" s="1"/>
  <c r="CH30" i="22" s="1"/>
  <c r="CH32" i="22" s="1"/>
  <c r="AJ27" i="22"/>
  <c r="BD103" i="22"/>
  <c r="AJ118" i="22"/>
  <c r="AO114" i="22"/>
  <c r="AO116" i="22" s="1"/>
  <c r="CE14" i="22"/>
  <c r="BN27" i="22"/>
  <c r="AO30" i="22"/>
  <c r="AO32" i="22" s="1"/>
  <c r="AO34" i="22" s="1"/>
  <c r="BX34" i="22"/>
  <c r="AJ48" i="22"/>
  <c r="AO44" i="22"/>
  <c r="AO46" i="22" s="1"/>
  <c r="AO48" i="22" s="1"/>
  <c r="BS48" i="22"/>
  <c r="CC55" i="22"/>
  <c r="BX62" i="22"/>
  <c r="BX66" i="22"/>
  <c r="BX67" i="22" s="1"/>
  <c r="AO69" i="22"/>
  <c r="BN90" i="22"/>
  <c r="AJ97" i="22"/>
  <c r="AT142" i="22"/>
  <c r="AT144" i="22" s="1"/>
  <c r="AO149" i="22"/>
  <c r="AO151" i="22" s="1"/>
  <c r="AJ153" i="22"/>
  <c r="CF55" i="22"/>
  <c r="AJ90" i="22"/>
  <c r="BD96" i="22"/>
  <c r="AO100" i="22"/>
  <c r="AO102" i="22" s="1"/>
  <c r="AJ104" i="22"/>
  <c r="AO128" i="22"/>
  <c r="AO130" i="22" s="1"/>
  <c r="AJ132" i="22"/>
  <c r="CD40" i="22"/>
  <c r="CE47" i="22"/>
  <c r="BN55" i="22"/>
  <c r="BX55" i="22"/>
  <c r="CD55" i="22"/>
  <c r="CG54" i="22"/>
  <c r="AJ62" i="22"/>
  <c r="AO58" i="22"/>
  <c r="AO60" i="22" s="1"/>
  <c r="AO62" i="22" s="1"/>
  <c r="CC68" i="22"/>
  <c r="BS82" i="22"/>
  <c r="AO90" i="22"/>
  <c r="BS90" i="22"/>
  <c r="AT97" i="22"/>
  <c r="AY93" i="22"/>
  <c r="AY95" i="22" s="1"/>
  <c r="BD93" i="22" s="1"/>
  <c r="BD95" i="22" s="1"/>
  <c r="BI93" i="22" s="1"/>
  <c r="BI95" i="22" s="1"/>
  <c r="BN93" i="22" s="1"/>
  <c r="BN95" i="22" s="1"/>
  <c r="BS93" i="22" s="1"/>
  <c r="BS95" i="22" s="1"/>
  <c r="BX93" i="22" s="1"/>
  <c r="BX95" i="22" s="1"/>
  <c r="CC93" i="22" s="1"/>
  <c r="CC95" i="22" s="1"/>
  <c r="CD93" i="22" s="1"/>
  <c r="CD95" i="22" s="1"/>
  <c r="CE93" i="22" s="1"/>
  <c r="CE95" i="22" s="1"/>
  <c r="CF93" i="22" s="1"/>
  <c r="CF95" i="22" s="1"/>
  <c r="CG93" i="22" s="1"/>
  <c r="CG95" i="22" s="1"/>
  <c r="CH93" i="22" s="1"/>
  <c r="CH95" i="22" s="1"/>
  <c r="CD26" i="22"/>
  <c r="CD33" i="22"/>
  <c r="CE55" i="22"/>
  <c r="AJ69" i="22"/>
  <c r="BI90" i="22"/>
  <c r="BX90" i="22"/>
  <c r="CC89" i="22"/>
  <c r="AO111" i="22"/>
  <c r="AT107" i="22"/>
  <c r="AT109" i="22" s="1"/>
  <c r="BN79" i="22"/>
  <c r="BN81" i="22" s="1"/>
  <c r="BS79" i="22" s="1"/>
  <c r="BS81" i="22" s="1"/>
  <c r="BX79" i="22" s="1"/>
  <c r="BX81" i="22" s="1"/>
  <c r="CC79" i="22" s="1"/>
  <c r="CC81" i="22" s="1"/>
  <c r="CD79" i="22" s="1"/>
  <c r="CD81" i="22" s="1"/>
  <c r="CE79" i="22" s="1"/>
  <c r="CE81" i="22" s="1"/>
  <c r="CF79" i="22" s="1"/>
  <c r="CF81" i="22" s="1"/>
  <c r="CG79" i="22" s="1"/>
  <c r="CG81" i="22" s="1"/>
  <c r="CH79" i="22" s="1"/>
  <c r="CH81" i="22" s="1"/>
  <c r="AO97" i="22"/>
  <c r="AJ125" i="22"/>
  <c r="AO121" i="22"/>
  <c r="AO123" i="22" s="1"/>
  <c r="AJ111" i="22"/>
  <c r="AY174" i="22"/>
  <c r="BD170" i="22"/>
  <c r="BD172" i="22" s="1"/>
  <c r="BX173" i="22"/>
  <c r="AY163" i="22" l="1"/>
  <c r="AY165" i="22" s="1"/>
  <c r="BX27" i="22"/>
  <c r="CD48" i="22"/>
  <c r="CC34" i="22"/>
  <c r="BS62" i="22"/>
  <c r="CC48" i="22"/>
  <c r="BS34" i="22"/>
  <c r="BX48" i="22"/>
  <c r="CC27" i="22"/>
  <c r="AT135" i="22"/>
  <c r="AT137" i="22" s="1"/>
  <c r="AY135" i="22" s="1"/>
  <c r="AY137" i="22" s="1"/>
  <c r="BS37" i="22"/>
  <c r="BS39" i="22" s="1"/>
  <c r="BN83" i="22"/>
  <c r="AO160" i="22"/>
  <c r="AT156" i="22"/>
  <c r="AT158" i="22" s="1"/>
  <c r="CC65" i="22"/>
  <c r="CC67" i="22" s="1"/>
  <c r="CD65" i="22" s="1"/>
  <c r="CD67" i="22" s="1"/>
  <c r="CE65" i="22" s="1"/>
  <c r="CE67" i="22" s="1"/>
  <c r="CF65" i="22" s="1"/>
  <c r="CF67" i="22" s="1"/>
  <c r="CG65" i="22" s="1"/>
  <c r="CG67" i="22" s="1"/>
  <c r="CH65" i="22" s="1"/>
  <c r="CH67" i="22" s="1"/>
  <c r="BX69" i="22"/>
  <c r="BI170" i="22"/>
  <c r="BI172" i="22" s="1"/>
  <c r="BD174" i="22"/>
  <c r="AY107" i="22"/>
  <c r="AY109" i="22" s="1"/>
  <c r="AT111" i="22"/>
  <c r="CG55" i="22"/>
  <c r="CH54" i="22"/>
  <c r="CH55" i="22" s="1"/>
  <c r="CE48" i="22"/>
  <c r="CF47" i="22"/>
  <c r="AT114" i="22"/>
  <c r="AT116" i="22" s="1"/>
  <c r="AO118" i="22"/>
  <c r="AY167" i="22"/>
  <c r="BD163" i="22"/>
  <c r="BD165" i="22" s="1"/>
  <c r="AT100" i="22"/>
  <c r="AT102" i="22" s="1"/>
  <c r="AO104" i="22"/>
  <c r="AY142" i="22"/>
  <c r="AY144" i="22" s="1"/>
  <c r="AT146" i="22"/>
  <c r="CF14" i="22"/>
  <c r="CC59" i="22"/>
  <c r="CC60" i="22" s="1"/>
  <c r="BX37" i="22"/>
  <c r="BX39" i="22" s="1"/>
  <c r="BS41" i="22"/>
  <c r="CE40" i="22"/>
  <c r="AT128" i="22"/>
  <c r="AT130" i="22" s="1"/>
  <c r="AO132" i="22"/>
  <c r="AY97" i="22"/>
  <c r="AT149" i="22"/>
  <c r="AT151" i="22" s="1"/>
  <c r="AO153" i="22"/>
  <c r="BI103" i="22"/>
  <c r="CE61" i="22"/>
  <c r="CC173" i="22"/>
  <c r="AT121" i="22"/>
  <c r="AT123" i="22" s="1"/>
  <c r="AO125" i="22"/>
  <c r="CD89" i="22"/>
  <c r="CC90" i="22"/>
  <c r="CD34" i="22"/>
  <c r="CE33" i="22"/>
  <c r="BX82" i="22"/>
  <c r="BS83" i="22"/>
  <c r="BD97" i="22"/>
  <c r="BI96" i="22"/>
  <c r="CE26" i="22"/>
  <c r="CD27" i="22"/>
  <c r="CD68" i="22"/>
  <c r="CC69" i="22"/>
  <c r="AT139" i="22" l="1"/>
  <c r="AY156" i="22"/>
  <c r="AY158" i="22" s="1"/>
  <c r="AT160" i="22"/>
  <c r="BN103" i="22"/>
  <c r="CD58" i="22"/>
  <c r="CD60" i="22" s="1"/>
  <c r="CC62" i="22"/>
  <c r="AT132" i="22"/>
  <c r="AY128" i="22"/>
  <c r="AY130" i="22" s="1"/>
  <c r="BD142" i="22"/>
  <c r="BD144" i="22" s="1"/>
  <c r="AY146" i="22"/>
  <c r="CE68" i="22"/>
  <c r="CD69" i="22"/>
  <c r="CC82" i="22"/>
  <c r="BX83" i="22"/>
  <c r="CE89" i="22"/>
  <c r="CD90" i="22"/>
  <c r="AT153" i="22"/>
  <c r="AY149" i="22"/>
  <c r="AY151" i="22" s="1"/>
  <c r="BN96" i="22"/>
  <c r="BI97" i="22"/>
  <c r="CF33" i="22"/>
  <c r="CE34" i="22"/>
  <c r="CF40" i="22"/>
  <c r="BD135" i="22"/>
  <c r="BD137" i="22" s="1"/>
  <c r="AY139" i="22"/>
  <c r="CG14" i="22"/>
  <c r="AY100" i="22"/>
  <c r="AY102" i="22" s="1"/>
  <c r="AT104" i="22"/>
  <c r="AY114" i="22"/>
  <c r="AY116" i="22" s="1"/>
  <c r="AT118" i="22"/>
  <c r="BN170" i="22"/>
  <c r="BN172" i="22" s="1"/>
  <c r="BI174" i="22"/>
  <c r="CC37" i="22"/>
  <c r="CC39" i="22" s="1"/>
  <c r="BX41" i="22"/>
  <c r="BD107" i="22"/>
  <c r="BD109" i="22" s="1"/>
  <c r="AY111" i="22"/>
  <c r="CF26" i="22"/>
  <c r="CE27" i="22"/>
  <c r="AT125" i="22"/>
  <c r="AY121" i="22"/>
  <c r="AY123" i="22" s="1"/>
  <c r="CD173" i="22"/>
  <c r="BD167" i="22"/>
  <c r="BI163" i="22"/>
  <c r="BI165" i="22" s="1"/>
  <c r="CG47" i="22"/>
  <c r="CF48" i="22"/>
  <c r="CF61" i="22"/>
  <c r="BD156" i="22" l="1"/>
  <c r="BD158" i="22" s="1"/>
  <c r="AY160" i="22"/>
  <c r="BS170" i="22"/>
  <c r="BS172" i="22" s="1"/>
  <c r="BN174" i="22"/>
  <c r="BD128" i="22"/>
  <c r="BD130" i="22" s="1"/>
  <c r="AY132" i="22"/>
  <c r="BS103" i="22"/>
  <c r="CG61" i="22"/>
  <c r="CG33" i="22"/>
  <c r="CF34" i="22"/>
  <c r="CE90" i="22"/>
  <c r="CF89" i="22"/>
  <c r="CE69" i="22"/>
  <c r="CF68" i="22"/>
  <c r="CH47" i="22"/>
  <c r="CH48" i="22" s="1"/>
  <c r="CG48" i="22"/>
  <c r="CE173" i="22"/>
  <c r="CG26" i="22"/>
  <c r="CF27" i="22"/>
  <c r="CD37" i="22"/>
  <c r="CD39" i="22" s="1"/>
  <c r="CC41" i="22"/>
  <c r="AY118" i="22"/>
  <c r="BD114" i="22"/>
  <c r="BD116" i="22" s="1"/>
  <c r="CH14" i="22"/>
  <c r="CG40" i="22"/>
  <c r="BI167" i="22"/>
  <c r="BN163" i="22"/>
  <c r="BN165" i="22" s="1"/>
  <c r="AY125" i="22"/>
  <c r="BD121" i="22"/>
  <c r="BD123" i="22" s="1"/>
  <c r="BN97" i="22"/>
  <c r="BS96" i="22"/>
  <c r="CC83" i="22"/>
  <c r="CD82" i="22"/>
  <c r="BD146" i="22"/>
  <c r="BI142" i="22"/>
  <c r="BI144" i="22" s="1"/>
  <c r="CE58" i="22"/>
  <c r="CE60" i="22" s="1"/>
  <c r="CD62" i="22"/>
  <c r="BD111" i="22"/>
  <c r="BI107" i="22"/>
  <c r="BI109" i="22" s="1"/>
  <c r="BD100" i="22"/>
  <c r="BD102" i="22" s="1"/>
  <c r="AY104" i="22"/>
  <c r="BD139" i="22"/>
  <c r="BI135" i="22"/>
  <c r="BI137" i="22" s="1"/>
  <c r="AY153" i="22"/>
  <c r="BD149" i="22"/>
  <c r="BD151" i="22" s="1"/>
  <c r="BD160" i="22" l="1"/>
  <c r="BI156" i="22"/>
  <c r="BI158" i="22" s="1"/>
  <c r="BI128" i="22"/>
  <c r="BI130" i="22" s="1"/>
  <c r="BD132" i="22"/>
  <c r="BI149" i="22"/>
  <c r="BI151" i="22" s="1"/>
  <c r="BD153" i="22"/>
  <c r="CH40" i="22"/>
  <c r="BD118" i="22"/>
  <c r="BI114" i="22"/>
  <c r="BI116" i="22" s="1"/>
  <c r="BX103" i="22"/>
  <c r="BI100" i="22"/>
  <c r="BI102" i="22" s="1"/>
  <c r="BD104" i="22"/>
  <c r="CF58" i="22"/>
  <c r="CF60" i="22" s="1"/>
  <c r="CE62" i="22"/>
  <c r="BN167" i="22"/>
  <c r="BS163" i="22"/>
  <c r="BS165" i="22" s="1"/>
  <c r="CH26" i="22"/>
  <c r="CH27" i="22" s="1"/>
  <c r="CG27" i="22"/>
  <c r="CG34" i="22"/>
  <c r="CH33" i="22"/>
  <c r="CH34" i="22" s="1"/>
  <c r="BI139" i="22"/>
  <c r="BN135" i="22"/>
  <c r="BN137" i="22" s="1"/>
  <c r="BI111" i="22"/>
  <c r="BN107" i="22"/>
  <c r="BN109" i="22" s="1"/>
  <c r="BN142" i="22"/>
  <c r="BN144" i="22" s="1"/>
  <c r="BI146" i="22"/>
  <c r="CF173" i="22"/>
  <c r="CF90" i="22"/>
  <c r="CG89" i="22"/>
  <c r="CH61" i="22"/>
  <c r="CD83" i="22"/>
  <c r="CE82" i="22"/>
  <c r="CF69" i="22"/>
  <c r="CG68" i="22"/>
  <c r="BD125" i="22"/>
  <c r="BI121" i="22"/>
  <c r="BI123" i="22" s="1"/>
  <c r="CE37" i="22"/>
  <c r="CE39" i="22" s="1"/>
  <c r="CD41" i="22"/>
  <c r="BS97" i="22"/>
  <c r="BX96" i="22"/>
  <c r="BX170" i="22"/>
  <c r="BX172" i="22" s="1"/>
  <c r="BS174" i="22"/>
  <c r="BN156" i="22" l="1"/>
  <c r="BN158" i="22" s="1"/>
  <c r="BI160" i="22"/>
  <c r="CH68" i="22"/>
  <c r="CH69" i="22" s="1"/>
  <c r="CG69" i="22"/>
  <c r="BN100" i="22"/>
  <c r="BN102" i="22" s="1"/>
  <c r="BI104" i="22"/>
  <c r="BN149" i="22"/>
  <c r="BN151" i="22" s="1"/>
  <c r="BI153" i="22"/>
  <c r="CC170" i="22"/>
  <c r="CC172" i="22" s="1"/>
  <c r="BX174" i="22"/>
  <c r="BI125" i="22"/>
  <c r="BN121" i="22"/>
  <c r="BN123" i="22" s="1"/>
  <c r="CF82" i="22"/>
  <c r="CE83" i="22"/>
  <c r="CH89" i="22"/>
  <c r="CH90" i="22" s="1"/>
  <c r="CG90" i="22"/>
  <c r="BS142" i="22"/>
  <c r="BS144" i="22" s="1"/>
  <c r="BN146" i="22"/>
  <c r="CG58" i="22"/>
  <c r="CG60" i="22" s="1"/>
  <c r="CF62" i="22"/>
  <c r="CC103" i="22"/>
  <c r="BI132" i="22"/>
  <c r="BN128" i="22"/>
  <c r="BN130" i="22" s="1"/>
  <c r="BS107" i="22"/>
  <c r="BS109" i="22" s="1"/>
  <c r="BN111" i="22"/>
  <c r="BS167" i="22"/>
  <c r="BX163" i="22"/>
  <c r="BX165" i="22" s="1"/>
  <c r="BN114" i="22"/>
  <c r="BN116" i="22" s="1"/>
  <c r="BI118" i="22"/>
  <c r="BX97" i="22"/>
  <c r="CC96" i="22"/>
  <c r="CG173" i="22"/>
  <c r="CF37" i="22"/>
  <c r="CF39" i="22" s="1"/>
  <c r="CE41" i="22"/>
  <c r="BS135" i="22"/>
  <c r="BS137" i="22" s="1"/>
  <c r="BN139" i="22"/>
  <c r="BN160" i="22" l="1"/>
  <c r="BS156" i="22"/>
  <c r="BS158" i="22" s="1"/>
  <c r="BS146" i="22"/>
  <c r="BX142" i="22"/>
  <c r="BX144" i="22" s="1"/>
  <c r="BS100" i="22"/>
  <c r="BS102" i="22" s="1"/>
  <c r="BN104" i="22"/>
  <c r="CH173" i="22"/>
  <c r="BN153" i="22"/>
  <c r="BS149" i="22"/>
  <c r="BS151" i="22" s="1"/>
  <c r="CG37" i="22"/>
  <c r="CG39" i="22" s="1"/>
  <c r="CF41" i="22"/>
  <c r="BN118" i="22"/>
  <c r="BS114" i="22"/>
  <c r="CD96" i="22"/>
  <c r="CC97" i="22"/>
  <c r="CD103" i="22"/>
  <c r="CG82" i="22"/>
  <c r="CF83" i="22"/>
  <c r="BX135" i="22"/>
  <c r="BX137" i="22" s="1"/>
  <c r="BS139" i="22"/>
  <c r="BX167" i="22"/>
  <c r="CC163" i="22"/>
  <c r="CC165" i="22" s="1"/>
  <c r="BN132" i="22"/>
  <c r="BS128" i="22"/>
  <c r="BS130" i="22" s="1"/>
  <c r="BN125" i="22"/>
  <c r="BS121" i="22"/>
  <c r="BS123" i="22" s="1"/>
  <c r="BX107" i="22"/>
  <c r="BX109" i="22" s="1"/>
  <c r="BS111" i="22"/>
  <c r="CD170" i="22"/>
  <c r="CD172" i="22" s="1"/>
  <c r="CC174" i="22"/>
  <c r="CH58" i="22"/>
  <c r="CH60" i="22" s="1"/>
  <c r="CH62" i="22" s="1"/>
  <c r="CG62" i="22"/>
  <c r="BS160" i="22" l="1"/>
  <c r="BX156" i="22"/>
  <c r="BX158" i="22" s="1"/>
  <c r="CD163" i="22"/>
  <c r="CD165" i="22" s="1"/>
  <c r="CC167" i="22"/>
  <c r="CH37" i="22"/>
  <c r="CH39" i="22" s="1"/>
  <c r="CH41" i="22" s="1"/>
  <c r="CG41" i="22"/>
  <c r="BX100" i="22"/>
  <c r="BX102" i="22" s="1"/>
  <c r="BS104" i="22"/>
  <c r="CG83" i="22"/>
  <c r="CH82" i="22"/>
  <c r="CH83" i="22" s="1"/>
  <c r="BS153" i="22"/>
  <c r="BX149" i="22"/>
  <c r="BX151" i="22" s="1"/>
  <c r="BX146" i="22"/>
  <c r="CC142" i="22"/>
  <c r="CE103" i="22"/>
  <c r="CC107" i="22"/>
  <c r="CC109" i="22" s="1"/>
  <c r="BX111" i="22"/>
  <c r="CC135" i="22"/>
  <c r="CC137" i="22" s="1"/>
  <c r="BX139" i="22"/>
  <c r="CE96" i="22"/>
  <c r="CD97" i="22"/>
  <c r="BS125" i="22"/>
  <c r="BX121" i="22"/>
  <c r="BX123" i="22" s="1"/>
  <c r="CE170" i="22"/>
  <c r="CE172" i="22" s="1"/>
  <c r="CD174" i="22"/>
  <c r="BS115" i="22"/>
  <c r="BS116" i="22" s="1"/>
  <c r="BX128" i="22"/>
  <c r="BX130" i="22" s="1"/>
  <c r="BS132" i="22"/>
  <c r="CC143" i="22" l="1"/>
  <c r="CC144" i="22" s="1"/>
  <c r="BX160" i="22"/>
  <c r="CC156" i="22"/>
  <c r="CC158" i="22" s="1"/>
  <c r="CC128" i="22"/>
  <c r="CC130" i="22" s="1"/>
  <c r="BX132" i="22"/>
  <c r="CF170" i="22"/>
  <c r="CF172" i="22" s="1"/>
  <c r="CE174" i="22"/>
  <c r="CF103" i="22"/>
  <c r="CC149" i="22"/>
  <c r="BX153" i="22"/>
  <c r="BS118" i="22"/>
  <c r="BX114" i="22"/>
  <c r="BX116" i="22" s="1"/>
  <c r="BX125" i="22"/>
  <c r="CC121" i="22"/>
  <c r="CC123" i="22" s="1"/>
  <c r="CC100" i="22"/>
  <c r="BX104" i="22"/>
  <c r="CC111" i="22"/>
  <c r="CD107" i="22"/>
  <c r="CD109" i="22" s="1"/>
  <c r="CC139" i="22"/>
  <c r="CD135" i="22"/>
  <c r="CE97" i="22"/>
  <c r="CF96" i="22"/>
  <c r="CD167" i="22"/>
  <c r="CE163" i="22"/>
  <c r="CE165" i="22" s="1"/>
  <c r="CC146" i="22" l="1"/>
  <c r="CD142" i="22"/>
  <c r="CD144" i="22" s="1"/>
  <c r="CE142" i="22" s="1"/>
  <c r="CE144" i="22" s="1"/>
  <c r="CC101" i="22"/>
  <c r="CC102" i="22" s="1"/>
  <c r="CC150" i="22"/>
  <c r="CC151" i="22" s="1"/>
  <c r="CD136" i="22"/>
  <c r="CD137" i="22" s="1"/>
  <c r="CC160" i="22"/>
  <c r="CD156" i="22"/>
  <c r="CD158" i="22" s="1"/>
  <c r="CG96" i="22"/>
  <c r="CF97" i="22"/>
  <c r="CD146" i="22"/>
  <c r="CG170" i="22"/>
  <c r="CG172" i="22" s="1"/>
  <c r="CF174" i="22"/>
  <c r="CE167" i="22"/>
  <c r="CF163" i="22"/>
  <c r="CF165" i="22" s="1"/>
  <c r="CG103" i="22"/>
  <c r="CD128" i="22"/>
  <c r="CD130" i="22" s="1"/>
  <c r="CC132" i="22"/>
  <c r="CC125" i="22"/>
  <c r="CD121" i="22"/>
  <c r="CD123" i="22" s="1"/>
  <c r="CE107" i="22"/>
  <c r="CE109" i="22" s="1"/>
  <c r="CD111" i="22"/>
  <c r="BX118" i="22"/>
  <c r="CC114" i="22"/>
  <c r="CC116" i="22" s="1"/>
  <c r="CC153" i="22" l="1"/>
  <c r="CD149" i="22"/>
  <c r="CD151" i="22" s="1"/>
  <c r="CD153" i="22" s="1"/>
  <c r="CE135" i="22"/>
  <c r="CE137" i="22" s="1"/>
  <c r="CD139" i="22"/>
  <c r="CD100" i="22"/>
  <c r="CD102" i="22" s="1"/>
  <c r="CC104" i="22"/>
  <c r="CD160" i="22"/>
  <c r="CE156" i="22"/>
  <c r="CE158" i="22" s="1"/>
  <c r="CD132" i="22"/>
  <c r="CE128" i="22"/>
  <c r="CE130" i="22" s="1"/>
  <c r="CH170" i="22"/>
  <c r="CH172" i="22" s="1"/>
  <c r="CH174" i="22" s="1"/>
  <c r="CG174" i="22"/>
  <c r="CF167" i="22"/>
  <c r="CG163" i="22"/>
  <c r="CG165" i="22" s="1"/>
  <c r="CH103" i="22"/>
  <c r="CD114" i="22"/>
  <c r="CD116" i="22" s="1"/>
  <c r="CC118" i="22"/>
  <c r="CC18" i="22"/>
  <c r="CF135" i="22"/>
  <c r="CF137" i="22" s="1"/>
  <c r="CE139" i="22"/>
  <c r="CD125" i="22"/>
  <c r="CE121" i="22"/>
  <c r="CE123" i="22" s="1"/>
  <c r="CE146" i="22"/>
  <c r="CF142" i="22"/>
  <c r="CF144" i="22" s="1"/>
  <c r="CF107" i="22"/>
  <c r="CF109" i="22" s="1"/>
  <c r="CE111" i="22"/>
  <c r="CE100" i="22"/>
  <c r="CE102" i="22" s="1"/>
  <c r="CD104" i="22"/>
  <c r="CH96" i="22"/>
  <c r="CH97" i="22" s="1"/>
  <c r="CG97" i="22"/>
  <c r="CE149" i="22" l="1"/>
  <c r="CE151" i="22" s="1"/>
  <c r="CE153" i="22" s="1"/>
  <c r="CF156" i="22"/>
  <c r="CF158" i="22" s="1"/>
  <c r="CE160" i="22"/>
  <c r="CF128" i="22"/>
  <c r="CF130" i="22" s="1"/>
  <c r="CE132" i="22"/>
  <c r="CF111" i="22"/>
  <c r="CG107" i="22"/>
  <c r="CG109" i="22" s="1"/>
  <c r="CF139" i="22"/>
  <c r="CG135" i="22"/>
  <c r="CG137" i="22" s="1"/>
  <c r="CF100" i="22"/>
  <c r="CF102" i="22" s="1"/>
  <c r="CE104" i="22"/>
  <c r="CF146" i="22"/>
  <c r="CG142" i="22"/>
  <c r="CG144" i="22" s="1"/>
  <c r="CE125" i="22"/>
  <c r="CF121" i="22"/>
  <c r="CF123" i="22" s="1"/>
  <c r="CF149" i="22"/>
  <c r="CF151" i="22" s="1"/>
  <c r="CH163" i="22"/>
  <c r="CH165" i="22" s="1"/>
  <c r="CH167" i="22" s="1"/>
  <c r="CG167" i="22"/>
  <c r="CE114" i="22"/>
  <c r="CE116" i="22" s="1"/>
  <c r="CD118" i="22"/>
  <c r="CD18" i="22"/>
  <c r="CD96" i="15" s="1"/>
  <c r="H5" i="18"/>
  <c r="H5" i="17"/>
  <c r="H5" i="16"/>
  <c r="AO200" i="15"/>
  <c r="AT200" i="15" s="1"/>
  <c r="AY200" i="15" s="1"/>
  <c r="AZ200" i="15" s="1"/>
  <c r="BA200" i="15" s="1"/>
  <c r="BB200" i="15" s="1"/>
  <c r="BC200" i="15" s="1"/>
  <c r="AP197" i="15"/>
  <c r="AK197" i="15"/>
  <c r="AF197" i="15"/>
  <c r="AA197" i="15"/>
  <c r="V197" i="15"/>
  <c r="Q197" i="15"/>
  <c r="CB197" i="15"/>
  <c r="CA197" i="15"/>
  <c r="BZ197" i="15"/>
  <c r="BY197" i="15"/>
  <c r="BV197" i="15"/>
  <c r="BU197" i="15"/>
  <c r="BJ197" i="15"/>
  <c r="BE197" i="15"/>
  <c r="AZ197" i="15"/>
  <c r="AU197" i="15"/>
  <c r="CB196" i="15"/>
  <c r="CA196" i="15"/>
  <c r="BZ196" i="15"/>
  <c r="AX196" i="15"/>
  <c r="AW196" i="15"/>
  <c r="AV196" i="15"/>
  <c r="AU196" i="15"/>
  <c r="AR196" i="15"/>
  <c r="AQ196" i="15"/>
  <c r="AP196" i="15"/>
  <c r="AN196" i="15"/>
  <c r="AM196" i="15"/>
  <c r="AL196" i="15"/>
  <c r="AK196" i="15"/>
  <c r="AI196" i="15"/>
  <c r="AH196" i="15"/>
  <c r="AG196" i="15"/>
  <c r="AF196" i="15"/>
  <c r="AD196" i="15"/>
  <c r="AC196" i="15"/>
  <c r="AB196" i="15"/>
  <c r="AA196" i="15"/>
  <c r="Y196" i="15"/>
  <c r="X196" i="15"/>
  <c r="W196" i="15"/>
  <c r="V196" i="15"/>
  <c r="T196" i="15"/>
  <c r="S196" i="15"/>
  <c r="R196" i="15"/>
  <c r="Q196" i="15"/>
  <c r="CB191" i="15"/>
  <c r="CB195" i="15" s="1"/>
  <c r="CA191" i="15"/>
  <c r="CA195" i="15" s="1"/>
  <c r="BZ191" i="15"/>
  <c r="BZ195" i="15" s="1"/>
  <c r="BV191" i="15"/>
  <c r="BU191" i="15"/>
  <c r="BT191" i="15"/>
  <c r="BT195" i="15" s="1"/>
  <c r="BS191" i="15"/>
  <c r="BS98" i="4" s="1"/>
  <c r="BR191" i="15"/>
  <c r="BR195" i="15" s="1"/>
  <c r="BQ191" i="15"/>
  <c r="BQ195" i="15" s="1"/>
  <c r="BP191" i="15"/>
  <c r="BP195" i="15" s="1"/>
  <c r="BO191" i="15"/>
  <c r="BO195" i="15" s="1"/>
  <c r="BN191" i="15"/>
  <c r="BN98" i="4" s="1"/>
  <c r="BM191" i="15"/>
  <c r="BM195" i="15" s="1"/>
  <c r="BL191" i="15"/>
  <c r="BL195" i="15" s="1"/>
  <c r="BK191" i="15"/>
  <c r="BK195" i="15" s="1"/>
  <c r="BJ191" i="15"/>
  <c r="BJ195" i="15" s="1"/>
  <c r="BI191" i="15"/>
  <c r="BI98" i="4" s="1"/>
  <c r="BH191" i="15"/>
  <c r="BH195" i="15" s="1"/>
  <c r="BG191" i="15"/>
  <c r="BG195" i="15" s="1"/>
  <c r="BF191" i="15"/>
  <c r="BF195" i="15" s="1"/>
  <c r="BE191" i="15"/>
  <c r="BE195" i="15" s="1"/>
  <c r="BD191" i="15"/>
  <c r="BD98" i="4" s="1"/>
  <c r="BC191" i="15"/>
  <c r="BC195" i="15" s="1"/>
  <c r="BB191" i="15"/>
  <c r="BB195" i="15" s="1"/>
  <c r="BA191" i="15"/>
  <c r="BA195" i="15" s="1"/>
  <c r="AZ191" i="15"/>
  <c r="AZ195" i="15" s="1"/>
  <c r="AY191" i="15"/>
  <c r="AY98" i="4" s="1"/>
  <c r="AX191" i="15"/>
  <c r="AX195" i="15" s="1"/>
  <c r="AW191" i="15"/>
  <c r="AW195" i="15" s="1"/>
  <c r="AV191" i="15"/>
  <c r="AV195" i="15" s="1"/>
  <c r="AU191" i="15"/>
  <c r="AU195" i="15" s="1"/>
  <c r="AT191" i="15"/>
  <c r="AT98" i="4" s="1"/>
  <c r="AS191" i="15"/>
  <c r="AS195" i="15" s="1"/>
  <c r="AR191" i="15"/>
  <c r="AR195" i="15" s="1"/>
  <c r="AQ191" i="15"/>
  <c r="AQ195" i="15" s="1"/>
  <c r="AP191" i="15"/>
  <c r="AP195" i="15" s="1"/>
  <c r="AO191" i="15"/>
  <c r="AO98" i="4" s="1"/>
  <c r="AN191" i="15"/>
  <c r="AN195" i="15" s="1"/>
  <c r="AM191" i="15"/>
  <c r="AM195" i="15" s="1"/>
  <c r="AL191" i="15"/>
  <c r="AL195" i="15" s="1"/>
  <c r="AK191" i="15"/>
  <c r="AK195" i="15" s="1"/>
  <c r="AJ191" i="15"/>
  <c r="AJ98" i="4" s="1"/>
  <c r="AI191" i="15"/>
  <c r="AI98" i="4" s="1"/>
  <c r="AH191" i="15"/>
  <c r="AH98" i="4" s="1"/>
  <c r="AG191" i="15"/>
  <c r="AG98" i="4" s="1"/>
  <c r="AF191" i="15"/>
  <c r="AF98" i="4" s="1"/>
  <c r="AE191" i="15"/>
  <c r="AE98" i="4" s="1"/>
  <c r="AD191" i="15"/>
  <c r="AD98" i="4" s="1"/>
  <c r="AC191" i="15"/>
  <c r="AC98" i="4" s="1"/>
  <c r="AB191" i="15"/>
  <c r="AB98" i="4" s="1"/>
  <c r="AA191" i="15"/>
  <c r="AA98" i="4" s="1"/>
  <c r="Z191" i="15"/>
  <c r="Z98" i="4" s="1"/>
  <c r="Y191" i="15"/>
  <c r="Y98" i="4" s="1"/>
  <c r="X191" i="15"/>
  <c r="X98" i="4" s="1"/>
  <c r="W191" i="15"/>
  <c r="W98" i="4" s="1"/>
  <c r="V191" i="15"/>
  <c r="V98" i="4" s="1"/>
  <c r="U191" i="15"/>
  <c r="U98" i="4" s="1"/>
  <c r="T191" i="15"/>
  <c r="T98" i="4" s="1"/>
  <c r="S191" i="15"/>
  <c r="S98" i="4" s="1"/>
  <c r="R191" i="15"/>
  <c r="R98" i="4" s="1"/>
  <c r="Q191" i="15"/>
  <c r="Q98" i="4" s="1"/>
  <c r="P191" i="15"/>
  <c r="P98" i="4" s="1"/>
  <c r="P99" i="4" s="1"/>
  <c r="O191" i="15"/>
  <c r="O98" i="4" s="1"/>
  <c r="O99" i="4" s="1"/>
  <c r="N191" i="15"/>
  <c r="N98" i="4" s="1"/>
  <c r="N99" i="4" s="1"/>
  <c r="M191" i="15"/>
  <c r="M98" i="4" s="1"/>
  <c r="M99" i="4" s="1"/>
  <c r="L191" i="15"/>
  <c r="L98" i="4" s="1"/>
  <c r="L99" i="4" s="1"/>
  <c r="P190" i="15"/>
  <c r="O190" i="15"/>
  <c r="N190" i="15"/>
  <c r="M190" i="15"/>
  <c r="L190" i="15"/>
  <c r="BU189" i="15"/>
  <c r="BT189" i="15"/>
  <c r="BS189" i="15"/>
  <c r="BR189" i="15"/>
  <c r="BQ189" i="15"/>
  <c r="BP189" i="15"/>
  <c r="BO189" i="15"/>
  <c r="BN189" i="15"/>
  <c r="BM189" i="15"/>
  <c r="BL189" i="15"/>
  <c r="BK189" i="15"/>
  <c r="BJ189" i="15"/>
  <c r="BI189" i="15"/>
  <c r="BH189" i="15"/>
  <c r="BG189" i="15"/>
  <c r="BF189" i="15"/>
  <c r="BE189" i="15"/>
  <c r="BD189" i="15"/>
  <c r="BC189" i="15"/>
  <c r="BB189" i="15"/>
  <c r="BA189" i="15"/>
  <c r="AZ189" i="15"/>
  <c r="AY189" i="15"/>
  <c r="AX189" i="15"/>
  <c r="AW189" i="15"/>
  <c r="AV189" i="15"/>
  <c r="AU189" i="15"/>
  <c r="AT189" i="15"/>
  <c r="AS189" i="15"/>
  <c r="AR189" i="15"/>
  <c r="AQ189" i="15"/>
  <c r="AP189" i="15"/>
  <c r="AO189" i="15"/>
  <c r="AN189" i="15"/>
  <c r="AM189" i="15"/>
  <c r="AL189" i="15"/>
  <c r="AK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BU188" i="15"/>
  <c r="BT188" i="15"/>
  <c r="BS188" i="15"/>
  <c r="BR188" i="15"/>
  <c r="BR124" i="15" s="1"/>
  <c r="BR131" i="15" s="1"/>
  <c r="BQ188" i="15"/>
  <c r="BQ124" i="15" s="1"/>
  <c r="BQ131" i="15" s="1"/>
  <c r="BP188" i="15"/>
  <c r="BP124" i="15" s="1"/>
  <c r="BP131" i="15" s="1"/>
  <c r="BO188" i="15"/>
  <c r="BN188" i="15"/>
  <c r="BM188" i="15"/>
  <c r="BM124" i="15" s="1"/>
  <c r="BM131" i="15" s="1"/>
  <c r="BL188" i="15"/>
  <c r="BL124" i="15" s="1"/>
  <c r="BL131" i="15" s="1"/>
  <c r="BK188" i="15"/>
  <c r="BK124" i="15" s="1"/>
  <c r="BK131" i="15" s="1"/>
  <c r="BJ188" i="15"/>
  <c r="BI188" i="15"/>
  <c r="BH188" i="15"/>
  <c r="BH124" i="15" s="1"/>
  <c r="BH131" i="15" s="1"/>
  <c r="BG188" i="15"/>
  <c r="BG123" i="15" s="1"/>
  <c r="BG132" i="15" s="1"/>
  <c r="BF188" i="15"/>
  <c r="BF123" i="15" s="1"/>
  <c r="BF132" i="15" s="1"/>
  <c r="BE188" i="15"/>
  <c r="BD188" i="15"/>
  <c r="BC188" i="15"/>
  <c r="BC124" i="15" s="1"/>
  <c r="BC131" i="15" s="1"/>
  <c r="BB188" i="15"/>
  <c r="BB124" i="15" s="1"/>
  <c r="BB131" i="15" s="1"/>
  <c r="BA188" i="15"/>
  <c r="BA124" i="15" s="1"/>
  <c r="BA131" i="15" s="1"/>
  <c r="AZ188" i="15"/>
  <c r="AY188" i="15"/>
  <c r="AX188" i="15"/>
  <c r="AX124" i="15" s="1"/>
  <c r="AX131" i="15" s="1"/>
  <c r="AW188" i="15"/>
  <c r="AW124" i="15" s="1"/>
  <c r="AW131" i="15" s="1"/>
  <c r="AV188" i="15"/>
  <c r="AV124" i="15" s="1"/>
  <c r="AV131" i="15" s="1"/>
  <c r="AU188" i="15"/>
  <c r="AT188" i="15"/>
  <c r="AS188" i="15"/>
  <c r="AS124" i="15" s="1"/>
  <c r="AS131" i="15" s="1"/>
  <c r="AR188" i="15"/>
  <c r="AR124" i="15" s="1"/>
  <c r="AR131" i="15" s="1"/>
  <c r="AQ188" i="15"/>
  <c r="AQ124" i="15" s="1"/>
  <c r="AQ131" i="15" s="1"/>
  <c r="AP188" i="15"/>
  <c r="AO188" i="15"/>
  <c r="AN188" i="15"/>
  <c r="AN124" i="15" s="1"/>
  <c r="AN131" i="15" s="1"/>
  <c r="AM188" i="15"/>
  <c r="AM124" i="15" s="1"/>
  <c r="AM131" i="15" s="1"/>
  <c r="AL188" i="15"/>
  <c r="AL124" i="15" s="1"/>
  <c r="AL131" i="15" s="1"/>
  <c r="AK188" i="15"/>
  <c r="AJ188" i="15"/>
  <c r="AI188" i="15"/>
  <c r="AI124" i="15" s="1"/>
  <c r="AI131" i="15" s="1"/>
  <c r="AH188" i="15"/>
  <c r="AH124" i="15" s="1"/>
  <c r="AH131" i="15" s="1"/>
  <c r="AG188" i="15"/>
  <c r="AG124" i="15" s="1"/>
  <c r="AG131" i="15" s="1"/>
  <c r="AF188" i="15"/>
  <c r="AE188" i="15"/>
  <c r="AD188" i="15"/>
  <c r="AD124" i="15" s="1"/>
  <c r="AD131" i="15" s="1"/>
  <c r="AC188" i="15"/>
  <c r="AC124" i="15" s="1"/>
  <c r="AC131" i="15" s="1"/>
  <c r="AB188" i="15"/>
  <c r="AB124" i="15" s="1"/>
  <c r="AB131" i="15" s="1"/>
  <c r="AA188" i="15"/>
  <c r="Z188" i="15"/>
  <c r="Y188" i="15"/>
  <c r="Y124" i="15" s="1"/>
  <c r="Y131" i="15" s="1"/>
  <c r="X188" i="15"/>
  <c r="X124" i="15" s="1"/>
  <c r="X131" i="15" s="1"/>
  <c r="W188" i="15"/>
  <c r="W124" i="15" s="1"/>
  <c r="W131" i="15" s="1"/>
  <c r="V188" i="15"/>
  <c r="U188" i="15"/>
  <c r="T188" i="15"/>
  <c r="T124" i="15" s="1"/>
  <c r="T131" i="15" s="1"/>
  <c r="S188" i="15"/>
  <c r="S123" i="15" s="1"/>
  <c r="S132" i="15" s="1"/>
  <c r="R188" i="15"/>
  <c r="R124" i="15" s="1"/>
  <c r="R131" i="15" s="1"/>
  <c r="Q188" i="15"/>
  <c r="P188" i="15"/>
  <c r="O188" i="15"/>
  <c r="N188" i="15"/>
  <c r="M188" i="15"/>
  <c r="L188" i="15"/>
  <c r="P187" i="15"/>
  <c r="P127" i="15" s="1"/>
  <c r="O187" i="15"/>
  <c r="O127" i="15" s="1"/>
  <c r="N187" i="15"/>
  <c r="M187" i="15"/>
  <c r="M127" i="15" s="1"/>
  <c r="L187" i="15"/>
  <c r="L127" i="15" s="1"/>
  <c r="CH181" i="15"/>
  <c r="CG181" i="15"/>
  <c r="CF181" i="15"/>
  <c r="CE181" i="15"/>
  <c r="CD181" i="15"/>
  <c r="CC181" i="15"/>
  <c r="BT181" i="15"/>
  <c r="BR181" i="15"/>
  <c r="BQ181" i="15"/>
  <c r="BP181" i="15"/>
  <c r="BO181" i="15"/>
  <c r="BM181" i="15"/>
  <c r="BL181" i="15"/>
  <c r="BK181" i="15"/>
  <c r="BJ181" i="15"/>
  <c r="BH181" i="15"/>
  <c r="BG181" i="15"/>
  <c r="BF181" i="15"/>
  <c r="BE181" i="15"/>
  <c r="BC181" i="15"/>
  <c r="BB181" i="15"/>
  <c r="BA181" i="15"/>
  <c r="AZ181" i="15"/>
  <c r="AX181" i="15"/>
  <c r="AW181" i="15"/>
  <c r="AV181" i="15"/>
  <c r="AU181" i="15"/>
  <c r="AS181" i="15"/>
  <c r="AR181" i="15"/>
  <c r="AQ181" i="15"/>
  <c r="AP181" i="15"/>
  <c r="AN181" i="15"/>
  <c r="AM181" i="15"/>
  <c r="AL181" i="15"/>
  <c r="AK181" i="15"/>
  <c r="AI181" i="15"/>
  <c r="AH181" i="15"/>
  <c r="AG181" i="15"/>
  <c r="AF181" i="15"/>
  <c r="AD181" i="15"/>
  <c r="AC181" i="15"/>
  <c r="AB181" i="15"/>
  <c r="AA181" i="15"/>
  <c r="Y181" i="15"/>
  <c r="X181" i="15"/>
  <c r="W181" i="15"/>
  <c r="V181" i="15"/>
  <c r="T181" i="15"/>
  <c r="S181" i="15"/>
  <c r="R181" i="15"/>
  <c r="Q181" i="15"/>
  <c r="BS180" i="15"/>
  <c r="BS112" i="4" s="1"/>
  <c r="BS113" i="4" s="1"/>
  <c r="BS178" i="15"/>
  <c r="BN180" i="15"/>
  <c r="BN112" i="4" s="1"/>
  <c r="BN113" i="4" s="1"/>
  <c r="BN178" i="15"/>
  <c r="BI180" i="15"/>
  <c r="BI112" i="4" s="1"/>
  <c r="BI113" i="4" s="1"/>
  <c r="BI178" i="15"/>
  <c r="BD180" i="15"/>
  <c r="BD112" i="4" s="1"/>
  <c r="BD113" i="4" s="1"/>
  <c r="BD178" i="15"/>
  <c r="AY180" i="15"/>
  <c r="AY112" i="4" s="1"/>
  <c r="AY113" i="4" s="1"/>
  <c r="AY178" i="15"/>
  <c r="AT180" i="15"/>
  <c r="AT112" i="4" s="1"/>
  <c r="AT113" i="4" s="1"/>
  <c r="AT178" i="15"/>
  <c r="AO180" i="15"/>
  <c r="AO112" i="4" s="1"/>
  <c r="AO113" i="4" s="1"/>
  <c r="AO178" i="15"/>
  <c r="AJ180" i="15"/>
  <c r="AJ112" i="4" s="1"/>
  <c r="AJ113" i="4" s="1"/>
  <c r="AJ178" i="15"/>
  <c r="AE180" i="15"/>
  <c r="AE112" i="4" s="1"/>
  <c r="AE113" i="4" s="1"/>
  <c r="AE178" i="15"/>
  <c r="Z180" i="15"/>
  <c r="Z112" i="4" s="1"/>
  <c r="Z113" i="4" s="1"/>
  <c r="Z178" i="15"/>
  <c r="U180" i="15"/>
  <c r="U112" i="4" s="1"/>
  <c r="U113" i="4" s="1"/>
  <c r="U178" i="15"/>
  <c r="BT178" i="15"/>
  <c r="BT175" i="15"/>
  <c r="BR178" i="15"/>
  <c r="BQ178" i="15"/>
  <c r="BP178" i="15"/>
  <c r="BO178" i="15"/>
  <c r="BR175" i="15"/>
  <c r="BQ175" i="15"/>
  <c r="BP175" i="15"/>
  <c r="BO175" i="15"/>
  <c r="BM178" i="15"/>
  <c r="BL178" i="15"/>
  <c r="BK178" i="15"/>
  <c r="BJ178" i="15"/>
  <c r="BM175" i="15"/>
  <c r="BL175" i="15"/>
  <c r="BK175" i="15"/>
  <c r="BJ175" i="15"/>
  <c r="BH178" i="15"/>
  <c r="BG178" i="15"/>
  <c r="BF178" i="15"/>
  <c r="BE178" i="15"/>
  <c r="BH175" i="15"/>
  <c r="BG175" i="15"/>
  <c r="BF175" i="15"/>
  <c r="BE175" i="15"/>
  <c r="BC178" i="15"/>
  <c r="BB178" i="15"/>
  <c r="BA178" i="15"/>
  <c r="AZ178" i="15"/>
  <c r="BC175" i="15"/>
  <c r="BB175" i="15"/>
  <c r="BA175" i="15"/>
  <c r="AZ175" i="15"/>
  <c r="AX178" i="15"/>
  <c r="AW178" i="15"/>
  <c r="AV178" i="15"/>
  <c r="AU178" i="15"/>
  <c r="AX175" i="15"/>
  <c r="AW175" i="15"/>
  <c r="AV175" i="15"/>
  <c r="AU175" i="15"/>
  <c r="AS178" i="15"/>
  <c r="AR178" i="15"/>
  <c r="AQ178" i="15"/>
  <c r="AP178" i="15"/>
  <c r="AS175" i="15"/>
  <c r="AR175" i="15"/>
  <c r="AQ175" i="15"/>
  <c r="AP175" i="15"/>
  <c r="AN178" i="15"/>
  <c r="AM178" i="15"/>
  <c r="AL178" i="15"/>
  <c r="AK178" i="15"/>
  <c r="AN175" i="15"/>
  <c r="AM175" i="15"/>
  <c r="AL175" i="15"/>
  <c r="AK175" i="15"/>
  <c r="AI178" i="15"/>
  <c r="AH178" i="15"/>
  <c r="AG178" i="15"/>
  <c r="AF178" i="15"/>
  <c r="AI175" i="15"/>
  <c r="AH175" i="15"/>
  <c r="AG175" i="15"/>
  <c r="AF175" i="15"/>
  <c r="AD178" i="15"/>
  <c r="AC178" i="15"/>
  <c r="AB178" i="15"/>
  <c r="AA178" i="15"/>
  <c r="AD175" i="15"/>
  <c r="AC175" i="15"/>
  <c r="AB175" i="15"/>
  <c r="AA175" i="15"/>
  <c r="Y178" i="15"/>
  <c r="X178" i="15"/>
  <c r="W178" i="15"/>
  <c r="V178" i="15"/>
  <c r="Y175" i="15"/>
  <c r="X175" i="15"/>
  <c r="W175" i="15"/>
  <c r="V175" i="15"/>
  <c r="T178" i="15"/>
  <c r="S178" i="15"/>
  <c r="R178" i="15"/>
  <c r="Q178" i="15"/>
  <c r="T175" i="15"/>
  <c r="S175" i="15"/>
  <c r="R175" i="15"/>
  <c r="Q175" i="15"/>
  <c r="CH167" i="15"/>
  <c r="CG167" i="15"/>
  <c r="CF167" i="15"/>
  <c r="CE167" i="15"/>
  <c r="CD167" i="15"/>
  <c r="P152" i="15"/>
  <c r="O152" i="15"/>
  <c r="O153" i="15" s="1"/>
  <c r="N152" i="15"/>
  <c r="N153" i="15" s="1"/>
  <c r="M152" i="15"/>
  <c r="M153" i="15" s="1"/>
  <c r="L152" i="15"/>
  <c r="P147" i="15"/>
  <c r="P148" i="15" s="1"/>
  <c r="P80" i="4" s="1"/>
  <c r="O147" i="15"/>
  <c r="N147" i="15"/>
  <c r="M147" i="15"/>
  <c r="L147" i="15"/>
  <c r="P144" i="15"/>
  <c r="O144" i="15"/>
  <c r="N144" i="15"/>
  <c r="M144" i="15"/>
  <c r="L144" i="15"/>
  <c r="CH132" i="15"/>
  <c r="CH131" i="15"/>
  <c r="CH130" i="15"/>
  <c r="CG132" i="15"/>
  <c r="CG131" i="15"/>
  <c r="CG130" i="15"/>
  <c r="CF132" i="15"/>
  <c r="CF131" i="15"/>
  <c r="CF130" i="15"/>
  <c r="CE132" i="15"/>
  <c r="CE131" i="15"/>
  <c r="CE130" i="15"/>
  <c r="CD132" i="15"/>
  <c r="CD131" i="15"/>
  <c r="CD130" i="15"/>
  <c r="CC132" i="15"/>
  <c r="CC131" i="15"/>
  <c r="CC130" i="15"/>
  <c r="P132" i="15"/>
  <c r="O132" i="15"/>
  <c r="N132" i="15"/>
  <c r="M132" i="15"/>
  <c r="L132" i="15"/>
  <c r="P131" i="15"/>
  <c r="O131" i="15"/>
  <c r="N131" i="15"/>
  <c r="M131" i="15"/>
  <c r="L131" i="15"/>
  <c r="P130" i="15"/>
  <c r="O130" i="15"/>
  <c r="N130" i="15"/>
  <c r="M130" i="15"/>
  <c r="L130" i="15"/>
  <c r="N127" i="15"/>
  <c r="S124" i="15"/>
  <c r="S131" i="15" s="1"/>
  <c r="AS123" i="15"/>
  <c r="AS132" i="15" s="1"/>
  <c r="CH120" i="15"/>
  <c r="CG120" i="15"/>
  <c r="CF120" i="15"/>
  <c r="CE120" i="15"/>
  <c r="CD120" i="15"/>
  <c r="CC120" i="15"/>
  <c r="CB120" i="15"/>
  <c r="CA120" i="15"/>
  <c r="BZ120" i="15"/>
  <c r="BY120" i="15"/>
  <c r="BX120" i="15"/>
  <c r="BW120" i="15"/>
  <c r="BV120" i="15"/>
  <c r="BU120" i="15"/>
  <c r="BT120" i="15"/>
  <c r="BS120" i="15"/>
  <c r="BR120" i="15"/>
  <c r="BQ120" i="15"/>
  <c r="BP120" i="15"/>
  <c r="BO120" i="15"/>
  <c r="BN120" i="15"/>
  <c r="BM120" i="15"/>
  <c r="BL120" i="15"/>
  <c r="BK120" i="15"/>
  <c r="BJ120" i="15"/>
  <c r="BI120" i="15"/>
  <c r="BH120" i="15"/>
  <c r="BG120" i="15"/>
  <c r="BF120" i="15"/>
  <c r="BE120" i="15"/>
  <c r="BD120" i="15"/>
  <c r="BC120" i="15"/>
  <c r="BB120" i="15"/>
  <c r="BA120" i="15"/>
  <c r="AZ120" i="15"/>
  <c r="AY120" i="15"/>
  <c r="AX120" i="15"/>
  <c r="AW120" i="15"/>
  <c r="AV120" i="15"/>
  <c r="AU120" i="15"/>
  <c r="AT120" i="15"/>
  <c r="AS120" i="15"/>
  <c r="AR120" i="15"/>
  <c r="AQ120" i="15"/>
  <c r="AP120" i="15"/>
  <c r="AO120" i="15"/>
  <c r="AN120" i="15"/>
  <c r="AM120" i="15"/>
  <c r="AL120" i="15"/>
  <c r="AK120"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BS112" i="15"/>
  <c r="CH26" i="79" s="1"/>
  <c r="BS111" i="15"/>
  <c r="BS110" i="15"/>
  <c r="BS109" i="15"/>
  <c r="BS108" i="15"/>
  <c r="BS107" i="15"/>
  <c r="BS106" i="15"/>
  <c r="BS105" i="15"/>
  <c r="BN112" i="15"/>
  <c r="BN111" i="15"/>
  <c r="BN110" i="15"/>
  <c r="BN109" i="15"/>
  <c r="BN108" i="15"/>
  <c r="BN107" i="15"/>
  <c r="BN106" i="15"/>
  <c r="BN105" i="15"/>
  <c r="BI112" i="15"/>
  <c r="BI111" i="15"/>
  <c r="BI110" i="15"/>
  <c r="BI109" i="15"/>
  <c r="BI108" i="15"/>
  <c r="BI107" i="15"/>
  <c r="BI106" i="15"/>
  <c r="BI105" i="15"/>
  <c r="BD112" i="15"/>
  <c r="BD111" i="15"/>
  <c r="BD110" i="15"/>
  <c r="BD109" i="15"/>
  <c r="BD108" i="15"/>
  <c r="BD107" i="15"/>
  <c r="BD106" i="15"/>
  <c r="BD105" i="15"/>
  <c r="AY112" i="15"/>
  <c r="AY111" i="15"/>
  <c r="AY110" i="15"/>
  <c r="AY109" i="15"/>
  <c r="AY108" i="15"/>
  <c r="AY107" i="15"/>
  <c r="AY106" i="15"/>
  <c r="AY105" i="15"/>
  <c r="AT112" i="15"/>
  <c r="AT111" i="15"/>
  <c r="AT110" i="15"/>
  <c r="AT109" i="15"/>
  <c r="AT108" i="15"/>
  <c r="AT107" i="15"/>
  <c r="AT106" i="15"/>
  <c r="AT105" i="15"/>
  <c r="AO112" i="15"/>
  <c r="AO111" i="15"/>
  <c r="AO110" i="15"/>
  <c r="AO109" i="15"/>
  <c r="AO108" i="15"/>
  <c r="AO107" i="15"/>
  <c r="AO106" i="15"/>
  <c r="AO105" i="15"/>
  <c r="AJ112" i="15"/>
  <c r="AJ111" i="15"/>
  <c r="AJ110" i="15"/>
  <c r="AJ109" i="15"/>
  <c r="AJ108" i="15"/>
  <c r="AJ107" i="15"/>
  <c r="AJ106" i="15"/>
  <c r="AJ105" i="15"/>
  <c r="AE112" i="15"/>
  <c r="AE111" i="15"/>
  <c r="AE110" i="15"/>
  <c r="AE109" i="15"/>
  <c r="AE108" i="15"/>
  <c r="AE107" i="15"/>
  <c r="AE106" i="15"/>
  <c r="AE105" i="15"/>
  <c r="Z112" i="15"/>
  <c r="Z111" i="15"/>
  <c r="Z110" i="15"/>
  <c r="Z109" i="15"/>
  <c r="Z108" i="15"/>
  <c r="Z107" i="15"/>
  <c r="Z106" i="15"/>
  <c r="Z105" i="15"/>
  <c r="U112" i="15"/>
  <c r="U111" i="15"/>
  <c r="U110" i="15"/>
  <c r="U109" i="15"/>
  <c r="U108" i="15"/>
  <c r="U107" i="15"/>
  <c r="U106" i="15"/>
  <c r="U105" i="15"/>
  <c r="P112" i="15"/>
  <c r="P111" i="15"/>
  <c r="P110" i="15"/>
  <c r="P109" i="15"/>
  <c r="P108" i="15"/>
  <c r="P107" i="15"/>
  <c r="P106" i="15"/>
  <c r="P105" i="15"/>
  <c r="BO110" i="15"/>
  <c r="BO108" i="15"/>
  <c r="BT103" i="15"/>
  <c r="BT104" i="15" s="1"/>
  <c r="BR103" i="15"/>
  <c r="BR104" i="15" s="1"/>
  <c r="BW196" i="15" s="1"/>
  <c r="BQ103" i="15"/>
  <c r="BQ104" i="15" s="1"/>
  <c r="BP103" i="15"/>
  <c r="BP104" i="15" s="1"/>
  <c r="BM103" i="15"/>
  <c r="BM104" i="15" s="1"/>
  <c r="BL103" i="15"/>
  <c r="BL104" i="15" s="1"/>
  <c r="BK103" i="15"/>
  <c r="BK104" i="15" s="1"/>
  <c r="BJ103" i="15"/>
  <c r="BJ104" i="15" s="1"/>
  <c r="BH103" i="15"/>
  <c r="BH104" i="15" s="1"/>
  <c r="BG103" i="15"/>
  <c r="BG104" i="15" s="1"/>
  <c r="BF103" i="15"/>
  <c r="BF104" i="15" s="1"/>
  <c r="BE103" i="15"/>
  <c r="BE104" i="15" s="1"/>
  <c r="BC103" i="15"/>
  <c r="BC104" i="15" s="1"/>
  <c r="BB103" i="15"/>
  <c r="BB104" i="15" s="1"/>
  <c r="BA103" i="15"/>
  <c r="BA104" i="15" s="1"/>
  <c r="AZ103" i="15"/>
  <c r="AZ104" i="15" s="1"/>
  <c r="AX103" i="15"/>
  <c r="AX104" i="15" s="1"/>
  <c r="AW103" i="15"/>
  <c r="AW104" i="15" s="1"/>
  <c r="AV103" i="15"/>
  <c r="AV104" i="15" s="1"/>
  <c r="AU103" i="15"/>
  <c r="AU104" i="15" s="1"/>
  <c r="AS103" i="15"/>
  <c r="AS104" i="15" s="1"/>
  <c r="AR103" i="15"/>
  <c r="AR104" i="15" s="1"/>
  <c r="AQ103" i="15"/>
  <c r="AQ104" i="15" s="1"/>
  <c r="AP103" i="15"/>
  <c r="AP104" i="15" s="1"/>
  <c r="AN103" i="15"/>
  <c r="AN104" i="15" s="1"/>
  <c r="AM103" i="15"/>
  <c r="AM104" i="15" s="1"/>
  <c r="AL103" i="15"/>
  <c r="AL104" i="15" s="1"/>
  <c r="AK103" i="15"/>
  <c r="AK104" i="15" s="1"/>
  <c r="AI103" i="15"/>
  <c r="AI104" i="15" s="1"/>
  <c r="AH103" i="15"/>
  <c r="AH104" i="15" s="1"/>
  <c r="AG103" i="15"/>
  <c r="AG104" i="15" s="1"/>
  <c r="AF103" i="15"/>
  <c r="AF104" i="15" s="1"/>
  <c r="AD103" i="15"/>
  <c r="AD104" i="15" s="1"/>
  <c r="AC103" i="15"/>
  <c r="AC104" i="15" s="1"/>
  <c r="AB103" i="15"/>
  <c r="AB104" i="15" s="1"/>
  <c r="AA103" i="15"/>
  <c r="AA104" i="15" s="1"/>
  <c r="Y103" i="15"/>
  <c r="Y104" i="15" s="1"/>
  <c r="X103" i="15"/>
  <c r="X104" i="15" s="1"/>
  <c r="W103" i="15"/>
  <c r="W104" i="15" s="1"/>
  <c r="V103" i="15"/>
  <c r="V104" i="15" s="1"/>
  <c r="T103" i="15"/>
  <c r="U103" i="15" s="1"/>
  <c r="S103" i="15"/>
  <c r="S104" i="15" s="1"/>
  <c r="R103" i="15"/>
  <c r="R104" i="15" s="1"/>
  <c r="Q103" i="15"/>
  <c r="Q104" i="15" s="1"/>
  <c r="O103" i="15"/>
  <c r="O113" i="15" s="1"/>
  <c r="N103" i="15"/>
  <c r="N113" i="15" s="1"/>
  <c r="M103" i="15"/>
  <c r="M104" i="15" s="1"/>
  <c r="L103" i="15"/>
  <c r="L104" i="15" s="1"/>
  <c r="BT99" i="15"/>
  <c r="BT97" i="15" s="1"/>
  <c r="BR99" i="15"/>
  <c r="BS99" i="15" s="1"/>
  <c r="BQ99" i="15"/>
  <c r="BQ97" i="15" s="1"/>
  <c r="BP99" i="15"/>
  <c r="BP97" i="15" s="1"/>
  <c r="BO99" i="15"/>
  <c r="BO97" i="15" s="1"/>
  <c r="BM99" i="15"/>
  <c r="BN99" i="15" s="1"/>
  <c r="BL99" i="15"/>
  <c r="BL97" i="15" s="1"/>
  <c r="BK99" i="15"/>
  <c r="BK97" i="15" s="1"/>
  <c r="BJ99" i="15"/>
  <c r="BJ97" i="15" s="1"/>
  <c r="BH99" i="15"/>
  <c r="BI99" i="15" s="1"/>
  <c r="BG99" i="15"/>
  <c r="BG97" i="15" s="1"/>
  <c r="BF99" i="15"/>
  <c r="BE99" i="15"/>
  <c r="BE97" i="15" s="1"/>
  <c r="BC99" i="15"/>
  <c r="BB99" i="15"/>
  <c r="BB97" i="15" s="1"/>
  <c r="BA99" i="15"/>
  <c r="BA97" i="15" s="1"/>
  <c r="AZ99" i="15"/>
  <c r="AZ97" i="15" s="1"/>
  <c r="AX99" i="15"/>
  <c r="AY99" i="15" s="1"/>
  <c r="AW99" i="15"/>
  <c r="AV99" i="15"/>
  <c r="AV97" i="15" s="1"/>
  <c r="AU99" i="15"/>
  <c r="AU97" i="15" s="1"/>
  <c r="AS99" i="15"/>
  <c r="AT99" i="15" s="1"/>
  <c r="AR99" i="15"/>
  <c r="AQ99" i="15"/>
  <c r="AQ97" i="15" s="1"/>
  <c r="AP99" i="15"/>
  <c r="AP97" i="15" s="1"/>
  <c r="AN99" i="15"/>
  <c r="AO99" i="15" s="1"/>
  <c r="AM99" i="15"/>
  <c r="AM97" i="15" s="1"/>
  <c r="AL99" i="15"/>
  <c r="AK99" i="15"/>
  <c r="AK97" i="15" s="1"/>
  <c r="AI99" i="15"/>
  <c r="AJ99" i="15" s="1"/>
  <c r="AH99" i="15"/>
  <c r="AH97" i="15" s="1"/>
  <c r="AG99" i="15"/>
  <c r="AF99" i="15"/>
  <c r="AF97" i="15" s="1"/>
  <c r="AD99" i="15"/>
  <c r="AE99" i="15" s="1"/>
  <c r="AC99" i="15"/>
  <c r="AC97" i="15" s="1"/>
  <c r="AB99" i="15"/>
  <c r="AA99" i="15"/>
  <c r="AA97" i="15" s="1"/>
  <c r="Y99" i="15"/>
  <c r="Z99" i="15" s="1"/>
  <c r="X99" i="15"/>
  <c r="X97" i="15" s="1"/>
  <c r="W99" i="15"/>
  <c r="W97" i="15" s="1"/>
  <c r="V99" i="15"/>
  <c r="T99" i="15"/>
  <c r="U99" i="15" s="1"/>
  <c r="P99" i="15"/>
  <c r="P98" i="15"/>
  <c r="P96" i="15"/>
  <c r="BS98" i="15"/>
  <c r="BS96" i="15"/>
  <c r="BN98" i="15"/>
  <c r="BN96" i="15"/>
  <c r="BN18" i="22" s="1"/>
  <c r="BI98" i="15"/>
  <c r="BI96" i="15"/>
  <c r="BI18" i="22" s="1"/>
  <c r="BD98" i="15"/>
  <c r="BD96" i="15"/>
  <c r="BD18" i="22" s="1"/>
  <c r="AY98" i="15"/>
  <c r="AY96" i="15"/>
  <c r="AY18" i="22" s="1"/>
  <c r="AT98" i="15"/>
  <c r="AT96" i="15"/>
  <c r="AT18" i="22" s="1"/>
  <c r="AO98" i="15"/>
  <c r="AO96" i="15"/>
  <c r="AO18" i="22" s="1"/>
  <c r="AJ98" i="15"/>
  <c r="AJ96" i="15"/>
  <c r="AJ18" i="22" s="1"/>
  <c r="AE98" i="15"/>
  <c r="AE96" i="15"/>
  <c r="AE18" i="22" s="1"/>
  <c r="Z98" i="15"/>
  <c r="Z96" i="15"/>
  <c r="U98" i="15"/>
  <c r="U96" i="15"/>
  <c r="CC96" i="15"/>
  <c r="CC46" i="15" s="1"/>
  <c r="BF97" i="15"/>
  <c r="AW97" i="15"/>
  <c r="AS97" i="15"/>
  <c r="AT97" i="15" s="1"/>
  <c r="AR97" i="15"/>
  <c r="AL97" i="15"/>
  <c r="AG97" i="15"/>
  <c r="AB97" i="15"/>
  <c r="V97" i="15"/>
  <c r="T97" i="15"/>
  <c r="S97" i="15"/>
  <c r="R97" i="15"/>
  <c r="Q97" i="15"/>
  <c r="O97" i="15"/>
  <c r="N97" i="15"/>
  <c r="M97" i="15"/>
  <c r="L97" i="15"/>
  <c r="BS93" i="15"/>
  <c r="BS92" i="15"/>
  <c r="BS91" i="15"/>
  <c r="BS90" i="15"/>
  <c r="BS89" i="15"/>
  <c r="BS87" i="15"/>
  <c r="BX124" i="15" s="1"/>
  <c r="BX131" i="15" s="1"/>
  <c r="BS86" i="15"/>
  <c r="BN93" i="15"/>
  <c r="BN92" i="15"/>
  <c r="BN91" i="15"/>
  <c r="BN90" i="15"/>
  <c r="BN89" i="15"/>
  <c r="BN87" i="15"/>
  <c r="BN86" i="15"/>
  <c r="BN107" i="4" s="1"/>
  <c r="BL93" i="15"/>
  <c r="BL88" i="15" s="1"/>
  <c r="BL94" i="15" s="1"/>
  <c r="BK93" i="15"/>
  <c r="BK88" i="15" s="1"/>
  <c r="BK94" i="15" s="1"/>
  <c r="BI93" i="15"/>
  <c r="BI92" i="15"/>
  <c r="BI91" i="15"/>
  <c r="BI90" i="15"/>
  <c r="BI89" i="15"/>
  <c r="BI87" i="15"/>
  <c r="BI86" i="15"/>
  <c r="BG93" i="15"/>
  <c r="BG88" i="15" s="1"/>
  <c r="BG94" i="15" s="1"/>
  <c r="BF93" i="15"/>
  <c r="BE93" i="15"/>
  <c r="BE88" i="15" s="1"/>
  <c r="BE94" i="15" s="1"/>
  <c r="BC93" i="15"/>
  <c r="BD93" i="15" s="1"/>
  <c r="BB93" i="15"/>
  <c r="BB88" i="15" s="1"/>
  <c r="BB94" i="15" s="1"/>
  <c r="BB100" i="15" s="1"/>
  <c r="BA93" i="15"/>
  <c r="BA88" i="15" s="1"/>
  <c r="BA94" i="15" s="1"/>
  <c r="AZ93" i="15"/>
  <c r="AZ88" i="15" s="1"/>
  <c r="AZ94" i="15" s="1"/>
  <c r="AX93" i="15"/>
  <c r="AY93" i="15" s="1"/>
  <c r="AT93" i="15"/>
  <c r="AT92" i="15"/>
  <c r="AT91" i="15"/>
  <c r="AT90" i="15"/>
  <c r="AT89" i="15"/>
  <c r="AT87" i="15"/>
  <c r="AT86" i="15"/>
  <c r="AT107" i="4" s="1"/>
  <c r="AO93" i="15"/>
  <c r="AO92" i="15"/>
  <c r="AO91" i="15"/>
  <c r="AO90" i="15"/>
  <c r="AO89" i="15"/>
  <c r="AO87" i="15"/>
  <c r="AO86" i="15"/>
  <c r="AJ93" i="15"/>
  <c r="AJ92" i="15"/>
  <c r="AJ91" i="15"/>
  <c r="AJ90" i="15"/>
  <c r="AJ89" i="15"/>
  <c r="AJ87" i="15"/>
  <c r="AJ86" i="15"/>
  <c r="AJ107" i="4" s="1"/>
  <c r="AH93" i="15"/>
  <c r="AH88" i="15" s="1"/>
  <c r="AH94" i="15" s="1"/>
  <c r="AE93" i="15"/>
  <c r="AE92" i="15"/>
  <c r="AE91" i="15"/>
  <c r="AE90" i="15"/>
  <c r="AE89" i="15"/>
  <c r="AE87" i="15"/>
  <c r="AE86" i="15"/>
  <c r="AE107" i="4" s="1"/>
  <c r="AC93" i="15"/>
  <c r="AC88" i="15" s="1"/>
  <c r="AC94" i="15" s="1"/>
  <c r="Z93" i="15"/>
  <c r="Z92" i="15"/>
  <c r="Z91" i="15"/>
  <c r="Z90" i="15"/>
  <c r="Z89" i="15"/>
  <c r="Z87" i="15"/>
  <c r="Z86" i="15"/>
  <c r="Z107" i="4" s="1"/>
  <c r="U93" i="15"/>
  <c r="U92" i="15"/>
  <c r="U91" i="15"/>
  <c r="U90" i="15"/>
  <c r="U89" i="15"/>
  <c r="U87" i="15"/>
  <c r="U86" i="15"/>
  <c r="P93" i="15"/>
  <c r="P92" i="15"/>
  <c r="P91" i="15"/>
  <c r="P90" i="15"/>
  <c r="P89" i="15"/>
  <c r="P87" i="15"/>
  <c r="P86" i="15"/>
  <c r="P107" i="4" s="1"/>
  <c r="BD92" i="15"/>
  <c r="BD91" i="15"/>
  <c r="BD90" i="15"/>
  <c r="BD89" i="15"/>
  <c r="BD87" i="15"/>
  <c r="BD86" i="15"/>
  <c r="BD107" i="4" s="1"/>
  <c r="AY92" i="15"/>
  <c r="AY91" i="15"/>
  <c r="AY90" i="15"/>
  <c r="AY89" i="15"/>
  <c r="AY87" i="15"/>
  <c r="AY86" i="15"/>
  <c r="AY107" i="4" s="1"/>
  <c r="BT88" i="15"/>
  <c r="BT94" i="15" s="1"/>
  <c r="BR88" i="15"/>
  <c r="BR94" i="15" s="1"/>
  <c r="BQ88" i="15"/>
  <c r="BQ94" i="15" s="1"/>
  <c r="BP88" i="15"/>
  <c r="BP94" i="15" s="1"/>
  <c r="BO88" i="15"/>
  <c r="BO94" i="15" s="1"/>
  <c r="BM88" i="15"/>
  <c r="BM94" i="15" s="1"/>
  <c r="BJ88" i="15"/>
  <c r="BJ94" i="15" s="1"/>
  <c r="BH88" i="15"/>
  <c r="BH94" i="15" s="1"/>
  <c r="BF88" i="15"/>
  <c r="BF94" i="15" s="1"/>
  <c r="BF100" i="15" s="1"/>
  <c r="AW88" i="15"/>
  <c r="AW94" i="15" s="1"/>
  <c r="AV88" i="15"/>
  <c r="AV94" i="15" s="1"/>
  <c r="AU88" i="15"/>
  <c r="AU94" i="15" s="1"/>
  <c r="AS88" i="15"/>
  <c r="AS94" i="15" s="1"/>
  <c r="AR88" i="15"/>
  <c r="AR94" i="15" s="1"/>
  <c r="AQ88" i="15"/>
  <c r="AQ94" i="15" s="1"/>
  <c r="AP88" i="15"/>
  <c r="AP94" i="15" s="1"/>
  <c r="AN88" i="15"/>
  <c r="AN94" i="15" s="1"/>
  <c r="AM88" i="15"/>
  <c r="AM94" i="15" s="1"/>
  <c r="AL88" i="15"/>
  <c r="AL94" i="15" s="1"/>
  <c r="AL100" i="15" s="1"/>
  <c r="AK88" i="15"/>
  <c r="AK94" i="15" s="1"/>
  <c r="AI88" i="15"/>
  <c r="AJ88" i="15" s="1"/>
  <c r="AG88" i="15"/>
  <c r="AG94" i="15" s="1"/>
  <c r="AF88" i="15"/>
  <c r="AF94" i="15" s="1"/>
  <c r="AD88" i="15"/>
  <c r="AE88" i="15" s="1"/>
  <c r="AB88" i="15"/>
  <c r="AB94" i="15" s="1"/>
  <c r="AA88" i="15"/>
  <c r="AA94" i="15" s="1"/>
  <c r="Y88" i="15"/>
  <c r="Y94" i="15" s="1"/>
  <c r="X88" i="15"/>
  <c r="X94" i="15" s="1"/>
  <c r="W88" i="15"/>
  <c r="W94" i="15" s="1"/>
  <c r="V88" i="15"/>
  <c r="V94" i="15" s="1"/>
  <c r="T88" i="15"/>
  <c r="T94" i="15" s="1"/>
  <c r="S88" i="15"/>
  <c r="S94" i="15" s="1"/>
  <c r="R88" i="15"/>
  <c r="R94" i="15" s="1"/>
  <c r="Q88" i="15"/>
  <c r="Q94" i="15" s="1"/>
  <c r="O88" i="15"/>
  <c r="P88" i="15" s="1"/>
  <c r="N88" i="15"/>
  <c r="N94" i="15" s="1"/>
  <c r="M88" i="15"/>
  <c r="M94" i="15" s="1"/>
  <c r="L88" i="15"/>
  <c r="L94" i="15" s="1"/>
  <c r="BS83" i="15"/>
  <c r="BS82" i="15"/>
  <c r="BS81" i="15"/>
  <c r="BS78" i="15"/>
  <c r="BN83" i="15"/>
  <c r="BN82" i="15"/>
  <c r="BN81" i="15"/>
  <c r="BN78" i="15"/>
  <c r="BJ83" i="15"/>
  <c r="BI83" i="15"/>
  <c r="BD83" i="15"/>
  <c r="BD82" i="15"/>
  <c r="BD81" i="15"/>
  <c r="BD79" i="15"/>
  <c r="BD78" i="15"/>
  <c r="AY83" i="15"/>
  <c r="AY82" i="15"/>
  <c r="AY81" i="15"/>
  <c r="AY79" i="15"/>
  <c r="AY78" i="15"/>
  <c r="AT83" i="15"/>
  <c r="AT82" i="15"/>
  <c r="AT81" i="15"/>
  <c r="AT79" i="15"/>
  <c r="AT78" i="15"/>
  <c r="AO83" i="15"/>
  <c r="AO82" i="15"/>
  <c r="AO81" i="15"/>
  <c r="AO79" i="15"/>
  <c r="AO78" i="15"/>
  <c r="AJ83" i="15"/>
  <c r="AJ82" i="15"/>
  <c r="AJ81" i="15"/>
  <c r="AJ79" i="15"/>
  <c r="AJ78" i="15"/>
  <c r="AE83" i="15"/>
  <c r="AE82" i="15"/>
  <c r="AE81" i="15"/>
  <c r="AE79" i="15"/>
  <c r="AE78" i="15"/>
  <c r="Z83" i="15"/>
  <c r="Z82" i="15"/>
  <c r="Z81" i="15"/>
  <c r="U83" i="15"/>
  <c r="U82" i="15"/>
  <c r="U81" i="15"/>
  <c r="U79" i="15"/>
  <c r="P83" i="15"/>
  <c r="P82" i="15"/>
  <c r="P81" i="15"/>
  <c r="P79" i="15"/>
  <c r="BH82" i="15"/>
  <c r="BB82" i="15"/>
  <c r="BB80" i="15" s="1"/>
  <c r="BI81" i="15"/>
  <c r="BI78" i="15"/>
  <c r="BT80" i="15"/>
  <c r="BT79" i="15"/>
  <c r="BG80" i="15"/>
  <c r="BF80" i="15"/>
  <c r="BE80" i="15"/>
  <c r="BC80" i="15"/>
  <c r="BD80" i="15" s="1"/>
  <c r="BA80" i="15"/>
  <c r="AZ80" i="15"/>
  <c r="AX80" i="15"/>
  <c r="AY80" i="15" s="1"/>
  <c r="AW80" i="15"/>
  <c r="AV80" i="15"/>
  <c r="AU80" i="15"/>
  <c r="AS80" i="15"/>
  <c r="AT80" i="15" s="1"/>
  <c r="AR80" i="15"/>
  <c r="AQ80" i="15"/>
  <c r="AP80" i="15"/>
  <c r="AN80" i="15"/>
  <c r="AO80" i="15" s="1"/>
  <c r="AM80" i="15"/>
  <c r="AL80" i="15"/>
  <c r="AK80" i="15"/>
  <c r="AI80" i="15"/>
  <c r="AJ80" i="15" s="1"/>
  <c r="AH80" i="15"/>
  <c r="AG80" i="15"/>
  <c r="AF80" i="15"/>
  <c r="AD80" i="15"/>
  <c r="AE80" i="15" s="1"/>
  <c r="AC80" i="15"/>
  <c r="AB80" i="15"/>
  <c r="AA80" i="15"/>
  <c r="T80" i="15"/>
  <c r="U80" i="15" s="1"/>
  <c r="S80" i="15"/>
  <c r="R80" i="15"/>
  <c r="Q80" i="15"/>
  <c r="O80" i="15"/>
  <c r="P80" i="15" s="1"/>
  <c r="N80" i="15"/>
  <c r="M80" i="15"/>
  <c r="L80" i="15"/>
  <c r="BR80" i="15"/>
  <c r="BS80" i="15" s="1"/>
  <c r="BQ80" i="15"/>
  <c r="BP80" i="15"/>
  <c r="BO80" i="15"/>
  <c r="BR79" i="15"/>
  <c r="BS79" i="15" s="1"/>
  <c r="CC79" i="15" s="1"/>
  <c r="CD79" i="15" s="1"/>
  <c r="CE79" i="15" s="1"/>
  <c r="CF79" i="15" s="1"/>
  <c r="CG79" i="15" s="1"/>
  <c r="CH79" i="15" s="1"/>
  <c r="BQ79" i="15"/>
  <c r="BP79" i="15"/>
  <c r="BO79" i="15"/>
  <c r="BM80" i="15"/>
  <c r="BN80" i="15" s="1"/>
  <c r="BL80" i="15"/>
  <c r="BK80" i="15"/>
  <c r="BJ80" i="15"/>
  <c r="BM79" i="15"/>
  <c r="BN79" i="15" s="1"/>
  <c r="BL79" i="15"/>
  <c r="BK79" i="15"/>
  <c r="BJ79" i="15"/>
  <c r="BH79" i="15"/>
  <c r="BI79" i="15" s="1"/>
  <c r="AF79" i="15"/>
  <c r="AC79" i="15"/>
  <c r="AB79" i="15"/>
  <c r="Y80" i="15"/>
  <c r="Z80" i="15" s="1"/>
  <c r="X80" i="15"/>
  <c r="W80" i="15"/>
  <c r="V80" i="15"/>
  <c r="Y79" i="15"/>
  <c r="Z79" i="15" s="1"/>
  <c r="X79" i="15"/>
  <c r="W79" i="15"/>
  <c r="V79" i="15"/>
  <c r="BB78" i="15"/>
  <c r="BS75" i="15"/>
  <c r="BS74" i="15"/>
  <c r="BS72" i="15"/>
  <c r="BS71" i="15"/>
  <c r="BS70" i="15"/>
  <c r="BS68" i="15"/>
  <c r="BN75" i="15"/>
  <c r="BN74" i="15"/>
  <c r="BN72" i="15"/>
  <c r="BN71" i="15"/>
  <c r="BN70" i="15"/>
  <c r="BN68" i="15"/>
  <c r="BI75" i="15"/>
  <c r="BI74" i="15"/>
  <c r="BI72" i="15"/>
  <c r="BI71" i="15"/>
  <c r="BI70" i="15"/>
  <c r="BI68" i="15"/>
  <c r="BD75" i="15"/>
  <c r="BD74" i="15"/>
  <c r="BD72" i="15"/>
  <c r="BD71" i="15"/>
  <c r="BD70" i="15"/>
  <c r="BD68" i="15"/>
  <c r="AY75" i="15"/>
  <c r="AY74" i="15"/>
  <c r="AY72" i="15"/>
  <c r="AY71" i="15"/>
  <c r="AY70" i="15"/>
  <c r="AY68" i="15"/>
  <c r="AT75" i="15"/>
  <c r="AT74" i="15"/>
  <c r="AT72" i="15"/>
  <c r="AT71" i="15"/>
  <c r="AT70" i="15"/>
  <c r="AT68" i="15"/>
  <c r="AO75" i="15"/>
  <c r="AO74" i="15"/>
  <c r="AO72" i="15"/>
  <c r="AO71" i="15"/>
  <c r="AO70" i="15"/>
  <c r="AO68" i="15"/>
  <c r="AJ75" i="15"/>
  <c r="AJ74" i="15"/>
  <c r="AJ72" i="15"/>
  <c r="AJ71" i="15"/>
  <c r="AJ70" i="15"/>
  <c r="AJ68" i="15"/>
  <c r="AE75" i="15"/>
  <c r="AE74" i="15"/>
  <c r="AE72" i="15"/>
  <c r="AE71" i="15"/>
  <c r="AE70" i="15"/>
  <c r="AE68" i="15"/>
  <c r="Z75" i="15"/>
  <c r="Z74" i="15"/>
  <c r="Z72" i="15"/>
  <c r="Z71" i="15"/>
  <c r="Z70" i="15"/>
  <c r="Z68" i="15"/>
  <c r="U75" i="15"/>
  <c r="U74" i="15"/>
  <c r="U72" i="15"/>
  <c r="U71" i="15"/>
  <c r="U70" i="15"/>
  <c r="U68" i="15"/>
  <c r="P75" i="15"/>
  <c r="P74" i="15"/>
  <c r="P72" i="15"/>
  <c r="P71" i="15"/>
  <c r="P70" i="15"/>
  <c r="P68" i="15"/>
  <c r="BT73" i="15"/>
  <c r="BR73" i="15"/>
  <c r="BS73" i="15" s="1"/>
  <c r="CC73" i="15" s="1"/>
  <c r="CD73" i="15" s="1"/>
  <c r="CE73" i="15" s="1"/>
  <c r="CF73" i="15" s="1"/>
  <c r="CG73" i="15" s="1"/>
  <c r="CH73" i="15" s="1"/>
  <c r="BQ73" i="15"/>
  <c r="BP73" i="15"/>
  <c r="BO73" i="15"/>
  <c r="BM73" i="15"/>
  <c r="BN73" i="15" s="1"/>
  <c r="BL73" i="15"/>
  <c r="BK73" i="15"/>
  <c r="BJ73" i="15"/>
  <c r="BH73" i="15"/>
  <c r="BI73" i="15" s="1"/>
  <c r="BG73" i="15"/>
  <c r="BF73" i="15"/>
  <c r="BE73" i="15"/>
  <c r="BC73" i="15"/>
  <c r="BD73" i="15" s="1"/>
  <c r="BB73" i="15"/>
  <c r="BA73" i="15"/>
  <c r="AZ73" i="15"/>
  <c r="AX73" i="15"/>
  <c r="AY73" i="15" s="1"/>
  <c r="AW73" i="15"/>
  <c r="AV73" i="15"/>
  <c r="AU73" i="15"/>
  <c r="AS73" i="15"/>
  <c r="AT73" i="15" s="1"/>
  <c r="AR73" i="15"/>
  <c r="AQ73" i="15"/>
  <c r="AP73" i="15"/>
  <c r="AN73" i="15"/>
  <c r="AO73" i="15" s="1"/>
  <c r="AM73" i="15"/>
  <c r="AL73" i="15"/>
  <c r="AK73" i="15"/>
  <c r="AI73" i="15"/>
  <c r="AJ73" i="15" s="1"/>
  <c r="AH73" i="15"/>
  <c r="AG73" i="15"/>
  <c r="AF73" i="15"/>
  <c r="AD73" i="15"/>
  <c r="AE73" i="15" s="1"/>
  <c r="AC73" i="15"/>
  <c r="AB73" i="15"/>
  <c r="AA73" i="15"/>
  <c r="Y73" i="15"/>
  <c r="Z73" i="15" s="1"/>
  <c r="X73" i="15"/>
  <c r="W73" i="15"/>
  <c r="V73" i="15"/>
  <c r="T73" i="15"/>
  <c r="U73" i="15" s="1"/>
  <c r="S73" i="15"/>
  <c r="R73" i="15"/>
  <c r="Q73" i="15"/>
  <c r="O73" i="15"/>
  <c r="P73" i="15" s="1"/>
  <c r="N73" i="15"/>
  <c r="M73" i="15"/>
  <c r="L73" i="15"/>
  <c r="CC68" i="15"/>
  <c r="CD68" i="15" s="1"/>
  <c r="CE68" i="15" s="1"/>
  <c r="CF68" i="15" s="1"/>
  <c r="CG68" i="15" s="1"/>
  <c r="CH68" i="15" s="1"/>
  <c r="BT69" i="15"/>
  <c r="BR69" i="15"/>
  <c r="BQ69" i="15"/>
  <c r="BP69" i="15"/>
  <c r="BO69" i="15"/>
  <c r="BM69" i="15"/>
  <c r="BL69" i="15"/>
  <c r="BK69" i="15"/>
  <c r="BJ69" i="15"/>
  <c r="BH69" i="15"/>
  <c r="BG69" i="15"/>
  <c r="BF69" i="15"/>
  <c r="BE69" i="15"/>
  <c r="BC69" i="15"/>
  <c r="BB69" i="15"/>
  <c r="BA69" i="15"/>
  <c r="AZ69" i="15"/>
  <c r="AX69" i="15"/>
  <c r="AW69" i="15"/>
  <c r="AV69" i="15"/>
  <c r="AU69" i="15"/>
  <c r="AS69" i="15"/>
  <c r="AR69" i="15"/>
  <c r="AQ69" i="15"/>
  <c r="AP69" i="15"/>
  <c r="AN69" i="15"/>
  <c r="AM69" i="15"/>
  <c r="AL69" i="15"/>
  <c r="AK69" i="15"/>
  <c r="AI69" i="15"/>
  <c r="AH69" i="15"/>
  <c r="AG69" i="15"/>
  <c r="AF69" i="15"/>
  <c r="AD69" i="15"/>
  <c r="AC69" i="15"/>
  <c r="AB69" i="15"/>
  <c r="AA69" i="15"/>
  <c r="Y69" i="15"/>
  <c r="X69" i="15"/>
  <c r="W69" i="15"/>
  <c r="V69" i="15"/>
  <c r="T69" i="15"/>
  <c r="S69" i="15"/>
  <c r="R69" i="15"/>
  <c r="Q69" i="15"/>
  <c r="O69" i="15"/>
  <c r="P69" i="15" s="1"/>
  <c r="N69" i="15"/>
  <c r="M69" i="15"/>
  <c r="L69" i="15"/>
  <c r="CH64" i="15"/>
  <c r="CG64" i="15"/>
  <c r="CF64" i="15"/>
  <c r="CE64" i="15"/>
  <c r="CD64" i="15"/>
  <c r="CC64" i="15"/>
  <c r="CB64" i="15"/>
  <c r="CA64" i="15"/>
  <c r="BZ64" i="15"/>
  <c r="BY64" i="15"/>
  <c r="BX64" i="15"/>
  <c r="BW64" i="15"/>
  <c r="BV64" i="15"/>
  <c r="BU64" i="15"/>
  <c r="BT64" i="15"/>
  <c r="BS64" i="15"/>
  <c r="BR64" i="15"/>
  <c r="BQ64" i="15"/>
  <c r="BP64" i="15"/>
  <c r="BO64" i="15"/>
  <c r="BN64" i="15"/>
  <c r="BM64" i="15"/>
  <c r="BL64" i="15"/>
  <c r="BK64" i="15"/>
  <c r="BJ64" i="15"/>
  <c r="BI64" i="15"/>
  <c r="BH64" i="15"/>
  <c r="BG64" i="15"/>
  <c r="BF64" i="15"/>
  <c r="BE64" i="15"/>
  <c r="BD64" i="15"/>
  <c r="BC64" i="15"/>
  <c r="BB64" i="15"/>
  <c r="BA64" i="15"/>
  <c r="AZ64" i="15"/>
  <c r="AY64" i="15"/>
  <c r="AX64" i="15"/>
  <c r="AW64" i="15"/>
  <c r="AV64" i="15"/>
  <c r="AU64" i="15"/>
  <c r="AT64" i="15"/>
  <c r="AS64" i="15"/>
  <c r="AR64" i="15"/>
  <c r="AQ64" i="15"/>
  <c r="AP64" i="15"/>
  <c r="AO64" i="15"/>
  <c r="AN64" i="15"/>
  <c r="AM64" i="15"/>
  <c r="AL64" i="15"/>
  <c r="AK64" i="15"/>
  <c r="AJ64" i="15"/>
  <c r="AI64" i="15"/>
  <c r="AH64" i="15"/>
  <c r="AG64" i="15"/>
  <c r="AF64" i="15"/>
  <c r="AE64" i="15"/>
  <c r="AD64" i="15"/>
  <c r="AC64" i="15"/>
  <c r="AB64" i="15"/>
  <c r="AA64" i="15"/>
  <c r="Z64" i="15"/>
  <c r="Y64" i="15"/>
  <c r="X64" i="15"/>
  <c r="W64" i="15"/>
  <c r="V64" i="15"/>
  <c r="U64" i="15"/>
  <c r="T64" i="15"/>
  <c r="S64" i="15"/>
  <c r="R64" i="15"/>
  <c r="Q64" i="15"/>
  <c r="P64" i="15"/>
  <c r="O64" i="15"/>
  <c r="N64" i="15"/>
  <c r="M64" i="15"/>
  <c r="L64" i="15"/>
  <c r="H61" i="15"/>
  <c r="P57" i="15"/>
  <c r="P56" i="15"/>
  <c r="N56" i="15"/>
  <c r="M56" i="15"/>
  <c r="L56" i="15"/>
  <c r="L58" i="15" s="1"/>
  <c r="BO55" i="15"/>
  <c r="BP55" i="15" s="1"/>
  <c r="BQ55" i="15" s="1"/>
  <c r="BR55" i="15" s="1"/>
  <c r="BK55" i="15"/>
  <c r="BL55" i="15" s="1"/>
  <c r="BM55" i="15" s="1"/>
  <c r="BF55" i="15"/>
  <c r="BG55" i="15" s="1"/>
  <c r="BH55" i="15" s="1"/>
  <c r="BA55" i="15"/>
  <c r="BB55" i="15" s="1"/>
  <c r="BC55" i="15" s="1"/>
  <c r="AV55" i="15"/>
  <c r="AW55" i="15" s="1"/>
  <c r="AX55" i="15" s="1"/>
  <c r="AQ55" i="15"/>
  <c r="AR55" i="15" s="1"/>
  <c r="AS55" i="15" s="1"/>
  <c r="AL55" i="15"/>
  <c r="AM55" i="15" s="1"/>
  <c r="AN55" i="15" s="1"/>
  <c r="AG55" i="15"/>
  <c r="AH55" i="15" s="1"/>
  <c r="AI55" i="15" s="1"/>
  <c r="AB55" i="15"/>
  <c r="AC55" i="15" s="1"/>
  <c r="AD55" i="15" s="1"/>
  <c r="W55" i="15"/>
  <c r="X55" i="15" s="1"/>
  <c r="Y55" i="15" s="1"/>
  <c r="R55" i="15"/>
  <c r="O55" i="15"/>
  <c r="O56" i="15" s="1"/>
  <c r="BP52" i="15"/>
  <c r="BQ52" i="15" s="1"/>
  <c r="BR52" i="15" s="1"/>
  <c r="BK52" i="15"/>
  <c r="BL52" i="15" s="1"/>
  <c r="BM52" i="15" s="1"/>
  <c r="BF52" i="15"/>
  <c r="BG52" i="15" s="1"/>
  <c r="BH52" i="15" s="1"/>
  <c r="BC52" i="15"/>
  <c r="BC51" i="15"/>
  <c r="BC47" i="15"/>
  <c r="BC45" i="15"/>
  <c r="AW52" i="15"/>
  <c r="AX52" i="15" s="1"/>
  <c r="AQ52" i="15"/>
  <c r="AR52" i="15" s="1"/>
  <c r="AS52" i="15" s="1"/>
  <c r="AG52" i="15"/>
  <c r="AH52" i="15" s="1"/>
  <c r="AH49" i="15" s="1"/>
  <c r="AB52" i="15"/>
  <c r="AC52" i="15" s="1"/>
  <c r="AD52" i="15" s="1"/>
  <c r="BR51" i="15"/>
  <c r="BM51" i="15"/>
  <c r="BH51" i="15"/>
  <c r="AX51" i="15"/>
  <c r="AX50" i="15"/>
  <c r="AX47" i="15"/>
  <c r="AS51" i="15"/>
  <c r="AS50" i="15"/>
  <c r="AS47" i="15"/>
  <c r="AI51" i="15"/>
  <c r="AI50" i="15"/>
  <c r="AC51" i="15"/>
  <c r="AD51" i="15" s="1"/>
  <c r="W52" i="15"/>
  <c r="X52" i="15" s="1"/>
  <c r="W51" i="15"/>
  <c r="X51" i="15" s="1"/>
  <c r="AL52" i="15"/>
  <c r="AM52" i="15" s="1"/>
  <c r="AN52" i="15" s="1"/>
  <c r="AL51" i="15"/>
  <c r="AM51" i="15" s="1"/>
  <c r="AN51" i="15" s="1"/>
  <c r="AL50" i="15"/>
  <c r="AM50" i="15" s="1"/>
  <c r="AN50" i="15" s="1"/>
  <c r="AD50" i="15"/>
  <c r="Y50" i="15"/>
  <c r="R52" i="15"/>
  <c r="S52" i="15" s="1"/>
  <c r="R51" i="15"/>
  <c r="S51" i="15" s="1"/>
  <c r="T51" i="15" s="1"/>
  <c r="R50" i="15"/>
  <c r="S50" i="15" s="1"/>
  <c r="CH49" i="15"/>
  <c r="CG49" i="15"/>
  <c r="CF49" i="15"/>
  <c r="CE49" i="15"/>
  <c r="CD49" i="15"/>
  <c r="CC49" i="15"/>
  <c r="BT49" i="15"/>
  <c r="BS49" i="15"/>
  <c r="BO50" i="15"/>
  <c r="BP50" i="15" s="1"/>
  <c r="BN49" i="15"/>
  <c r="BJ49" i="15"/>
  <c r="BI49" i="15"/>
  <c r="BE49" i="15"/>
  <c r="BD49" i="15"/>
  <c r="AZ49" i="15"/>
  <c r="AY49" i="15"/>
  <c r="AV49" i="15"/>
  <c r="AU49" i="15"/>
  <c r="AT49" i="15"/>
  <c r="AP49" i="15"/>
  <c r="AO49" i="15"/>
  <c r="AK49" i="15"/>
  <c r="AJ49" i="15"/>
  <c r="AF49" i="15"/>
  <c r="AE49" i="15"/>
  <c r="AA49" i="15"/>
  <c r="Z49" i="15"/>
  <c r="V49" i="15"/>
  <c r="U49" i="15"/>
  <c r="Q49" i="15"/>
  <c r="BA50" i="15"/>
  <c r="BB50" i="15" s="1"/>
  <c r="BB49" i="15" s="1"/>
  <c r="BA48" i="15"/>
  <c r="BB48" i="15" s="1"/>
  <c r="AV48" i="15"/>
  <c r="AQ48" i="15"/>
  <c r="AR48" i="15" s="1"/>
  <c r="AH48" i="15"/>
  <c r="AI48" i="15" s="1"/>
  <c r="R48" i="15"/>
  <c r="S48" i="15" s="1"/>
  <c r="S46" i="15" s="1"/>
  <c r="AL48" i="15"/>
  <c r="AM48" i="15" s="1"/>
  <c r="AN48" i="15" s="1"/>
  <c r="AL47" i="15"/>
  <c r="AM47" i="15" s="1"/>
  <c r="AG47" i="15"/>
  <c r="AH47" i="15" s="1"/>
  <c r="AG45" i="15"/>
  <c r="AH45" i="15" s="1"/>
  <c r="AI45" i="15" s="1"/>
  <c r="AG44" i="15"/>
  <c r="T47" i="15"/>
  <c r="BT46" i="15"/>
  <c r="BS46" i="15"/>
  <c r="BS53" i="15" s="1"/>
  <c r="BO46" i="15"/>
  <c r="BN46" i="15"/>
  <c r="BN53" i="15" s="1"/>
  <c r="BJ46" i="15"/>
  <c r="BI46" i="15"/>
  <c r="BI53" i="15" s="1"/>
  <c r="BE46" i="15"/>
  <c r="BD46" i="15"/>
  <c r="BD53" i="15" s="1"/>
  <c r="AZ46" i="15"/>
  <c r="AZ53" i="15" s="1"/>
  <c r="AY46" i="15"/>
  <c r="AY53" i="15" s="1"/>
  <c r="AU46" i="15"/>
  <c r="AT46" i="15"/>
  <c r="AT53" i="15" s="1"/>
  <c r="AP46" i="15"/>
  <c r="AO46" i="15"/>
  <c r="AO53" i="15" s="1"/>
  <c r="AK46" i="15"/>
  <c r="AJ46" i="15"/>
  <c r="AJ53" i="15" s="1"/>
  <c r="AF46" i="15"/>
  <c r="AE46" i="15"/>
  <c r="AE53" i="15" s="1"/>
  <c r="AA46" i="15"/>
  <c r="Z46" i="15"/>
  <c r="Z53" i="15" s="1"/>
  <c r="V46" i="15"/>
  <c r="U46" i="15"/>
  <c r="Q46" i="15"/>
  <c r="BO45" i="15"/>
  <c r="BP45" i="15" s="1"/>
  <c r="BO44" i="15"/>
  <c r="BP48" i="15"/>
  <c r="BQ48" i="15" s="1"/>
  <c r="BR48" i="15" s="1"/>
  <c r="BP47" i="15"/>
  <c r="BQ47" i="15" s="1"/>
  <c r="BQ45" i="15"/>
  <c r="BR45" i="15" s="1"/>
  <c r="BP44" i="15"/>
  <c r="BK50" i="15"/>
  <c r="BL50" i="15" s="1"/>
  <c r="BK48" i="15"/>
  <c r="BL48" i="15" s="1"/>
  <c r="BK47" i="15"/>
  <c r="BL47" i="15" s="1"/>
  <c r="BM47" i="15" s="1"/>
  <c r="BK45" i="15"/>
  <c r="BL45" i="15" s="1"/>
  <c r="BM45" i="15" s="1"/>
  <c r="BK44" i="15"/>
  <c r="BL44" i="15" s="1"/>
  <c r="BF50" i="15"/>
  <c r="BG50" i="15" s="1"/>
  <c r="BH50" i="15" s="1"/>
  <c r="BF48" i="15"/>
  <c r="BG48" i="15" s="1"/>
  <c r="BH48" i="15" s="1"/>
  <c r="BF47" i="15"/>
  <c r="BG47" i="15" s="1"/>
  <c r="BF45" i="15"/>
  <c r="BG45" i="15" s="1"/>
  <c r="BH45" i="15" s="1"/>
  <c r="BF44" i="15"/>
  <c r="BA44" i="15"/>
  <c r="BB44" i="15" s="1"/>
  <c r="AV45" i="15"/>
  <c r="AW45" i="15" s="1"/>
  <c r="AX45" i="15" s="1"/>
  <c r="AV44" i="15"/>
  <c r="AW44" i="15" s="1"/>
  <c r="AQ45" i="15"/>
  <c r="AR45" i="15" s="1"/>
  <c r="AS45" i="15" s="1"/>
  <c r="AQ44" i="15"/>
  <c r="AR44" i="15" s="1"/>
  <c r="AL45" i="15"/>
  <c r="AM45" i="15" s="1"/>
  <c r="AN45" i="15" s="1"/>
  <c r="AL44" i="15"/>
  <c r="AB48" i="15"/>
  <c r="AC48" i="15" s="1"/>
  <c r="AD48" i="15" s="1"/>
  <c r="AB47" i="15"/>
  <c r="AC47" i="15" s="1"/>
  <c r="AD47" i="15" s="1"/>
  <c r="AB45" i="15"/>
  <c r="AC45" i="15" s="1"/>
  <c r="AD45" i="15" s="1"/>
  <c r="AB44" i="15"/>
  <c r="AC44" i="15" s="1"/>
  <c r="W48" i="15"/>
  <c r="X48" i="15" s="1"/>
  <c r="W47" i="15"/>
  <c r="X47" i="15" s="1"/>
  <c r="W45" i="15"/>
  <c r="X45" i="15" s="1"/>
  <c r="Y45" i="15" s="1"/>
  <c r="W44" i="15"/>
  <c r="R45" i="15"/>
  <c r="S45" i="15" s="1"/>
  <c r="T45" i="15" s="1"/>
  <c r="R44" i="15"/>
  <c r="BS41" i="15"/>
  <c r="BO41" i="15"/>
  <c r="BP41" i="15" s="1"/>
  <c r="BQ41" i="15" s="1"/>
  <c r="BN41" i="15"/>
  <c r="BK41" i="15"/>
  <c r="BL41" i="15" s="1"/>
  <c r="BI41" i="15"/>
  <c r="BE41" i="15"/>
  <c r="BF41" i="15" s="1"/>
  <c r="BG41" i="15" s="1"/>
  <c r="BD41" i="15"/>
  <c r="BA41" i="15"/>
  <c r="BB41" i="15" s="1"/>
  <c r="AY41" i="15"/>
  <c r="AY35" i="15" s="1"/>
  <c r="AV41" i="15"/>
  <c r="AW41" i="15" s="1"/>
  <c r="AL41" i="15"/>
  <c r="AM41" i="15" s="1"/>
  <c r="AN41" i="15" s="1"/>
  <c r="AG41" i="15"/>
  <c r="AH41" i="15" s="1"/>
  <c r="AI41" i="15" s="1"/>
  <c r="R41" i="15"/>
  <c r="S41" i="15" s="1"/>
  <c r="T41" i="15" s="1"/>
  <c r="BP40" i="15"/>
  <c r="BQ40" i="15" s="1"/>
  <c r="BR40" i="15" s="1"/>
  <c r="BJ40" i="15"/>
  <c r="BK40" i="15" s="1"/>
  <c r="BL40" i="15" s="1"/>
  <c r="BM40" i="15" s="1"/>
  <c r="BB40" i="15"/>
  <c r="BC40" i="15" s="1"/>
  <c r="AV40" i="15"/>
  <c r="AW40" i="15" s="1"/>
  <c r="AX40" i="15" s="1"/>
  <c r="AT41" i="15"/>
  <c r="AQ41" i="15"/>
  <c r="AR41" i="15" s="1"/>
  <c r="AT40" i="15"/>
  <c r="AQ40" i="15"/>
  <c r="AR40" i="15" s="1"/>
  <c r="AO40" i="15"/>
  <c r="AL40" i="15"/>
  <c r="AM40" i="15" s="1"/>
  <c r="AI40" i="15"/>
  <c r="AI39" i="15"/>
  <c r="AI34" i="15"/>
  <c r="T40" i="15"/>
  <c r="T39" i="15"/>
  <c r="T34" i="15"/>
  <c r="BR39" i="15"/>
  <c r="BR34" i="15"/>
  <c r="BC39" i="15"/>
  <c r="BC34" i="15"/>
  <c r="BO38" i="15"/>
  <c r="BP38" i="15" s="1"/>
  <c r="BQ38" i="15" s="1"/>
  <c r="BR38" i="15" s="1"/>
  <c r="BJ38" i="15"/>
  <c r="AV38" i="15"/>
  <c r="AW38" i="15" s="1"/>
  <c r="AX38" i="15" s="1"/>
  <c r="AV37" i="15"/>
  <c r="AV36" i="15"/>
  <c r="BK39" i="15"/>
  <c r="BL39" i="15" s="1"/>
  <c r="BM39" i="15" s="1"/>
  <c r="BK37" i="15"/>
  <c r="BL37" i="15" s="1"/>
  <c r="BM37" i="15" s="1"/>
  <c r="BF40" i="15"/>
  <c r="BG40" i="15" s="1"/>
  <c r="BH40" i="15" s="1"/>
  <c r="BF39" i="15"/>
  <c r="BG39" i="15" s="1"/>
  <c r="BH39" i="15" s="1"/>
  <c r="BF38" i="15"/>
  <c r="BG38" i="15" s="1"/>
  <c r="BH38" i="15" s="1"/>
  <c r="BF37" i="15"/>
  <c r="BG37" i="15" s="1"/>
  <c r="BH37" i="15" s="1"/>
  <c r="AZ36" i="15"/>
  <c r="AZ35" i="15" s="1"/>
  <c r="AW39" i="15"/>
  <c r="AX39" i="15" s="1"/>
  <c r="AW37" i="15"/>
  <c r="AX37" i="15" s="1"/>
  <c r="AW36" i="15"/>
  <c r="AX36" i="15" s="1"/>
  <c r="AQ39" i="15"/>
  <c r="AR39" i="15" s="1"/>
  <c r="AS39" i="15" s="1"/>
  <c r="AQ38" i="15"/>
  <c r="AR38" i="15" s="1"/>
  <c r="AS38" i="15" s="1"/>
  <c r="AQ37" i="15"/>
  <c r="AR37" i="15" s="1"/>
  <c r="AS37" i="15" s="1"/>
  <c r="AQ36" i="15"/>
  <c r="AR36" i="15" s="1"/>
  <c r="AS36" i="15" s="1"/>
  <c r="AL39" i="15"/>
  <c r="AM39" i="15" s="1"/>
  <c r="AN39" i="15" s="1"/>
  <c r="AL38" i="15"/>
  <c r="AM38" i="15" s="1"/>
  <c r="AN38" i="15" s="1"/>
  <c r="AL37" i="15"/>
  <c r="AM37" i="15" s="1"/>
  <c r="AN37" i="15" s="1"/>
  <c r="AL36" i="15"/>
  <c r="AM36" i="15" s="1"/>
  <c r="AN36" i="15" s="1"/>
  <c r="AB41" i="15"/>
  <c r="AC41" i="15" s="1"/>
  <c r="AD41" i="15" s="1"/>
  <c r="AB40" i="15"/>
  <c r="AC40" i="15" s="1"/>
  <c r="AD40" i="15" s="1"/>
  <c r="AB39" i="15"/>
  <c r="AB38" i="15"/>
  <c r="AC38" i="15" s="1"/>
  <c r="AD38" i="15" s="1"/>
  <c r="AB37" i="15"/>
  <c r="AC37" i="15" s="1"/>
  <c r="AD37" i="15" s="1"/>
  <c r="AB36" i="15"/>
  <c r="AC36" i="15" s="1"/>
  <c r="W41" i="15"/>
  <c r="W40" i="15"/>
  <c r="X40" i="15" s="1"/>
  <c r="Y40" i="15" s="1"/>
  <c r="W39" i="15"/>
  <c r="X39" i="15" s="1"/>
  <c r="Y39" i="15" s="1"/>
  <c r="W38" i="15"/>
  <c r="X38" i="15" s="1"/>
  <c r="W37" i="15"/>
  <c r="W36" i="15"/>
  <c r="X36" i="15" s="1"/>
  <c r="BT36" i="15"/>
  <c r="BU36" i="15" s="1"/>
  <c r="BV36" i="15" s="1"/>
  <c r="BW36" i="15" s="1"/>
  <c r="BW35" i="15" s="1"/>
  <c r="BW42" i="15" s="1"/>
  <c r="BS36" i="15"/>
  <c r="BT35" i="15"/>
  <c r="BP37" i="15"/>
  <c r="BQ37" i="15" s="1"/>
  <c r="BR37" i="15" s="1"/>
  <c r="BO36" i="15"/>
  <c r="BP36" i="15" s="1"/>
  <c r="BQ36" i="15" s="1"/>
  <c r="BN36" i="15"/>
  <c r="BJ36" i="15"/>
  <c r="BK36" i="15" s="1"/>
  <c r="BL36" i="15" s="1"/>
  <c r="BI36" i="15"/>
  <c r="BE36" i="15"/>
  <c r="BF36" i="15" s="1"/>
  <c r="BG36" i="15" s="1"/>
  <c r="BD36" i="15"/>
  <c r="BA38" i="15"/>
  <c r="BB38" i="15" s="1"/>
  <c r="BC38" i="15" s="1"/>
  <c r="BA37" i="15"/>
  <c r="BB37" i="15" s="1"/>
  <c r="BC37" i="15" s="1"/>
  <c r="BA36" i="15"/>
  <c r="AU35" i="15"/>
  <c r="AT35" i="15"/>
  <c r="AP35" i="15"/>
  <c r="AO35" i="15"/>
  <c r="AK35" i="15"/>
  <c r="AJ35" i="15"/>
  <c r="AG38" i="15"/>
  <c r="AH38" i="15" s="1"/>
  <c r="AI38" i="15" s="1"/>
  <c r="AG37" i="15"/>
  <c r="AH37" i="15" s="1"/>
  <c r="AI37" i="15" s="1"/>
  <c r="AG36" i="15"/>
  <c r="AH36" i="15" s="1"/>
  <c r="AF35" i="15"/>
  <c r="AE35" i="15"/>
  <c r="AA35" i="15"/>
  <c r="Z35" i="15"/>
  <c r="V35" i="15"/>
  <c r="U35" i="15"/>
  <c r="R38" i="15"/>
  <c r="R37" i="15"/>
  <c r="R36" i="15"/>
  <c r="S36" i="15" s="1"/>
  <c r="Q35" i="15"/>
  <c r="BM34" i="15"/>
  <c r="BH34" i="15"/>
  <c r="AX34" i="15"/>
  <c r="AS34" i="15"/>
  <c r="AD34" i="15"/>
  <c r="Y34" i="15"/>
  <c r="AL34" i="15"/>
  <c r="AM34" i="15" s="1"/>
  <c r="AN34" i="15" s="1"/>
  <c r="AL33" i="15"/>
  <c r="BT32" i="15"/>
  <c r="BS32" i="15"/>
  <c r="BS103" i="4" s="1"/>
  <c r="BO33" i="15"/>
  <c r="BO32" i="15" s="1"/>
  <c r="BN32" i="15"/>
  <c r="BN103" i="4" s="1"/>
  <c r="BK33" i="15"/>
  <c r="BL33" i="15" s="1"/>
  <c r="BJ32" i="15"/>
  <c r="BI32" i="15"/>
  <c r="BI103" i="4" s="1"/>
  <c r="BF33" i="15"/>
  <c r="BF32" i="15" s="1"/>
  <c r="BE32" i="15"/>
  <c r="BD32" i="15"/>
  <c r="BD103" i="4" s="1"/>
  <c r="BA33" i="15"/>
  <c r="BB33" i="15" s="1"/>
  <c r="BC33" i="15" s="1"/>
  <c r="AZ32" i="15"/>
  <c r="AY32" i="15"/>
  <c r="AY103" i="4" s="1"/>
  <c r="AV33" i="15"/>
  <c r="AV32" i="15" s="1"/>
  <c r="AU32" i="15"/>
  <c r="AT32" i="15"/>
  <c r="AT103" i="4" s="1"/>
  <c r="AQ33" i="15"/>
  <c r="AR33" i="15" s="1"/>
  <c r="AS33" i="15" s="1"/>
  <c r="AP32" i="15"/>
  <c r="AO32" i="15"/>
  <c r="AO103" i="4" s="1"/>
  <c r="AK32" i="15"/>
  <c r="AJ32" i="15"/>
  <c r="AJ103" i="4" s="1"/>
  <c r="AG33" i="15"/>
  <c r="AH33" i="15" s="1"/>
  <c r="AF32" i="15"/>
  <c r="AF103" i="4" s="1"/>
  <c r="AE32" i="15"/>
  <c r="AE103" i="4" s="1"/>
  <c r="AB33" i="15"/>
  <c r="AA32" i="15"/>
  <c r="AA103" i="4" s="1"/>
  <c r="Z32" i="15"/>
  <c r="Z103" i="4" s="1"/>
  <c r="W33" i="15"/>
  <c r="X33" i="15" s="1"/>
  <c r="X32" i="15" s="1"/>
  <c r="X103" i="4" s="1"/>
  <c r="V32" i="15"/>
  <c r="V103" i="4" s="1"/>
  <c r="U32" i="15"/>
  <c r="U103" i="4" s="1"/>
  <c r="R33" i="15"/>
  <c r="Q32" i="15"/>
  <c r="Q103" i="4" s="1"/>
  <c r="BS29" i="15"/>
  <c r="BP29" i="15"/>
  <c r="BQ29" i="15" s="1"/>
  <c r="BN29" i="15"/>
  <c r="BN24" i="15" s="1"/>
  <c r="BJ29" i="15"/>
  <c r="BK29" i="15" s="1"/>
  <c r="BL29" i="15" s="1"/>
  <c r="BI29" i="15"/>
  <c r="BF29" i="15"/>
  <c r="BG29" i="15" s="1"/>
  <c r="BD29" i="15"/>
  <c r="AZ29" i="15"/>
  <c r="BA29" i="15" s="1"/>
  <c r="BB29" i="15" s="1"/>
  <c r="BC29" i="15" s="1"/>
  <c r="AY29" i="15"/>
  <c r="AV29" i="15"/>
  <c r="AW29" i="15" s="1"/>
  <c r="AO29" i="15"/>
  <c r="AK29" i="15"/>
  <c r="AL29" i="15" s="1"/>
  <c r="AM29" i="15" s="1"/>
  <c r="AJ29" i="15"/>
  <c r="AF29" i="15"/>
  <c r="AG29" i="15" s="1"/>
  <c r="AH29" i="15" s="1"/>
  <c r="R29" i="15"/>
  <c r="S29" i="15" s="1"/>
  <c r="T29" i="15" s="1"/>
  <c r="O29" i="15"/>
  <c r="BR28" i="15"/>
  <c r="BR26" i="15"/>
  <c r="BC28" i="15"/>
  <c r="BC26" i="15"/>
  <c r="AI28" i="15"/>
  <c r="AI26" i="15"/>
  <c r="T28" i="15"/>
  <c r="BP27" i="15"/>
  <c r="BQ27" i="15" s="1"/>
  <c r="BR27" i="15" s="1"/>
  <c r="BK28" i="15"/>
  <c r="BL28" i="15" s="1"/>
  <c r="BM28" i="15" s="1"/>
  <c r="BK27" i="15"/>
  <c r="BL27" i="15" s="1"/>
  <c r="BM27" i="15" s="1"/>
  <c r="BG28" i="15"/>
  <c r="BH28" i="15" s="1"/>
  <c r="BF27" i="15"/>
  <c r="BG27" i="15" s="1"/>
  <c r="BH27" i="15" s="1"/>
  <c r="BA27" i="15"/>
  <c r="BB27" i="15" s="1"/>
  <c r="BC27" i="15" s="1"/>
  <c r="AV27" i="15"/>
  <c r="AW27" i="15" s="1"/>
  <c r="AX27" i="15" s="1"/>
  <c r="AQ29" i="15"/>
  <c r="AR29" i="15" s="1"/>
  <c r="AS29" i="15" s="1"/>
  <c r="AQ28" i="15"/>
  <c r="AR28" i="15" s="1"/>
  <c r="AS28" i="15" s="1"/>
  <c r="AQ27" i="15"/>
  <c r="AR27" i="15" s="1"/>
  <c r="AS27" i="15" s="1"/>
  <c r="AG27" i="15"/>
  <c r="AH27" i="15" s="1"/>
  <c r="R27" i="15"/>
  <c r="S27" i="15" s="1"/>
  <c r="BM26" i="15"/>
  <c r="BH26" i="15"/>
  <c r="T26" i="15"/>
  <c r="AW28" i="15"/>
  <c r="AX28" i="15" s="1"/>
  <c r="AW26" i="15"/>
  <c r="AX26" i="15" s="1"/>
  <c r="AV25" i="15"/>
  <c r="AR26" i="15"/>
  <c r="AS26" i="15" s="1"/>
  <c r="AQ25" i="15"/>
  <c r="AR25" i="15" s="1"/>
  <c r="AL28" i="15"/>
  <c r="AM28" i="15" s="1"/>
  <c r="AN28" i="15" s="1"/>
  <c r="AL27" i="15"/>
  <c r="AM27" i="15" s="1"/>
  <c r="AN27" i="15" s="1"/>
  <c r="AL26" i="15"/>
  <c r="AL25" i="15"/>
  <c r="AM25" i="15" s="1"/>
  <c r="AB29" i="15"/>
  <c r="AC29" i="15" s="1"/>
  <c r="AD29" i="15" s="1"/>
  <c r="AB28" i="15"/>
  <c r="AC28" i="15" s="1"/>
  <c r="AD28" i="15" s="1"/>
  <c r="AB27" i="15"/>
  <c r="AC27" i="15" s="1"/>
  <c r="AD27" i="15" s="1"/>
  <c r="AB26" i="15"/>
  <c r="AC26" i="15" s="1"/>
  <c r="AD26" i="15" s="1"/>
  <c r="AB25" i="15"/>
  <c r="W29" i="15"/>
  <c r="X29" i="15" s="1"/>
  <c r="Y29" i="15" s="1"/>
  <c r="W28" i="15"/>
  <c r="X28" i="15" s="1"/>
  <c r="Y28" i="15" s="1"/>
  <c r="W27" i="15"/>
  <c r="W26" i="15"/>
  <c r="W25" i="15"/>
  <c r="X25" i="15" s="1"/>
  <c r="Y25" i="15" s="1"/>
  <c r="BT24" i="15"/>
  <c r="BS24" i="15"/>
  <c r="BP25" i="15"/>
  <c r="BQ25" i="15" s="1"/>
  <c r="BO24" i="15"/>
  <c r="BK25" i="15"/>
  <c r="BI24" i="15"/>
  <c r="BF25" i="15"/>
  <c r="BG25" i="15" s="1"/>
  <c r="BE24" i="15"/>
  <c r="BE30" i="15" s="1"/>
  <c r="BE97" i="4" s="1"/>
  <c r="BD24" i="15"/>
  <c r="BA25" i="15"/>
  <c r="AZ24" i="15"/>
  <c r="AZ30" i="15" s="1"/>
  <c r="AZ97" i="4" s="1"/>
  <c r="AY24" i="15"/>
  <c r="AU24" i="15"/>
  <c r="AU30" i="15" s="1"/>
  <c r="AU97" i="4" s="1"/>
  <c r="AT24" i="15"/>
  <c r="AP24" i="15"/>
  <c r="AP30" i="15" s="1"/>
  <c r="AP97" i="4" s="1"/>
  <c r="AO24" i="15"/>
  <c r="AK24" i="15"/>
  <c r="AK30" i="15" s="1"/>
  <c r="AK97" i="4" s="1"/>
  <c r="AJ24" i="15"/>
  <c r="AG25" i="15"/>
  <c r="AH25" i="15" s="1"/>
  <c r="AI25" i="15" s="1"/>
  <c r="AE24" i="15"/>
  <c r="AA24" i="15"/>
  <c r="AA30" i="15" s="1"/>
  <c r="AA97" i="4" s="1"/>
  <c r="Z24" i="15"/>
  <c r="V24" i="15"/>
  <c r="V30" i="15" s="1"/>
  <c r="V97" i="4" s="1"/>
  <c r="U24" i="15"/>
  <c r="R25" i="15"/>
  <c r="S25" i="15" s="1"/>
  <c r="Q24" i="15"/>
  <c r="Q30" i="15" s="1"/>
  <c r="Q97" i="4" s="1"/>
  <c r="O24" i="15"/>
  <c r="BS19" i="15"/>
  <c r="BO19" i="15"/>
  <c r="BP19" i="15" s="1"/>
  <c r="BQ19" i="15" s="1"/>
  <c r="BN19" i="15"/>
  <c r="BK19" i="15"/>
  <c r="BL19" i="15" s="1"/>
  <c r="BI19" i="15"/>
  <c r="BF19" i="15"/>
  <c r="BG19" i="15" s="1"/>
  <c r="BD19" i="15"/>
  <c r="BA19" i="15"/>
  <c r="BB19" i="15" s="1"/>
  <c r="AY19" i="15"/>
  <c r="AV19" i="15"/>
  <c r="AW19" i="15" s="1"/>
  <c r="AT19" i="15"/>
  <c r="AQ19" i="15"/>
  <c r="AR19" i="15" s="1"/>
  <c r="AO19" i="15"/>
  <c r="AL19" i="15"/>
  <c r="AM19" i="15" s="1"/>
  <c r="AJ19" i="15"/>
  <c r="AG19" i="15"/>
  <c r="AH19" i="15" s="1"/>
  <c r="AE19" i="15"/>
  <c r="AB19" i="15"/>
  <c r="AC19" i="15" s="1"/>
  <c r="Z19" i="15"/>
  <c r="W19" i="15"/>
  <c r="X19" i="15" s="1"/>
  <c r="U19" i="15"/>
  <c r="R19" i="15"/>
  <c r="S19" i="15" s="1"/>
  <c r="P19" i="15"/>
  <c r="O19" i="15" s="1"/>
  <c r="BO18" i="15"/>
  <c r="BR18" i="15" s="1"/>
  <c r="BM18" i="15"/>
  <c r="BH18" i="15"/>
  <c r="BC18" i="15"/>
  <c r="AX18" i="15"/>
  <c r="CH17" i="15"/>
  <c r="CH16" i="15" s="1"/>
  <c r="CG17" i="15"/>
  <c r="CG16" i="15" s="1"/>
  <c r="CF17" i="15"/>
  <c r="CF16" i="15" s="1"/>
  <c r="CE17" i="15"/>
  <c r="CE16" i="15" s="1"/>
  <c r="CM95" i="4" s="1"/>
  <c r="CD17" i="15"/>
  <c r="CD16" i="15" s="1"/>
  <c r="CH95" i="4" s="1"/>
  <c r="CC17" i="15"/>
  <c r="CC16" i="15" s="1"/>
  <c r="CC95" i="4" s="1"/>
  <c r="BT17" i="15"/>
  <c r="BS17" i="15"/>
  <c r="BN17" i="15"/>
  <c r="BN128" i="15" s="1"/>
  <c r="BJ17" i="15"/>
  <c r="BI17" i="15"/>
  <c r="BI128" i="15" s="1"/>
  <c r="BE17" i="15"/>
  <c r="BD17" i="15"/>
  <c r="AZ17" i="15"/>
  <c r="AY17" i="15"/>
  <c r="AY128" i="15" s="1"/>
  <c r="AU17" i="15"/>
  <c r="AT17" i="15"/>
  <c r="AP17" i="15"/>
  <c r="AO17" i="15"/>
  <c r="AO128" i="15" s="1"/>
  <c r="AK17" i="15"/>
  <c r="AJ17" i="15"/>
  <c r="AE17" i="15"/>
  <c r="AE128" i="15" s="1"/>
  <c r="Z17" i="15"/>
  <c r="Z128" i="15" s="1"/>
  <c r="U17" i="15"/>
  <c r="U128" i="15" s="1"/>
  <c r="P17" i="15"/>
  <c r="O16" i="15"/>
  <c r="O15" i="15"/>
  <c r="O94" i="10" s="1"/>
  <c r="O93" i="10" s="1"/>
  <c r="BP16" i="15"/>
  <c r="BP15" i="15"/>
  <c r="BP94" i="10" s="1"/>
  <c r="BK16" i="15"/>
  <c r="BK17" i="15" s="1"/>
  <c r="BK15" i="15"/>
  <c r="BK94" i="10" s="1"/>
  <c r="BF16" i="15"/>
  <c r="BF17" i="15" s="1"/>
  <c r="BF15" i="15"/>
  <c r="BF94" i="10" s="1"/>
  <c r="BA16" i="15"/>
  <c r="BA17" i="15" s="1"/>
  <c r="BA15" i="15"/>
  <c r="BA94" i="10" s="1"/>
  <c r="AV16" i="15"/>
  <c r="AV17" i="15" s="1"/>
  <c r="AV15" i="15"/>
  <c r="AV94" i="10" s="1"/>
  <c r="AQ16" i="15"/>
  <c r="AQ15" i="15"/>
  <c r="AQ94" i="10" s="1"/>
  <c r="AL16" i="15"/>
  <c r="AL15" i="15"/>
  <c r="AL94" i="10" s="1"/>
  <c r="AG16" i="15"/>
  <c r="AG95" i="4" s="1"/>
  <c r="AG15" i="15"/>
  <c r="AG94" i="10" s="1"/>
  <c r="AB16" i="15"/>
  <c r="AB95" i="4" s="1"/>
  <c r="AB15" i="15"/>
  <c r="AB94" i="10" s="1"/>
  <c r="W16" i="15"/>
  <c r="W95" i="4" s="1"/>
  <c r="W15" i="15"/>
  <c r="W94" i="10" s="1"/>
  <c r="R16" i="15"/>
  <c r="R95" i="4" s="1"/>
  <c r="R15" i="15"/>
  <c r="R94" i="10" s="1"/>
  <c r="CH12" i="15"/>
  <c r="CG12" i="15"/>
  <c r="CF12" i="15"/>
  <c r="CE12" i="15"/>
  <c r="CD12" i="15"/>
  <c r="CC12" i="15"/>
  <c r="P11" i="15"/>
  <c r="P179" i="15" s="1"/>
  <c r="O11" i="15"/>
  <c r="O179" i="15" s="1"/>
  <c r="N11" i="15"/>
  <c r="N179" i="15" s="1"/>
  <c r="M11" i="15"/>
  <c r="M179" i="15" s="1"/>
  <c r="L11" i="15"/>
  <c r="L179" i="15" s="1"/>
  <c r="CH9" i="15"/>
  <c r="CG9" i="15"/>
  <c r="CF9" i="15"/>
  <c r="CE9" i="15"/>
  <c r="CD9" i="15"/>
  <c r="CC9" i="15"/>
  <c r="CB9" i="15"/>
  <c r="CA9" i="15"/>
  <c r="BZ9" i="15"/>
  <c r="BY9" i="15"/>
  <c r="BX9" i="15"/>
  <c r="BW9" i="15"/>
  <c r="BV9" i="15"/>
  <c r="BT9" i="15"/>
  <c r="BS9" i="15"/>
  <c r="BR9" i="15"/>
  <c r="BQ9" i="15"/>
  <c r="BP9" i="15"/>
  <c r="BO9" i="15"/>
  <c r="BN9" i="15"/>
  <c r="BM9" i="15"/>
  <c r="BL9" i="15"/>
  <c r="BK9" i="15"/>
  <c r="BJ9" i="15"/>
  <c r="BI9" i="15"/>
  <c r="BH9" i="15"/>
  <c r="BG9" i="15"/>
  <c r="BF9" i="15"/>
  <c r="BE9" i="15"/>
  <c r="BD9" i="15"/>
  <c r="BC9" i="15"/>
  <c r="BB9" i="15"/>
  <c r="BA9" i="15"/>
  <c r="AZ9" i="15"/>
  <c r="AY9" i="15"/>
  <c r="J32" i="4" s="1"/>
  <c r="AX9" i="15"/>
  <c r="AW9" i="15"/>
  <c r="AV9" i="15"/>
  <c r="AU9" i="15"/>
  <c r="AT9" i="15"/>
  <c r="AS9" i="15"/>
  <c r="AR9" i="15"/>
  <c r="AQ9" i="15"/>
  <c r="AP9" i="15"/>
  <c r="AO9" i="15"/>
  <c r="AN9" i="15"/>
  <c r="AM9" i="15"/>
  <c r="AL9" i="15"/>
  <c r="AK9" i="15"/>
  <c r="AJ9" i="15"/>
  <c r="AI9" i="15"/>
  <c r="AH9" i="15"/>
  <c r="AG9" i="15"/>
  <c r="AF9" i="15"/>
  <c r="AE9" i="15"/>
  <c r="AD9" i="15"/>
  <c r="AC9" i="15"/>
  <c r="AB9" i="15"/>
  <c r="AA9" i="15"/>
  <c r="Z9" i="15"/>
  <c r="Y9" i="15"/>
  <c r="X9" i="15"/>
  <c r="W9" i="15"/>
  <c r="V9" i="15"/>
  <c r="U9" i="15"/>
  <c r="T9" i="15"/>
  <c r="S9" i="15"/>
  <c r="R9" i="15"/>
  <c r="Q9" i="15"/>
  <c r="P9" i="15"/>
  <c r="O9" i="15"/>
  <c r="N9" i="15"/>
  <c r="M9" i="15"/>
  <c r="L9" i="15"/>
  <c r="H9" i="15"/>
  <c r="J6" i="15"/>
  <c r="J5" i="15"/>
  <c r="H5" i="15"/>
  <c r="H71" i="20"/>
  <c r="H70" i="20"/>
  <c r="H69" i="20"/>
  <c r="H68" i="20"/>
  <c r="H67" i="20"/>
  <c r="H66" i="20"/>
  <c r="H65" i="20"/>
  <c r="H64" i="20"/>
  <c r="H63" i="20"/>
  <c r="H62" i="20"/>
  <c r="H61" i="20"/>
  <c r="H60" i="20"/>
  <c r="H59" i="20"/>
  <c r="H58" i="20"/>
  <c r="H57" i="20"/>
  <c r="H56" i="20"/>
  <c r="H55" i="20"/>
  <c r="H54" i="20"/>
  <c r="H53" i="20"/>
  <c r="H52" i="20"/>
  <c r="H51" i="20"/>
  <c r="CH49" i="20"/>
  <c r="CG49" i="20"/>
  <c r="CF49" i="20"/>
  <c r="CE49" i="20"/>
  <c r="CD49" i="20"/>
  <c r="CC49" i="20"/>
  <c r="CB49" i="20"/>
  <c r="CA49" i="20"/>
  <c r="BZ49" i="20"/>
  <c r="BY49" i="20"/>
  <c r="BX49" i="20"/>
  <c r="BW49" i="20"/>
  <c r="BV49" i="20"/>
  <c r="BU49" i="20"/>
  <c r="BT49" i="20"/>
  <c r="BS49" i="20"/>
  <c r="BR49" i="20"/>
  <c r="BQ49" i="20"/>
  <c r="BP49" i="20"/>
  <c r="BO49" i="20"/>
  <c r="BN49" i="20"/>
  <c r="BM49" i="20"/>
  <c r="BL49" i="20"/>
  <c r="BK49" i="20"/>
  <c r="BJ49" i="20"/>
  <c r="BI49" i="20"/>
  <c r="BH49" i="20"/>
  <c r="BG49" i="20"/>
  <c r="BF49" i="20"/>
  <c r="BE49" i="20"/>
  <c r="BD49" i="20"/>
  <c r="BC49" i="20"/>
  <c r="BB49" i="20"/>
  <c r="BA49" i="20"/>
  <c r="AZ49" i="20"/>
  <c r="AY49" i="20"/>
  <c r="AX49" i="20"/>
  <c r="AW49" i="20"/>
  <c r="AV49" i="20"/>
  <c r="AU49" i="20"/>
  <c r="AT49" i="20"/>
  <c r="AS49" i="20"/>
  <c r="AR49" i="20"/>
  <c r="AQ49" i="20"/>
  <c r="AP49" i="20"/>
  <c r="AO49" i="20"/>
  <c r="AN49" i="20"/>
  <c r="AM49" i="20"/>
  <c r="AL49" i="20"/>
  <c r="AK49" i="20"/>
  <c r="AJ49" i="20"/>
  <c r="AI49" i="20"/>
  <c r="AH49" i="20"/>
  <c r="AG49" i="20"/>
  <c r="AF49" i="20"/>
  <c r="AE49" i="20"/>
  <c r="AD49" i="20"/>
  <c r="AC49" i="20"/>
  <c r="AB49" i="20"/>
  <c r="AA49" i="20"/>
  <c r="Z49" i="20"/>
  <c r="Y49" i="20"/>
  <c r="X49" i="20"/>
  <c r="W49" i="20"/>
  <c r="V49" i="20"/>
  <c r="U49" i="20"/>
  <c r="T49" i="20"/>
  <c r="S49" i="20"/>
  <c r="R49" i="20"/>
  <c r="Q49" i="20"/>
  <c r="P49" i="20"/>
  <c r="O49" i="20"/>
  <c r="N49" i="20"/>
  <c r="M49" i="20"/>
  <c r="L49" i="20"/>
  <c r="CF31" i="20"/>
  <c r="CG31" i="20" s="1"/>
  <c r="CF30" i="20"/>
  <c r="CG30" i="20" s="1"/>
  <c r="CF28" i="20"/>
  <c r="CF28" i="19" s="1"/>
  <c r="CF27" i="20"/>
  <c r="CG27" i="20" s="1"/>
  <c r="CF25" i="20"/>
  <c r="CF25" i="19" s="1"/>
  <c r="CF24" i="20"/>
  <c r="CE29" i="20"/>
  <c r="CE26" i="20"/>
  <c r="CE23" i="20"/>
  <c r="CE19" i="20"/>
  <c r="CF19" i="20" s="1"/>
  <c r="CG19" i="20" s="1"/>
  <c r="CE18" i="20"/>
  <c r="CD17" i="20"/>
  <c r="CE16" i="20"/>
  <c r="CD14" i="20"/>
  <c r="CD13" i="20"/>
  <c r="CE13" i="20" s="1"/>
  <c r="CD12" i="20"/>
  <c r="CE12" i="20" s="1"/>
  <c r="CC11" i="20"/>
  <c r="CH9" i="20"/>
  <c r="CG9" i="20"/>
  <c r="CF9" i="20"/>
  <c r="CE9" i="20"/>
  <c r="CD9" i="20"/>
  <c r="CC9" i="20"/>
  <c r="CB9" i="20"/>
  <c r="CA9" i="20"/>
  <c r="BZ9" i="20"/>
  <c r="BY9" i="20"/>
  <c r="BX9" i="20"/>
  <c r="BW9" i="20"/>
  <c r="BV9" i="20"/>
  <c r="BU9" i="20"/>
  <c r="BT9" i="20"/>
  <c r="BS9" i="20"/>
  <c r="BR9" i="20"/>
  <c r="BQ9" i="20"/>
  <c r="BP9" i="20"/>
  <c r="BO9" i="20"/>
  <c r="BN9" i="20"/>
  <c r="BM9" i="20"/>
  <c r="BL9" i="20"/>
  <c r="BK9" i="20"/>
  <c r="BJ9" i="20"/>
  <c r="BI9" i="20"/>
  <c r="BH9" i="20"/>
  <c r="BG9" i="20"/>
  <c r="BF9" i="20"/>
  <c r="BE9" i="20"/>
  <c r="BD9" i="20"/>
  <c r="BC9" i="20"/>
  <c r="BB9" i="20"/>
  <c r="BA9" i="20"/>
  <c r="AZ9" i="20"/>
  <c r="AY9" i="20"/>
  <c r="AX9" i="20"/>
  <c r="AW9" i="20"/>
  <c r="AV9" i="20"/>
  <c r="AU9" i="20"/>
  <c r="AT9" i="20"/>
  <c r="AS9" i="20"/>
  <c r="AR9" i="20"/>
  <c r="AQ9" i="20"/>
  <c r="AP9" i="20"/>
  <c r="AO9" i="20"/>
  <c r="AN9" i="20"/>
  <c r="AM9" i="20"/>
  <c r="AL9" i="20"/>
  <c r="AK9" i="20"/>
  <c r="AJ9" i="20"/>
  <c r="AI9" i="20"/>
  <c r="AH9" i="20"/>
  <c r="AG9" i="20"/>
  <c r="AF9" i="20"/>
  <c r="AE9" i="20"/>
  <c r="AD9" i="20"/>
  <c r="AC9" i="20"/>
  <c r="AB9" i="20"/>
  <c r="AA9" i="20"/>
  <c r="Z9" i="20"/>
  <c r="Y9" i="20"/>
  <c r="X9" i="20"/>
  <c r="W9" i="20"/>
  <c r="V9" i="20"/>
  <c r="U9" i="20"/>
  <c r="T9" i="20"/>
  <c r="S9" i="20"/>
  <c r="R9" i="20"/>
  <c r="Q9" i="20"/>
  <c r="P9" i="20"/>
  <c r="O9" i="20"/>
  <c r="N9" i="20"/>
  <c r="M9" i="20"/>
  <c r="L9" i="20"/>
  <c r="J6" i="20"/>
  <c r="J5" i="20"/>
  <c r="H5" i="20"/>
  <c r="BN85" i="19"/>
  <c r="BN86" i="19" s="1"/>
  <c r="BN87" i="19" s="1"/>
  <c r="CH83" i="19"/>
  <c r="CH85" i="19" s="1"/>
  <c r="CG83" i="19"/>
  <c r="CG85" i="19" s="1"/>
  <c r="CF83" i="19"/>
  <c r="CF85" i="19" s="1"/>
  <c r="CE83" i="19"/>
  <c r="CE85" i="19" s="1"/>
  <c r="CE86" i="19" s="1"/>
  <c r="CE87" i="19" s="1"/>
  <c r="CD83" i="19"/>
  <c r="CD85" i="19" s="1"/>
  <c r="CD86" i="19" s="1"/>
  <c r="CD87" i="19" s="1"/>
  <c r="CC83" i="19"/>
  <c r="CC85" i="19" s="1"/>
  <c r="CC86" i="19" s="1"/>
  <c r="CC87" i="19" s="1"/>
  <c r="BS83" i="19"/>
  <c r="BS85" i="19" s="1"/>
  <c r="BI83" i="19"/>
  <c r="BI85" i="19" s="1"/>
  <c r="BD83" i="19"/>
  <c r="BD85" i="19" s="1"/>
  <c r="AY83" i="19"/>
  <c r="AY85" i="19" s="1"/>
  <c r="AT83" i="19"/>
  <c r="AT85" i="19" s="1"/>
  <c r="AT86" i="19" s="1"/>
  <c r="AO83" i="19"/>
  <c r="AO85" i="19" s="1"/>
  <c r="BX76" i="19"/>
  <c r="BS76" i="19"/>
  <c r="BN76" i="19"/>
  <c r="BI76" i="19"/>
  <c r="BD76" i="19"/>
  <c r="AY76" i="19"/>
  <c r="AT76" i="19"/>
  <c r="AO76" i="19"/>
  <c r="AY74" i="19"/>
  <c r="AY73" i="19"/>
  <c r="AY72" i="19"/>
  <c r="AT74" i="19"/>
  <c r="AT73" i="19"/>
  <c r="AT72" i="19"/>
  <c r="BI59" i="19"/>
  <c r="BI58" i="19"/>
  <c r="BI57" i="19"/>
  <c r="BD59" i="19"/>
  <c r="BD58" i="19"/>
  <c r="BD57" i="19"/>
  <c r="BD56" i="19"/>
  <c r="BD55" i="19"/>
  <c r="BD54" i="19"/>
  <c r="BD53" i="19"/>
  <c r="BD52" i="19"/>
  <c r="BD51" i="19"/>
  <c r="AY59" i="19"/>
  <c r="AY58" i="19"/>
  <c r="AY57" i="19"/>
  <c r="AY56" i="19"/>
  <c r="AY55" i="19"/>
  <c r="AY54" i="19"/>
  <c r="AY53" i="19"/>
  <c r="AY52" i="19"/>
  <c r="AY51" i="19"/>
  <c r="AT59" i="19"/>
  <c r="AT58" i="19"/>
  <c r="AT57" i="19"/>
  <c r="AT56" i="19"/>
  <c r="AT55" i="19"/>
  <c r="AT54" i="19"/>
  <c r="AT53" i="19"/>
  <c r="AT52" i="19"/>
  <c r="AT51" i="19"/>
  <c r="AO59" i="19"/>
  <c r="AO58" i="19"/>
  <c r="AO57" i="19"/>
  <c r="AO56" i="19"/>
  <c r="AO55" i="19"/>
  <c r="AO54" i="19"/>
  <c r="AO53" i="19"/>
  <c r="AO52" i="19"/>
  <c r="AO51" i="19"/>
  <c r="AJ59" i="19"/>
  <c r="AJ58" i="19"/>
  <c r="AJ57" i="19"/>
  <c r="AJ56" i="19"/>
  <c r="AJ55" i="19"/>
  <c r="AJ54" i="19"/>
  <c r="AJ53" i="19"/>
  <c r="AJ52" i="19"/>
  <c r="AJ51" i="19"/>
  <c r="CH46" i="19"/>
  <c r="CG46" i="19"/>
  <c r="CF46" i="19"/>
  <c r="CE46" i="19"/>
  <c r="CD46" i="19"/>
  <c r="CC46" i="19"/>
  <c r="CB46" i="19"/>
  <c r="CA46" i="19"/>
  <c r="BZ46" i="19"/>
  <c r="BY46" i="19"/>
  <c r="BX46" i="19"/>
  <c r="BW46" i="19"/>
  <c r="BV46" i="19"/>
  <c r="BU46" i="19"/>
  <c r="BT46" i="19"/>
  <c r="BS46" i="19"/>
  <c r="BR46" i="19"/>
  <c r="BQ46" i="19"/>
  <c r="BP46" i="19"/>
  <c r="BO46" i="19"/>
  <c r="BM46" i="19"/>
  <c r="BL46" i="19"/>
  <c r="BK46" i="19"/>
  <c r="BJ46" i="19"/>
  <c r="BI46" i="19"/>
  <c r="BH46" i="19"/>
  <c r="BG46" i="19"/>
  <c r="BF46" i="19"/>
  <c r="BE46" i="19"/>
  <c r="BD46" i="19"/>
  <c r="BC46" i="19"/>
  <c r="BB46" i="19"/>
  <c r="BA46" i="19"/>
  <c r="AZ46" i="19"/>
  <c r="AY46" i="19"/>
  <c r="AX46" i="19"/>
  <c r="AW46" i="19"/>
  <c r="AV46" i="19"/>
  <c r="AU46" i="19"/>
  <c r="AT46" i="19"/>
  <c r="AS46" i="19"/>
  <c r="AR46" i="19"/>
  <c r="AQ46" i="19"/>
  <c r="AP46" i="19"/>
  <c r="AO46" i="19"/>
  <c r="AN46" i="19"/>
  <c r="AM46" i="19"/>
  <c r="AL46" i="19"/>
  <c r="AK46" i="19"/>
  <c r="AJ46" i="19"/>
  <c r="AI46" i="19"/>
  <c r="AH46" i="19"/>
  <c r="AG46" i="19"/>
  <c r="AF46" i="19"/>
  <c r="AE46" i="19"/>
  <c r="AD46" i="19"/>
  <c r="AC46" i="19"/>
  <c r="AB46" i="19"/>
  <c r="AA46" i="19"/>
  <c r="Z46" i="19"/>
  <c r="Y46" i="19"/>
  <c r="X46" i="19"/>
  <c r="W46" i="19"/>
  <c r="V46" i="19"/>
  <c r="U46" i="19"/>
  <c r="T46" i="19"/>
  <c r="S46" i="19"/>
  <c r="R46" i="19"/>
  <c r="Q46" i="19"/>
  <c r="P46" i="19"/>
  <c r="O46" i="19"/>
  <c r="N46" i="19"/>
  <c r="M46" i="19"/>
  <c r="L46" i="19"/>
  <c r="CF31" i="19"/>
  <c r="CF24" i="19"/>
  <c r="CE31" i="19"/>
  <c r="CE30" i="19"/>
  <c r="CE28" i="19"/>
  <c r="CE27" i="19"/>
  <c r="CE25" i="19"/>
  <c r="CE24" i="19"/>
  <c r="CD31" i="19"/>
  <c r="CD30" i="19"/>
  <c r="CD28" i="19"/>
  <c r="CD27" i="19"/>
  <c r="CD25" i="19"/>
  <c r="CD24" i="19"/>
  <c r="CC31" i="19"/>
  <c r="CC30" i="19"/>
  <c r="CC28" i="19"/>
  <c r="CC27" i="19"/>
  <c r="CC25" i="19"/>
  <c r="CC24" i="19"/>
  <c r="AJ34" i="19"/>
  <c r="AJ33" i="19"/>
  <c r="BX32" i="19"/>
  <c r="BW32" i="19"/>
  <c r="BV32" i="19"/>
  <c r="BU32" i="19"/>
  <c r="BT32" i="19"/>
  <c r="BX31" i="19"/>
  <c r="BW31" i="19"/>
  <c r="BV31" i="19"/>
  <c r="BU31" i="19"/>
  <c r="BT31" i="19"/>
  <c r="BX30" i="19"/>
  <c r="BW30" i="19"/>
  <c r="BV30" i="19"/>
  <c r="BU30" i="19"/>
  <c r="BT30" i="19"/>
  <c r="BX29" i="19"/>
  <c r="BW29" i="19"/>
  <c r="BV29" i="19"/>
  <c r="BU29" i="19"/>
  <c r="BT29" i="19"/>
  <c r="BX28" i="19"/>
  <c r="BW28" i="19"/>
  <c r="BV28" i="19"/>
  <c r="BU28" i="19"/>
  <c r="BT28" i="19"/>
  <c r="BX27" i="19"/>
  <c r="BW27" i="19"/>
  <c r="BV27" i="19"/>
  <c r="BU27" i="19"/>
  <c r="BT27" i="19"/>
  <c r="BX26" i="19"/>
  <c r="BW26" i="19"/>
  <c r="BV26" i="19"/>
  <c r="BU26" i="19"/>
  <c r="BT26" i="19"/>
  <c r="BX25" i="19"/>
  <c r="BW25" i="19"/>
  <c r="BV25" i="19"/>
  <c r="BU25" i="19"/>
  <c r="BT25" i="19"/>
  <c r="BX24" i="19"/>
  <c r="BW24" i="19"/>
  <c r="BV24" i="19"/>
  <c r="BU24" i="19"/>
  <c r="BT24" i="19"/>
  <c r="BH34" i="19"/>
  <c r="BG34" i="19"/>
  <c r="BF34" i="19"/>
  <c r="BE34" i="19"/>
  <c r="BH33" i="19"/>
  <c r="BG33" i="19"/>
  <c r="BF33" i="19"/>
  <c r="BE33" i="19"/>
  <c r="BH32" i="19"/>
  <c r="BG32" i="19"/>
  <c r="BF32" i="19"/>
  <c r="BE32" i="19"/>
  <c r="BH31" i="19"/>
  <c r="BG31" i="19"/>
  <c r="BF31" i="19"/>
  <c r="BE31" i="19"/>
  <c r="BH30" i="19"/>
  <c r="BG30" i="19"/>
  <c r="BF30" i="19"/>
  <c r="BE30" i="19"/>
  <c r="BH29" i="19"/>
  <c r="BG29" i="19"/>
  <c r="BF29" i="19"/>
  <c r="BE29" i="19"/>
  <c r="BH28" i="19"/>
  <c r="BG28" i="19"/>
  <c r="BF28" i="19"/>
  <c r="BE28" i="19"/>
  <c r="BH27" i="19"/>
  <c r="BG27" i="19"/>
  <c r="BF27" i="19"/>
  <c r="BE27" i="19"/>
  <c r="BH26" i="19"/>
  <c r="BG26" i="19"/>
  <c r="BF26" i="19"/>
  <c r="BE26" i="19"/>
  <c r="BH25" i="19"/>
  <c r="BG25" i="19"/>
  <c r="BF25" i="19"/>
  <c r="BE25" i="19"/>
  <c r="BH24" i="19"/>
  <c r="BG24" i="19"/>
  <c r="BF24" i="19"/>
  <c r="BE24" i="19"/>
  <c r="BH23" i="19"/>
  <c r="BG23" i="19"/>
  <c r="BF23" i="19"/>
  <c r="BE23" i="19"/>
  <c r="AY22" i="19"/>
  <c r="AY21" i="19"/>
  <c r="AY19" i="19"/>
  <c r="AY18" i="19"/>
  <c r="AY16" i="19"/>
  <c r="AY15" i="19"/>
  <c r="AT22" i="19"/>
  <c r="AT21" i="19"/>
  <c r="AT19" i="19"/>
  <c r="AT18" i="19"/>
  <c r="AT16" i="19"/>
  <c r="AT15" i="19"/>
  <c r="AO22" i="19"/>
  <c r="AO21" i="19"/>
  <c r="AO19" i="19"/>
  <c r="AO18" i="19"/>
  <c r="AO16" i="19"/>
  <c r="AO15" i="19"/>
  <c r="AJ22" i="19"/>
  <c r="AJ21" i="19"/>
  <c r="AJ19" i="19"/>
  <c r="AJ18" i="19"/>
  <c r="AJ16" i="19"/>
  <c r="AJ15" i="19"/>
  <c r="CD19" i="19"/>
  <c r="CD18" i="19"/>
  <c r="CD16" i="19"/>
  <c r="CD15" i="19"/>
  <c r="CC19" i="19"/>
  <c r="CC18" i="19"/>
  <c r="CC16" i="19"/>
  <c r="CC15" i="19"/>
  <c r="CC13" i="19"/>
  <c r="CC12" i="19"/>
  <c r="BW21" i="19"/>
  <c r="BW20" i="19" s="1"/>
  <c r="BV21" i="19"/>
  <c r="BV20" i="19" s="1"/>
  <c r="BU21" i="19"/>
  <c r="BU20" i="19" s="1"/>
  <c r="BT21" i="19"/>
  <c r="BT20" i="19" s="1"/>
  <c r="BH19" i="19"/>
  <c r="BG19" i="19"/>
  <c r="BF19" i="19"/>
  <c r="BE19" i="19"/>
  <c r="BH18" i="19"/>
  <c r="BG18" i="19"/>
  <c r="BF18" i="19"/>
  <c r="BE18" i="19"/>
  <c r="BH17" i="19"/>
  <c r="BG17" i="19"/>
  <c r="BF17" i="19"/>
  <c r="BE17" i="19"/>
  <c r="BX19" i="19"/>
  <c r="BW19" i="19"/>
  <c r="BV19" i="19"/>
  <c r="BU19" i="19"/>
  <c r="BT19" i="19"/>
  <c r="BX18" i="19"/>
  <c r="BW18" i="19"/>
  <c r="BV18" i="19"/>
  <c r="BU18" i="19"/>
  <c r="BT18" i="19"/>
  <c r="BX16" i="19"/>
  <c r="BW16" i="19"/>
  <c r="BV16" i="19"/>
  <c r="BU16" i="19"/>
  <c r="BT16" i="19"/>
  <c r="BX15" i="19"/>
  <c r="BW15" i="19"/>
  <c r="BV15" i="19"/>
  <c r="BU15" i="19"/>
  <c r="BT15" i="19"/>
  <c r="BX13" i="19"/>
  <c r="BW13" i="19"/>
  <c r="BV13" i="19"/>
  <c r="BU13" i="19"/>
  <c r="BT13" i="19"/>
  <c r="BX12" i="19"/>
  <c r="BW12" i="19"/>
  <c r="BV12" i="19"/>
  <c r="BU12" i="19"/>
  <c r="BT12" i="19"/>
  <c r="BX11" i="19"/>
  <c r="BH13" i="19"/>
  <c r="BG13" i="19"/>
  <c r="BF13" i="19"/>
  <c r="BE13" i="19"/>
  <c r="BH12" i="19"/>
  <c r="BG12" i="19"/>
  <c r="BF12" i="19"/>
  <c r="BE12" i="19"/>
  <c r="BH11" i="19"/>
  <c r="BG11" i="19"/>
  <c r="BF11" i="19"/>
  <c r="BE11" i="19"/>
  <c r="CH9" i="19"/>
  <c r="CH81" i="19" s="1"/>
  <c r="CG9" i="19"/>
  <c r="CG81" i="19" s="1"/>
  <c r="CF9" i="19"/>
  <c r="CF81" i="19" s="1"/>
  <c r="CE9" i="19"/>
  <c r="CE81" i="19" s="1"/>
  <c r="CD9" i="19"/>
  <c r="CD81" i="19" s="1"/>
  <c r="CC9" i="19"/>
  <c r="CC81" i="19" s="1"/>
  <c r="CB9" i="19"/>
  <c r="CB81" i="19" s="1"/>
  <c r="CA9" i="19"/>
  <c r="CA81" i="19" s="1"/>
  <c r="BZ9" i="19"/>
  <c r="BZ81" i="19" s="1"/>
  <c r="BY9" i="19"/>
  <c r="BY81" i="19" s="1"/>
  <c r="BX9" i="19"/>
  <c r="BW9" i="19"/>
  <c r="BV9" i="19"/>
  <c r="BU9" i="19"/>
  <c r="BT9" i="19"/>
  <c r="BS9" i="19"/>
  <c r="BS81" i="19" s="1"/>
  <c r="BR9" i="19"/>
  <c r="BQ9" i="19"/>
  <c r="BP9" i="19"/>
  <c r="BO9" i="19"/>
  <c r="BM9" i="19"/>
  <c r="BL9" i="19"/>
  <c r="BK9" i="19"/>
  <c r="BJ9" i="19"/>
  <c r="BI9" i="19"/>
  <c r="BI81" i="19" s="1"/>
  <c r="BH9" i="19"/>
  <c r="BG9" i="19"/>
  <c r="BF9" i="19"/>
  <c r="BE9" i="19"/>
  <c r="BD9" i="19"/>
  <c r="BD81" i="19" s="1"/>
  <c r="BC9" i="19"/>
  <c r="BB9" i="19"/>
  <c r="BA9" i="19"/>
  <c r="AZ9" i="19"/>
  <c r="AY9" i="19"/>
  <c r="AY81" i="19" s="1"/>
  <c r="AX9" i="19"/>
  <c r="AW9" i="19"/>
  <c r="AV9" i="19"/>
  <c r="AU9" i="19"/>
  <c r="AT9" i="19"/>
  <c r="AT81" i="19" s="1"/>
  <c r="AS9" i="19"/>
  <c r="AR9" i="19"/>
  <c r="AQ9" i="19"/>
  <c r="AP9" i="19"/>
  <c r="AO9" i="19"/>
  <c r="AO81" i="19" s="1"/>
  <c r="AN9" i="19"/>
  <c r="AM9" i="19"/>
  <c r="AL9" i="19"/>
  <c r="AK9" i="19"/>
  <c r="AJ9" i="19"/>
  <c r="AI9" i="19"/>
  <c r="AH9" i="19"/>
  <c r="AG9" i="19"/>
  <c r="AF9" i="19"/>
  <c r="AE9" i="19"/>
  <c r="AD9" i="19"/>
  <c r="AC9" i="19"/>
  <c r="AB9" i="19"/>
  <c r="AA9" i="19"/>
  <c r="Z9" i="19"/>
  <c r="Y9" i="19"/>
  <c r="X9" i="19"/>
  <c r="W9" i="19"/>
  <c r="V9" i="19"/>
  <c r="U9" i="19"/>
  <c r="T9" i="19"/>
  <c r="S9" i="19"/>
  <c r="R9" i="19"/>
  <c r="Q9" i="19"/>
  <c r="P9" i="19"/>
  <c r="O9" i="19"/>
  <c r="N9" i="19"/>
  <c r="M9" i="19"/>
  <c r="L9" i="19"/>
  <c r="J6" i="19"/>
  <c r="J5" i="19"/>
  <c r="CH470" i="12"/>
  <c r="CG470" i="12"/>
  <c r="CF470" i="12"/>
  <c r="CE470" i="12"/>
  <c r="CD470" i="12"/>
  <c r="BX470" i="12"/>
  <c r="BS470" i="12"/>
  <c r="BN470" i="12"/>
  <c r="BI470" i="12"/>
  <c r="BD470" i="12"/>
  <c r="AY470" i="12"/>
  <c r="AT470" i="12"/>
  <c r="AO470" i="12"/>
  <c r="CB470" i="12"/>
  <c r="CA470" i="12"/>
  <c r="BZ470" i="12"/>
  <c r="BY470" i="12"/>
  <c r="BW470" i="12"/>
  <c r="BV470" i="12"/>
  <c r="BU470" i="12"/>
  <c r="BT470" i="12"/>
  <c r="BR470" i="12"/>
  <c r="BQ470" i="12"/>
  <c r="BP470" i="12"/>
  <c r="BO470" i="12"/>
  <c r="BM470" i="12"/>
  <c r="BL470" i="12"/>
  <c r="BK470" i="12"/>
  <c r="BJ470" i="12"/>
  <c r="BH470" i="12"/>
  <c r="BG470" i="12"/>
  <c r="BF470" i="12"/>
  <c r="BE470" i="12"/>
  <c r="BC470" i="12"/>
  <c r="BB470" i="12"/>
  <c r="BA470" i="12"/>
  <c r="AZ470" i="12"/>
  <c r="AX470" i="12"/>
  <c r="AW470" i="12"/>
  <c r="AV470" i="12"/>
  <c r="AU470" i="12"/>
  <c r="AS470" i="12"/>
  <c r="AR470" i="12"/>
  <c r="AQ470" i="12"/>
  <c r="AP470" i="12"/>
  <c r="AN470" i="12"/>
  <c r="AM470" i="12"/>
  <c r="AL470" i="12"/>
  <c r="AK470" i="12"/>
  <c r="AJ470" i="12"/>
  <c r="AI470" i="12"/>
  <c r="AH470" i="12"/>
  <c r="AG470" i="12"/>
  <c r="AF470" i="12"/>
  <c r="AE470" i="12"/>
  <c r="AD470" i="12"/>
  <c r="AC470" i="12"/>
  <c r="AB470" i="12"/>
  <c r="AA470" i="12"/>
  <c r="Z470" i="12"/>
  <c r="Y470" i="12"/>
  <c r="X470" i="12"/>
  <c r="W470" i="12"/>
  <c r="V470" i="12"/>
  <c r="U470" i="12"/>
  <c r="T470" i="12"/>
  <c r="S470" i="12"/>
  <c r="R470" i="12"/>
  <c r="Q470" i="12"/>
  <c r="P470" i="12"/>
  <c r="O470" i="12"/>
  <c r="N470" i="12"/>
  <c r="M470" i="12"/>
  <c r="L470" i="12"/>
  <c r="AQ463" i="12"/>
  <c r="AP463" i="12"/>
  <c r="AL463" i="12"/>
  <c r="AK463" i="12"/>
  <c r="AI463" i="12"/>
  <c r="AH463" i="12"/>
  <c r="AG463" i="12"/>
  <c r="AF463" i="12"/>
  <c r="AS462" i="12"/>
  <c r="AR462" i="12"/>
  <c r="AQ462" i="12"/>
  <c r="AP462" i="12"/>
  <c r="AN462" i="12"/>
  <c r="AM462" i="12"/>
  <c r="AL462" i="12"/>
  <c r="AK462" i="12"/>
  <c r="AI462" i="12"/>
  <c r="AH462" i="12"/>
  <c r="AG462" i="12"/>
  <c r="AF462" i="12"/>
  <c r="AS460" i="12"/>
  <c r="AR460" i="12"/>
  <c r="AQ460" i="12"/>
  <c r="AP460" i="12"/>
  <c r="AS459" i="12"/>
  <c r="AR459" i="12"/>
  <c r="AQ459" i="12"/>
  <c r="AP459" i="12"/>
  <c r="AS457" i="12"/>
  <c r="AR457" i="12"/>
  <c r="AQ457" i="12"/>
  <c r="AP457" i="12"/>
  <c r="AS456" i="12"/>
  <c r="AR456" i="12"/>
  <c r="AQ456" i="12"/>
  <c r="AP456" i="12"/>
  <c r="AS454" i="12"/>
  <c r="AR454" i="12"/>
  <c r="AQ454" i="12"/>
  <c r="AP454" i="12"/>
  <c r="AS453" i="12"/>
  <c r="AR453" i="12"/>
  <c r="AQ453" i="12"/>
  <c r="AP453" i="12"/>
  <c r="AN457" i="12"/>
  <c r="AM457" i="12"/>
  <c r="AL457" i="12"/>
  <c r="AK457" i="12"/>
  <c r="AI457" i="12"/>
  <c r="AH457" i="12"/>
  <c r="AG457" i="12"/>
  <c r="AF457" i="12"/>
  <c r="AN456" i="12"/>
  <c r="AM456" i="12"/>
  <c r="AL456" i="12"/>
  <c r="AK456" i="12"/>
  <c r="AI456" i="12"/>
  <c r="AH456" i="12"/>
  <c r="AG456" i="12"/>
  <c r="AF456" i="12"/>
  <c r="AN454" i="12"/>
  <c r="AM454" i="12"/>
  <c r="AL454" i="12"/>
  <c r="AK454" i="12"/>
  <c r="AI454" i="12"/>
  <c r="AH454" i="12"/>
  <c r="AG454" i="12"/>
  <c r="AF454" i="12"/>
  <c r="AN453" i="12"/>
  <c r="AM453" i="12"/>
  <c r="AL453" i="12"/>
  <c r="AK453" i="12"/>
  <c r="AI453" i="12"/>
  <c r="AH453" i="12"/>
  <c r="AG453" i="12"/>
  <c r="AF453" i="12"/>
  <c r="BX435" i="12"/>
  <c r="BU444" i="12"/>
  <c r="BT444" i="12"/>
  <c r="BR444" i="12"/>
  <c r="BQ444" i="12"/>
  <c r="BP444" i="12"/>
  <c r="BO444" i="12"/>
  <c r="BM444" i="12"/>
  <c r="BL444" i="12"/>
  <c r="BK444" i="12"/>
  <c r="BJ444" i="12"/>
  <c r="BH444" i="12"/>
  <c r="BG444" i="12"/>
  <c r="BF444" i="12"/>
  <c r="BE444" i="12"/>
  <c r="BC444" i="12"/>
  <c r="BB444" i="12"/>
  <c r="BA444" i="12"/>
  <c r="AZ444" i="12"/>
  <c r="AX444" i="12"/>
  <c r="AW444" i="12"/>
  <c r="AV444" i="12"/>
  <c r="AU444" i="12"/>
  <c r="BU443" i="12"/>
  <c r="BT443" i="12"/>
  <c r="BR443" i="12"/>
  <c r="BQ443" i="12"/>
  <c r="BP443" i="12"/>
  <c r="BO443" i="12"/>
  <c r="BM443" i="12"/>
  <c r="BL443" i="12"/>
  <c r="BK443" i="12"/>
  <c r="BJ443" i="12"/>
  <c r="BH443" i="12"/>
  <c r="BG443" i="12"/>
  <c r="BF443" i="12"/>
  <c r="BE443" i="12"/>
  <c r="BC443" i="12"/>
  <c r="BB443" i="12"/>
  <c r="BA443" i="12"/>
  <c r="AZ443" i="12"/>
  <c r="AX443" i="12"/>
  <c r="AW443" i="12"/>
  <c r="AV443" i="12"/>
  <c r="AU443" i="12"/>
  <c r="BU441" i="12"/>
  <c r="BT441" i="12"/>
  <c r="BR441" i="12"/>
  <c r="BQ441" i="12"/>
  <c r="BP441" i="12"/>
  <c r="BO441" i="12"/>
  <c r="BM441" i="12"/>
  <c r="BL441" i="12"/>
  <c r="BK441" i="12"/>
  <c r="BJ441" i="12"/>
  <c r="BH441" i="12"/>
  <c r="BG441" i="12"/>
  <c r="BF441" i="12"/>
  <c r="BE441" i="12"/>
  <c r="BC441" i="12"/>
  <c r="BB441" i="12"/>
  <c r="BA441" i="12"/>
  <c r="AZ441" i="12"/>
  <c r="AX441" i="12"/>
  <c r="AW441" i="12"/>
  <c r="AV441" i="12"/>
  <c r="AU441" i="12"/>
  <c r="BU440" i="12"/>
  <c r="BT440" i="12"/>
  <c r="BR440" i="12"/>
  <c r="BQ440" i="12"/>
  <c r="BP440" i="12"/>
  <c r="BO440" i="12"/>
  <c r="BM440" i="12"/>
  <c r="BL440" i="12"/>
  <c r="BK440" i="12"/>
  <c r="BJ440" i="12"/>
  <c r="BH440" i="12"/>
  <c r="BG440" i="12"/>
  <c r="BF440" i="12"/>
  <c r="BE440" i="12"/>
  <c r="BC440" i="12"/>
  <c r="BB440" i="12"/>
  <c r="BA440" i="12"/>
  <c r="AZ440" i="12"/>
  <c r="AX440" i="12"/>
  <c r="AW440" i="12"/>
  <c r="AV440" i="12"/>
  <c r="AU440" i="12"/>
  <c r="CH435" i="12"/>
  <c r="CG435" i="12"/>
  <c r="CF435" i="12"/>
  <c r="CE435" i="12"/>
  <c r="CD435" i="12"/>
  <c r="CB435" i="12"/>
  <c r="CA435" i="12"/>
  <c r="BZ435" i="12"/>
  <c r="BY435" i="12"/>
  <c r="BU438" i="12"/>
  <c r="BT438" i="12"/>
  <c r="BR438" i="12"/>
  <c r="BQ438" i="12"/>
  <c r="BP438" i="12"/>
  <c r="BO438" i="12"/>
  <c r="BM438" i="12"/>
  <c r="BL438" i="12"/>
  <c r="BK438" i="12"/>
  <c r="BJ438" i="12"/>
  <c r="BU437" i="12"/>
  <c r="BT437" i="12"/>
  <c r="BR437" i="12"/>
  <c r="BQ437" i="12"/>
  <c r="BP437" i="12"/>
  <c r="BO437" i="12"/>
  <c r="BM437" i="12"/>
  <c r="BL437" i="12"/>
  <c r="BK437" i="12"/>
  <c r="BJ437" i="12"/>
  <c r="BW435" i="12"/>
  <c r="BV435" i="12"/>
  <c r="BU435" i="12"/>
  <c r="BT435" i="12"/>
  <c r="BS435" i="12"/>
  <c r="BR435" i="12"/>
  <c r="BQ435" i="12"/>
  <c r="BP435" i="12"/>
  <c r="BO435" i="12"/>
  <c r="BN435" i="12"/>
  <c r="BM435" i="12"/>
  <c r="BL435" i="12"/>
  <c r="BK435" i="12"/>
  <c r="BJ435" i="12"/>
  <c r="BI435" i="12"/>
  <c r="BH435" i="12"/>
  <c r="BG435" i="12"/>
  <c r="BF435" i="12"/>
  <c r="BE435" i="12"/>
  <c r="BD435" i="12"/>
  <c r="BC435" i="12"/>
  <c r="BB435" i="12"/>
  <c r="BA435" i="12"/>
  <c r="AZ435" i="12"/>
  <c r="AY435" i="12"/>
  <c r="AX435" i="12"/>
  <c r="AW435" i="12"/>
  <c r="AV435" i="12"/>
  <c r="AU435" i="12"/>
  <c r="AS438" i="12"/>
  <c r="AR438" i="12"/>
  <c r="AQ438" i="12"/>
  <c r="AP438" i="12"/>
  <c r="AN438" i="12"/>
  <c r="AM438" i="12"/>
  <c r="AL438" i="12"/>
  <c r="AK438" i="12"/>
  <c r="AI438" i="12"/>
  <c r="AH438" i="12"/>
  <c r="AG438" i="12"/>
  <c r="AF438" i="12"/>
  <c r="AD438" i="12"/>
  <c r="AC438" i="12"/>
  <c r="AB438" i="12"/>
  <c r="AA438" i="12"/>
  <c r="Y438" i="12"/>
  <c r="X438" i="12"/>
  <c r="W438" i="12"/>
  <c r="V438" i="12"/>
  <c r="T438" i="12"/>
  <c r="S438" i="12"/>
  <c r="R438" i="12"/>
  <c r="Q438" i="12"/>
  <c r="AS437" i="12"/>
  <c r="AR437" i="12"/>
  <c r="AQ437" i="12"/>
  <c r="AP437" i="12"/>
  <c r="AN437" i="12"/>
  <c r="AM437" i="12"/>
  <c r="AL437" i="12"/>
  <c r="AK437" i="12"/>
  <c r="AI437" i="12"/>
  <c r="AH437" i="12"/>
  <c r="AG437" i="12"/>
  <c r="AF437" i="12"/>
  <c r="AD437" i="12"/>
  <c r="AC437" i="12"/>
  <c r="AB437" i="12"/>
  <c r="AA437" i="12"/>
  <c r="Y437" i="12"/>
  <c r="X437" i="12"/>
  <c r="W437" i="12"/>
  <c r="V437" i="12"/>
  <c r="T437" i="12"/>
  <c r="S437" i="12"/>
  <c r="R437" i="12"/>
  <c r="Q437" i="12"/>
  <c r="AT435" i="12"/>
  <c r="AS435" i="12"/>
  <c r="AR435" i="12"/>
  <c r="AQ435" i="12"/>
  <c r="AP435" i="12"/>
  <c r="AO435" i="12"/>
  <c r="AN435" i="12"/>
  <c r="AM435" i="12"/>
  <c r="AL435" i="12"/>
  <c r="AK435" i="12"/>
  <c r="AJ435" i="12"/>
  <c r="AI435" i="12"/>
  <c r="AH435" i="12"/>
  <c r="AG435" i="12"/>
  <c r="AF435" i="12"/>
  <c r="AE435" i="12"/>
  <c r="AD435" i="12"/>
  <c r="AC435" i="12"/>
  <c r="AB435" i="12"/>
  <c r="AA435" i="12"/>
  <c r="Z435" i="12"/>
  <c r="Y435" i="12"/>
  <c r="X435" i="12"/>
  <c r="W435" i="12"/>
  <c r="V435" i="12"/>
  <c r="U435" i="12"/>
  <c r="T435" i="12"/>
  <c r="S435" i="12"/>
  <c r="R435" i="12"/>
  <c r="Q435" i="12"/>
  <c r="P435" i="12"/>
  <c r="O435" i="12"/>
  <c r="N435" i="12"/>
  <c r="M435" i="12"/>
  <c r="L435" i="12"/>
  <c r="BT433" i="12"/>
  <c r="BT432" i="12"/>
  <c r="BT431" i="12"/>
  <c r="AS429" i="12"/>
  <c r="AR429" i="12"/>
  <c r="AQ429" i="12"/>
  <c r="AP429" i="12"/>
  <c r="AN429" i="12"/>
  <c r="AM429" i="12"/>
  <c r="AL429" i="12"/>
  <c r="AK429" i="12"/>
  <c r="AI429" i="12"/>
  <c r="AH429" i="12"/>
  <c r="AG429" i="12"/>
  <c r="AF429" i="12"/>
  <c r="AD429" i="12"/>
  <c r="AC429" i="12"/>
  <c r="AB429" i="12"/>
  <c r="AA429" i="12"/>
  <c r="Y429" i="12"/>
  <c r="X429" i="12"/>
  <c r="W429" i="12"/>
  <c r="V429" i="12"/>
  <c r="T429" i="12"/>
  <c r="S429" i="12"/>
  <c r="R429" i="12"/>
  <c r="Q429" i="12"/>
  <c r="AD428" i="12"/>
  <c r="AC428" i="12"/>
  <c r="AB428" i="12"/>
  <c r="AA428" i="12"/>
  <c r="Y428" i="12"/>
  <c r="X428" i="12"/>
  <c r="W428" i="12"/>
  <c r="V428" i="12"/>
  <c r="T428" i="12"/>
  <c r="S428" i="12"/>
  <c r="R428" i="12"/>
  <c r="Q428" i="12"/>
  <c r="AS428" i="12"/>
  <c r="AR428" i="12"/>
  <c r="AQ428" i="12"/>
  <c r="AP428" i="12"/>
  <c r="AN428" i="12"/>
  <c r="AM428" i="12"/>
  <c r="AL428" i="12"/>
  <c r="AK428" i="12"/>
  <c r="AI428" i="12"/>
  <c r="AH428" i="12"/>
  <c r="AG428" i="12"/>
  <c r="AF428" i="12"/>
  <c r="AX419" i="12"/>
  <c r="AW419" i="12"/>
  <c r="AV419" i="12"/>
  <c r="AU419" i="12"/>
  <c r="AS419" i="12"/>
  <c r="AR419" i="12"/>
  <c r="AQ419" i="12"/>
  <c r="AP419" i="12"/>
  <c r="AN419" i="12"/>
  <c r="AM419" i="12"/>
  <c r="AL419" i="12"/>
  <c r="AK419" i="12"/>
  <c r="AI419" i="12"/>
  <c r="AH419" i="12"/>
  <c r="AG419" i="12"/>
  <c r="AF419" i="12"/>
  <c r="AD419" i="12"/>
  <c r="AC419" i="12"/>
  <c r="AB419" i="12"/>
  <c r="AA419" i="12"/>
  <c r="Y419" i="12"/>
  <c r="X419" i="12"/>
  <c r="W419" i="12"/>
  <c r="V419" i="12"/>
  <c r="T419" i="12"/>
  <c r="S419" i="12"/>
  <c r="R419" i="12"/>
  <c r="Q419" i="12"/>
  <c r="AS416" i="12"/>
  <c r="AR416" i="12"/>
  <c r="AQ416" i="12"/>
  <c r="AP416" i="12"/>
  <c r="AN416" i="12"/>
  <c r="AM416" i="12"/>
  <c r="AL416" i="12"/>
  <c r="AK416" i="12"/>
  <c r="AI416" i="12"/>
  <c r="AH416" i="12"/>
  <c r="AG416" i="12"/>
  <c r="AF416" i="12"/>
  <c r="AD416" i="12"/>
  <c r="AC416" i="12"/>
  <c r="AB416" i="12"/>
  <c r="AA416" i="12"/>
  <c r="Y416" i="12"/>
  <c r="X416" i="12"/>
  <c r="W416" i="12"/>
  <c r="V416" i="12"/>
  <c r="T416" i="12"/>
  <c r="S416" i="12"/>
  <c r="R416" i="12"/>
  <c r="Q416" i="12"/>
  <c r="Y415" i="12"/>
  <c r="Y413" i="12"/>
  <c r="Y412" i="12"/>
  <c r="BU413" i="12"/>
  <c r="BT413" i="12"/>
  <c r="BR413" i="12"/>
  <c r="BQ413" i="12"/>
  <c r="BP413" i="12"/>
  <c r="BO413" i="12"/>
  <c r="BM413" i="12"/>
  <c r="BL413" i="12"/>
  <c r="BK413" i="12"/>
  <c r="BJ413" i="12"/>
  <c r="BH413" i="12"/>
  <c r="BG413" i="12"/>
  <c r="BF413" i="12"/>
  <c r="BE413" i="12"/>
  <c r="BC413" i="12"/>
  <c r="BB413" i="12"/>
  <c r="BA413" i="12"/>
  <c r="AZ413" i="12"/>
  <c r="AX413" i="12"/>
  <c r="AW413" i="12"/>
  <c r="AV413" i="12"/>
  <c r="AU413" i="12"/>
  <c r="AS413" i="12"/>
  <c r="AR413" i="12"/>
  <c r="AQ413" i="12"/>
  <c r="AP413" i="12"/>
  <c r="AN413" i="12"/>
  <c r="AM413" i="12"/>
  <c r="AL413" i="12"/>
  <c r="AK413" i="12"/>
  <c r="AI413" i="12"/>
  <c r="AH413" i="12"/>
  <c r="AG413" i="12"/>
  <c r="AF413" i="12"/>
  <c r="AD413" i="12"/>
  <c r="AC413" i="12"/>
  <c r="AB413" i="12"/>
  <c r="AA413" i="12"/>
  <c r="AI412" i="12"/>
  <c r="AH412" i="12"/>
  <c r="AG412" i="12"/>
  <c r="AF412" i="12"/>
  <c r="AD412" i="12"/>
  <c r="AC412" i="12"/>
  <c r="AB412" i="12"/>
  <c r="AA412" i="12"/>
  <c r="BU410" i="12"/>
  <c r="BT410" i="12"/>
  <c r="BR410" i="12"/>
  <c r="BQ410" i="12"/>
  <c r="BP410" i="12"/>
  <c r="BO410" i="12"/>
  <c r="BM410" i="12"/>
  <c r="BL410" i="12"/>
  <c r="BK410" i="12"/>
  <c r="BJ410" i="12"/>
  <c r="BH410" i="12"/>
  <c r="BG410" i="12"/>
  <c r="BF410" i="12"/>
  <c r="BE410" i="12"/>
  <c r="BC410" i="12"/>
  <c r="BB410" i="12"/>
  <c r="BA410" i="12"/>
  <c r="AZ410" i="12"/>
  <c r="BU409" i="12"/>
  <c r="BT409" i="12"/>
  <c r="BR409" i="12"/>
  <c r="BQ409" i="12"/>
  <c r="BP409" i="12"/>
  <c r="BO409" i="12"/>
  <c r="BM409" i="12"/>
  <c r="BL409" i="12"/>
  <c r="BK409" i="12"/>
  <c r="BJ409" i="12"/>
  <c r="BH409" i="12"/>
  <c r="BG409" i="12"/>
  <c r="BF409" i="12"/>
  <c r="BE409" i="12"/>
  <c r="BC409" i="12"/>
  <c r="BB409" i="12"/>
  <c r="BA409" i="12"/>
  <c r="AZ409" i="12"/>
  <c r="X413" i="12"/>
  <c r="W413" i="12"/>
  <c r="V413" i="12"/>
  <c r="T413" i="12"/>
  <c r="S413" i="12"/>
  <c r="R413" i="12"/>
  <c r="Q413" i="12"/>
  <c r="X412" i="12"/>
  <c r="W412" i="12"/>
  <c r="V412" i="12"/>
  <c r="T412" i="12"/>
  <c r="S412" i="12"/>
  <c r="R412" i="12"/>
  <c r="Q412" i="12"/>
  <c r="BU403" i="12"/>
  <c r="BT403" i="12"/>
  <c r="BR403" i="12"/>
  <c r="BQ403" i="12"/>
  <c r="BP403" i="12"/>
  <c r="BU402" i="12"/>
  <c r="BT402" i="12"/>
  <c r="BR402" i="12"/>
  <c r="BQ402" i="12"/>
  <c r="BP402" i="12"/>
  <c r="BU400" i="12"/>
  <c r="BT400" i="12"/>
  <c r="BR400" i="12"/>
  <c r="BQ400" i="12"/>
  <c r="BP400" i="12"/>
  <c r="BU399" i="12"/>
  <c r="BT399" i="12"/>
  <c r="BR399" i="12"/>
  <c r="BQ399" i="12"/>
  <c r="BP399" i="12"/>
  <c r="AS390" i="12"/>
  <c r="AR390" i="12"/>
  <c r="AQ390" i="12"/>
  <c r="AP390" i="12"/>
  <c r="AN390" i="12"/>
  <c r="AM390" i="12"/>
  <c r="AL390" i="12"/>
  <c r="AK390" i="12"/>
  <c r="AI390" i="12"/>
  <c r="AH390" i="12"/>
  <c r="AG390" i="12"/>
  <c r="AF390" i="12"/>
  <c r="AD390" i="12"/>
  <c r="AC390" i="12"/>
  <c r="AB390" i="12"/>
  <c r="AA390" i="12"/>
  <c r="Y390" i="12"/>
  <c r="X390" i="12"/>
  <c r="W390" i="12"/>
  <c r="V390" i="12"/>
  <c r="T390" i="12"/>
  <c r="S390" i="12"/>
  <c r="R390" i="12"/>
  <c r="Q390" i="12"/>
  <c r="AS389" i="12"/>
  <c r="AR389" i="12"/>
  <c r="AQ389" i="12"/>
  <c r="AP389" i="12"/>
  <c r="AN389" i="12"/>
  <c r="AM389" i="12"/>
  <c r="AL389" i="12"/>
  <c r="AK389" i="12"/>
  <c r="AI389" i="12"/>
  <c r="AH389" i="12"/>
  <c r="AG389" i="12"/>
  <c r="AF389" i="12"/>
  <c r="AD389" i="12"/>
  <c r="AC389" i="12"/>
  <c r="AB389" i="12"/>
  <c r="AA389" i="12"/>
  <c r="Y389" i="12"/>
  <c r="X389" i="12"/>
  <c r="W389" i="12"/>
  <c r="V389" i="12"/>
  <c r="T389" i="12"/>
  <c r="S389" i="12"/>
  <c r="R389" i="12"/>
  <c r="Q389" i="12"/>
  <c r="CH384" i="12"/>
  <c r="CH383" i="12"/>
  <c r="CH382" i="12"/>
  <c r="CG384" i="12"/>
  <c r="CG383" i="12"/>
  <c r="CG382" i="12"/>
  <c r="CF384" i="12"/>
  <c r="CF383" i="12"/>
  <c r="CF382" i="12"/>
  <c r="CE384" i="12"/>
  <c r="CE383" i="12"/>
  <c r="CE382" i="12"/>
  <c r="CD384" i="12"/>
  <c r="CD383" i="12"/>
  <c r="CD382" i="12"/>
  <c r="BX384" i="12"/>
  <c r="BX383" i="12"/>
  <c r="BX382" i="12"/>
  <c r="BC387" i="12"/>
  <c r="BB387" i="12"/>
  <c r="BA387" i="12"/>
  <c r="AZ387" i="12"/>
  <c r="BC386" i="12"/>
  <c r="BB386" i="12"/>
  <c r="BA386" i="12"/>
  <c r="AZ386" i="12"/>
  <c r="BS384" i="12"/>
  <c r="BR384" i="12"/>
  <c r="BQ384" i="12"/>
  <c r="BP384" i="12"/>
  <c r="BO384" i="12"/>
  <c r="BN384" i="12"/>
  <c r="BM384" i="12"/>
  <c r="BL384" i="12"/>
  <c r="BK384" i="12"/>
  <c r="BJ384" i="12"/>
  <c r="BH384" i="12"/>
  <c r="BG384" i="12"/>
  <c r="BF384" i="12"/>
  <c r="BE384" i="12"/>
  <c r="BC384" i="12"/>
  <c r="BB384" i="12"/>
  <c r="BA384" i="12"/>
  <c r="AZ384" i="12"/>
  <c r="BS383" i="12"/>
  <c r="BR383" i="12"/>
  <c r="BQ383" i="12"/>
  <c r="BP383" i="12"/>
  <c r="BO383" i="12"/>
  <c r="BN383" i="12"/>
  <c r="BM383" i="12"/>
  <c r="BL383" i="12"/>
  <c r="BK383" i="12"/>
  <c r="BJ383" i="12"/>
  <c r="BH383" i="12"/>
  <c r="BG383" i="12"/>
  <c r="BF383" i="12"/>
  <c r="BE383" i="12"/>
  <c r="BC383" i="12"/>
  <c r="BB383" i="12"/>
  <c r="BA383" i="12"/>
  <c r="AZ383" i="12"/>
  <c r="BS382" i="12"/>
  <c r="BR382" i="12"/>
  <c r="BQ382" i="12"/>
  <c r="BP382" i="12"/>
  <c r="BO382" i="12"/>
  <c r="BN382" i="12"/>
  <c r="BM382" i="12"/>
  <c r="BL382" i="12"/>
  <c r="BK382" i="12"/>
  <c r="BJ382" i="12"/>
  <c r="BH382" i="12"/>
  <c r="AS381" i="12"/>
  <c r="AR381" i="12"/>
  <c r="AQ381" i="12"/>
  <c r="AP381" i="12"/>
  <c r="AN381" i="12"/>
  <c r="AM381" i="12"/>
  <c r="AL381" i="12"/>
  <c r="AK381" i="12"/>
  <c r="AI381" i="12"/>
  <c r="AH381" i="12"/>
  <c r="AG381" i="12"/>
  <c r="AF381" i="12"/>
  <c r="AD381" i="12"/>
  <c r="AC381" i="12"/>
  <c r="AB381" i="12"/>
  <c r="AA381" i="12"/>
  <c r="Y381" i="12"/>
  <c r="X381" i="12"/>
  <c r="W381" i="12"/>
  <c r="T381" i="12"/>
  <c r="S381" i="12"/>
  <c r="R381" i="12"/>
  <c r="AS380" i="12"/>
  <c r="AR380" i="12"/>
  <c r="AQ380" i="12"/>
  <c r="AP380" i="12"/>
  <c r="AN380" i="12"/>
  <c r="AM380" i="12"/>
  <c r="BU378" i="12"/>
  <c r="BT378" i="12"/>
  <c r="BR378" i="12"/>
  <c r="BQ378" i="12"/>
  <c r="BP378" i="12"/>
  <c r="BO378" i="12"/>
  <c r="BM378" i="12"/>
  <c r="BL378" i="12"/>
  <c r="BK378" i="12"/>
  <c r="BJ378" i="12"/>
  <c r="BH378" i="12"/>
  <c r="BG378" i="12"/>
  <c r="BF378" i="12"/>
  <c r="BE378" i="12"/>
  <c r="BC378" i="12"/>
  <c r="BB378" i="12"/>
  <c r="BA378" i="12"/>
  <c r="AZ378" i="12"/>
  <c r="AX378" i="12"/>
  <c r="AW378" i="12"/>
  <c r="AV378" i="12"/>
  <c r="AU378" i="12"/>
  <c r="AS378" i="12"/>
  <c r="AR378" i="12"/>
  <c r="AQ378" i="12"/>
  <c r="AP378" i="12"/>
  <c r="AN378" i="12"/>
  <c r="AM378" i="12"/>
  <c r="AL378" i="12"/>
  <c r="AK378" i="12"/>
  <c r="AI378" i="12"/>
  <c r="AH378" i="12"/>
  <c r="AG378" i="12"/>
  <c r="AF378" i="12"/>
  <c r="BU377" i="12"/>
  <c r="BT377" i="12"/>
  <c r="BR377" i="12"/>
  <c r="BQ377" i="12"/>
  <c r="BP377" i="12"/>
  <c r="BO377" i="12"/>
  <c r="BM377" i="12"/>
  <c r="BL377" i="12"/>
  <c r="BK377" i="12"/>
  <c r="BJ377" i="12"/>
  <c r="BH377" i="12"/>
  <c r="BG377" i="12"/>
  <c r="BF377" i="12"/>
  <c r="BE377" i="12"/>
  <c r="BC377" i="12"/>
  <c r="BB377" i="12"/>
  <c r="BA377" i="12"/>
  <c r="AZ377" i="12"/>
  <c r="AX377" i="12"/>
  <c r="AW377" i="12"/>
  <c r="AV377" i="12"/>
  <c r="AU377" i="12"/>
  <c r="AS377" i="12"/>
  <c r="AR377" i="12"/>
  <c r="AQ377" i="12"/>
  <c r="AP377" i="12"/>
  <c r="AN377" i="12"/>
  <c r="AM377" i="12"/>
  <c r="AL377" i="12"/>
  <c r="AK377" i="12"/>
  <c r="BU375" i="12"/>
  <c r="BT375" i="12"/>
  <c r="BR375" i="12"/>
  <c r="BQ375" i="12"/>
  <c r="BP375" i="12"/>
  <c r="BO375" i="12"/>
  <c r="BM375" i="12"/>
  <c r="BL375" i="12"/>
  <c r="BK375" i="12"/>
  <c r="BJ375" i="12"/>
  <c r="BH375" i="12"/>
  <c r="BG375" i="12"/>
  <c r="BF375" i="12"/>
  <c r="BE375" i="12"/>
  <c r="BC375" i="12"/>
  <c r="BB375" i="12"/>
  <c r="BA375" i="12"/>
  <c r="AZ375" i="12"/>
  <c r="AX375" i="12"/>
  <c r="AW375" i="12"/>
  <c r="AV375" i="12"/>
  <c r="AU375" i="12"/>
  <c r="AS375" i="12"/>
  <c r="AR375" i="12"/>
  <c r="AQ375" i="12"/>
  <c r="AP375" i="12"/>
  <c r="AN375" i="12"/>
  <c r="AM375" i="12"/>
  <c r="AL375" i="12"/>
  <c r="AK375" i="12"/>
  <c r="AI375" i="12"/>
  <c r="AH375" i="12"/>
  <c r="AG375" i="12"/>
  <c r="AF375" i="12"/>
  <c r="AD375" i="12"/>
  <c r="AC375" i="12"/>
  <c r="AB375" i="12"/>
  <c r="AA375" i="12"/>
  <c r="Y375" i="12"/>
  <c r="X375" i="12"/>
  <c r="W375" i="12"/>
  <c r="V375" i="12"/>
  <c r="U375" i="12"/>
  <c r="BU374" i="12"/>
  <c r="BT374" i="12"/>
  <c r="BR374" i="12"/>
  <c r="BQ374" i="12"/>
  <c r="BP374" i="12"/>
  <c r="BO374" i="12"/>
  <c r="BM374" i="12"/>
  <c r="BL374" i="12"/>
  <c r="BK374" i="12"/>
  <c r="BJ374" i="12"/>
  <c r="BH374" i="12"/>
  <c r="BG374" i="12"/>
  <c r="BF374" i="12"/>
  <c r="BE374" i="12"/>
  <c r="BC374" i="12"/>
  <c r="BB374" i="12"/>
  <c r="BA374" i="12"/>
  <c r="AZ374" i="12"/>
  <c r="AX374" i="12"/>
  <c r="AW374" i="12"/>
  <c r="AV374" i="12"/>
  <c r="AU374" i="12"/>
  <c r="AS374" i="12"/>
  <c r="AR374" i="12"/>
  <c r="AQ374" i="12"/>
  <c r="AP374" i="12"/>
  <c r="AN374" i="12"/>
  <c r="AM374" i="12"/>
  <c r="AL374" i="12"/>
  <c r="AK374" i="12"/>
  <c r="AI374" i="12"/>
  <c r="AH374" i="12"/>
  <c r="AG374" i="12"/>
  <c r="AF374" i="12"/>
  <c r="AD374" i="12"/>
  <c r="AC374" i="12"/>
  <c r="AB374" i="12"/>
  <c r="AA374" i="12"/>
  <c r="Y374" i="12"/>
  <c r="X374" i="12"/>
  <c r="W374" i="12"/>
  <c r="V374" i="12"/>
  <c r="U374" i="12"/>
  <c r="U373" i="12"/>
  <c r="BU372" i="12"/>
  <c r="BT372" i="12"/>
  <c r="BR372" i="12"/>
  <c r="BQ372" i="12"/>
  <c r="BP372" i="12"/>
  <c r="BO372" i="12"/>
  <c r="BM372" i="12"/>
  <c r="BL372" i="12"/>
  <c r="BK372" i="12"/>
  <c r="BJ372" i="12"/>
  <c r="BH372" i="12"/>
  <c r="BG372" i="12"/>
  <c r="BF372" i="12"/>
  <c r="BE372" i="12"/>
  <c r="BC372" i="12"/>
  <c r="BB372" i="12"/>
  <c r="BA372" i="12"/>
  <c r="AZ372" i="12"/>
  <c r="AX372" i="12"/>
  <c r="AW372" i="12"/>
  <c r="AV372" i="12"/>
  <c r="AU372" i="12"/>
  <c r="AS372" i="12"/>
  <c r="AR372" i="12"/>
  <c r="AQ372" i="12"/>
  <c r="AP372" i="12"/>
  <c r="AN372" i="12"/>
  <c r="AM372" i="12"/>
  <c r="AL372" i="12"/>
  <c r="AK372" i="12"/>
  <c r="AI372" i="12"/>
  <c r="AH372" i="12"/>
  <c r="AG372" i="12"/>
  <c r="AF372" i="12"/>
  <c r="AD372" i="12"/>
  <c r="AC372" i="12"/>
  <c r="AB372" i="12"/>
  <c r="AA372" i="12"/>
  <c r="Y372" i="12"/>
  <c r="X372" i="12"/>
  <c r="W372" i="12"/>
  <c r="V372" i="12"/>
  <c r="T372" i="12"/>
  <c r="S372" i="12"/>
  <c r="R372" i="12"/>
  <c r="Q372" i="12"/>
  <c r="BU371" i="12"/>
  <c r="BT371" i="12"/>
  <c r="BR371" i="12"/>
  <c r="BQ371" i="12"/>
  <c r="BP371" i="12"/>
  <c r="BO371" i="12"/>
  <c r="BM371" i="12"/>
  <c r="BL371" i="12"/>
  <c r="BK371" i="12"/>
  <c r="BJ371" i="12"/>
  <c r="BH371" i="12"/>
  <c r="BG371" i="12"/>
  <c r="BF371" i="12"/>
  <c r="BE371" i="12"/>
  <c r="BC371" i="12"/>
  <c r="BB371" i="12"/>
  <c r="BA371" i="12"/>
  <c r="AZ371" i="12"/>
  <c r="AX371" i="12"/>
  <c r="AW371" i="12"/>
  <c r="AV371" i="12"/>
  <c r="AU371" i="12"/>
  <c r="AS371" i="12"/>
  <c r="AR371" i="12"/>
  <c r="AQ371" i="12"/>
  <c r="AP371" i="12"/>
  <c r="AN371" i="12"/>
  <c r="AM371" i="12"/>
  <c r="AL371" i="12"/>
  <c r="AK371" i="12"/>
  <c r="AI371" i="12"/>
  <c r="AH371" i="12"/>
  <c r="AG371" i="12"/>
  <c r="AF371" i="12"/>
  <c r="AD371" i="12"/>
  <c r="AC371" i="12"/>
  <c r="AB371" i="12"/>
  <c r="AA371" i="12"/>
  <c r="Y371" i="12"/>
  <c r="X371" i="12"/>
  <c r="W371" i="12"/>
  <c r="V371" i="12"/>
  <c r="T371" i="12"/>
  <c r="S371" i="12"/>
  <c r="R371" i="12"/>
  <c r="Q371" i="12"/>
  <c r="BU369" i="12"/>
  <c r="BT369" i="12"/>
  <c r="BR369" i="12"/>
  <c r="BQ369" i="12"/>
  <c r="BP369" i="12"/>
  <c r="BO369" i="12"/>
  <c r="BM369" i="12"/>
  <c r="BL369" i="12"/>
  <c r="BK369" i="12"/>
  <c r="BJ369" i="12"/>
  <c r="BH369" i="12"/>
  <c r="BG369" i="12"/>
  <c r="BF369" i="12"/>
  <c r="BE369" i="12"/>
  <c r="BC369" i="12"/>
  <c r="BB369" i="12"/>
  <c r="BA369" i="12"/>
  <c r="AZ369" i="12"/>
  <c r="BU368" i="12"/>
  <c r="BT368" i="12"/>
  <c r="BR368" i="12"/>
  <c r="BQ368" i="12"/>
  <c r="BP368" i="12"/>
  <c r="BO368" i="12"/>
  <c r="BM368" i="12"/>
  <c r="BL368" i="12"/>
  <c r="BK368" i="12"/>
  <c r="BJ368" i="12"/>
  <c r="BH368" i="12"/>
  <c r="BG368" i="12"/>
  <c r="BF368" i="12"/>
  <c r="BE368" i="12"/>
  <c r="BC368" i="12"/>
  <c r="BB368" i="12"/>
  <c r="BA368" i="12"/>
  <c r="AZ368" i="12"/>
  <c r="AS365" i="12"/>
  <c r="AR365" i="12"/>
  <c r="AQ365" i="12"/>
  <c r="AP365" i="12"/>
  <c r="AN365" i="12"/>
  <c r="AM365" i="12"/>
  <c r="AL365" i="12"/>
  <c r="AK365" i="12"/>
  <c r="AI365" i="12"/>
  <c r="AH365" i="12"/>
  <c r="AG365" i="12"/>
  <c r="AF365" i="12"/>
  <c r="AD365" i="12"/>
  <c r="AC365" i="12"/>
  <c r="AB365" i="12"/>
  <c r="AA365" i="12"/>
  <c r="Y365" i="12"/>
  <c r="X365" i="12"/>
  <c r="W365" i="12"/>
  <c r="V365" i="12"/>
  <c r="T365" i="12"/>
  <c r="S365" i="12"/>
  <c r="R365" i="12"/>
  <c r="Q365" i="12"/>
  <c r="O365" i="12"/>
  <c r="N365" i="12"/>
  <c r="M365" i="12"/>
  <c r="L365" i="12"/>
  <c r="AS364" i="12"/>
  <c r="AR364" i="12"/>
  <c r="AQ364" i="12"/>
  <c r="AP364" i="12"/>
  <c r="AN364" i="12"/>
  <c r="AM364" i="12"/>
  <c r="AL364" i="12"/>
  <c r="AK364" i="12"/>
  <c r="AI364" i="12"/>
  <c r="AH364" i="12"/>
  <c r="AG364" i="12"/>
  <c r="AF364" i="12"/>
  <c r="AD364" i="12"/>
  <c r="AC364" i="12"/>
  <c r="AB364" i="12"/>
  <c r="AA364" i="12"/>
  <c r="Y364" i="12"/>
  <c r="X364" i="12"/>
  <c r="W364" i="12"/>
  <c r="V364" i="12"/>
  <c r="T364" i="12"/>
  <c r="S364" i="12"/>
  <c r="R364" i="12"/>
  <c r="Q364" i="12"/>
  <c r="P364" i="12"/>
  <c r="O364" i="12"/>
  <c r="N364" i="12"/>
  <c r="M364" i="12"/>
  <c r="L364" i="12"/>
  <c r="O363" i="12"/>
  <c r="N363" i="12"/>
  <c r="M363" i="12"/>
  <c r="L363" i="12"/>
  <c r="BU359" i="12"/>
  <c r="BT359" i="12"/>
  <c r="BR359" i="12"/>
  <c r="BQ359" i="12"/>
  <c r="BP359" i="12"/>
  <c r="BO359" i="12"/>
  <c r="BN359" i="12"/>
  <c r="BM359" i="12"/>
  <c r="BL359" i="12"/>
  <c r="BK359" i="12"/>
  <c r="BJ359" i="12"/>
  <c r="BI359" i="12"/>
  <c r="BH359" i="12"/>
  <c r="BG359" i="12"/>
  <c r="BF359" i="12"/>
  <c r="BE359" i="12"/>
  <c r="BD359" i="12"/>
  <c r="BC359" i="12"/>
  <c r="BB359" i="12"/>
  <c r="BA359" i="12"/>
  <c r="AZ359" i="12"/>
  <c r="AY359" i="12"/>
  <c r="AX359" i="12"/>
  <c r="AW359" i="12"/>
  <c r="AV359" i="12"/>
  <c r="AU359" i="12"/>
  <c r="AT359" i="12"/>
  <c r="AS359" i="12"/>
  <c r="AR359" i="12"/>
  <c r="AQ359" i="12"/>
  <c r="AP359" i="12"/>
  <c r="AO359" i="12"/>
  <c r="AN359" i="12"/>
  <c r="AM359" i="12"/>
  <c r="AL359" i="12"/>
  <c r="AK359" i="12"/>
  <c r="AJ359" i="12"/>
  <c r="AI359" i="12"/>
  <c r="AH359" i="12"/>
  <c r="AG359" i="12"/>
  <c r="AF359" i="12"/>
  <c r="BU358" i="12"/>
  <c r="BT358" i="12"/>
  <c r="BR358" i="12"/>
  <c r="BQ358" i="12"/>
  <c r="BP358" i="12"/>
  <c r="BO358" i="12"/>
  <c r="BN358" i="12"/>
  <c r="BM358" i="12"/>
  <c r="BL358" i="12"/>
  <c r="BK358" i="12"/>
  <c r="BJ358" i="12"/>
  <c r="BI358" i="12"/>
  <c r="BH358" i="12"/>
  <c r="BG358" i="12"/>
  <c r="BF358" i="12"/>
  <c r="BE358" i="12"/>
  <c r="BD358" i="12"/>
  <c r="BC358" i="12"/>
  <c r="BB358" i="12"/>
  <c r="BA358" i="12"/>
  <c r="AZ358" i="12"/>
  <c r="AY358" i="12"/>
  <c r="AX358" i="12"/>
  <c r="AW358" i="12"/>
  <c r="AV358" i="12"/>
  <c r="AU358" i="12"/>
  <c r="AT358" i="12"/>
  <c r="AS358" i="12"/>
  <c r="AR358" i="12"/>
  <c r="AQ358" i="12"/>
  <c r="AP358" i="12"/>
  <c r="AO358" i="12"/>
  <c r="AN358" i="12"/>
  <c r="AM358" i="12"/>
  <c r="AL358" i="12"/>
  <c r="AK358" i="12"/>
  <c r="AJ358" i="12"/>
  <c r="AI358" i="12"/>
  <c r="AH358" i="12"/>
  <c r="AG358" i="12"/>
  <c r="AF358" i="12"/>
  <c r="BN357" i="12"/>
  <c r="BM357" i="12"/>
  <c r="BL357" i="12"/>
  <c r="BK357" i="12"/>
  <c r="BJ357" i="12"/>
  <c r="BI357" i="12"/>
  <c r="BH357" i="12"/>
  <c r="BG357" i="12"/>
  <c r="BF357" i="12"/>
  <c r="BE357" i="12"/>
  <c r="BD357" i="12"/>
  <c r="BC357" i="12"/>
  <c r="BB357" i="12"/>
  <c r="BA357" i="12"/>
  <c r="AZ357" i="12"/>
  <c r="AY357" i="12"/>
  <c r="AX357" i="12"/>
  <c r="AW357" i="12"/>
  <c r="AV357" i="12"/>
  <c r="AU357" i="12"/>
  <c r="AT357" i="12"/>
  <c r="AS357" i="12"/>
  <c r="AR357" i="12"/>
  <c r="AQ357" i="12"/>
  <c r="AP357" i="12"/>
  <c r="AO357" i="12"/>
  <c r="AN357" i="12"/>
  <c r="AM357" i="12"/>
  <c r="AL357" i="12"/>
  <c r="AK357" i="12"/>
  <c r="AJ357" i="12"/>
  <c r="AI357" i="12"/>
  <c r="AH357" i="12"/>
  <c r="AG357" i="12"/>
  <c r="AF357" i="12"/>
  <c r="BU356" i="12"/>
  <c r="BT356" i="12"/>
  <c r="BR356" i="12"/>
  <c r="BQ356" i="12"/>
  <c r="BP356" i="12"/>
  <c r="BO356" i="12"/>
  <c r="BM356" i="12"/>
  <c r="BL356" i="12"/>
  <c r="BK356" i="12"/>
  <c r="BJ356" i="12"/>
  <c r="BH356" i="12"/>
  <c r="BG356" i="12"/>
  <c r="BF356" i="12"/>
  <c r="BE356" i="12"/>
  <c r="BC356" i="12"/>
  <c r="BB356" i="12"/>
  <c r="BA356" i="12"/>
  <c r="AZ356" i="12"/>
  <c r="AX356" i="12"/>
  <c r="AW356" i="12"/>
  <c r="AV356" i="12"/>
  <c r="AU356" i="12"/>
  <c r="AS356" i="12"/>
  <c r="AR356" i="12"/>
  <c r="AQ356" i="12"/>
  <c r="AP356" i="12"/>
  <c r="AN356" i="12"/>
  <c r="AM356" i="12"/>
  <c r="AL356" i="12"/>
  <c r="AK356" i="12"/>
  <c r="AI356" i="12"/>
  <c r="AH356" i="12"/>
  <c r="AG356" i="12"/>
  <c r="AF356" i="12"/>
  <c r="BU355" i="12"/>
  <c r="BT355" i="12"/>
  <c r="BR355" i="12"/>
  <c r="BQ355" i="12"/>
  <c r="BP355" i="12"/>
  <c r="BO355" i="12"/>
  <c r="BM355" i="12"/>
  <c r="BL355" i="12"/>
  <c r="BK355" i="12"/>
  <c r="BJ355" i="12"/>
  <c r="BH355" i="12"/>
  <c r="BG355" i="12"/>
  <c r="BF355" i="12"/>
  <c r="BE355" i="12"/>
  <c r="BC355" i="12"/>
  <c r="BB355" i="12"/>
  <c r="BA355" i="12"/>
  <c r="AZ355" i="12"/>
  <c r="AX355" i="12"/>
  <c r="AW355" i="12"/>
  <c r="AV355" i="12"/>
  <c r="AU355" i="12"/>
  <c r="AS355" i="12"/>
  <c r="AR355" i="12"/>
  <c r="AQ355" i="12"/>
  <c r="AP355" i="12"/>
  <c r="AN355" i="12"/>
  <c r="AM355" i="12"/>
  <c r="AL355" i="12"/>
  <c r="AK355" i="12"/>
  <c r="AI355" i="12"/>
  <c r="AH355" i="12"/>
  <c r="AG355" i="12"/>
  <c r="AF355" i="12"/>
  <c r="BM353" i="12"/>
  <c r="BL353" i="12"/>
  <c r="BK353" i="12"/>
  <c r="BJ353" i="12"/>
  <c r="BH353" i="12"/>
  <c r="BG353" i="12"/>
  <c r="BF353" i="12"/>
  <c r="BE353" i="12"/>
  <c r="BC353" i="12"/>
  <c r="BB353" i="12"/>
  <c r="BA353" i="12"/>
  <c r="AZ353" i="12"/>
  <c r="AX353" i="12"/>
  <c r="AW353" i="12"/>
  <c r="AV353" i="12"/>
  <c r="AU353" i="12"/>
  <c r="AS353" i="12"/>
  <c r="AR353" i="12"/>
  <c r="AQ353" i="12"/>
  <c r="AP353" i="12"/>
  <c r="AN353" i="12"/>
  <c r="AM353" i="12"/>
  <c r="AL353" i="12"/>
  <c r="AK353" i="12"/>
  <c r="AH353" i="12"/>
  <c r="AG353" i="12"/>
  <c r="AF353" i="12"/>
  <c r="BM352" i="12"/>
  <c r="BL352" i="12"/>
  <c r="BK352" i="12"/>
  <c r="BJ352" i="12"/>
  <c r="BH352" i="12"/>
  <c r="BG352" i="12"/>
  <c r="BF352" i="12"/>
  <c r="BE352" i="12"/>
  <c r="BC352" i="12"/>
  <c r="BB352" i="12"/>
  <c r="BA352" i="12"/>
  <c r="AZ352" i="12"/>
  <c r="AX352" i="12"/>
  <c r="AW352" i="12"/>
  <c r="AV352" i="12"/>
  <c r="AU352" i="12"/>
  <c r="AS352" i="12"/>
  <c r="AR352" i="12"/>
  <c r="AQ352" i="12"/>
  <c r="AP352" i="12"/>
  <c r="AN352" i="12"/>
  <c r="AM352" i="12"/>
  <c r="AL352" i="12"/>
  <c r="AK352" i="12"/>
  <c r="AG352" i="12"/>
  <c r="AF352" i="12"/>
  <c r="BX335" i="12"/>
  <c r="BU350" i="12"/>
  <c r="BT350" i="12"/>
  <c r="BR350" i="12"/>
  <c r="BQ350" i="12"/>
  <c r="BP350" i="12"/>
  <c r="BO350" i="12"/>
  <c r="BM350" i="12"/>
  <c r="BL350" i="12"/>
  <c r="BK350" i="12"/>
  <c r="BJ350" i="12"/>
  <c r="BH350" i="12"/>
  <c r="BG350" i="12"/>
  <c r="BF350" i="12"/>
  <c r="BE350" i="12"/>
  <c r="BD350" i="12"/>
  <c r="BC350" i="12"/>
  <c r="BB350" i="12"/>
  <c r="BA350" i="12"/>
  <c r="AZ350" i="12"/>
  <c r="AY350" i="12"/>
  <c r="AX350" i="12"/>
  <c r="AW350" i="12"/>
  <c r="AV350" i="12"/>
  <c r="AU350" i="12"/>
  <c r="AT350" i="12"/>
  <c r="AS350" i="12"/>
  <c r="AR350" i="12"/>
  <c r="AQ350" i="12"/>
  <c r="AP350" i="12"/>
  <c r="AO350" i="12"/>
  <c r="AN350" i="12"/>
  <c r="AM350" i="12"/>
  <c r="AL350" i="12"/>
  <c r="AK350" i="12"/>
  <c r="AJ350" i="12"/>
  <c r="AI350" i="12"/>
  <c r="AH350" i="12"/>
  <c r="AG350" i="12"/>
  <c r="AF350" i="12"/>
  <c r="AE350" i="12"/>
  <c r="AD350" i="12"/>
  <c r="AC350" i="12"/>
  <c r="AB350" i="12"/>
  <c r="AA350" i="12"/>
  <c r="Z350" i="12"/>
  <c r="Y350" i="12"/>
  <c r="X350" i="12"/>
  <c r="W350" i="12"/>
  <c r="V350" i="12"/>
  <c r="U350" i="12"/>
  <c r="T350" i="12"/>
  <c r="S350" i="12"/>
  <c r="R350" i="12"/>
  <c r="Q350" i="12"/>
  <c r="BU349" i="12"/>
  <c r="BT349" i="12"/>
  <c r="BR349" i="12"/>
  <c r="BQ349" i="12"/>
  <c r="BP349" i="12"/>
  <c r="BO349" i="12"/>
  <c r="BM349" i="12"/>
  <c r="BL349" i="12"/>
  <c r="BK349" i="12"/>
  <c r="BJ349" i="12"/>
  <c r="BH349" i="12"/>
  <c r="BG349" i="12"/>
  <c r="BF349" i="12"/>
  <c r="BE349" i="12"/>
  <c r="BD349" i="12"/>
  <c r="BC349" i="12"/>
  <c r="BB349" i="12"/>
  <c r="BA349" i="12"/>
  <c r="AZ349" i="12"/>
  <c r="AY349" i="12"/>
  <c r="AX349" i="12"/>
  <c r="AW349" i="12"/>
  <c r="AV349" i="12"/>
  <c r="AU349" i="12"/>
  <c r="AT349" i="12"/>
  <c r="AS349" i="12"/>
  <c r="AR349" i="12"/>
  <c r="AQ349" i="12"/>
  <c r="AP349" i="12"/>
  <c r="AO349" i="12"/>
  <c r="AN349" i="12"/>
  <c r="AM349" i="12"/>
  <c r="AL349" i="12"/>
  <c r="AK349" i="12"/>
  <c r="AJ349" i="12"/>
  <c r="AI349" i="12"/>
  <c r="AH349" i="12"/>
  <c r="AG349" i="12"/>
  <c r="AF349" i="12"/>
  <c r="AE349" i="12"/>
  <c r="AD349" i="12"/>
  <c r="AC349" i="12"/>
  <c r="AB349" i="12"/>
  <c r="AA349" i="12"/>
  <c r="Z349" i="12"/>
  <c r="Y349" i="12"/>
  <c r="X349" i="12"/>
  <c r="W349" i="12"/>
  <c r="V349" i="12"/>
  <c r="U349" i="12"/>
  <c r="T349" i="12"/>
  <c r="S349" i="12"/>
  <c r="R349" i="12"/>
  <c r="Q349" i="12"/>
  <c r="BE348" i="12"/>
  <c r="BD348" i="12"/>
  <c r="BC348" i="12"/>
  <c r="BB348" i="12"/>
  <c r="BA348" i="12"/>
  <c r="AZ348" i="12"/>
  <c r="AY348" i="12"/>
  <c r="AX348" i="12"/>
  <c r="AW348" i="12"/>
  <c r="AV348" i="12"/>
  <c r="AU348" i="12"/>
  <c r="AT348" i="12"/>
  <c r="AS348" i="12"/>
  <c r="AR348" i="12"/>
  <c r="AQ348" i="12"/>
  <c r="AP348" i="12"/>
  <c r="AO348" i="12"/>
  <c r="AN348" i="12"/>
  <c r="AM348" i="12"/>
  <c r="AL348" i="12"/>
  <c r="AK348" i="12"/>
  <c r="AJ348" i="12"/>
  <c r="AI348" i="12"/>
  <c r="AH348" i="12"/>
  <c r="AG348" i="12"/>
  <c r="AF348" i="12"/>
  <c r="AE348" i="12"/>
  <c r="AD348" i="12"/>
  <c r="AC348" i="12"/>
  <c r="AB348" i="12"/>
  <c r="AA348" i="12"/>
  <c r="Z348" i="12"/>
  <c r="Y348" i="12"/>
  <c r="X348" i="12"/>
  <c r="W348" i="12"/>
  <c r="V348" i="12"/>
  <c r="U348" i="12"/>
  <c r="T348" i="12"/>
  <c r="S348" i="12"/>
  <c r="R348" i="12"/>
  <c r="Q348" i="12"/>
  <c r="BU347" i="12"/>
  <c r="BT347" i="12"/>
  <c r="BR347" i="12"/>
  <c r="BQ347" i="12"/>
  <c r="BP347" i="12"/>
  <c r="BO347" i="12"/>
  <c r="BM347" i="12"/>
  <c r="BL347" i="12"/>
  <c r="BK347" i="12"/>
  <c r="BJ347" i="12"/>
  <c r="BH347" i="12"/>
  <c r="BG347" i="12"/>
  <c r="BF347" i="12"/>
  <c r="BE347" i="12"/>
  <c r="BC347" i="12"/>
  <c r="BB347" i="12"/>
  <c r="BA347" i="12"/>
  <c r="AZ347" i="12"/>
  <c r="AX347" i="12"/>
  <c r="AW347" i="12"/>
  <c r="AV347" i="12"/>
  <c r="AU347" i="12"/>
  <c r="AS347" i="12"/>
  <c r="AR347" i="12"/>
  <c r="AQ347" i="12"/>
  <c r="AP347" i="12"/>
  <c r="AN347" i="12"/>
  <c r="AM347" i="12"/>
  <c r="AL347" i="12"/>
  <c r="AK347" i="12"/>
  <c r="AI347" i="12"/>
  <c r="AH347" i="12"/>
  <c r="AG347" i="12"/>
  <c r="AF347" i="12"/>
  <c r="AD347" i="12"/>
  <c r="AC347" i="12"/>
  <c r="AB347" i="12"/>
  <c r="AA347" i="12"/>
  <c r="Y347" i="12"/>
  <c r="X347" i="12"/>
  <c r="W347" i="12"/>
  <c r="V347" i="12"/>
  <c r="T347" i="12"/>
  <c r="S347" i="12"/>
  <c r="R347" i="12"/>
  <c r="Q347" i="12"/>
  <c r="BU346" i="12"/>
  <c r="BT346" i="12"/>
  <c r="BR346" i="12"/>
  <c r="BQ346" i="12"/>
  <c r="BP346" i="12"/>
  <c r="BO346" i="12"/>
  <c r="BM346" i="12"/>
  <c r="BL346" i="12"/>
  <c r="BK346" i="12"/>
  <c r="BJ346" i="12"/>
  <c r="BH346" i="12"/>
  <c r="BG346" i="12"/>
  <c r="BF346" i="12"/>
  <c r="BE346" i="12"/>
  <c r="BC346" i="12"/>
  <c r="BB346" i="12"/>
  <c r="BA346" i="12"/>
  <c r="AZ346" i="12"/>
  <c r="AX346" i="12"/>
  <c r="AW346" i="12"/>
  <c r="AV346" i="12"/>
  <c r="AU346" i="12"/>
  <c r="AS346" i="12"/>
  <c r="AR346" i="12"/>
  <c r="AQ346" i="12"/>
  <c r="AP346" i="12"/>
  <c r="AN346" i="12"/>
  <c r="AM346" i="12"/>
  <c r="AL346" i="12"/>
  <c r="AK346" i="12"/>
  <c r="AI346" i="12"/>
  <c r="AH346" i="12"/>
  <c r="AG346" i="12"/>
  <c r="AF346" i="12"/>
  <c r="AD346" i="12"/>
  <c r="AC346" i="12"/>
  <c r="AB346" i="12"/>
  <c r="AA346" i="12"/>
  <c r="Y346" i="12"/>
  <c r="X346" i="12"/>
  <c r="W346" i="12"/>
  <c r="V346" i="12"/>
  <c r="T346" i="12"/>
  <c r="S346" i="12"/>
  <c r="R346" i="12"/>
  <c r="Q346" i="12"/>
  <c r="BU344" i="12"/>
  <c r="BT344" i="12"/>
  <c r="BR344" i="12"/>
  <c r="BQ344" i="12"/>
  <c r="BP344" i="12"/>
  <c r="BO344" i="12"/>
  <c r="BM344" i="12"/>
  <c r="BL344" i="12"/>
  <c r="BK344" i="12"/>
  <c r="BJ344" i="12"/>
  <c r="BH344" i="12"/>
  <c r="BG344" i="12"/>
  <c r="BF344" i="12"/>
  <c r="BE344" i="12"/>
  <c r="BC344" i="12"/>
  <c r="BB344" i="12"/>
  <c r="BA344" i="12"/>
  <c r="AZ344" i="12"/>
  <c r="AX344" i="12"/>
  <c r="AW344" i="12"/>
  <c r="AV344" i="12"/>
  <c r="AU344" i="12"/>
  <c r="AS344" i="12"/>
  <c r="AR344" i="12"/>
  <c r="AQ344" i="12"/>
  <c r="AP344" i="12"/>
  <c r="AN344" i="12"/>
  <c r="AM344" i="12"/>
  <c r="AL344" i="12"/>
  <c r="AK344" i="12"/>
  <c r="AI344" i="12"/>
  <c r="AH344" i="12"/>
  <c r="AG344" i="12"/>
  <c r="AF344" i="12"/>
  <c r="AD344" i="12"/>
  <c r="AC344" i="12"/>
  <c r="AB344" i="12"/>
  <c r="AA344" i="12"/>
  <c r="Y344" i="12"/>
  <c r="X344" i="12"/>
  <c r="W344" i="12"/>
  <c r="V344" i="12"/>
  <c r="T344" i="12"/>
  <c r="S344" i="12"/>
  <c r="R344" i="12"/>
  <c r="Q344" i="12"/>
  <c r="BU343" i="12"/>
  <c r="BT343" i="12"/>
  <c r="BR343" i="12"/>
  <c r="BQ343" i="12"/>
  <c r="BP343" i="12"/>
  <c r="BO343" i="12"/>
  <c r="BM343" i="12"/>
  <c r="BL343" i="12"/>
  <c r="BK343" i="12"/>
  <c r="BJ343" i="12"/>
  <c r="BH343" i="12"/>
  <c r="BG343" i="12"/>
  <c r="BF343" i="12"/>
  <c r="BE343" i="12"/>
  <c r="BC343" i="12"/>
  <c r="BB343" i="12"/>
  <c r="BA343" i="12"/>
  <c r="AZ343" i="12"/>
  <c r="AX343" i="12"/>
  <c r="AW343" i="12"/>
  <c r="AV343" i="12"/>
  <c r="AU343" i="12"/>
  <c r="AS343" i="12"/>
  <c r="AR343" i="12"/>
  <c r="AQ343" i="12"/>
  <c r="AP343" i="12"/>
  <c r="AN343" i="12"/>
  <c r="AM343" i="12"/>
  <c r="AL343" i="12"/>
  <c r="AK343" i="12"/>
  <c r="AI343" i="12"/>
  <c r="AH343" i="12"/>
  <c r="AG343" i="12"/>
  <c r="AF343" i="12"/>
  <c r="AD343" i="12"/>
  <c r="AC343" i="12"/>
  <c r="AB343" i="12"/>
  <c r="AA343" i="12"/>
  <c r="Y343" i="12"/>
  <c r="X343" i="12"/>
  <c r="W343" i="12"/>
  <c r="V343" i="12"/>
  <c r="T343" i="12"/>
  <c r="S343" i="12"/>
  <c r="R343" i="12"/>
  <c r="Q343" i="12"/>
  <c r="CH335" i="12"/>
  <c r="CG335" i="12"/>
  <c r="CF335" i="12"/>
  <c r="CE335" i="12"/>
  <c r="CD335" i="12"/>
  <c r="CB335" i="12"/>
  <c r="CA335" i="12"/>
  <c r="BZ335" i="12"/>
  <c r="BY335" i="12"/>
  <c r="BU338" i="12"/>
  <c r="BT338" i="12"/>
  <c r="BR338" i="12"/>
  <c r="BQ338" i="12"/>
  <c r="BP338" i="12"/>
  <c r="BO338" i="12"/>
  <c r="BM338" i="12"/>
  <c r="BL338" i="12"/>
  <c r="BK338" i="12"/>
  <c r="BJ338" i="12"/>
  <c r="BH338" i="12"/>
  <c r="BG338" i="12"/>
  <c r="BF338" i="12"/>
  <c r="BE338" i="12"/>
  <c r="BC338" i="12"/>
  <c r="BB338" i="12"/>
  <c r="BA338" i="12"/>
  <c r="AZ338" i="12"/>
  <c r="BU337" i="12"/>
  <c r="BT337" i="12"/>
  <c r="BR337" i="12"/>
  <c r="BQ337" i="12"/>
  <c r="BP337" i="12"/>
  <c r="BO337" i="12"/>
  <c r="BM337" i="12"/>
  <c r="BL337" i="12"/>
  <c r="BK337" i="12"/>
  <c r="BJ337" i="12"/>
  <c r="BH337" i="12"/>
  <c r="BG337" i="12"/>
  <c r="BF337" i="12"/>
  <c r="BE337" i="12"/>
  <c r="BC337" i="12"/>
  <c r="BB337" i="12"/>
  <c r="BA337" i="12"/>
  <c r="AZ337" i="12"/>
  <c r="BW335" i="12"/>
  <c r="BV335" i="12"/>
  <c r="BU335" i="12"/>
  <c r="BT335" i="12"/>
  <c r="BS335" i="12"/>
  <c r="BR335" i="12"/>
  <c r="BQ335" i="12"/>
  <c r="BP335" i="12"/>
  <c r="BO335" i="12"/>
  <c r="BN335" i="12"/>
  <c r="BM335" i="12"/>
  <c r="BL335" i="12"/>
  <c r="BK335" i="12"/>
  <c r="BJ335" i="12"/>
  <c r="BI335" i="12"/>
  <c r="BH335" i="12"/>
  <c r="BG335" i="12"/>
  <c r="BF335" i="12"/>
  <c r="BE335" i="12"/>
  <c r="BD335" i="12"/>
  <c r="BC335" i="12"/>
  <c r="BB335" i="12"/>
  <c r="BA335" i="12"/>
  <c r="AZ335" i="12"/>
  <c r="AY335" i="12"/>
  <c r="AX335" i="12"/>
  <c r="AW335" i="12"/>
  <c r="AV335" i="12"/>
  <c r="AU335" i="12"/>
  <c r="AT335" i="12"/>
  <c r="AS335" i="12"/>
  <c r="AR335" i="12"/>
  <c r="AQ335" i="12"/>
  <c r="AP335" i="12"/>
  <c r="AO335" i="12"/>
  <c r="AN335" i="12"/>
  <c r="AM335" i="12"/>
  <c r="AL335" i="12"/>
  <c r="AK335" i="12"/>
  <c r="AJ335" i="12"/>
  <c r="AI335" i="12"/>
  <c r="AH335" i="12"/>
  <c r="AG335" i="12"/>
  <c r="AF335" i="12"/>
  <c r="AE335" i="12"/>
  <c r="AD335" i="12"/>
  <c r="AC335" i="12"/>
  <c r="AB335" i="12"/>
  <c r="AA335" i="12"/>
  <c r="Z335" i="12"/>
  <c r="Y335" i="12"/>
  <c r="X335" i="12"/>
  <c r="W335" i="12"/>
  <c r="V335" i="12"/>
  <c r="U335" i="12"/>
  <c r="T335" i="12"/>
  <c r="S335" i="12"/>
  <c r="R335" i="12"/>
  <c r="Q335" i="12"/>
  <c r="P335" i="12"/>
  <c r="O335" i="12"/>
  <c r="N335" i="12"/>
  <c r="M335" i="12"/>
  <c r="L335" i="12"/>
  <c r="AR333" i="12"/>
  <c r="AQ333" i="12"/>
  <c r="AP333" i="12"/>
  <c r="AN333" i="12"/>
  <c r="AM333" i="12"/>
  <c r="AL333" i="12"/>
  <c r="AK333" i="12"/>
  <c r="AI333" i="12"/>
  <c r="AH333" i="12"/>
  <c r="AG333" i="12"/>
  <c r="AF333" i="12"/>
  <c r="AD333" i="12"/>
  <c r="AC333" i="12"/>
  <c r="AB333" i="12"/>
  <c r="Z332" i="12"/>
  <c r="Y332" i="12"/>
  <c r="X332" i="12"/>
  <c r="W332" i="12"/>
  <c r="V332" i="12"/>
  <c r="U332" i="12"/>
  <c r="T332" i="12"/>
  <c r="S332" i="12"/>
  <c r="R332" i="12"/>
  <c r="AS328" i="12"/>
  <c r="AR328" i="12"/>
  <c r="AQ328" i="12"/>
  <c r="AP328" i="12"/>
  <c r="AN328" i="12"/>
  <c r="AM328" i="12"/>
  <c r="AL328" i="12"/>
  <c r="AK328" i="12"/>
  <c r="AI328" i="12"/>
  <c r="AH328" i="12"/>
  <c r="AG328" i="12"/>
  <c r="AF328" i="12"/>
  <c r="AD328" i="12"/>
  <c r="AC328" i="12"/>
  <c r="AB328" i="12"/>
  <c r="AA328" i="12"/>
  <c r="Y328" i="12"/>
  <c r="X328" i="12"/>
  <c r="W328" i="12"/>
  <c r="V328" i="12"/>
  <c r="T328" i="12"/>
  <c r="S328" i="12"/>
  <c r="R328" i="12"/>
  <c r="AS327" i="12"/>
  <c r="AR327" i="12"/>
  <c r="AQ327" i="12"/>
  <c r="AN327" i="12"/>
  <c r="AM327" i="12"/>
  <c r="AL327" i="12"/>
  <c r="AK327" i="12"/>
  <c r="AI327" i="12"/>
  <c r="AH327" i="12"/>
  <c r="AG327" i="12"/>
  <c r="AF327" i="12"/>
  <c r="AD327" i="12"/>
  <c r="AC327" i="12"/>
  <c r="AB327" i="12"/>
  <c r="AA327" i="12"/>
  <c r="Y327" i="12"/>
  <c r="X327" i="12"/>
  <c r="W327" i="12"/>
  <c r="V327" i="12"/>
  <c r="T327" i="12"/>
  <c r="S327" i="12"/>
  <c r="R327" i="12"/>
  <c r="AX326" i="12"/>
  <c r="AW326" i="12"/>
  <c r="AV326" i="12"/>
  <c r="AU326" i="12"/>
  <c r="AS326" i="12"/>
  <c r="AR326" i="12"/>
  <c r="AQ326" i="12"/>
  <c r="AP326" i="12"/>
  <c r="AN326" i="12"/>
  <c r="AM326" i="12"/>
  <c r="AL326" i="12"/>
  <c r="AK326" i="12"/>
  <c r="AI326" i="12"/>
  <c r="AH326" i="12"/>
  <c r="AG326" i="12"/>
  <c r="AF326" i="12"/>
  <c r="BC324" i="12"/>
  <c r="BB324" i="12"/>
  <c r="BA324" i="12"/>
  <c r="AZ324" i="12"/>
  <c r="BC323" i="12"/>
  <c r="BB323" i="12"/>
  <c r="BA323" i="12"/>
  <c r="AZ323" i="12"/>
  <c r="BC321" i="12"/>
  <c r="BB321" i="12"/>
  <c r="BA321" i="12"/>
  <c r="AZ321" i="12"/>
  <c r="AX321" i="12"/>
  <c r="AW321" i="12"/>
  <c r="AV321" i="12"/>
  <c r="AU321" i="12"/>
  <c r="AS321" i="12"/>
  <c r="AR321" i="12"/>
  <c r="AQ321" i="12"/>
  <c r="AP321" i="12"/>
  <c r="AN321" i="12"/>
  <c r="AM321" i="12"/>
  <c r="AL321" i="12"/>
  <c r="AK321" i="12"/>
  <c r="AI321" i="12"/>
  <c r="AH321" i="12"/>
  <c r="AG321" i="12"/>
  <c r="AF321" i="12"/>
  <c r="AD321" i="12"/>
  <c r="AC321" i="12"/>
  <c r="AB321" i="12"/>
  <c r="AA321" i="12"/>
  <c r="Y321" i="12"/>
  <c r="X321" i="12"/>
  <c r="W321" i="12"/>
  <c r="V321" i="12"/>
  <c r="T321" i="12"/>
  <c r="S321" i="12"/>
  <c r="R321" i="12"/>
  <c r="Q321" i="12"/>
  <c r="AD318" i="12"/>
  <c r="AC318" i="12"/>
  <c r="AB318" i="12"/>
  <c r="AA318" i="12"/>
  <c r="Y318" i="12"/>
  <c r="X318" i="12"/>
  <c r="W318" i="12"/>
  <c r="V318" i="12"/>
  <c r="T318" i="12"/>
  <c r="S318" i="12"/>
  <c r="R318" i="12"/>
  <c r="Q318" i="12"/>
  <c r="AD315" i="12"/>
  <c r="AC315" i="12"/>
  <c r="AB315" i="12"/>
  <c r="AA315" i="12"/>
  <c r="Q315" i="12"/>
  <c r="R315" i="12" s="1"/>
  <c r="S315" i="12" s="1"/>
  <c r="T315" i="12" s="1"/>
  <c r="AS312" i="12"/>
  <c r="AR312" i="12"/>
  <c r="AQ312" i="12"/>
  <c r="AP312" i="12"/>
  <c r="AN312" i="12"/>
  <c r="AM312" i="12"/>
  <c r="AL312" i="12"/>
  <c r="AK312" i="12"/>
  <c r="AI312" i="12"/>
  <c r="AH312" i="12"/>
  <c r="AG312" i="12"/>
  <c r="AF312" i="12"/>
  <c r="AD312" i="12"/>
  <c r="AC312" i="12"/>
  <c r="AB312" i="12"/>
  <c r="AA312" i="12"/>
  <c r="Y312" i="12"/>
  <c r="X312" i="12"/>
  <c r="W312" i="12"/>
  <c r="V312" i="12"/>
  <c r="T312" i="12"/>
  <c r="S312" i="12"/>
  <c r="R312" i="12"/>
  <c r="Q312" i="12"/>
  <c r="AS311" i="12"/>
  <c r="AR311" i="12"/>
  <c r="AQ311" i="12"/>
  <c r="AP311" i="12"/>
  <c r="AN311" i="12"/>
  <c r="AM311" i="12"/>
  <c r="AL311" i="12"/>
  <c r="AK311" i="12"/>
  <c r="AI311" i="12"/>
  <c r="AH311" i="12"/>
  <c r="AG311" i="12"/>
  <c r="AF311" i="12"/>
  <c r="AD311" i="12"/>
  <c r="AC311" i="12"/>
  <c r="AB311" i="12"/>
  <c r="AA311" i="12"/>
  <c r="Y311" i="12"/>
  <c r="X311" i="12"/>
  <c r="W311" i="12"/>
  <c r="V311" i="12"/>
  <c r="T311" i="12"/>
  <c r="S311" i="12"/>
  <c r="R311" i="12"/>
  <c r="Q311" i="12"/>
  <c r="BR309" i="12"/>
  <c r="BU309" i="12"/>
  <c r="BT309" i="12"/>
  <c r="BU308" i="12"/>
  <c r="BT308" i="12"/>
  <c r="BU306" i="12"/>
  <c r="BT306" i="12"/>
  <c r="BR306" i="12"/>
  <c r="BQ306" i="12"/>
  <c r="BP306" i="12"/>
  <c r="BO306" i="12"/>
  <c r="BM306" i="12"/>
  <c r="BL306" i="12"/>
  <c r="BK306" i="12"/>
  <c r="BU305" i="12"/>
  <c r="BT305" i="12"/>
  <c r="BR305" i="12"/>
  <c r="BQ305" i="12"/>
  <c r="BP305" i="12"/>
  <c r="BO305" i="12"/>
  <c r="BM305" i="12"/>
  <c r="BL305" i="12"/>
  <c r="BK305" i="12"/>
  <c r="BU303" i="12"/>
  <c r="BT303" i="12"/>
  <c r="BR303" i="12"/>
  <c r="BQ303" i="12"/>
  <c r="BP303" i="12"/>
  <c r="BO303" i="12"/>
  <c r="BM303" i="12"/>
  <c r="BL303" i="12"/>
  <c r="BK303" i="12"/>
  <c r="BJ303" i="12"/>
  <c r="BH303" i="12"/>
  <c r="BG303" i="12"/>
  <c r="BF303" i="12"/>
  <c r="BE303" i="12"/>
  <c r="BD303" i="12"/>
  <c r="BC303" i="12"/>
  <c r="BB303" i="12"/>
  <c r="BA303" i="12"/>
  <c r="AZ303" i="12"/>
  <c r="AY303" i="12"/>
  <c r="AX303" i="12"/>
  <c r="AW303" i="12"/>
  <c r="AV303" i="12"/>
  <c r="AU303" i="12"/>
  <c r="BU302" i="12"/>
  <c r="BT302" i="12"/>
  <c r="BR302" i="12"/>
  <c r="BQ302" i="12"/>
  <c r="BP302" i="12"/>
  <c r="BO302" i="12"/>
  <c r="BM302" i="12"/>
  <c r="BL302" i="12"/>
  <c r="BK302" i="12"/>
  <c r="BJ302" i="12"/>
  <c r="BH302" i="12"/>
  <c r="BG302" i="12"/>
  <c r="BF302" i="12"/>
  <c r="BE302" i="12"/>
  <c r="BD302" i="12"/>
  <c r="BC302" i="12"/>
  <c r="BB302" i="12"/>
  <c r="BA302" i="12"/>
  <c r="AZ302" i="12"/>
  <c r="AY302" i="12"/>
  <c r="AX302" i="12"/>
  <c r="AW302" i="12"/>
  <c r="AV302" i="12"/>
  <c r="AU302" i="12"/>
  <c r="BF301" i="12"/>
  <c r="BE301" i="12"/>
  <c r="BD301" i="12"/>
  <c r="BC301" i="12"/>
  <c r="BB301" i="12"/>
  <c r="BA301" i="12"/>
  <c r="AZ301" i="12"/>
  <c r="AY301" i="12"/>
  <c r="BU300" i="12"/>
  <c r="BT300" i="12"/>
  <c r="BR300" i="12"/>
  <c r="BQ300" i="12"/>
  <c r="BP300" i="12"/>
  <c r="BO300" i="12"/>
  <c r="BM300" i="12"/>
  <c r="BL300" i="12"/>
  <c r="BK300" i="12"/>
  <c r="BJ300" i="12"/>
  <c r="BH300" i="12"/>
  <c r="BG300" i="12"/>
  <c r="BF300" i="12"/>
  <c r="BE300" i="12"/>
  <c r="BC300" i="12"/>
  <c r="BB300" i="12"/>
  <c r="BA300" i="12"/>
  <c r="AZ300" i="12"/>
  <c r="AX300" i="12"/>
  <c r="AW300" i="12"/>
  <c r="AV300" i="12"/>
  <c r="AU300" i="12"/>
  <c r="BU299" i="12"/>
  <c r="BT299" i="12"/>
  <c r="BR299" i="12"/>
  <c r="BQ299" i="12"/>
  <c r="BP299" i="12"/>
  <c r="BO299" i="12"/>
  <c r="BM299" i="12"/>
  <c r="BL299" i="12"/>
  <c r="BK299" i="12"/>
  <c r="BJ299" i="12"/>
  <c r="BH299" i="12"/>
  <c r="BG299" i="12"/>
  <c r="BF299" i="12"/>
  <c r="BE299" i="12"/>
  <c r="BC299" i="12"/>
  <c r="BB299" i="12"/>
  <c r="BA299" i="12"/>
  <c r="AZ299" i="12"/>
  <c r="AX299" i="12"/>
  <c r="AW299" i="12"/>
  <c r="AV299" i="12"/>
  <c r="AU299" i="12"/>
  <c r="BU297" i="12"/>
  <c r="BT297" i="12"/>
  <c r="BR297" i="12"/>
  <c r="BQ297" i="12"/>
  <c r="BP297" i="12"/>
  <c r="BO297" i="12"/>
  <c r="BM297" i="12"/>
  <c r="BL297" i="12"/>
  <c r="BK297" i="12"/>
  <c r="BU296" i="12"/>
  <c r="BT296" i="12"/>
  <c r="BR296" i="12"/>
  <c r="BQ296" i="12"/>
  <c r="BP296" i="12"/>
  <c r="BO296" i="12"/>
  <c r="BM296" i="12"/>
  <c r="BL296" i="12"/>
  <c r="BK296" i="12"/>
  <c r="BJ296" i="12"/>
  <c r="BH296" i="12"/>
  <c r="BG296" i="12"/>
  <c r="BF296" i="12"/>
  <c r="BE296" i="12"/>
  <c r="BC296" i="12"/>
  <c r="BB296" i="12"/>
  <c r="BA296" i="12"/>
  <c r="AZ296" i="12"/>
  <c r="AX296" i="12"/>
  <c r="AW296" i="12"/>
  <c r="AV296" i="12"/>
  <c r="AU296" i="12"/>
  <c r="BU294" i="12"/>
  <c r="BT294" i="12"/>
  <c r="BR294" i="12"/>
  <c r="BQ294" i="12"/>
  <c r="BP294" i="12"/>
  <c r="BO294" i="12"/>
  <c r="BM294" i="12"/>
  <c r="BL294" i="12"/>
  <c r="BK294" i="12"/>
  <c r="BJ294" i="12"/>
  <c r="BH294" i="12"/>
  <c r="BG294" i="12"/>
  <c r="BF294" i="12"/>
  <c r="BE294" i="12"/>
  <c r="BC294" i="12"/>
  <c r="BB294" i="12"/>
  <c r="BA294" i="12"/>
  <c r="AZ294" i="12"/>
  <c r="AX294" i="12"/>
  <c r="AW294" i="12"/>
  <c r="AV294" i="12"/>
  <c r="AU294" i="12"/>
  <c r="AS294" i="12"/>
  <c r="AR294" i="12"/>
  <c r="AQ294" i="12"/>
  <c r="AP294" i="12"/>
  <c r="AN294" i="12"/>
  <c r="AM294" i="12"/>
  <c r="AL294" i="12"/>
  <c r="AK294" i="12"/>
  <c r="AI294" i="12"/>
  <c r="AH294" i="12"/>
  <c r="AG294" i="12"/>
  <c r="AF294" i="12"/>
  <c r="AD294" i="12"/>
  <c r="AC294" i="12"/>
  <c r="AB294" i="12"/>
  <c r="AA294" i="12"/>
  <c r="Y294" i="12"/>
  <c r="X294" i="12"/>
  <c r="W294" i="12"/>
  <c r="V294" i="12"/>
  <c r="T294" i="12"/>
  <c r="S294" i="12"/>
  <c r="R294" i="12"/>
  <c r="Q294" i="12"/>
  <c r="BU293" i="12"/>
  <c r="BT293" i="12"/>
  <c r="BR293" i="12"/>
  <c r="BQ293" i="12"/>
  <c r="BP293" i="12"/>
  <c r="BO293" i="12"/>
  <c r="BM293" i="12"/>
  <c r="BL293" i="12"/>
  <c r="BK293" i="12"/>
  <c r="BJ293" i="12"/>
  <c r="BH293" i="12"/>
  <c r="BG293" i="12"/>
  <c r="BF293" i="12"/>
  <c r="BE293" i="12"/>
  <c r="BC293" i="12"/>
  <c r="BB293" i="12"/>
  <c r="BA293" i="12"/>
  <c r="AZ293" i="12"/>
  <c r="AX293" i="12"/>
  <c r="AW293" i="12"/>
  <c r="AV293" i="12"/>
  <c r="AU293" i="12"/>
  <c r="AS293" i="12"/>
  <c r="AR293" i="12"/>
  <c r="AQ293" i="12"/>
  <c r="AP293" i="12"/>
  <c r="AN293" i="12"/>
  <c r="AM293" i="12"/>
  <c r="AL293" i="12"/>
  <c r="AK293" i="12"/>
  <c r="AI293" i="12"/>
  <c r="AH293" i="12"/>
  <c r="AG293" i="12"/>
  <c r="AF293" i="12"/>
  <c r="AD293" i="12"/>
  <c r="AC293" i="12"/>
  <c r="AB293" i="12"/>
  <c r="AA293" i="12"/>
  <c r="Y293" i="12"/>
  <c r="X293" i="12"/>
  <c r="W293" i="12"/>
  <c r="V293" i="12"/>
  <c r="T293" i="12"/>
  <c r="S293" i="12"/>
  <c r="R293" i="12"/>
  <c r="Q293" i="12"/>
  <c r="BU291" i="12"/>
  <c r="BT291" i="12"/>
  <c r="BR291" i="12"/>
  <c r="BQ291" i="12"/>
  <c r="BP291" i="12"/>
  <c r="BO291" i="12"/>
  <c r="BM291" i="12"/>
  <c r="BL291" i="12"/>
  <c r="BK291" i="12"/>
  <c r="BJ291" i="12"/>
  <c r="BH291" i="12"/>
  <c r="BG291" i="12"/>
  <c r="BF291" i="12"/>
  <c r="BE291" i="12"/>
  <c r="BC291" i="12"/>
  <c r="BB291" i="12"/>
  <c r="BA291" i="12"/>
  <c r="AZ291" i="12"/>
  <c r="AX291" i="12"/>
  <c r="AW291" i="12"/>
  <c r="AV291" i="12"/>
  <c r="AU291" i="12"/>
  <c r="AS291" i="12"/>
  <c r="AR291" i="12"/>
  <c r="AQ291" i="12"/>
  <c r="AP291" i="12"/>
  <c r="AN291" i="12"/>
  <c r="AM291" i="12"/>
  <c r="AL291" i="12"/>
  <c r="AK291" i="12"/>
  <c r="AI291" i="12"/>
  <c r="AH291" i="12"/>
  <c r="AG291" i="12"/>
  <c r="AF291" i="12"/>
  <c r="AD291" i="12"/>
  <c r="AC291" i="12"/>
  <c r="AB291" i="12"/>
  <c r="AA291" i="12"/>
  <c r="Y291" i="12"/>
  <c r="X291" i="12"/>
  <c r="W291" i="12"/>
  <c r="V291" i="12"/>
  <c r="T291" i="12"/>
  <c r="S291" i="12"/>
  <c r="R291" i="12"/>
  <c r="Q291" i="12"/>
  <c r="BU290" i="12"/>
  <c r="BT290" i="12"/>
  <c r="BR290" i="12"/>
  <c r="BQ290" i="12"/>
  <c r="BP290" i="12"/>
  <c r="BO290" i="12"/>
  <c r="BM290" i="12"/>
  <c r="BL290" i="12"/>
  <c r="BK290" i="12"/>
  <c r="BJ290" i="12"/>
  <c r="BH290" i="12"/>
  <c r="BG290" i="12"/>
  <c r="BF290" i="12"/>
  <c r="BE290" i="12"/>
  <c r="BC290" i="12"/>
  <c r="BB290" i="12"/>
  <c r="BA290" i="12"/>
  <c r="AZ290" i="12"/>
  <c r="AX290" i="12"/>
  <c r="AW290" i="12"/>
  <c r="AV290" i="12"/>
  <c r="AU290" i="12"/>
  <c r="AS290" i="12"/>
  <c r="AR290" i="12"/>
  <c r="AQ290" i="12"/>
  <c r="AP290" i="12"/>
  <c r="AN290" i="12"/>
  <c r="AM290" i="12"/>
  <c r="AL290" i="12"/>
  <c r="AK290" i="12"/>
  <c r="AI290" i="12"/>
  <c r="AH290" i="12"/>
  <c r="AG290" i="12"/>
  <c r="AF290" i="12"/>
  <c r="AD290" i="12"/>
  <c r="AC290" i="12"/>
  <c r="AB290" i="12"/>
  <c r="AA290" i="12"/>
  <c r="Y290" i="12"/>
  <c r="X290" i="12"/>
  <c r="W290" i="12"/>
  <c r="V290" i="12"/>
  <c r="T290" i="12"/>
  <c r="S290" i="12"/>
  <c r="R290" i="12"/>
  <c r="Q290" i="12"/>
  <c r="BU288" i="12"/>
  <c r="BT288" i="12"/>
  <c r="BR288" i="12"/>
  <c r="BQ288" i="12"/>
  <c r="BP288" i="12"/>
  <c r="BO288" i="12"/>
  <c r="BM288" i="12"/>
  <c r="BL288" i="12"/>
  <c r="BK288" i="12"/>
  <c r="BJ288" i="12"/>
  <c r="BH288" i="12"/>
  <c r="BG288" i="12"/>
  <c r="BF288" i="12"/>
  <c r="BE288" i="12"/>
  <c r="BC288" i="12"/>
  <c r="BB288" i="12"/>
  <c r="BA288" i="12"/>
  <c r="AZ288" i="12"/>
  <c r="AX288" i="12"/>
  <c r="AW288" i="12"/>
  <c r="AV288" i="12"/>
  <c r="AU288" i="12"/>
  <c r="AS288" i="12"/>
  <c r="AR288" i="12"/>
  <c r="AQ288" i="12"/>
  <c r="AP288" i="12"/>
  <c r="AN288" i="12"/>
  <c r="AM288" i="12"/>
  <c r="AL288" i="12"/>
  <c r="AK288" i="12"/>
  <c r="AI288" i="12"/>
  <c r="AH288" i="12"/>
  <c r="AG288" i="12"/>
  <c r="AF288" i="12"/>
  <c r="AD288" i="12"/>
  <c r="AC288" i="12"/>
  <c r="AB288" i="12"/>
  <c r="AA288" i="12"/>
  <c r="Y288" i="12"/>
  <c r="X288" i="12"/>
  <c r="W288" i="12"/>
  <c r="V288" i="12"/>
  <c r="T288" i="12"/>
  <c r="S288" i="12"/>
  <c r="R288" i="12"/>
  <c r="Q288" i="12"/>
  <c r="BU287" i="12"/>
  <c r="BT287" i="12"/>
  <c r="BR287" i="12"/>
  <c r="BQ287" i="12"/>
  <c r="BP287" i="12"/>
  <c r="BO287" i="12"/>
  <c r="BM287" i="12"/>
  <c r="BL287" i="12"/>
  <c r="BK287" i="12"/>
  <c r="BJ287" i="12"/>
  <c r="BH287" i="12"/>
  <c r="BG287" i="12"/>
  <c r="BF287" i="12"/>
  <c r="BE287" i="12"/>
  <c r="BC287" i="12"/>
  <c r="BB287" i="12"/>
  <c r="BA287" i="12"/>
  <c r="AZ287" i="12"/>
  <c r="AX287" i="12"/>
  <c r="AW287" i="12"/>
  <c r="AV287" i="12"/>
  <c r="AU287" i="12"/>
  <c r="AS287" i="12"/>
  <c r="AR287" i="12"/>
  <c r="AQ287" i="12"/>
  <c r="AP287" i="12"/>
  <c r="AN287" i="12"/>
  <c r="AM287" i="12"/>
  <c r="AL287" i="12"/>
  <c r="AK287" i="12"/>
  <c r="AI287" i="12"/>
  <c r="AH287" i="12"/>
  <c r="AG287" i="12"/>
  <c r="AF287" i="12"/>
  <c r="AD287" i="12"/>
  <c r="AC287" i="12"/>
  <c r="AB287" i="12"/>
  <c r="AA287" i="12"/>
  <c r="Y287" i="12"/>
  <c r="X287" i="12"/>
  <c r="W287" i="12"/>
  <c r="V287" i="12"/>
  <c r="T287" i="12"/>
  <c r="S287" i="12"/>
  <c r="R287" i="12"/>
  <c r="Q287" i="12"/>
  <c r="BU285" i="12"/>
  <c r="BT285" i="12"/>
  <c r="BR285" i="12"/>
  <c r="BQ285" i="12"/>
  <c r="BP285" i="12"/>
  <c r="BO285" i="12"/>
  <c r="BM285" i="12"/>
  <c r="BL285" i="12"/>
  <c r="BK285" i="12"/>
  <c r="BJ285" i="12"/>
  <c r="BH285" i="12"/>
  <c r="BG285" i="12"/>
  <c r="BF285" i="12"/>
  <c r="BE285" i="12"/>
  <c r="BC285" i="12"/>
  <c r="BB285" i="12"/>
  <c r="BA285" i="12"/>
  <c r="AZ285" i="12"/>
  <c r="AX285" i="12"/>
  <c r="AW285" i="12"/>
  <c r="AV285" i="12"/>
  <c r="AU285" i="12"/>
  <c r="AS285" i="12"/>
  <c r="AR285" i="12"/>
  <c r="AQ285" i="12"/>
  <c r="AP285" i="12"/>
  <c r="AN285" i="12"/>
  <c r="AM285" i="12"/>
  <c r="AL285" i="12"/>
  <c r="AK285" i="12"/>
  <c r="AI285" i="12"/>
  <c r="AH285" i="12"/>
  <c r="AG285" i="12"/>
  <c r="AF285" i="12"/>
  <c r="AD285" i="12"/>
  <c r="AC285" i="12"/>
  <c r="AB285" i="12"/>
  <c r="AA285" i="12"/>
  <c r="Y285" i="12"/>
  <c r="X285" i="12"/>
  <c r="W285" i="12"/>
  <c r="V285" i="12"/>
  <c r="T285" i="12"/>
  <c r="S285" i="12"/>
  <c r="R285" i="12"/>
  <c r="Q285" i="12"/>
  <c r="BU284" i="12"/>
  <c r="BT284" i="12"/>
  <c r="BR284" i="12"/>
  <c r="BQ284" i="12"/>
  <c r="BP284" i="12"/>
  <c r="BO284" i="12"/>
  <c r="BM284" i="12"/>
  <c r="BL284" i="12"/>
  <c r="BK284" i="12"/>
  <c r="BJ284" i="12"/>
  <c r="BH284" i="12"/>
  <c r="BG284" i="12"/>
  <c r="BF284" i="12"/>
  <c r="BE284" i="12"/>
  <c r="BC284" i="12"/>
  <c r="BB284" i="12"/>
  <c r="BA284" i="12"/>
  <c r="AZ284" i="12"/>
  <c r="AX284" i="12"/>
  <c r="AW284" i="12"/>
  <c r="AV284" i="12"/>
  <c r="AU284" i="12"/>
  <c r="AS284" i="12"/>
  <c r="AR284" i="12"/>
  <c r="AQ284" i="12"/>
  <c r="AP284" i="12"/>
  <c r="AN284" i="12"/>
  <c r="AM284" i="12"/>
  <c r="AL284" i="12"/>
  <c r="AK284" i="12"/>
  <c r="AI284" i="12"/>
  <c r="AH284" i="12"/>
  <c r="AG284" i="12"/>
  <c r="AF284" i="12"/>
  <c r="AD284" i="12"/>
  <c r="AC284" i="12"/>
  <c r="AB284" i="12"/>
  <c r="AA284" i="12"/>
  <c r="Y284" i="12"/>
  <c r="X284" i="12"/>
  <c r="W284" i="12"/>
  <c r="V284" i="12"/>
  <c r="T284" i="12"/>
  <c r="S284" i="12"/>
  <c r="R284" i="12"/>
  <c r="Q284" i="12"/>
  <c r="BU282" i="12"/>
  <c r="BT282" i="12"/>
  <c r="BR282" i="12"/>
  <c r="BQ282" i="12"/>
  <c r="BP282" i="12"/>
  <c r="BO282" i="12"/>
  <c r="BM282" i="12"/>
  <c r="BL282" i="12"/>
  <c r="BK282" i="12"/>
  <c r="BJ282" i="12"/>
  <c r="BH282" i="12"/>
  <c r="BG282" i="12"/>
  <c r="BF282" i="12"/>
  <c r="BE282" i="12"/>
  <c r="BC282" i="12"/>
  <c r="BB282" i="12"/>
  <c r="BA282" i="12"/>
  <c r="AZ282" i="12"/>
  <c r="AX282" i="12"/>
  <c r="AW282" i="12"/>
  <c r="AV282" i="12"/>
  <c r="AU282" i="12"/>
  <c r="AS282" i="12"/>
  <c r="AR282" i="12"/>
  <c r="AQ282" i="12"/>
  <c r="AP282" i="12"/>
  <c r="AN282" i="12"/>
  <c r="AM282" i="12"/>
  <c r="AL282" i="12"/>
  <c r="AK282" i="12"/>
  <c r="AI282" i="12"/>
  <c r="AH282" i="12"/>
  <c r="AG282" i="12"/>
  <c r="AF282" i="12"/>
  <c r="AD282" i="12"/>
  <c r="AC282" i="12"/>
  <c r="AB282" i="12"/>
  <c r="AA282" i="12"/>
  <c r="Y282" i="12"/>
  <c r="X282" i="12"/>
  <c r="W282" i="12"/>
  <c r="V282" i="12"/>
  <c r="T282" i="12"/>
  <c r="S282" i="12"/>
  <c r="R282" i="12"/>
  <c r="Q282" i="12"/>
  <c r="BU281" i="12"/>
  <c r="BT281" i="12"/>
  <c r="BR281" i="12"/>
  <c r="BQ281" i="12"/>
  <c r="BP281" i="12"/>
  <c r="BO281" i="12"/>
  <c r="BM281" i="12"/>
  <c r="BL281" i="12"/>
  <c r="BK281" i="12"/>
  <c r="BJ281" i="12"/>
  <c r="BH281" i="12"/>
  <c r="BG281" i="12"/>
  <c r="BF281" i="12"/>
  <c r="BE281" i="12"/>
  <c r="BC281" i="12"/>
  <c r="BB281" i="12"/>
  <c r="BA281" i="12"/>
  <c r="AZ281" i="12"/>
  <c r="AX281" i="12"/>
  <c r="AW281" i="12"/>
  <c r="AV281" i="12"/>
  <c r="AU281" i="12"/>
  <c r="AS281" i="12"/>
  <c r="AR281" i="12"/>
  <c r="AQ281" i="12"/>
  <c r="AP281" i="12"/>
  <c r="AN281" i="12"/>
  <c r="AM281" i="12"/>
  <c r="AL281" i="12"/>
  <c r="AK281" i="12"/>
  <c r="AI281" i="12"/>
  <c r="AH281" i="12"/>
  <c r="AG281" i="12"/>
  <c r="AF281" i="12"/>
  <c r="AD281" i="12"/>
  <c r="AC281" i="12"/>
  <c r="AB281" i="12"/>
  <c r="AA281" i="12"/>
  <c r="Y281" i="12"/>
  <c r="X281" i="12"/>
  <c r="W281" i="12"/>
  <c r="V281" i="12"/>
  <c r="T281" i="12"/>
  <c r="S281" i="12"/>
  <c r="R281" i="12"/>
  <c r="Q281" i="12"/>
  <c r="BU279" i="12"/>
  <c r="BT279" i="12"/>
  <c r="BR279" i="12"/>
  <c r="BQ279" i="12"/>
  <c r="BP279" i="12"/>
  <c r="BO279" i="12"/>
  <c r="BM279" i="12"/>
  <c r="BL279" i="12"/>
  <c r="BK279" i="12"/>
  <c r="BJ279" i="12"/>
  <c r="BH279" i="12"/>
  <c r="BG279" i="12"/>
  <c r="BF279" i="12"/>
  <c r="BE279" i="12"/>
  <c r="BC279" i="12"/>
  <c r="BB279" i="12"/>
  <c r="BA279" i="12"/>
  <c r="AZ279" i="12"/>
  <c r="BU278" i="12"/>
  <c r="BT278" i="12"/>
  <c r="BR278" i="12"/>
  <c r="BQ278" i="12"/>
  <c r="BP278" i="12"/>
  <c r="BO278" i="12"/>
  <c r="BM278" i="12"/>
  <c r="BL278" i="12"/>
  <c r="BK278" i="12"/>
  <c r="BJ278" i="12"/>
  <c r="BH278" i="12"/>
  <c r="BG278" i="12"/>
  <c r="BF278" i="12"/>
  <c r="BE278" i="12"/>
  <c r="BC278" i="12"/>
  <c r="BB278" i="12"/>
  <c r="BA278" i="12"/>
  <c r="AZ278" i="12"/>
  <c r="AN275" i="12"/>
  <c r="AM275" i="12"/>
  <c r="AL275" i="12"/>
  <c r="AK275" i="12"/>
  <c r="AI275" i="12"/>
  <c r="AH275" i="12"/>
  <c r="AG275" i="12"/>
  <c r="AF275" i="12"/>
  <c r="AD275" i="12"/>
  <c r="AC275" i="12"/>
  <c r="AB275" i="12"/>
  <c r="AA275" i="12"/>
  <c r="Y275" i="12"/>
  <c r="X275" i="12"/>
  <c r="W275" i="12"/>
  <c r="V275" i="12"/>
  <c r="T275" i="12"/>
  <c r="S275" i="12"/>
  <c r="R275" i="12"/>
  <c r="Q275" i="12"/>
  <c r="AN274" i="12"/>
  <c r="AM274" i="12"/>
  <c r="AL274" i="12"/>
  <c r="AK274" i="12"/>
  <c r="AI274" i="12"/>
  <c r="AH274" i="12"/>
  <c r="AG274" i="12"/>
  <c r="AF274" i="12"/>
  <c r="AC274" i="12"/>
  <c r="AB274" i="12"/>
  <c r="AA274" i="12"/>
  <c r="AN272" i="12"/>
  <c r="AM272" i="12"/>
  <c r="AL272" i="12"/>
  <c r="AK272" i="12"/>
  <c r="AI272" i="12"/>
  <c r="AH272" i="12"/>
  <c r="AG272" i="12"/>
  <c r="AF272" i="12"/>
  <c r="AD272" i="12"/>
  <c r="AC272" i="12"/>
  <c r="AB272" i="12"/>
  <c r="AA272" i="12"/>
  <c r="Y272" i="12"/>
  <c r="X272" i="12"/>
  <c r="W272" i="12"/>
  <c r="V272" i="12"/>
  <c r="T272" i="12"/>
  <c r="S272" i="12"/>
  <c r="R272" i="12"/>
  <c r="Q272" i="12"/>
  <c r="AX269" i="12"/>
  <c r="AW269" i="12"/>
  <c r="AV269" i="12"/>
  <c r="AU269" i="12"/>
  <c r="AS269" i="12"/>
  <c r="AR269" i="12"/>
  <c r="AQ269" i="12"/>
  <c r="AP269" i="12"/>
  <c r="AN269" i="12"/>
  <c r="AM269" i="12"/>
  <c r="AL269" i="12"/>
  <c r="AK269" i="12"/>
  <c r="AI269" i="12"/>
  <c r="AH269" i="12"/>
  <c r="AG269" i="12"/>
  <c r="AF269" i="12"/>
  <c r="AD269" i="12"/>
  <c r="AC269" i="12"/>
  <c r="AB269" i="12"/>
  <c r="AA269" i="12"/>
  <c r="Y269" i="12"/>
  <c r="X269" i="12"/>
  <c r="W269" i="12"/>
  <c r="V269" i="12"/>
  <c r="T269" i="12"/>
  <c r="S269" i="12"/>
  <c r="R269" i="12"/>
  <c r="Q269" i="12"/>
  <c r="AX268" i="12"/>
  <c r="AW268" i="12"/>
  <c r="AV268" i="12"/>
  <c r="AU268" i="12"/>
  <c r="AS268" i="12"/>
  <c r="AR268" i="12"/>
  <c r="AQ268" i="12"/>
  <c r="AP268" i="12"/>
  <c r="AN268" i="12"/>
  <c r="AM268" i="12"/>
  <c r="AL268" i="12"/>
  <c r="AK268" i="12"/>
  <c r="AI268" i="12"/>
  <c r="AH268" i="12"/>
  <c r="AG268" i="12"/>
  <c r="AF268" i="12"/>
  <c r="AD268" i="12"/>
  <c r="AC268" i="12"/>
  <c r="AB268" i="12"/>
  <c r="AA268" i="12"/>
  <c r="Y268" i="12"/>
  <c r="X268" i="12"/>
  <c r="W268" i="12"/>
  <c r="V268" i="12"/>
  <c r="T268" i="12"/>
  <c r="S268" i="12"/>
  <c r="R268" i="12"/>
  <c r="Q268" i="12"/>
  <c r="CH266" i="12"/>
  <c r="CH265" i="12"/>
  <c r="CH264" i="12"/>
  <c r="CG266" i="12"/>
  <c r="CG265" i="12"/>
  <c r="CG264" i="12"/>
  <c r="CF266" i="12"/>
  <c r="CF265" i="12"/>
  <c r="CF264" i="12"/>
  <c r="CE266" i="12"/>
  <c r="CE265" i="12"/>
  <c r="CE264" i="12"/>
  <c r="CD266" i="12"/>
  <c r="CD265" i="12"/>
  <c r="CD264" i="12"/>
  <c r="BX266" i="12"/>
  <c r="BX265" i="12"/>
  <c r="BX264" i="12"/>
  <c r="BT266" i="12"/>
  <c r="BS266" i="12"/>
  <c r="BR266" i="12"/>
  <c r="BQ266" i="12"/>
  <c r="BP266" i="12"/>
  <c r="BO266" i="12"/>
  <c r="BN266" i="12"/>
  <c r="BM266" i="12"/>
  <c r="BL266" i="12"/>
  <c r="BK266" i="12"/>
  <c r="BJ266" i="12"/>
  <c r="BH266" i="12"/>
  <c r="BG266" i="12"/>
  <c r="BF266" i="12"/>
  <c r="BE266" i="12"/>
  <c r="BC266" i="12"/>
  <c r="BB266" i="12"/>
  <c r="BA266" i="12"/>
  <c r="AZ266" i="12"/>
  <c r="BT265" i="12"/>
  <c r="BS265" i="12"/>
  <c r="BR265" i="12"/>
  <c r="BQ265" i="12"/>
  <c r="BP265" i="12"/>
  <c r="BO265" i="12"/>
  <c r="BN265" i="12"/>
  <c r="BM265" i="12"/>
  <c r="BL265" i="12"/>
  <c r="BK265" i="12"/>
  <c r="BJ265" i="12"/>
  <c r="BH265" i="12"/>
  <c r="BG265" i="12"/>
  <c r="BF265" i="12"/>
  <c r="BE265" i="12"/>
  <c r="BC265" i="12"/>
  <c r="BB265" i="12"/>
  <c r="BA265" i="12"/>
  <c r="AZ265" i="12"/>
  <c r="BT264" i="12"/>
  <c r="BS264" i="12"/>
  <c r="BR264" i="12"/>
  <c r="BQ264" i="12"/>
  <c r="BP264" i="12"/>
  <c r="BO264" i="12"/>
  <c r="BN264" i="12"/>
  <c r="BM264" i="12"/>
  <c r="BL264" i="12"/>
  <c r="BK264" i="12"/>
  <c r="AS263" i="12"/>
  <c r="AR263" i="12"/>
  <c r="AQ263" i="12"/>
  <c r="AP263" i="12"/>
  <c r="AN263" i="12"/>
  <c r="AM263" i="12"/>
  <c r="AL263" i="12"/>
  <c r="AK263" i="12"/>
  <c r="AI263" i="12"/>
  <c r="AH263" i="12"/>
  <c r="AG263" i="12"/>
  <c r="AF263" i="12"/>
  <c r="AD263" i="12"/>
  <c r="AC263" i="12"/>
  <c r="AB263" i="12"/>
  <c r="AA263" i="12"/>
  <c r="Y263" i="12"/>
  <c r="X263" i="12"/>
  <c r="W263" i="12"/>
  <c r="V263" i="12"/>
  <c r="AS262" i="12"/>
  <c r="AR262" i="12"/>
  <c r="AQ262" i="12"/>
  <c r="AP262" i="12"/>
  <c r="AN262" i="12"/>
  <c r="AM262" i="12"/>
  <c r="AL262" i="12"/>
  <c r="AK262" i="12"/>
  <c r="AI262" i="12"/>
  <c r="AH262" i="12"/>
  <c r="AG262" i="12"/>
  <c r="AF262" i="12"/>
  <c r="AD262" i="12"/>
  <c r="AC262" i="12"/>
  <c r="AB262" i="12"/>
  <c r="AA262" i="12"/>
  <c r="Y262" i="12"/>
  <c r="X262" i="12"/>
  <c r="W262" i="12"/>
  <c r="V262" i="12"/>
  <c r="BU260" i="12"/>
  <c r="BT260" i="12"/>
  <c r="BR260" i="12"/>
  <c r="BQ260" i="12"/>
  <c r="BP260" i="12"/>
  <c r="BO260" i="12"/>
  <c r="BM260" i="12"/>
  <c r="BL260" i="12"/>
  <c r="BK260" i="12"/>
  <c r="BJ260" i="12"/>
  <c r="BH260" i="12"/>
  <c r="BG260" i="12"/>
  <c r="BF260" i="12"/>
  <c r="BE260" i="12"/>
  <c r="BC260" i="12"/>
  <c r="BB260" i="12"/>
  <c r="BA260" i="12"/>
  <c r="AZ260" i="12"/>
  <c r="AX260" i="12"/>
  <c r="AW260" i="12"/>
  <c r="AV260" i="12"/>
  <c r="AU260" i="12"/>
  <c r="AS260" i="12"/>
  <c r="AR260" i="12"/>
  <c r="AQ260" i="12"/>
  <c r="AP260" i="12"/>
  <c r="AN260" i="12"/>
  <c r="AM260" i="12"/>
  <c r="AL260" i="12"/>
  <c r="AK260" i="12"/>
  <c r="AI260" i="12"/>
  <c r="AH260" i="12"/>
  <c r="AG260" i="12"/>
  <c r="AF260" i="12"/>
  <c r="AD260" i="12"/>
  <c r="AC260" i="12"/>
  <c r="AB260" i="12"/>
  <c r="AA260" i="12"/>
  <c r="Y260" i="12"/>
  <c r="X260" i="12"/>
  <c r="W260" i="12"/>
  <c r="V260" i="12"/>
  <c r="T260" i="12"/>
  <c r="S260" i="12"/>
  <c r="R260" i="12"/>
  <c r="Q260" i="12"/>
  <c r="BU259" i="12"/>
  <c r="BT259" i="12"/>
  <c r="BR259" i="12"/>
  <c r="BQ259" i="12"/>
  <c r="BP259" i="12"/>
  <c r="BO259" i="12"/>
  <c r="BM259" i="12"/>
  <c r="BL259" i="12"/>
  <c r="BK259" i="12"/>
  <c r="BJ259" i="12"/>
  <c r="BH259" i="12"/>
  <c r="BG259" i="12"/>
  <c r="BF259" i="12"/>
  <c r="BE259" i="12"/>
  <c r="BC259" i="12"/>
  <c r="BB259" i="12"/>
  <c r="BA259" i="12"/>
  <c r="AZ259" i="12"/>
  <c r="AX259" i="12"/>
  <c r="AW259" i="12"/>
  <c r="AV259" i="12"/>
  <c r="AU259" i="12"/>
  <c r="AS259" i="12"/>
  <c r="AR259" i="12"/>
  <c r="AQ259" i="12"/>
  <c r="AP259" i="12"/>
  <c r="AN259" i="12"/>
  <c r="AM259" i="12"/>
  <c r="AL259" i="12"/>
  <c r="AK259" i="12"/>
  <c r="AI259" i="12"/>
  <c r="AH259" i="12"/>
  <c r="AG259" i="12"/>
  <c r="AF259" i="12"/>
  <c r="AD259" i="12"/>
  <c r="AC259" i="12"/>
  <c r="AB259" i="12"/>
  <c r="AA259" i="12"/>
  <c r="Y259" i="12"/>
  <c r="X259" i="12"/>
  <c r="W259" i="12"/>
  <c r="V259" i="12"/>
  <c r="T259" i="12"/>
  <c r="S259" i="12"/>
  <c r="R259" i="12"/>
  <c r="Q259" i="12"/>
  <c r="BU257" i="12"/>
  <c r="BT257" i="12"/>
  <c r="BR257" i="12"/>
  <c r="BQ257" i="12"/>
  <c r="BP257" i="12"/>
  <c r="BO257" i="12"/>
  <c r="BM257" i="12"/>
  <c r="BL257" i="12"/>
  <c r="BK257" i="12"/>
  <c r="BJ257" i="12"/>
  <c r="BH257" i="12"/>
  <c r="BG257" i="12"/>
  <c r="BF257" i="12"/>
  <c r="BE257" i="12"/>
  <c r="BC257" i="12"/>
  <c r="BB257" i="12"/>
  <c r="BA257" i="12"/>
  <c r="AZ257" i="12"/>
  <c r="AX257" i="12"/>
  <c r="AW257" i="12"/>
  <c r="AV257" i="12"/>
  <c r="AU257" i="12"/>
  <c r="AS257" i="12"/>
  <c r="AR257" i="12"/>
  <c r="AQ257" i="12"/>
  <c r="AP257" i="12"/>
  <c r="AN257" i="12"/>
  <c r="AM257" i="12"/>
  <c r="AL257" i="12"/>
  <c r="AK257" i="12"/>
  <c r="AI257" i="12"/>
  <c r="AH257" i="12"/>
  <c r="AG257" i="12"/>
  <c r="AF257" i="12"/>
  <c r="AD257" i="12"/>
  <c r="AC257" i="12"/>
  <c r="AB257" i="12"/>
  <c r="AA257" i="12"/>
  <c r="Y257" i="12"/>
  <c r="X257" i="12"/>
  <c r="W257" i="12"/>
  <c r="V257" i="12"/>
  <c r="T257" i="12"/>
  <c r="S257" i="12"/>
  <c r="R257" i="12"/>
  <c r="Q257" i="12"/>
  <c r="BU256" i="12"/>
  <c r="BT256" i="12"/>
  <c r="BR256" i="12"/>
  <c r="BQ256" i="12"/>
  <c r="BP256" i="12"/>
  <c r="BO256" i="12"/>
  <c r="BM256" i="12"/>
  <c r="BL256" i="12"/>
  <c r="BK256" i="12"/>
  <c r="BJ256" i="12"/>
  <c r="BH256" i="12"/>
  <c r="BG256" i="12"/>
  <c r="BF256" i="12"/>
  <c r="BE256" i="12"/>
  <c r="BC256" i="12"/>
  <c r="BB256" i="12"/>
  <c r="BA256" i="12"/>
  <c r="AZ256" i="12"/>
  <c r="AX256" i="12"/>
  <c r="AW256" i="12"/>
  <c r="AV256" i="12"/>
  <c r="AU256" i="12"/>
  <c r="AS256" i="12"/>
  <c r="AR256" i="12"/>
  <c r="AQ256" i="12"/>
  <c r="AP256" i="12"/>
  <c r="AN256" i="12"/>
  <c r="AM256" i="12"/>
  <c r="AL256" i="12"/>
  <c r="AK256" i="12"/>
  <c r="AI256" i="12"/>
  <c r="AH256" i="12"/>
  <c r="AG256" i="12"/>
  <c r="AF256" i="12"/>
  <c r="AD256" i="12"/>
  <c r="AC256" i="12"/>
  <c r="AB256" i="12"/>
  <c r="AA256" i="12"/>
  <c r="Y256" i="12"/>
  <c r="X256" i="12"/>
  <c r="W256" i="12"/>
  <c r="V256" i="12"/>
  <c r="T256" i="12"/>
  <c r="S256" i="12"/>
  <c r="R256" i="12"/>
  <c r="Q256" i="12"/>
  <c r="BU254" i="12"/>
  <c r="BT254" i="12"/>
  <c r="BR254" i="12"/>
  <c r="BQ254" i="12"/>
  <c r="BP254" i="12"/>
  <c r="BO254" i="12"/>
  <c r="BM254" i="12"/>
  <c r="BL254" i="12"/>
  <c r="BK254" i="12"/>
  <c r="BJ254" i="12"/>
  <c r="BH254" i="12"/>
  <c r="BG254" i="12"/>
  <c r="BF254" i="12"/>
  <c r="BE254" i="12"/>
  <c r="BC254" i="12"/>
  <c r="BB254" i="12"/>
  <c r="BA254" i="12"/>
  <c r="AZ254" i="12"/>
  <c r="AX254" i="12"/>
  <c r="AW254" i="12"/>
  <c r="AV254" i="12"/>
  <c r="AU254" i="12"/>
  <c r="AS254" i="12"/>
  <c r="AR254" i="12"/>
  <c r="AQ254" i="12"/>
  <c r="AP254" i="12"/>
  <c r="AN254" i="12"/>
  <c r="AM254" i="12"/>
  <c r="AL254" i="12"/>
  <c r="AK254" i="12"/>
  <c r="AI254" i="12"/>
  <c r="AH254" i="12"/>
  <c r="AG254" i="12"/>
  <c r="AF254" i="12"/>
  <c r="AD254" i="12"/>
  <c r="AC254" i="12"/>
  <c r="AB254" i="12"/>
  <c r="AA254" i="12"/>
  <c r="Y254" i="12"/>
  <c r="X254" i="12"/>
  <c r="W254" i="12"/>
  <c r="V254" i="12"/>
  <c r="T254" i="12"/>
  <c r="S254" i="12"/>
  <c r="R254" i="12"/>
  <c r="Q254" i="12"/>
  <c r="BU253" i="12"/>
  <c r="BT253" i="12"/>
  <c r="BR253" i="12"/>
  <c r="BQ253" i="12"/>
  <c r="BP253" i="12"/>
  <c r="BO253" i="12"/>
  <c r="BM253" i="12"/>
  <c r="BL253" i="12"/>
  <c r="BK253" i="12"/>
  <c r="BJ253" i="12"/>
  <c r="BH253" i="12"/>
  <c r="BG253" i="12"/>
  <c r="BF253" i="12"/>
  <c r="BE253" i="12"/>
  <c r="BC253" i="12"/>
  <c r="BB253" i="12"/>
  <c r="BA253" i="12"/>
  <c r="AZ253" i="12"/>
  <c r="AX253" i="12"/>
  <c r="AW253" i="12"/>
  <c r="AV253" i="12"/>
  <c r="AU253" i="12"/>
  <c r="AS253" i="12"/>
  <c r="AR253" i="12"/>
  <c r="AQ253" i="12"/>
  <c r="AP253" i="12"/>
  <c r="AN253" i="12"/>
  <c r="AM253" i="12"/>
  <c r="AL253" i="12"/>
  <c r="AK253" i="12"/>
  <c r="AI253" i="12"/>
  <c r="AH253" i="12"/>
  <c r="AG253" i="12"/>
  <c r="AF253" i="12"/>
  <c r="AD253" i="12"/>
  <c r="AC253" i="12"/>
  <c r="AB253" i="12"/>
  <c r="AA253" i="12"/>
  <c r="Y253" i="12"/>
  <c r="X253" i="12"/>
  <c r="W253" i="12"/>
  <c r="V253" i="12"/>
  <c r="T253" i="12"/>
  <c r="S253" i="12"/>
  <c r="R253" i="12"/>
  <c r="Q253" i="12"/>
  <c r="BU251" i="12"/>
  <c r="BT251" i="12"/>
  <c r="BR251" i="12"/>
  <c r="BQ251" i="12"/>
  <c r="BP251" i="12"/>
  <c r="BO251" i="12"/>
  <c r="BM251" i="12"/>
  <c r="BL251" i="12"/>
  <c r="BK251" i="12"/>
  <c r="BJ251" i="12"/>
  <c r="BH251" i="12"/>
  <c r="BG251" i="12"/>
  <c r="BF251" i="12"/>
  <c r="BE251" i="12"/>
  <c r="BC251" i="12"/>
  <c r="BB251" i="12"/>
  <c r="BA251" i="12"/>
  <c r="AZ251" i="12"/>
  <c r="AX251" i="12"/>
  <c r="AW251" i="12"/>
  <c r="AV251" i="12"/>
  <c r="AU251" i="12"/>
  <c r="AS251" i="12"/>
  <c r="AR251" i="12"/>
  <c r="AQ251" i="12"/>
  <c r="AP251" i="12"/>
  <c r="AN251" i="12"/>
  <c r="AM251" i="12"/>
  <c r="AL251" i="12"/>
  <c r="AK251" i="12"/>
  <c r="AI251" i="12"/>
  <c r="AH251" i="12"/>
  <c r="AG251" i="12"/>
  <c r="AF251" i="12"/>
  <c r="AD251" i="12"/>
  <c r="AC251" i="12"/>
  <c r="AB251" i="12"/>
  <c r="AA251" i="12"/>
  <c r="Y251" i="12"/>
  <c r="X251" i="12"/>
  <c r="W251" i="12"/>
  <c r="V251" i="12"/>
  <c r="T251" i="12"/>
  <c r="S251" i="12"/>
  <c r="R251" i="12"/>
  <c r="Q251" i="12"/>
  <c r="BU250" i="12"/>
  <c r="BT250" i="12"/>
  <c r="BR250" i="12"/>
  <c r="BQ250" i="12"/>
  <c r="BP250" i="12"/>
  <c r="BO250" i="12"/>
  <c r="BM250" i="12"/>
  <c r="BL250" i="12"/>
  <c r="BK250" i="12"/>
  <c r="BJ250" i="12"/>
  <c r="BH250" i="12"/>
  <c r="BG250" i="12"/>
  <c r="BF250" i="12"/>
  <c r="BE250" i="12"/>
  <c r="BC250" i="12"/>
  <c r="BB250" i="12"/>
  <c r="BA250" i="12"/>
  <c r="AZ250" i="12"/>
  <c r="AX250" i="12"/>
  <c r="AW250" i="12"/>
  <c r="AV250" i="12"/>
  <c r="AU250" i="12"/>
  <c r="AS250" i="12"/>
  <c r="AR250" i="12"/>
  <c r="AQ250" i="12"/>
  <c r="AP250" i="12"/>
  <c r="AN250" i="12"/>
  <c r="AM250" i="12"/>
  <c r="AL250" i="12"/>
  <c r="AK250" i="12"/>
  <c r="AI250" i="12"/>
  <c r="AH250" i="12"/>
  <c r="AG250" i="12"/>
  <c r="AF250" i="12"/>
  <c r="AD250" i="12"/>
  <c r="AC250" i="12"/>
  <c r="AB250" i="12"/>
  <c r="AA250" i="12"/>
  <c r="Y250" i="12"/>
  <c r="X250" i="12"/>
  <c r="W250" i="12"/>
  <c r="V250" i="12"/>
  <c r="T250" i="12"/>
  <c r="S250" i="12"/>
  <c r="R250" i="12"/>
  <c r="Q250" i="12"/>
  <c r="BU247" i="12"/>
  <c r="BT247" i="12"/>
  <c r="BR247" i="12"/>
  <c r="BQ247" i="12"/>
  <c r="BP247" i="12"/>
  <c r="BO247" i="12"/>
  <c r="BM247" i="12"/>
  <c r="BL247" i="12"/>
  <c r="BK247" i="12"/>
  <c r="BJ247" i="12"/>
  <c r="BH247" i="12"/>
  <c r="BG247" i="12"/>
  <c r="BF247" i="12"/>
  <c r="BE247" i="12"/>
  <c r="BC247" i="12"/>
  <c r="BB247" i="12"/>
  <c r="BA247" i="12"/>
  <c r="AZ247" i="12"/>
  <c r="BU246" i="12"/>
  <c r="BT246" i="12"/>
  <c r="BR246" i="12"/>
  <c r="BQ246" i="12"/>
  <c r="BP246" i="12"/>
  <c r="BO246" i="12"/>
  <c r="BM246" i="12"/>
  <c r="BL246" i="12"/>
  <c r="BK246" i="12"/>
  <c r="BJ246" i="12"/>
  <c r="BH246" i="12"/>
  <c r="BG246" i="12"/>
  <c r="BF246" i="12"/>
  <c r="BE246" i="12"/>
  <c r="BC246" i="12"/>
  <c r="BB246" i="12"/>
  <c r="BA246" i="12"/>
  <c r="AZ246" i="12"/>
  <c r="BU243" i="12"/>
  <c r="BT243" i="12"/>
  <c r="BR243" i="12"/>
  <c r="BQ243" i="12"/>
  <c r="BP243" i="12"/>
  <c r="BO243" i="12"/>
  <c r="BM243" i="12"/>
  <c r="BL243" i="12"/>
  <c r="BK243" i="12"/>
  <c r="BJ243" i="12"/>
  <c r="BH243" i="12"/>
  <c r="BG243" i="12"/>
  <c r="BF243" i="12"/>
  <c r="BE243" i="12"/>
  <c r="BC243" i="12"/>
  <c r="BB243" i="12"/>
  <c r="BA243" i="12"/>
  <c r="AZ243" i="12"/>
  <c r="AY243" i="12"/>
  <c r="AX243" i="12"/>
  <c r="AW243" i="12"/>
  <c r="AV243" i="12"/>
  <c r="AU243" i="12"/>
  <c r="AT243" i="12"/>
  <c r="AS243" i="12"/>
  <c r="AR243" i="12"/>
  <c r="AQ243" i="12"/>
  <c r="AP243" i="12"/>
  <c r="AO243" i="12"/>
  <c r="AN243" i="12"/>
  <c r="AM243" i="12"/>
  <c r="AL243" i="12"/>
  <c r="AK243" i="12"/>
  <c r="AJ243" i="12"/>
  <c r="AI243" i="12"/>
  <c r="AH243" i="12"/>
  <c r="AG243" i="12"/>
  <c r="AF243" i="12"/>
  <c r="AE243" i="12"/>
  <c r="AD243" i="12"/>
  <c r="AC243" i="12"/>
  <c r="AB243" i="12"/>
  <c r="AA243" i="12"/>
  <c r="Z243" i="12"/>
  <c r="Y243" i="12"/>
  <c r="X243" i="12"/>
  <c r="W243" i="12"/>
  <c r="V243" i="12"/>
  <c r="U243" i="12"/>
  <c r="T243" i="12"/>
  <c r="S243" i="12"/>
  <c r="R243" i="12"/>
  <c r="Q243" i="12"/>
  <c r="BU242" i="12"/>
  <c r="BT242" i="12"/>
  <c r="BR242" i="12"/>
  <c r="BQ242" i="12"/>
  <c r="BP242" i="12"/>
  <c r="BO242" i="12"/>
  <c r="BM242" i="12"/>
  <c r="BL242" i="12"/>
  <c r="BK242" i="12"/>
  <c r="BJ242" i="12"/>
  <c r="BH242" i="12"/>
  <c r="BG242" i="12"/>
  <c r="BF242" i="12"/>
  <c r="BE242" i="12"/>
  <c r="BC242" i="12"/>
  <c r="BB242" i="12"/>
  <c r="BA242" i="12"/>
  <c r="AZ242" i="12"/>
  <c r="AY242" i="12"/>
  <c r="AX242" i="12"/>
  <c r="AW242" i="12"/>
  <c r="AV242" i="12"/>
  <c r="AU242" i="12"/>
  <c r="AT242" i="12"/>
  <c r="AS242" i="12"/>
  <c r="AR242" i="12"/>
  <c r="AQ242" i="12"/>
  <c r="AP242" i="12"/>
  <c r="AO242" i="12"/>
  <c r="AN242" i="12"/>
  <c r="AM242" i="12"/>
  <c r="AL242" i="12"/>
  <c r="AK242" i="12"/>
  <c r="AJ242" i="12"/>
  <c r="AI242" i="12"/>
  <c r="AH242" i="12"/>
  <c r="AG242" i="12"/>
  <c r="AF242" i="12"/>
  <c r="AE242" i="12"/>
  <c r="AD242" i="12"/>
  <c r="AC242" i="12"/>
  <c r="AB242" i="12"/>
  <c r="AA242" i="12"/>
  <c r="Z242" i="12"/>
  <c r="Y242" i="12"/>
  <c r="X242" i="12"/>
  <c r="W242" i="12"/>
  <c r="V242" i="12"/>
  <c r="U242" i="12"/>
  <c r="T242" i="12"/>
  <c r="S242" i="12"/>
  <c r="R242" i="12"/>
  <c r="Q242" i="12"/>
  <c r="BM241" i="12"/>
  <c r="BL241" i="12"/>
  <c r="BK241" i="12"/>
  <c r="BJ241" i="12"/>
  <c r="BH241" i="12"/>
  <c r="BG241" i="12"/>
  <c r="BF241" i="12"/>
  <c r="BE241" i="12"/>
  <c r="BC241" i="12"/>
  <c r="BB241" i="12"/>
  <c r="BA241" i="12"/>
  <c r="AZ241" i="12"/>
  <c r="AY241" i="12"/>
  <c r="AX241" i="12"/>
  <c r="AW241" i="12"/>
  <c r="AV241" i="12"/>
  <c r="AU241" i="12"/>
  <c r="AT241" i="12"/>
  <c r="AS241" i="12"/>
  <c r="AR241" i="12"/>
  <c r="AQ241" i="12"/>
  <c r="AP241" i="12"/>
  <c r="AO241" i="12"/>
  <c r="AN241" i="12"/>
  <c r="AM241" i="12"/>
  <c r="AL241" i="12"/>
  <c r="AK241" i="12"/>
  <c r="AJ241" i="12"/>
  <c r="AI241" i="12"/>
  <c r="AH241" i="12"/>
  <c r="AG241" i="12"/>
  <c r="AF241" i="12"/>
  <c r="AE241" i="12"/>
  <c r="AD241" i="12"/>
  <c r="AC241" i="12"/>
  <c r="AB241" i="12"/>
  <c r="AA241" i="12"/>
  <c r="Z241" i="12"/>
  <c r="Y241" i="12"/>
  <c r="X241" i="12"/>
  <c r="W241" i="12"/>
  <c r="V241" i="12"/>
  <c r="U241" i="12"/>
  <c r="T241" i="12"/>
  <c r="S241" i="12"/>
  <c r="R241" i="12"/>
  <c r="Q241" i="12"/>
  <c r="CH239" i="12"/>
  <c r="CG239" i="12"/>
  <c r="CF239" i="12"/>
  <c r="CE239" i="12"/>
  <c r="CD239" i="12"/>
  <c r="BX239" i="12"/>
  <c r="BW239" i="12"/>
  <c r="BV239" i="12"/>
  <c r="BU239" i="12"/>
  <c r="BT239" i="12"/>
  <c r="BS239" i="12"/>
  <c r="BR239" i="12"/>
  <c r="BQ239" i="12"/>
  <c r="BP239" i="12"/>
  <c r="BO239" i="12"/>
  <c r="BN239" i="12"/>
  <c r="BM239" i="12"/>
  <c r="BL239" i="12"/>
  <c r="BK239" i="12"/>
  <c r="BJ239" i="12"/>
  <c r="BI239" i="12"/>
  <c r="BH239" i="12"/>
  <c r="BG239" i="12"/>
  <c r="BF239" i="12"/>
  <c r="BE239" i="12"/>
  <c r="BD239" i="12"/>
  <c r="BC239" i="12"/>
  <c r="BB239" i="12"/>
  <c r="BA239" i="12"/>
  <c r="AZ239" i="12"/>
  <c r="AY239" i="12"/>
  <c r="AX239" i="12"/>
  <c r="AW239" i="12"/>
  <c r="AV239" i="12"/>
  <c r="AU239" i="12"/>
  <c r="AT239" i="12"/>
  <c r="AS239" i="12"/>
  <c r="AR239" i="12"/>
  <c r="AQ239" i="12"/>
  <c r="AP239" i="12"/>
  <c r="AO239" i="12"/>
  <c r="AN239" i="12"/>
  <c r="AM239" i="12"/>
  <c r="AL239" i="12"/>
  <c r="AK239" i="12"/>
  <c r="AJ239" i="12"/>
  <c r="AI239" i="12"/>
  <c r="AH239" i="12"/>
  <c r="AG239" i="12"/>
  <c r="AF239" i="12"/>
  <c r="AE239" i="12"/>
  <c r="AD239" i="12"/>
  <c r="AC239" i="12"/>
  <c r="AB239" i="12"/>
  <c r="AA239" i="12"/>
  <c r="Z239" i="12"/>
  <c r="Y239" i="12"/>
  <c r="X239" i="12"/>
  <c r="W239" i="12"/>
  <c r="V239" i="12"/>
  <c r="U239" i="12"/>
  <c r="T239" i="12"/>
  <c r="S239" i="12"/>
  <c r="R239" i="12"/>
  <c r="Q239" i="12"/>
  <c r="P239" i="12"/>
  <c r="O239" i="12"/>
  <c r="N239" i="12"/>
  <c r="M239" i="12"/>
  <c r="L239" i="12"/>
  <c r="BU237" i="12"/>
  <c r="BT237" i="12"/>
  <c r="BR237" i="12"/>
  <c r="BQ237" i="12"/>
  <c r="BP237" i="12"/>
  <c r="BO237" i="12"/>
  <c r="BM237" i="12"/>
  <c r="BL237" i="12"/>
  <c r="BK237" i="12"/>
  <c r="BJ237" i="12"/>
  <c r="BH237" i="12"/>
  <c r="BG237" i="12"/>
  <c r="BF237" i="12"/>
  <c r="BE237" i="12"/>
  <c r="BU236" i="12"/>
  <c r="BT236" i="12"/>
  <c r="BR236" i="12"/>
  <c r="BQ236" i="12"/>
  <c r="BP236" i="12"/>
  <c r="BO236" i="12"/>
  <c r="BM236" i="12"/>
  <c r="BL236" i="12"/>
  <c r="BK236" i="12"/>
  <c r="BJ236" i="12"/>
  <c r="BH236" i="12"/>
  <c r="BG236" i="12"/>
  <c r="BF236" i="12"/>
  <c r="BE236" i="12"/>
  <c r="AT233" i="12"/>
  <c r="AT232" i="12"/>
  <c r="AT230" i="12"/>
  <c r="AT229" i="12"/>
  <c r="AT227" i="12"/>
  <c r="AT226" i="12"/>
  <c r="AT224" i="12"/>
  <c r="AT223" i="12"/>
  <c r="AN233" i="12"/>
  <c r="AM233" i="12"/>
  <c r="AJ233" i="12"/>
  <c r="AJ232" i="12"/>
  <c r="AE233" i="12"/>
  <c r="AE232" i="12"/>
  <c r="Z233" i="12"/>
  <c r="Z232" i="12"/>
  <c r="U233" i="12"/>
  <c r="U232" i="12"/>
  <c r="AO232" i="12"/>
  <c r="AO230" i="12"/>
  <c r="AO460" i="12" s="1"/>
  <c r="AO229" i="12"/>
  <c r="AO459" i="12" s="1"/>
  <c r="AO227" i="12"/>
  <c r="AO226" i="12"/>
  <c r="AO224" i="12"/>
  <c r="AO223" i="12"/>
  <c r="AS231" i="12"/>
  <c r="AR231" i="12"/>
  <c r="AQ231" i="12"/>
  <c r="AP231" i="12"/>
  <c r="AL231" i="12"/>
  <c r="AK231" i="12"/>
  <c r="AI231" i="12"/>
  <c r="AH231" i="12"/>
  <c r="AG231" i="12"/>
  <c r="AF231" i="12"/>
  <c r="AD231" i="12"/>
  <c r="AC231" i="12"/>
  <c r="AB231" i="12"/>
  <c r="AA231" i="12"/>
  <c r="Y231" i="12"/>
  <c r="X231" i="12"/>
  <c r="W231" i="12"/>
  <c r="V231" i="12"/>
  <c r="T231" i="12"/>
  <c r="S231" i="12"/>
  <c r="R231" i="12"/>
  <c r="Q231" i="12"/>
  <c r="AS228" i="12"/>
  <c r="AR228" i="12"/>
  <c r="AQ228" i="12"/>
  <c r="AP228" i="12"/>
  <c r="AN228" i="12"/>
  <c r="AM228" i="12"/>
  <c r="AL228" i="12"/>
  <c r="AK228" i="12"/>
  <c r="AJ227" i="12"/>
  <c r="AJ226" i="12"/>
  <c r="AJ224" i="12"/>
  <c r="AJ223" i="12"/>
  <c r="AE227" i="12"/>
  <c r="AE226" i="12"/>
  <c r="AE224" i="12"/>
  <c r="AE223" i="12"/>
  <c r="Z227" i="12"/>
  <c r="Z226" i="12"/>
  <c r="Z224" i="12"/>
  <c r="Z223" i="12"/>
  <c r="U227" i="12"/>
  <c r="U226" i="12"/>
  <c r="U224" i="12"/>
  <c r="U223" i="12"/>
  <c r="AS225" i="12"/>
  <c r="AR225" i="12"/>
  <c r="AQ225" i="12"/>
  <c r="AP225" i="12"/>
  <c r="AN225" i="12"/>
  <c r="AM225" i="12"/>
  <c r="AL225" i="12"/>
  <c r="AK225" i="12"/>
  <c r="AI225" i="12"/>
  <c r="AH225" i="12"/>
  <c r="AG225" i="12"/>
  <c r="AF225" i="12"/>
  <c r="AD225" i="12"/>
  <c r="AC225" i="12"/>
  <c r="AB225" i="12"/>
  <c r="AA225" i="12"/>
  <c r="Y225" i="12"/>
  <c r="X225" i="12"/>
  <c r="W225" i="12"/>
  <c r="V225" i="12"/>
  <c r="T225" i="12"/>
  <c r="S225" i="12"/>
  <c r="R225" i="12"/>
  <c r="Q225" i="12"/>
  <c r="AS222" i="12"/>
  <c r="AR222" i="12"/>
  <c r="AQ222" i="12"/>
  <c r="AP222" i="12"/>
  <c r="AS221" i="12"/>
  <c r="AR221" i="12"/>
  <c r="AQ221" i="12"/>
  <c r="AP221" i="12"/>
  <c r="AS220" i="12"/>
  <c r="AR220" i="12"/>
  <c r="AQ220" i="12"/>
  <c r="AP220" i="12"/>
  <c r="AS219" i="12"/>
  <c r="AR219" i="12"/>
  <c r="AQ219" i="12"/>
  <c r="AP219" i="12"/>
  <c r="AN222" i="12"/>
  <c r="AM222" i="12"/>
  <c r="AL222" i="12"/>
  <c r="AK222" i="12"/>
  <c r="AL221" i="12"/>
  <c r="AK221" i="12"/>
  <c r="AN220" i="12"/>
  <c r="AM220" i="12"/>
  <c r="AL220" i="12"/>
  <c r="AL219" i="12" s="1"/>
  <c r="AK220" i="12"/>
  <c r="AK219" i="12" s="1"/>
  <c r="AI222" i="12"/>
  <c r="AH222" i="12"/>
  <c r="AG222" i="12"/>
  <c r="AF222" i="12"/>
  <c r="AI221" i="12"/>
  <c r="AH221" i="12"/>
  <c r="AG221" i="12"/>
  <c r="AF221" i="12"/>
  <c r="AI220" i="12"/>
  <c r="AH220" i="12"/>
  <c r="AG220" i="12"/>
  <c r="AF220" i="12"/>
  <c r="AI219" i="12"/>
  <c r="AH219" i="12"/>
  <c r="AG219" i="12"/>
  <c r="AF219" i="12"/>
  <c r="AD222" i="12"/>
  <c r="AC222" i="12"/>
  <c r="AB222" i="12"/>
  <c r="AA222" i="12"/>
  <c r="AD221" i="12"/>
  <c r="AC221" i="12"/>
  <c r="AB221" i="12"/>
  <c r="AA221" i="12"/>
  <c r="AD220" i="12"/>
  <c r="AC220" i="12"/>
  <c r="AB220" i="12"/>
  <c r="AA220" i="12"/>
  <c r="AD219" i="12"/>
  <c r="AC219" i="12"/>
  <c r="AB219" i="12"/>
  <c r="AA219" i="12"/>
  <c r="Y222" i="12"/>
  <c r="X222" i="12"/>
  <c r="W222" i="12"/>
  <c r="V222" i="12"/>
  <c r="Y221" i="12"/>
  <c r="X221" i="12"/>
  <c r="W221" i="12"/>
  <c r="V221" i="12"/>
  <c r="Y220" i="12"/>
  <c r="X220" i="12"/>
  <c r="W220" i="12"/>
  <c r="V220" i="12"/>
  <c r="Y219" i="12"/>
  <c r="X219" i="12"/>
  <c r="W219" i="12"/>
  <c r="V219" i="12"/>
  <c r="T222" i="12"/>
  <c r="S222" i="12"/>
  <c r="R222" i="12"/>
  <c r="Q222" i="12"/>
  <c r="T221" i="12"/>
  <c r="S221" i="12"/>
  <c r="R221" i="12"/>
  <c r="Q221" i="12"/>
  <c r="T220" i="12"/>
  <c r="S220" i="12"/>
  <c r="R220" i="12"/>
  <c r="Q220" i="12"/>
  <c r="T219" i="12"/>
  <c r="S219" i="12"/>
  <c r="R219" i="12"/>
  <c r="Q219" i="12"/>
  <c r="AS217" i="12"/>
  <c r="AS237" i="12" s="1"/>
  <c r="AR217" i="12"/>
  <c r="AQ217" i="12"/>
  <c r="AP217" i="12"/>
  <c r="AN217" i="12"/>
  <c r="AM217" i="12"/>
  <c r="AL217" i="12"/>
  <c r="AK217" i="12"/>
  <c r="AK237" i="12" s="1"/>
  <c r="AI217" i="12"/>
  <c r="AH217" i="12"/>
  <c r="AG217" i="12"/>
  <c r="AG237" i="12" s="1"/>
  <c r="AF217" i="12"/>
  <c r="AD217" i="12"/>
  <c r="AC217" i="12"/>
  <c r="AC237" i="12" s="1"/>
  <c r="AB217" i="12"/>
  <c r="AA217" i="12"/>
  <c r="Y217" i="12"/>
  <c r="Y237" i="12" s="1"/>
  <c r="X217" i="12"/>
  <c r="W217" i="12"/>
  <c r="V217" i="12"/>
  <c r="T217" i="12"/>
  <c r="S217" i="12"/>
  <c r="S447" i="12" s="1"/>
  <c r="R217" i="12"/>
  <c r="R447" i="12" s="1"/>
  <c r="Q217" i="12"/>
  <c r="Q447" i="12" s="1"/>
  <c r="AS216" i="12"/>
  <c r="AS236" i="12" s="1"/>
  <c r="AR216" i="12"/>
  <c r="AQ216" i="12"/>
  <c r="AP216" i="12"/>
  <c r="AN216" i="12"/>
  <c r="AM216" i="12"/>
  <c r="AL216" i="12"/>
  <c r="AK216" i="12"/>
  <c r="AK236" i="12" s="1"/>
  <c r="AI216" i="12"/>
  <c r="AH216" i="12"/>
  <c r="AG216" i="12"/>
  <c r="AF216" i="12"/>
  <c r="AD216" i="12"/>
  <c r="AC216" i="12"/>
  <c r="AC236" i="12" s="1"/>
  <c r="AB216" i="12"/>
  <c r="AA216" i="12"/>
  <c r="Y216" i="12"/>
  <c r="Y236" i="12" s="1"/>
  <c r="X216" i="12"/>
  <c r="W216" i="12"/>
  <c r="V216" i="12"/>
  <c r="T216" i="12"/>
  <c r="T446" i="12" s="1"/>
  <c r="S216" i="12"/>
  <c r="S446" i="12" s="1"/>
  <c r="R216" i="12"/>
  <c r="Q216" i="12"/>
  <c r="Q446" i="12" s="1"/>
  <c r="CH205" i="12"/>
  <c r="CG205" i="12"/>
  <c r="CF205" i="12"/>
  <c r="CE205" i="12"/>
  <c r="CD205" i="12"/>
  <c r="BS214" i="12"/>
  <c r="BS213" i="12"/>
  <c r="BS211" i="12"/>
  <c r="BS210" i="12"/>
  <c r="BS205" i="12"/>
  <c r="BN214" i="12"/>
  <c r="BN213" i="12"/>
  <c r="BN211" i="12"/>
  <c r="BN210" i="12"/>
  <c r="BN205" i="12"/>
  <c r="BI214" i="12"/>
  <c r="BI213" i="12"/>
  <c r="BI211" i="12"/>
  <c r="BI210" i="12"/>
  <c r="BI205" i="12"/>
  <c r="BD214" i="12"/>
  <c r="BD213" i="12"/>
  <c r="BD211" i="12"/>
  <c r="BD210" i="12"/>
  <c r="BD205" i="12"/>
  <c r="AY214" i="12"/>
  <c r="AY444" i="12" s="1"/>
  <c r="AY213" i="12"/>
  <c r="AY443" i="12" s="1"/>
  <c r="AY211" i="12"/>
  <c r="AY441" i="12" s="1"/>
  <c r="AY210" i="12"/>
  <c r="AY440" i="12" s="1"/>
  <c r="AY205" i="12"/>
  <c r="BU212" i="12"/>
  <c r="BZ442" i="12" s="1"/>
  <c r="BT212" i="12"/>
  <c r="BY442" i="12" s="1"/>
  <c r="BR212" i="12"/>
  <c r="BQ212" i="12"/>
  <c r="BP212" i="12"/>
  <c r="BO212" i="12"/>
  <c r="BM212" i="12"/>
  <c r="BL212" i="12"/>
  <c r="BK212" i="12"/>
  <c r="BJ212" i="12"/>
  <c r="BH212" i="12"/>
  <c r="BG212" i="12"/>
  <c r="BF212" i="12"/>
  <c r="BE212" i="12"/>
  <c r="BC212" i="12"/>
  <c r="BB212" i="12"/>
  <c r="BA212" i="12"/>
  <c r="AZ212" i="12"/>
  <c r="AX212" i="12"/>
  <c r="AX442" i="12" s="1"/>
  <c r="AW212" i="12"/>
  <c r="AW442" i="12" s="1"/>
  <c r="AV212" i="12"/>
  <c r="AV442" i="12" s="1"/>
  <c r="AU212" i="12"/>
  <c r="AU442" i="12" s="1"/>
  <c r="BU209" i="12"/>
  <c r="BZ439" i="12" s="1"/>
  <c r="BT209" i="12"/>
  <c r="BY439" i="12" s="1"/>
  <c r="BR209" i="12"/>
  <c r="BQ209" i="12"/>
  <c r="BP209" i="12"/>
  <c r="BO209" i="12"/>
  <c r="BM209" i="12"/>
  <c r="BL209" i="12"/>
  <c r="BK209" i="12"/>
  <c r="BJ209" i="12"/>
  <c r="BH209" i="12"/>
  <c r="BG209" i="12"/>
  <c r="BF209" i="12"/>
  <c r="BE209" i="12"/>
  <c r="AT208" i="12"/>
  <c r="AT207" i="12"/>
  <c r="AT205" i="12"/>
  <c r="AO208" i="12"/>
  <c r="AO207" i="12"/>
  <c r="AO205" i="12"/>
  <c r="AJ208" i="12"/>
  <c r="AJ207" i="12"/>
  <c r="AJ205" i="12"/>
  <c r="AE208" i="12"/>
  <c r="AE207" i="12"/>
  <c r="AE205" i="12"/>
  <c r="Z208" i="12"/>
  <c r="Z207" i="12"/>
  <c r="Z216" i="12" s="1"/>
  <c r="Z205" i="12"/>
  <c r="U208" i="12"/>
  <c r="U438" i="12" s="1"/>
  <c r="U207" i="12"/>
  <c r="U437" i="12" s="1"/>
  <c r="U205" i="12"/>
  <c r="BU206" i="12"/>
  <c r="BU21" i="10" s="1"/>
  <c r="BT206" i="12"/>
  <c r="BT21" i="10" s="1"/>
  <c r="CB205" i="12"/>
  <c r="CA205" i="12"/>
  <c r="BZ205" i="12"/>
  <c r="BY205" i="12"/>
  <c r="BX205" i="12"/>
  <c r="BW205" i="12"/>
  <c r="BV205" i="12"/>
  <c r="BU205" i="12"/>
  <c r="BT205" i="12"/>
  <c r="BR206" i="12"/>
  <c r="BR21" i="10" s="1"/>
  <c r="BQ206" i="12"/>
  <c r="BQ21" i="10" s="1"/>
  <c r="BP206" i="12"/>
  <c r="BP21" i="10" s="1"/>
  <c r="BO206" i="12"/>
  <c r="BO21" i="10" s="1"/>
  <c r="BR205" i="12"/>
  <c r="BQ205" i="12"/>
  <c r="BP205" i="12"/>
  <c r="BO205" i="12"/>
  <c r="BM206" i="12"/>
  <c r="BM21" i="10" s="1"/>
  <c r="BL206" i="12"/>
  <c r="BL21" i="10" s="1"/>
  <c r="BK206" i="12"/>
  <c r="BK21" i="10" s="1"/>
  <c r="BJ206" i="12"/>
  <c r="BJ21" i="10" s="1"/>
  <c r="BM205" i="12"/>
  <c r="BL205" i="12"/>
  <c r="BK205" i="12"/>
  <c r="BJ205" i="12"/>
  <c r="BH206" i="12"/>
  <c r="BH21" i="10" s="1"/>
  <c r="BG206" i="12"/>
  <c r="BG21" i="10" s="1"/>
  <c r="BF206" i="12"/>
  <c r="BF21" i="10" s="1"/>
  <c r="BE206" i="12"/>
  <c r="BE21" i="10" s="1"/>
  <c r="BH205" i="12"/>
  <c r="BG205" i="12"/>
  <c r="BF205" i="12"/>
  <c r="BE205" i="12"/>
  <c r="BC209" i="12"/>
  <c r="BB209" i="12"/>
  <c r="BA209" i="12"/>
  <c r="AZ209" i="12"/>
  <c r="BC208" i="12"/>
  <c r="BB208" i="12"/>
  <c r="BA208" i="12"/>
  <c r="BA237" i="12" s="1"/>
  <c r="AZ208" i="12"/>
  <c r="AZ237" i="12" s="1"/>
  <c r="BC207" i="12"/>
  <c r="BB207" i="12"/>
  <c r="BA207" i="12"/>
  <c r="BA236" i="12" s="1"/>
  <c r="AZ207" i="12"/>
  <c r="AZ236" i="12" s="1"/>
  <c r="BC206" i="12"/>
  <c r="BC21" i="10" s="1"/>
  <c r="BB206" i="12"/>
  <c r="BB21" i="10" s="1"/>
  <c r="BA206" i="12"/>
  <c r="BA21" i="10" s="1"/>
  <c r="AZ206" i="12"/>
  <c r="AZ21" i="10" s="1"/>
  <c r="BC205" i="12"/>
  <c r="BB205" i="12"/>
  <c r="BA205" i="12"/>
  <c r="AZ205" i="12"/>
  <c r="AX209" i="12"/>
  <c r="AX439" i="12" s="1"/>
  <c r="AW209" i="12"/>
  <c r="AW439" i="12" s="1"/>
  <c r="AV209" i="12"/>
  <c r="AV439" i="12" s="1"/>
  <c r="AU209" i="12"/>
  <c r="AU439" i="12" s="1"/>
  <c r="AX208" i="12"/>
  <c r="AW208" i="12"/>
  <c r="AW438" i="12" s="1"/>
  <c r="AV208" i="12"/>
  <c r="AV438" i="12" s="1"/>
  <c r="AU208" i="12"/>
  <c r="AU438" i="12" s="1"/>
  <c r="AX207" i="12"/>
  <c r="AW207" i="12"/>
  <c r="AW437" i="12" s="1"/>
  <c r="AV207" i="12"/>
  <c r="AV437" i="12" s="1"/>
  <c r="AU207" i="12"/>
  <c r="AU437" i="12" s="1"/>
  <c r="AX206" i="12"/>
  <c r="AX21" i="10" s="1"/>
  <c r="AW206" i="12"/>
  <c r="AW21" i="10" s="1"/>
  <c r="AV206" i="12"/>
  <c r="AV21" i="10" s="1"/>
  <c r="AU206" i="12"/>
  <c r="AU21" i="10" s="1"/>
  <c r="AX205" i="12"/>
  <c r="AW205" i="12"/>
  <c r="AV205" i="12"/>
  <c r="AU205" i="12"/>
  <c r="AS206" i="12"/>
  <c r="AS21" i="10" s="1"/>
  <c r="AR206" i="12"/>
  <c r="AR21" i="10" s="1"/>
  <c r="AQ206" i="12"/>
  <c r="AQ21" i="10" s="1"/>
  <c r="AP206" i="12"/>
  <c r="AP21" i="10" s="1"/>
  <c r="AS205" i="12"/>
  <c r="AR205" i="12"/>
  <c r="AQ205" i="12"/>
  <c r="AP205" i="12"/>
  <c r="AN206" i="12"/>
  <c r="AN21" i="10" s="1"/>
  <c r="AM206" i="12"/>
  <c r="AM21" i="10" s="1"/>
  <c r="AL206" i="12"/>
  <c r="AL21" i="10" s="1"/>
  <c r="AK206" i="12"/>
  <c r="AK21" i="10" s="1"/>
  <c r="AN205" i="12"/>
  <c r="AM205" i="12"/>
  <c r="AL205" i="12"/>
  <c r="AK205" i="12"/>
  <c r="AI206" i="12"/>
  <c r="AI21" i="10" s="1"/>
  <c r="AH206" i="12"/>
  <c r="AH21" i="10" s="1"/>
  <c r="AG206" i="12"/>
  <c r="AG21" i="10" s="1"/>
  <c r="AF206" i="12"/>
  <c r="AF21" i="10" s="1"/>
  <c r="AI205" i="12"/>
  <c r="AH205" i="12"/>
  <c r="AG205" i="12"/>
  <c r="AF205" i="12"/>
  <c r="AD206" i="12"/>
  <c r="AD21" i="10" s="1"/>
  <c r="AC206" i="12"/>
  <c r="AC21" i="10" s="1"/>
  <c r="AB206" i="12"/>
  <c r="AB21" i="10" s="1"/>
  <c r="AA206" i="12"/>
  <c r="AA21" i="10" s="1"/>
  <c r="AD205" i="12"/>
  <c r="AC205" i="12"/>
  <c r="AB205" i="12"/>
  <c r="AA205" i="12"/>
  <c r="Y206" i="12"/>
  <c r="Y21" i="10" s="1"/>
  <c r="X206" i="12"/>
  <c r="X21" i="10" s="1"/>
  <c r="W206" i="12"/>
  <c r="W21" i="10" s="1"/>
  <c r="V206" i="12"/>
  <c r="V21" i="10" s="1"/>
  <c r="Y205" i="12"/>
  <c r="X205" i="12"/>
  <c r="W205" i="12"/>
  <c r="V205" i="12"/>
  <c r="T206" i="12"/>
  <c r="T21" i="10" s="1"/>
  <c r="S206" i="12"/>
  <c r="S21" i="10" s="1"/>
  <c r="R206" i="12"/>
  <c r="R21" i="10" s="1"/>
  <c r="Q206" i="12"/>
  <c r="Q21" i="10" s="1"/>
  <c r="T205" i="12"/>
  <c r="S205" i="12"/>
  <c r="R205" i="12"/>
  <c r="Q205" i="12"/>
  <c r="P205" i="12"/>
  <c r="O205" i="12"/>
  <c r="N205" i="12"/>
  <c r="M205" i="12"/>
  <c r="L205" i="12"/>
  <c r="AT199" i="12"/>
  <c r="AT198" i="12"/>
  <c r="AO199" i="12"/>
  <c r="AO198" i="12"/>
  <c r="AJ199" i="12"/>
  <c r="AJ198" i="12"/>
  <c r="AE199" i="12"/>
  <c r="AE198" i="12"/>
  <c r="Z199" i="12"/>
  <c r="Z198" i="12"/>
  <c r="U199" i="12"/>
  <c r="U429" i="12" s="1"/>
  <c r="U198" i="12"/>
  <c r="U428" i="12" s="1"/>
  <c r="AS197" i="12"/>
  <c r="AR197" i="12"/>
  <c r="AQ197" i="12"/>
  <c r="AP197" i="12"/>
  <c r="AN197" i="12"/>
  <c r="AM197" i="12"/>
  <c r="AL197" i="12"/>
  <c r="AK197" i="12"/>
  <c r="AI197" i="12"/>
  <c r="AH197" i="12"/>
  <c r="AG197" i="12"/>
  <c r="AF197" i="12"/>
  <c r="AD197" i="12"/>
  <c r="AC197" i="12"/>
  <c r="AB197" i="12"/>
  <c r="AA197" i="12"/>
  <c r="Y197" i="12"/>
  <c r="X197" i="12"/>
  <c r="W197" i="12"/>
  <c r="V197" i="12"/>
  <c r="T197" i="12"/>
  <c r="T427" i="12" s="1"/>
  <c r="S197" i="12"/>
  <c r="S427" i="12" s="1"/>
  <c r="R197" i="12"/>
  <c r="R427" i="12" s="1"/>
  <c r="Q197" i="12"/>
  <c r="Q427" i="12" s="1"/>
  <c r="Z195" i="12"/>
  <c r="AE195" i="12" s="1"/>
  <c r="U195" i="12"/>
  <c r="U193" i="12" s="1"/>
  <c r="AY189" i="12"/>
  <c r="AT189" i="12"/>
  <c r="AT187" i="12" s="1"/>
  <c r="AO189" i="12"/>
  <c r="AJ189" i="12"/>
  <c r="AJ187" i="12" s="1"/>
  <c r="AE189" i="12"/>
  <c r="Z192" i="12"/>
  <c r="AE192" i="12" s="1"/>
  <c r="AJ192" i="12" s="1"/>
  <c r="AO192" i="12" s="1"/>
  <c r="AT192" i="12" s="1"/>
  <c r="AY192" i="12" s="1"/>
  <c r="Z191" i="12"/>
  <c r="Z189" i="12"/>
  <c r="U192" i="12"/>
  <c r="U191" i="12"/>
  <c r="U189" i="12"/>
  <c r="U419" i="12" s="1"/>
  <c r="AX187" i="12"/>
  <c r="AW187" i="12"/>
  <c r="AV187" i="12"/>
  <c r="AU187" i="12"/>
  <c r="AS187" i="12"/>
  <c r="AR187" i="12"/>
  <c r="AQ187" i="12"/>
  <c r="AP187" i="12"/>
  <c r="AN187" i="12"/>
  <c r="AM187" i="12"/>
  <c r="AL187" i="12"/>
  <c r="AK187" i="12"/>
  <c r="AI187" i="12"/>
  <c r="AH187" i="12"/>
  <c r="AG187" i="12"/>
  <c r="AF187" i="12"/>
  <c r="AD187" i="12"/>
  <c r="AC187" i="12"/>
  <c r="AB187" i="12"/>
  <c r="AA187" i="12"/>
  <c r="Z187" i="12"/>
  <c r="Y187" i="12"/>
  <c r="X187" i="12"/>
  <c r="W187" i="12"/>
  <c r="V187" i="12"/>
  <c r="T187" i="12"/>
  <c r="T417" i="12" s="1"/>
  <c r="S187" i="12"/>
  <c r="S417" i="12" s="1"/>
  <c r="R187" i="12"/>
  <c r="Q187" i="12"/>
  <c r="Q417" i="12" s="1"/>
  <c r="AO186" i="12"/>
  <c r="AO185" i="12"/>
  <c r="AO179" i="12" s="1"/>
  <c r="AO183" i="12"/>
  <c r="AO181" i="12" s="1"/>
  <c r="AJ186" i="12"/>
  <c r="AJ185" i="12"/>
  <c r="AJ183" i="12"/>
  <c r="AJ181" i="12" s="1"/>
  <c r="AE186" i="12"/>
  <c r="AE185" i="12"/>
  <c r="AE183" i="12"/>
  <c r="AE182" i="12"/>
  <c r="Z186" i="12"/>
  <c r="Z185" i="12"/>
  <c r="Z183" i="12"/>
  <c r="Z182" i="12"/>
  <c r="U186" i="12"/>
  <c r="U185" i="12"/>
  <c r="U183" i="12"/>
  <c r="U413" i="12" s="1"/>
  <c r="U182" i="12"/>
  <c r="BU186" i="12"/>
  <c r="BZ186" i="12" s="1"/>
  <c r="BZ180" i="12" s="1"/>
  <c r="BZ410" i="12" s="1"/>
  <c r="BT186" i="12"/>
  <c r="BY416" i="12" s="1"/>
  <c r="BR186" i="12"/>
  <c r="BW416" i="12" s="1"/>
  <c r="BQ186" i="12"/>
  <c r="BV416" i="12" s="1"/>
  <c r="BP186" i="12"/>
  <c r="BO186" i="12"/>
  <c r="BM186" i="12"/>
  <c r="BL186" i="12"/>
  <c r="BK186" i="12"/>
  <c r="BJ186" i="12"/>
  <c r="BH186" i="12"/>
  <c r="BG186" i="12"/>
  <c r="BF186" i="12"/>
  <c r="BE186" i="12"/>
  <c r="BC186" i="12"/>
  <c r="BB186" i="12"/>
  <c r="BA186" i="12"/>
  <c r="AZ186" i="12"/>
  <c r="AX186" i="12"/>
  <c r="AX416" i="12" s="1"/>
  <c r="AW186" i="12"/>
  <c r="AV186" i="12"/>
  <c r="AV416" i="12" s="1"/>
  <c r="AU186" i="12"/>
  <c r="AT186" i="12"/>
  <c r="BU185" i="12"/>
  <c r="BZ185" i="12" s="1"/>
  <c r="BT185" i="12"/>
  <c r="BY415" i="12" s="1"/>
  <c r="BR185" i="12"/>
  <c r="BW415" i="12" s="1"/>
  <c r="BQ185" i="12"/>
  <c r="BP185" i="12"/>
  <c r="BO185" i="12"/>
  <c r="BM185" i="12"/>
  <c r="BL185" i="12"/>
  <c r="BK185" i="12"/>
  <c r="BJ185" i="12"/>
  <c r="BH185" i="12"/>
  <c r="BG185" i="12"/>
  <c r="BF185" i="12"/>
  <c r="BE185" i="12"/>
  <c r="BC185" i="12"/>
  <c r="BB185" i="12"/>
  <c r="BA185" i="12"/>
  <c r="AZ185" i="12"/>
  <c r="AX185" i="12"/>
  <c r="AX415" i="12" s="1"/>
  <c r="AW185" i="12"/>
  <c r="AW415" i="12" s="1"/>
  <c r="AV185" i="12"/>
  <c r="AU185" i="12"/>
  <c r="AU415" i="12" s="1"/>
  <c r="AT185" i="12"/>
  <c r="AS184" i="12"/>
  <c r="AR184" i="12"/>
  <c r="AQ184" i="12"/>
  <c r="AP184" i="12"/>
  <c r="AN184" i="12"/>
  <c r="AM184" i="12"/>
  <c r="AL184" i="12"/>
  <c r="AK184" i="12"/>
  <c r="AI184" i="12"/>
  <c r="AH184" i="12"/>
  <c r="AG184" i="12"/>
  <c r="AF184" i="12"/>
  <c r="AD184" i="12"/>
  <c r="AC184" i="12"/>
  <c r="AB184" i="12"/>
  <c r="AA184" i="12"/>
  <c r="Y184" i="12"/>
  <c r="X184" i="12"/>
  <c r="W184" i="12"/>
  <c r="V184" i="12"/>
  <c r="T184" i="12"/>
  <c r="T414" i="12" s="1"/>
  <c r="S184" i="12"/>
  <c r="S414" i="12" s="1"/>
  <c r="R184" i="12"/>
  <c r="R414" i="12" s="1"/>
  <c r="Q184" i="12"/>
  <c r="Q414" i="12" s="1"/>
  <c r="BS183" i="12"/>
  <c r="BS181" i="12" s="1"/>
  <c r="BN183" i="12"/>
  <c r="BI183" i="12"/>
  <c r="BI181" i="12" s="1"/>
  <c r="BD183" i="12"/>
  <c r="AY183" i="12"/>
  <c r="AT183" i="12"/>
  <c r="BV181" i="12"/>
  <c r="BU181" i="12"/>
  <c r="BT181" i="12"/>
  <c r="BR181" i="12"/>
  <c r="BQ181" i="12"/>
  <c r="BP181" i="12"/>
  <c r="BO181" i="12"/>
  <c r="BN181" i="12"/>
  <c r="BM181" i="12"/>
  <c r="BL181" i="12"/>
  <c r="BK181" i="12"/>
  <c r="BJ181" i="12"/>
  <c r="BH181" i="12"/>
  <c r="BG181" i="12"/>
  <c r="BF181" i="12"/>
  <c r="BE181" i="12"/>
  <c r="BC181" i="12"/>
  <c r="BB181" i="12"/>
  <c r="BA181" i="12"/>
  <c r="AZ181" i="12"/>
  <c r="AY181" i="12"/>
  <c r="AX181" i="12"/>
  <c r="AW181" i="12"/>
  <c r="AV181" i="12"/>
  <c r="AU181" i="12"/>
  <c r="AS181" i="12"/>
  <c r="AR181" i="12"/>
  <c r="AQ181" i="12"/>
  <c r="AP181" i="12"/>
  <c r="AN181" i="12"/>
  <c r="AM181" i="12"/>
  <c r="AL181" i="12"/>
  <c r="AK181" i="12"/>
  <c r="AI181" i="12"/>
  <c r="AH181" i="12"/>
  <c r="AG181" i="12"/>
  <c r="AF181" i="12"/>
  <c r="BD180" i="12"/>
  <c r="BD179" i="12"/>
  <c r="AY180" i="12"/>
  <c r="AY179" i="12"/>
  <c r="AS180" i="12"/>
  <c r="AR180" i="12"/>
  <c r="AQ180" i="12"/>
  <c r="AP180" i="12"/>
  <c r="AN180" i="12"/>
  <c r="AM180" i="12"/>
  <c r="AL180" i="12"/>
  <c r="AK180" i="12"/>
  <c r="AI180" i="12"/>
  <c r="AH180" i="12"/>
  <c r="AG180" i="12"/>
  <c r="AF180" i="12"/>
  <c r="AS179" i="12"/>
  <c r="AR179" i="12"/>
  <c r="AQ179" i="12"/>
  <c r="AP179" i="12"/>
  <c r="AN179" i="12"/>
  <c r="AM179" i="12"/>
  <c r="AL179" i="12"/>
  <c r="AK179" i="12"/>
  <c r="AI179" i="12"/>
  <c r="AH179" i="12"/>
  <c r="AG179" i="12"/>
  <c r="AF179" i="12"/>
  <c r="BW410" i="12"/>
  <c r="BU178" i="12"/>
  <c r="BT178" i="12"/>
  <c r="BY408" i="12" s="1"/>
  <c r="BR178" i="12"/>
  <c r="BQ178" i="12"/>
  <c r="BP178" i="12"/>
  <c r="BO178" i="12"/>
  <c r="BM178" i="12"/>
  <c r="BL178" i="12"/>
  <c r="BK178" i="12"/>
  <c r="BJ178" i="12"/>
  <c r="BH178" i="12"/>
  <c r="BG178" i="12"/>
  <c r="BF178" i="12"/>
  <c r="BE178" i="12"/>
  <c r="BC178" i="12"/>
  <c r="BB178" i="12"/>
  <c r="BA178" i="12"/>
  <c r="AZ178" i="12"/>
  <c r="AX178" i="12"/>
  <c r="AW178" i="12"/>
  <c r="AV178" i="12"/>
  <c r="AU178" i="12"/>
  <c r="AD181" i="12"/>
  <c r="AC181" i="12"/>
  <c r="AB181" i="12"/>
  <c r="AA181" i="12"/>
  <c r="AD180" i="12"/>
  <c r="AC180" i="12"/>
  <c r="AB180" i="12"/>
  <c r="AA180" i="12"/>
  <c r="AD179" i="12"/>
  <c r="AC179" i="12"/>
  <c r="AB179" i="12"/>
  <c r="AA179" i="12"/>
  <c r="Y181" i="12"/>
  <c r="X181" i="12"/>
  <c r="W181" i="12"/>
  <c r="V181" i="12"/>
  <c r="Y180" i="12"/>
  <c r="X180" i="12"/>
  <c r="W180" i="12"/>
  <c r="V180" i="12"/>
  <c r="Y179" i="12"/>
  <c r="X179" i="12"/>
  <c r="W179" i="12"/>
  <c r="V179" i="12"/>
  <c r="T181" i="12"/>
  <c r="T411" i="12" s="1"/>
  <c r="S181" i="12"/>
  <c r="S411" i="12" s="1"/>
  <c r="R181" i="12"/>
  <c r="R411" i="12" s="1"/>
  <c r="Q181" i="12"/>
  <c r="Q411" i="12" s="1"/>
  <c r="T180" i="12"/>
  <c r="T410" i="12" s="1"/>
  <c r="S180" i="12"/>
  <c r="S410" i="12" s="1"/>
  <c r="R180" i="12"/>
  <c r="R410" i="12" s="1"/>
  <c r="Q180" i="12"/>
  <c r="Q410" i="12" s="1"/>
  <c r="T179" i="12"/>
  <c r="T409" i="12" s="1"/>
  <c r="S179" i="12"/>
  <c r="S409" i="12" s="1"/>
  <c r="R179" i="12"/>
  <c r="R409" i="12" s="1"/>
  <c r="Q179" i="12"/>
  <c r="Q409" i="12" s="1"/>
  <c r="BX176" i="12"/>
  <c r="BV174" i="12"/>
  <c r="BU174" i="12"/>
  <c r="BT174" i="12"/>
  <c r="BY404" i="12" s="1"/>
  <c r="BS173" i="12"/>
  <c r="BS403" i="12" s="1"/>
  <c r="BS172" i="12"/>
  <c r="BS402" i="12" s="1"/>
  <c r="BS170" i="12"/>
  <c r="BS400" i="12" s="1"/>
  <c r="BU171" i="12"/>
  <c r="BZ401" i="12" s="1"/>
  <c r="BT171" i="12"/>
  <c r="BY401" i="12" s="1"/>
  <c r="BR171" i="12"/>
  <c r="BQ171" i="12"/>
  <c r="BQ401" i="12" s="1"/>
  <c r="BP171" i="12"/>
  <c r="BP401" i="12" s="1"/>
  <c r="BX172" i="12"/>
  <c r="CC402" i="12" s="1"/>
  <c r="BU168" i="12"/>
  <c r="BZ398" i="12" s="1"/>
  <c r="BT168" i="12"/>
  <c r="BY398" i="12" s="1"/>
  <c r="BR168" i="12"/>
  <c r="BQ168" i="12"/>
  <c r="BQ398" i="12" s="1"/>
  <c r="BP168" i="12"/>
  <c r="BP398" i="12" s="1"/>
  <c r="Z166" i="12"/>
  <c r="Z164" i="12" s="1"/>
  <c r="U166" i="12"/>
  <c r="U164" i="12" s="1"/>
  <c r="Z163" i="12"/>
  <c r="Z161" i="12" s="1"/>
  <c r="U163" i="12"/>
  <c r="U161" i="12" s="1"/>
  <c r="AN161" i="12"/>
  <c r="AM161" i="12"/>
  <c r="AL161" i="12"/>
  <c r="AK161" i="12"/>
  <c r="AI161" i="12"/>
  <c r="AH161" i="12"/>
  <c r="AG161" i="12"/>
  <c r="AF161" i="12"/>
  <c r="AD161" i="12"/>
  <c r="AC161" i="12"/>
  <c r="AB161" i="12"/>
  <c r="AA161" i="12"/>
  <c r="Y161" i="12"/>
  <c r="X161" i="12"/>
  <c r="W161" i="12"/>
  <c r="V161" i="12"/>
  <c r="T161" i="12"/>
  <c r="S161" i="12"/>
  <c r="R161" i="12"/>
  <c r="Q161" i="12"/>
  <c r="AT160" i="12"/>
  <c r="AT159" i="12"/>
  <c r="AO160" i="12"/>
  <c r="AO159" i="12"/>
  <c r="AJ160" i="12"/>
  <c r="AJ159" i="12"/>
  <c r="AE160" i="12"/>
  <c r="AE159" i="12"/>
  <c r="Z160" i="12"/>
  <c r="Z159" i="12"/>
  <c r="U160" i="12"/>
  <c r="U159" i="12"/>
  <c r="U389" i="12" s="1"/>
  <c r="AS158" i="12"/>
  <c r="AR158" i="12"/>
  <c r="AQ158" i="12"/>
  <c r="AP158" i="12"/>
  <c r="AN158" i="12"/>
  <c r="AM158" i="12"/>
  <c r="AL158" i="12"/>
  <c r="AK158" i="12"/>
  <c r="AI158" i="12"/>
  <c r="AH158" i="12"/>
  <c r="AG158" i="12"/>
  <c r="AF158" i="12"/>
  <c r="AD158" i="12"/>
  <c r="AC158" i="12"/>
  <c r="AB158" i="12"/>
  <c r="AA158" i="12"/>
  <c r="Y158" i="12"/>
  <c r="X158" i="12"/>
  <c r="W158" i="12"/>
  <c r="V158" i="12"/>
  <c r="T158" i="12"/>
  <c r="S158" i="12"/>
  <c r="S388" i="12" s="1"/>
  <c r="R158" i="12"/>
  <c r="R388" i="12" s="1"/>
  <c r="Q158" i="12"/>
  <c r="Q388" i="12" s="1"/>
  <c r="CH157" i="12"/>
  <c r="CH156" i="12"/>
  <c r="CG157" i="12"/>
  <c r="CG156" i="12"/>
  <c r="CF157" i="12"/>
  <c r="CF156" i="12"/>
  <c r="CE157" i="12"/>
  <c r="CE156" i="12"/>
  <c r="CD157" i="12"/>
  <c r="CD156" i="12"/>
  <c r="BX157" i="12"/>
  <c r="BX156" i="12"/>
  <c r="CC386" i="12" s="1"/>
  <c r="BS157" i="12"/>
  <c r="BS156" i="12"/>
  <c r="BD157" i="12"/>
  <c r="BD156" i="12"/>
  <c r="BD386" i="12" s="1"/>
  <c r="BC155" i="12"/>
  <c r="BC385" i="12" s="1"/>
  <c r="BB155" i="12"/>
  <c r="BB385" i="12" s="1"/>
  <c r="BA155" i="12"/>
  <c r="BA385" i="12" s="1"/>
  <c r="AZ155" i="12"/>
  <c r="AZ385" i="12" s="1"/>
  <c r="BD154" i="12"/>
  <c r="BD153" i="12"/>
  <c r="BD148" i="12"/>
  <c r="BD147" i="12"/>
  <c r="BD145" i="12"/>
  <c r="BD144" i="12"/>
  <c r="BD142" i="12"/>
  <c r="BD141" i="12"/>
  <c r="AY154" i="12"/>
  <c r="AY153" i="12"/>
  <c r="AY148" i="12"/>
  <c r="AY147" i="12"/>
  <c r="AY145" i="12"/>
  <c r="AY144" i="12"/>
  <c r="AY142" i="12"/>
  <c r="AY141" i="12"/>
  <c r="BB152" i="12"/>
  <c r="BA152" i="12"/>
  <c r="AZ152" i="12"/>
  <c r="AT151" i="12"/>
  <c r="AT150" i="12"/>
  <c r="AT148" i="12"/>
  <c r="AT147" i="12"/>
  <c r="AT145" i="12"/>
  <c r="AT144" i="12"/>
  <c r="AT142" i="12"/>
  <c r="AT141" i="12"/>
  <c r="AO151" i="12"/>
  <c r="AO150" i="12"/>
  <c r="AO148" i="12"/>
  <c r="AO147" i="12"/>
  <c r="AO145" i="12"/>
  <c r="AO144" i="12"/>
  <c r="AO142" i="12"/>
  <c r="AO141" i="12"/>
  <c r="AJ151" i="12"/>
  <c r="AJ150" i="12"/>
  <c r="AJ148" i="12"/>
  <c r="AJ378" i="12" s="1"/>
  <c r="AJ147" i="12"/>
  <c r="AJ145" i="12"/>
  <c r="AJ144" i="12"/>
  <c r="AJ142" i="12"/>
  <c r="AJ141" i="12"/>
  <c r="AE151" i="12"/>
  <c r="AE149" i="12" s="1"/>
  <c r="Z151" i="12"/>
  <c r="Q151" i="12"/>
  <c r="U151" i="12" s="1"/>
  <c r="BU151" i="12"/>
  <c r="BZ151" i="12" s="1"/>
  <c r="BZ139" i="12" s="1"/>
  <c r="BZ369" i="12" s="1"/>
  <c r="BT151" i="12"/>
  <c r="BY381" i="12" s="1"/>
  <c r="BR151" i="12"/>
  <c r="BW381" i="12" s="1"/>
  <c r="BQ151" i="12"/>
  <c r="BP151" i="12"/>
  <c r="BO151" i="12"/>
  <c r="BM151" i="12"/>
  <c r="BL151" i="12"/>
  <c r="BK151" i="12"/>
  <c r="BJ151" i="12"/>
  <c r="BH151" i="12"/>
  <c r="BG151" i="12"/>
  <c r="BF151" i="12"/>
  <c r="BE151" i="12"/>
  <c r="BU150" i="12"/>
  <c r="BZ150" i="12" s="1"/>
  <c r="BT150" i="12"/>
  <c r="BY380" i="12" s="1"/>
  <c r="BR150" i="12"/>
  <c r="BW380" i="12" s="1"/>
  <c r="BQ150" i="12"/>
  <c r="BQ149" i="12" s="1"/>
  <c r="BP150" i="12"/>
  <c r="BP149" i="12" s="1"/>
  <c r="BO150" i="12"/>
  <c r="BO149" i="12" s="1"/>
  <c r="BM150" i="12"/>
  <c r="BL150" i="12"/>
  <c r="BL149" i="12" s="1"/>
  <c r="BK150" i="12"/>
  <c r="BJ150" i="12"/>
  <c r="BH150" i="12"/>
  <c r="BG150" i="12"/>
  <c r="BF150" i="12"/>
  <c r="BF149" i="12" s="1"/>
  <c r="BE150" i="12"/>
  <c r="BH149" i="12"/>
  <c r="BC151" i="12"/>
  <c r="BB151" i="12"/>
  <c r="BA151" i="12"/>
  <c r="AZ151" i="12"/>
  <c r="AZ149" i="12" s="1"/>
  <c r="BC150" i="12"/>
  <c r="BB150" i="12"/>
  <c r="BA150" i="12"/>
  <c r="AZ150" i="12"/>
  <c r="BC149" i="12"/>
  <c r="BB149" i="12"/>
  <c r="BA149" i="12"/>
  <c r="AX152" i="12"/>
  <c r="BC382" i="12" s="1"/>
  <c r="AW152" i="12"/>
  <c r="AV152" i="12"/>
  <c r="AU152" i="12"/>
  <c r="AX151" i="12"/>
  <c r="AX381" i="12" s="1"/>
  <c r="AW151" i="12"/>
  <c r="AW381" i="12" s="1"/>
  <c r="AV151" i="12"/>
  <c r="AV381" i="12" s="1"/>
  <c r="AU151" i="12"/>
  <c r="AU381" i="12" s="1"/>
  <c r="AX150" i="12"/>
  <c r="AX380" i="12" s="1"/>
  <c r="AW150" i="12"/>
  <c r="AW380" i="12" s="1"/>
  <c r="AV150" i="12"/>
  <c r="AV380" i="12" s="1"/>
  <c r="AU150" i="12"/>
  <c r="AU380" i="12" s="1"/>
  <c r="AX149" i="12"/>
  <c r="AW149" i="12"/>
  <c r="AV149" i="12"/>
  <c r="AU149" i="12"/>
  <c r="AS149" i="12"/>
  <c r="AR149" i="12"/>
  <c r="AQ149" i="12"/>
  <c r="AP149" i="12"/>
  <c r="AN149" i="12"/>
  <c r="AM149" i="12"/>
  <c r="AL149" i="12"/>
  <c r="AK149" i="12"/>
  <c r="AI149" i="12"/>
  <c r="AH149" i="12"/>
  <c r="AG149" i="12"/>
  <c r="AF149" i="12"/>
  <c r="AD149" i="12"/>
  <c r="AC149" i="12"/>
  <c r="AB149" i="12"/>
  <c r="AA149" i="12"/>
  <c r="Y149" i="12"/>
  <c r="X149" i="12"/>
  <c r="W149" i="12"/>
  <c r="V149" i="12"/>
  <c r="T149" i="12"/>
  <c r="T379" i="12" s="1"/>
  <c r="S149" i="12"/>
  <c r="S379" i="12" s="1"/>
  <c r="R149" i="12"/>
  <c r="BS148" i="12"/>
  <c r="BS147" i="12"/>
  <c r="BS145" i="12"/>
  <c r="BS144" i="12"/>
  <c r="BS142" i="12"/>
  <c r="BS141" i="12"/>
  <c r="BN148" i="12"/>
  <c r="BN147" i="12"/>
  <c r="BN145" i="12"/>
  <c r="BN144" i="12"/>
  <c r="BN142" i="12"/>
  <c r="BN141" i="12"/>
  <c r="BI148" i="12"/>
  <c r="BI147" i="12"/>
  <c r="BI145" i="12"/>
  <c r="BI144" i="12"/>
  <c r="BI374" i="12" s="1"/>
  <c r="BI142" i="12"/>
  <c r="BI141" i="12"/>
  <c r="BU146" i="12"/>
  <c r="BZ376" i="12" s="1"/>
  <c r="BT146" i="12"/>
  <c r="BY376" i="12" s="1"/>
  <c r="BR146" i="12"/>
  <c r="BW376" i="12" s="1"/>
  <c r="BQ146" i="12"/>
  <c r="BP146" i="12"/>
  <c r="BO146" i="12"/>
  <c r="BM146" i="12"/>
  <c r="BL146" i="12"/>
  <c r="BK146" i="12"/>
  <c r="BJ146" i="12"/>
  <c r="BH146" i="12"/>
  <c r="BG146" i="12"/>
  <c r="BF146" i="12"/>
  <c r="BE146" i="12"/>
  <c r="BC146" i="12"/>
  <c r="BB146" i="12"/>
  <c r="BA146" i="12"/>
  <c r="AZ146" i="12"/>
  <c r="AX146" i="12"/>
  <c r="AW146" i="12"/>
  <c r="AV146" i="12"/>
  <c r="AU146" i="12"/>
  <c r="AS146" i="12"/>
  <c r="AR146" i="12"/>
  <c r="AQ146" i="12"/>
  <c r="AP146" i="12"/>
  <c r="AN146" i="12"/>
  <c r="AM146" i="12"/>
  <c r="AL146" i="12"/>
  <c r="AK146" i="12"/>
  <c r="AI146" i="12"/>
  <c r="AI376" i="12" s="1"/>
  <c r="AH146" i="12"/>
  <c r="AH376" i="12" s="1"/>
  <c r="AG146" i="12"/>
  <c r="AG376" i="12" s="1"/>
  <c r="AF146" i="12"/>
  <c r="AF376" i="12" s="1"/>
  <c r="AE145" i="12"/>
  <c r="AE144" i="12"/>
  <c r="AE142" i="12"/>
  <c r="AE141" i="12"/>
  <c r="Z145" i="12"/>
  <c r="Z375" i="12" s="1"/>
  <c r="Z144" i="12"/>
  <c r="Z142" i="12"/>
  <c r="Z141" i="12"/>
  <c r="BU143" i="12"/>
  <c r="BU20" i="10" s="1"/>
  <c r="BT143" i="12"/>
  <c r="BR143" i="12"/>
  <c r="BR20" i="10" s="1"/>
  <c r="BQ143" i="12"/>
  <c r="BQ20" i="10" s="1"/>
  <c r="BP143" i="12"/>
  <c r="BP20" i="10" s="1"/>
  <c r="BO143" i="12"/>
  <c r="BO20" i="10" s="1"/>
  <c r="BM143" i="12"/>
  <c r="BM20" i="10" s="1"/>
  <c r="BL143" i="12"/>
  <c r="BL20" i="10" s="1"/>
  <c r="BK143" i="12"/>
  <c r="BK20" i="10" s="1"/>
  <c r="BJ143" i="12"/>
  <c r="BJ20" i="10" s="1"/>
  <c r="BH143" i="12"/>
  <c r="BH20" i="10" s="1"/>
  <c r="BG143" i="12"/>
  <c r="BG20" i="10" s="1"/>
  <c r="BF143" i="12"/>
  <c r="BF20" i="10" s="1"/>
  <c r="BE143" i="12"/>
  <c r="BE20" i="10" s="1"/>
  <c r="BC143" i="12"/>
  <c r="BC20" i="10" s="1"/>
  <c r="BB143" i="12"/>
  <c r="BB20" i="10" s="1"/>
  <c r="BA143" i="12"/>
  <c r="BA20" i="10" s="1"/>
  <c r="AZ143" i="12"/>
  <c r="AZ20" i="10" s="1"/>
  <c r="AX143" i="12"/>
  <c r="AX20" i="10" s="1"/>
  <c r="AW143" i="12"/>
  <c r="AW20" i="10" s="1"/>
  <c r="AV143" i="12"/>
  <c r="AV20" i="10" s="1"/>
  <c r="AU143" i="12"/>
  <c r="AU20" i="10" s="1"/>
  <c r="AS143" i="12"/>
  <c r="AS20" i="10" s="1"/>
  <c r="AR143" i="12"/>
  <c r="AR20" i="10" s="1"/>
  <c r="AQ143" i="12"/>
  <c r="AQ20" i="10" s="1"/>
  <c r="AP143" i="12"/>
  <c r="AP20" i="10" s="1"/>
  <c r="AN143" i="12"/>
  <c r="AN20" i="10" s="1"/>
  <c r="AM143" i="12"/>
  <c r="AM20" i="10" s="1"/>
  <c r="AL143" i="12"/>
  <c r="AL20" i="10" s="1"/>
  <c r="AK143" i="12"/>
  <c r="AK20" i="10" s="1"/>
  <c r="AI143" i="12"/>
  <c r="AI20" i="10" s="1"/>
  <c r="AH143" i="12"/>
  <c r="AH20" i="10" s="1"/>
  <c r="AG143" i="12"/>
  <c r="AG20" i="10" s="1"/>
  <c r="AF143" i="12"/>
  <c r="AF20" i="10" s="1"/>
  <c r="AD143" i="12"/>
  <c r="AD20" i="10" s="1"/>
  <c r="AC143" i="12"/>
  <c r="AC20" i="10" s="1"/>
  <c r="AB143" i="12"/>
  <c r="AB20" i="10" s="1"/>
  <c r="AA143" i="12"/>
  <c r="AA20" i="10" s="1"/>
  <c r="Y143" i="12"/>
  <c r="Y20" i="10" s="1"/>
  <c r="X143" i="12"/>
  <c r="X20" i="10" s="1"/>
  <c r="W143" i="12"/>
  <c r="W20" i="10" s="1"/>
  <c r="V143" i="12"/>
  <c r="V20" i="10" s="1"/>
  <c r="U142" i="12"/>
  <c r="U141" i="12"/>
  <c r="U371" i="12" s="1"/>
  <c r="BU140" i="12"/>
  <c r="BT140" i="12"/>
  <c r="BR140" i="12"/>
  <c r="BW370" i="12" s="1"/>
  <c r="BQ140" i="12"/>
  <c r="BP140" i="12"/>
  <c r="BO140" i="12"/>
  <c r="BM140" i="12"/>
  <c r="BL140" i="12"/>
  <c r="BK140" i="12"/>
  <c r="BJ140" i="12"/>
  <c r="BH140" i="12"/>
  <c r="BG140" i="12"/>
  <c r="BF140" i="12"/>
  <c r="BE140" i="12"/>
  <c r="BC140" i="12"/>
  <c r="BB140" i="12"/>
  <c r="BA140" i="12"/>
  <c r="AZ140" i="12"/>
  <c r="AX140" i="12"/>
  <c r="AW140" i="12"/>
  <c r="AV140" i="12"/>
  <c r="AU140" i="12"/>
  <c r="BV146" i="12"/>
  <c r="BU137" i="12"/>
  <c r="BT137" i="12"/>
  <c r="BY367" i="12" s="1"/>
  <c r="BR137" i="12"/>
  <c r="BW367" i="12" s="1"/>
  <c r="BQ137" i="12"/>
  <c r="BP137" i="12"/>
  <c r="BO137" i="12"/>
  <c r="BM137" i="12"/>
  <c r="BL137" i="12"/>
  <c r="BK137" i="12"/>
  <c r="BJ137" i="12"/>
  <c r="BH137" i="12"/>
  <c r="BG137" i="12"/>
  <c r="BF137" i="12"/>
  <c r="BE137" i="12"/>
  <c r="BC137" i="12"/>
  <c r="BB137" i="12"/>
  <c r="BA137" i="12"/>
  <c r="AZ137" i="12"/>
  <c r="AX137" i="12"/>
  <c r="AW137" i="12"/>
  <c r="AV137" i="12"/>
  <c r="AU137" i="12"/>
  <c r="AS140" i="12"/>
  <c r="AR140" i="12"/>
  <c r="AQ140" i="12"/>
  <c r="AP140" i="12"/>
  <c r="AS139" i="12"/>
  <c r="AR139" i="12"/>
  <c r="AQ139" i="12"/>
  <c r="AP139" i="12"/>
  <c r="AS138" i="12"/>
  <c r="AR138" i="12"/>
  <c r="AQ138" i="12"/>
  <c r="AP138" i="12"/>
  <c r="AN140" i="12"/>
  <c r="AM140" i="12"/>
  <c r="AL140" i="12"/>
  <c r="AK140" i="12"/>
  <c r="AN139" i="12"/>
  <c r="AM139" i="12"/>
  <c r="AL139" i="12"/>
  <c r="AK139" i="12"/>
  <c r="AN138" i="12"/>
  <c r="AM138" i="12"/>
  <c r="AL138" i="12"/>
  <c r="AK138" i="12"/>
  <c r="AI140" i="12"/>
  <c r="AH140" i="12"/>
  <c r="AG140" i="12"/>
  <c r="AF140" i="12"/>
  <c r="AI139" i="12"/>
  <c r="AH139" i="12"/>
  <c r="AG139" i="12"/>
  <c r="AF139" i="12"/>
  <c r="AI138" i="12"/>
  <c r="AH138" i="12"/>
  <c r="AG138" i="12"/>
  <c r="AF138" i="12"/>
  <c r="AD140" i="12"/>
  <c r="AC140" i="12"/>
  <c r="AB140" i="12"/>
  <c r="AA140" i="12"/>
  <c r="AD139" i="12"/>
  <c r="AC139" i="12"/>
  <c r="AB139" i="12"/>
  <c r="AA139" i="12"/>
  <c r="AD138" i="12"/>
  <c r="AC138" i="12"/>
  <c r="AB138" i="12"/>
  <c r="AA138" i="12"/>
  <c r="Y140" i="12"/>
  <c r="X140" i="12"/>
  <c r="W140" i="12"/>
  <c r="V140" i="12"/>
  <c r="Y139" i="12"/>
  <c r="X139" i="12"/>
  <c r="W139" i="12"/>
  <c r="V139" i="12"/>
  <c r="Y138" i="12"/>
  <c r="X138" i="12"/>
  <c r="W138" i="12"/>
  <c r="V138" i="12"/>
  <c r="T140" i="12"/>
  <c r="T370" i="12" s="1"/>
  <c r="S140" i="12"/>
  <c r="S370" i="12" s="1"/>
  <c r="R140" i="12"/>
  <c r="R370" i="12" s="1"/>
  <c r="Q140" i="12"/>
  <c r="Q370" i="12" s="1"/>
  <c r="T139" i="12"/>
  <c r="T369" i="12" s="1"/>
  <c r="S139" i="12"/>
  <c r="S369" i="12" s="1"/>
  <c r="R139" i="12"/>
  <c r="R369" i="12" s="1"/>
  <c r="T138" i="12"/>
  <c r="T368" i="12" s="1"/>
  <c r="S138" i="12"/>
  <c r="S368" i="12" s="1"/>
  <c r="R138" i="12"/>
  <c r="R368" i="12" s="1"/>
  <c r="Q138" i="12"/>
  <c r="Q368" i="12" s="1"/>
  <c r="AO135" i="12"/>
  <c r="AO134" i="12"/>
  <c r="AJ135" i="12"/>
  <c r="AJ134" i="12"/>
  <c r="AE135" i="12"/>
  <c r="AE134" i="12"/>
  <c r="Z135" i="12"/>
  <c r="Z134" i="12"/>
  <c r="U135" i="12"/>
  <c r="U365" i="12" s="1"/>
  <c r="U134" i="12"/>
  <c r="BR135" i="12"/>
  <c r="BW365" i="12" s="1"/>
  <c r="BQ135" i="12"/>
  <c r="BV365" i="12" s="1"/>
  <c r="BP135" i="12"/>
  <c r="BO135" i="12"/>
  <c r="BM135" i="12"/>
  <c r="BL135" i="12"/>
  <c r="BK135" i="12"/>
  <c r="BJ135" i="12"/>
  <c r="BH135" i="12"/>
  <c r="BG135" i="12"/>
  <c r="BF135" i="12"/>
  <c r="BE135" i="12"/>
  <c r="BC135" i="12"/>
  <c r="BB135" i="12"/>
  <c r="BA135" i="12"/>
  <c r="AZ135" i="12"/>
  <c r="AX135" i="12"/>
  <c r="AW135" i="12"/>
  <c r="AW365" i="12" s="1"/>
  <c r="AV135" i="12"/>
  <c r="AV365" i="12" s="1"/>
  <c r="AU135" i="12"/>
  <c r="AU365" i="12" s="1"/>
  <c r="AT135" i="12"/>
  <c r="BR134" i="12"/>
  <c r="BW364" i="12" s="1"/>
  <c r="BQ134" i="12"/>
  <c r="BV364" i="12" s="1"/>
  <c r="BP134" i="12"/>
  <c r="BO134" i="12"/>
  <c r="BM134" i="12"/>
  <c r="BL134" i="12"/>
  <c r="BK134" i="12"/>
  <c r="BJ134" i="12"/>
  <c r="BH134" i="12"/>
  <c r="BG134" i="12"/>
  <c r="BF134" i="12"/>
  <c r="BE134" i="12"/>
  <c r="BC134" i="12"/>
  <c r="BB134" i="12"/>
  <c r="BA134" i="12"/>
  <c r="AZ134" i="12"/>
  <c r="AX134" i="12"/>
  <c r="AX364" i="12" s="1"/>
  <c r="AW134" i="12"/>
  <c r="AV134" i="12"/>
  <c r="AU134" i="12"/>
  <c r="AU364" i="12" s="1"/>
  <c r="AT134" i="12"/>
  <c r="AS133" i="12"/>
  <c r="AR133" i="12"/>
  <c r="AQ133" i="12"/>
  <c r="AP133" i="12"/>
  <c r="AN133" i="12"/>
  <c r="AM133" i="12"/>
  <c r="AL133" i="12"/>
  <c r="AK133" i="12"/>
  <c r="AI133" i="12"/>
  <c r="AH133" i="12"/>
  <c r="AG133" i="12"/>
  <c r="AF133" i="12"/>
  <c r="AD133" i="12"/>
  <c r="AC133" i="12"/>
  <c r="AB133" i="12"/>
  <c r="AA133" i="12"/>
  <c r="Y133" i="12"/>
  <c r="X133" i="12"/>
  <c r="W133" i="12"/>
  <c r="V133" i="12"/>
  <c r="T133" i="12"/>
  <c r="T363" i="12" s="1"/>
  <c r="S133" i="12"/>
  <c r="R133" i="12"/>
  <c r="R363" i="12" s="1"/>
  <c r="Q133" i="12"/>
  <c r="Q363" i="12" s="1"/>
  <c r="BX132" i="12"/>
  <c r="BX131" i="12"/>
  <c r="BS132" i="12"/>
  <c r="BS131" i="12"/>
  <c r="BS129" i="12"/>
  <c r="BS359" i="12" s="1"/>
  <c r="BS128" i="12"/>
  <c r="BS126" i="12"/>
  <c r="BS125" i="12"/>
  <c r="BU130" i="12"/>
  <c r="BZ360" i="12" s="1"/>
  <c r="BT130" i="12"/>
  <c r="BY360" i="12" s="1"/>
  <c r="BR130" i="12"/>
  <c r="BW360" i="12" s="1"/>
  <c r="BQ130" i="12"/>
  <c r="BP130" i="12"/>
  <c r="BO130" i="12"/>
  <c r="BU127" i="12"/>
  <c r="BT127" i="12"/>
  <c r="BR127" i="12"/>
  <c r="BQ127" i="12"/>
  <c r="BP127" i="12"/>
  <c r="BP357" i="12" s="1"/>
  <c r="BO127" i="12"/>
  <c r="BO357" i="12" s="1"/>
  <c r="BN126" i="12"/>
  <c r="BN125" i="12"/>
  <c r="BN123" i="12"/>
  <c r="BN122" i="12"/>
  <c r="BN120" i="12"/>
  <c r="BN119" i="12"/>
  <c r="BN117" i="12"/>
  <c r="BN116" i="12"/>
  <c r="BN114" i="12"/>
  <c r="BN113" i="12"/>
  <c r="BN105" i="12"/>
  <c r="BI126" i="12"/>
  <c r="BI125" i="12"/>
  <c r="BI123" i="12"/>
  <c r="BI122" i="12"/>
  <c r="BI120" i="12"/>
  <c r="BI350" i="12" s="1"/>
  <c r="BI119" i="12"/>
  <c r="BI349" i="12" s="1"/>
  <c r="BI117" i="12"/>
  <c r="BI116" i="12"/>
  <c r="BI114" i="12"/>
  <c r="BI113" i="12"/>
  <c r="BI105" i="12"/>
  <c r="BD126" i="12"/>
  <c r="BD125" i="12"/>
  <c r="BD123" i="12"/>
  <c r="BD122" i="12"/>
  <c r="AY126" i="12"/>
  <c r="AY125" i="12"/>
  <c r="AY123" i="12"/>
  <c r="AY122" i="12"/>
  <c r="AT126" i="12"/>
  <c r="AT125" i="12"/>
  <c r="AT123" i="12"/>
  <c r="AT122" i="12"/>
  <c r="AO126" i="12"/>
  <c r="AO125" i="12"/>
  <c r="AO123" i="12"/>
  <c r="AO122" i="12"/>
  <c r="AJ126" i="12"/>
  <c r="AJ125" i="12"/>
  <c r="AJ123" i="12"/>
  <c r="AJ122" i="12"/>
  <c r="AE126" i="12"/>
  <c r="AE125" i="12"/>
  <c r="Z126" i="12"/>
  <c r="Z125" i="12"/>
  <c r="U126" i="12"/>
  <c r="U125" i="12"/>
  <c r="BX129" i="12"/>
  <c r="BX126" i="12"/>
  <c r="CC356" i="12" s="1"/>
  <c r="BX125" i="12"/>
  <c r="BU124" i="12"/>
  <c r="BZ354" i="12" s="1"/>
  <c r="BT124" i="12"/>
  <c r="BY354" i="12" s="1"/>
  <c r="BR124" i="12"/>
  <c r="BW354" i="12" s="1"/>
  <c r="BQ124" i="12"/>
  <c r="BV354" i="12" s="1"/>
  <c r="BP124" i="12"/>
  <c r="BO124" i="12"/>
  <c r="BM124" i="12"/>
  <c r="BL124" i="12"/>
  <c r="BK124" i="12"/>
  <c r="BJ124" i="12"/>
  <c r="BH124" i="12"/>
  <c r="BG124" i="12"/>
  <c r="BF124" i="12"/>
  <c r="BE124" i="12"/>
  <c r="BC124" i="12"/>
  <c r="BB124" i="12"/>
  <c r="BA124" i="12"/>
  <c r="AZ124" i="12"/>
  <c r="AX124" i="12"/>
  <c r="AW124" i="12"/>
  <c r="AV124" i="12"/>
  <c r="AU124" i="12"/>
  <c r="AS124" i="12"/>
  <c r="AR124" i="12"/>
  <c r="AQ124" i="12"/>
  <c r="AP124" i="12"/>
  <c r="AN124" i="12"/>
  <c r="AM124" i="12"/>
  <c r="AL124" i="12"/>
  <c r="AK124" i="12"/>
  <c r="AI124" i="12"/>
  <c r="AH124" i="12"/>
  <c r="AG124" i="12"/>
  <c r="AF124" i="12"/>
  <c r="AD124" i="12"/>
  <c r="AC124" i="12"/>
  <c r="AB124" i="12"/>
  <c r="AA124" i="12"/>
  <c r="Y124" i="12"/>
  <c r="X124" i="12"/>
  <c r="W124" i="12"/>
  <c r="V124" i="12"/>
  <c r="T124" i="12"/>
  <c r="S124" i="12"/>
  <c r="R124" i="12"/>
  <c r="Q124" i="12"/>
  <c r="AD123" i="12"/>
  <c r="AD122" i="12"/>
  <c r="AC122" i="12"/>
  <c r="BM121" i="12"/>
  <c r="BL121" i="12"/>
  <c r="BK121" i="12"/>
  <c r="BJ121" i="12"/>
  <c r="BH121" i="12"/>
  <c r="BG121" i="12"/>
  <c r="BF121" i="12"/>
  <c r="BE121" i="12"/>
  <c r="BC121" i="12"/>
  <c r="BB121" i="12"/>
  <c r="BA121" i="12"/>
  <c r="AZ121" i="12"/>
  <c r="AX121" i="12"/>
  <c r="AW121" i="12"/>
  <c r="AV121" i="12"/>
  <c r="AU121" i="12"/>
  <c r="AS121" i="12"/>
  <c r="AR121" i="12"/>
  <c r="AQ121" i="12"/>
  <c r="AP121" i="12"/>
  <c r="AN121" i="12"/>
  <c r="AM121" i="12"/>
  <c r="AL121" i="12"/>
  <c r="AK121" i="12"/>
  <c r="AI121" i="12"/>
  <c r="AH121" i="12"/>
  <c r="AG121" i="12"/>
  <c r="AF121" i="12"/>
  <c r="AB121" i="12"/>
  <c r="AA121" i="12"/>
  <c r="CH105" i="12"/>
  <c r="CG105" i="12"/>
  <c r="CF105" i="12"/>
  <c r="CE105" i="12"/>
  <c r="CD105" i="12"/>
  <c r="BS120" i="12"/>
  <c r="BS119" i="12"/>
  <c r="BS117" i="12"/>
  <c r="BS116" i="12"/>
  <c r="BS114" i="12"/>
  <c r="BS113" i="12"/>
  <c r="BS105" i="12"/>
  <c r="BU118" i="12"/>
  <c r="BU13" i="10" s="1"/>
  <c r="BT118" i="12"/>
  <c r="BR118" i="12"/>
  <c r="BR13" i="10" s="1"/>
  <c r="BQ118" i="12"/>
  <c r="BQ13" i="10" s="1"/>
  <c r="BP118" i="12"/>
  <c r="BP13" i="10" s="1"/>
  <c r="BO118" i="12"/>
  <c r="BO13" i="10" s="1"/>
  <c r="BM118" i="12"/>
  <c r="BM13" i="10" s="1"/>
  <c r="BL118" i="12"/>
  <c r="BL13" i="10" s="1"/>
  <c r="BK118" i="12"/>
  <c r="BK13" i="10" s="1"/>
  <c r="BJ118" i="12"/>
  <c r="BJ13" i="10" s="1"/>
  <c r="BH118" i="12"/>
  <c r="BH348" i="12" s="1"/>
  <c r="BG118" i="12"/>
  <c r="BG348" i="12" s="1"/>
  <c r="BF118" i="12"/>
  <c r="BF348" i="12" s="1"/>
  <c r="BD117" i="12"/>
  <c r="BD116" i="12"/>
  <c r="BD114" i="12"/>
  <c r="BD113" i="12"/>
  <c r="BD105" i="12"/>
  <c r="AY117" i="12"/>
  <c r="AY116" i="12"/>
  <c r="AY114" i="12"/>
  <c r="AY113" i="12"/>
  <c r="AY105" i="12"/>
  <c r="AT117" i="12"/>
  <c r="AT116" i="12"/>
  <c r="AT114" i="12"/>
  <c r="AT113" i="12"/>
  <c r="AT105" i="12"/>
  <c r="AO117" i="12"/>
  <c r="AO116" i="12"/>
  <c r="AO114" i="12"/>
  <c r="AO113" i="12"/>
  <c r="AO105" i="12"/>
  <c r="AJ117" i="12"/>
  <c r="AJ116" i="12"/>
  <c r="AJ114" i="12"/>
  <c r="AJ113" i="12"/>
  <c r="AJ105" i="12"/>
  <c r="AE117" i="12"/>
  <c r="AE116" i="12"/>
  <c r="AE114" i="12"/>
  <c r="AE113" i="12"/>
  <c r="AE105" i="12"/>
  <c r="Z117" i="12"/>
  <c r="Z116" i="12"/>
  <c r="Z114" i="12"/>
  <c r="Z113" i="12"/>
  <c r="Z105" i="12"/>
  <c r="U117" i="12"/>
  <c r="U347" i="12" s="1"/>
  <c r="U116" i="12"/>
  <c r="U346" i="12" s="1"/>
  <c r="U114" i="12"/>
  <c r="U344" i="12" s="1"/>
  <c r="U113" i="12"/>
  <c r="U343" i="12" s="1"/>
  <c r="U105" i="12"/>
  <c r="BU115" i="12"/>
  <c r="BU19" i="10" s="1"/>
  <c r="BT115" i="12"/>
  <c r="BR115" i="12"/>
  <c r="BR19" i="10" s="1"/>
  <c r="BQ115" i="12"/>
  <c r="BQ19" i="10" s="1"/>
  <c r="BP115" i="12"/>
  <c r="BP19" i="10" s="1"/>
  <c r="BO115" i="12"/>
  <c r="BO19" i="10" s="1"/>
  <c r="BM115" i="12"/>
  <c r="BM19" i="10" s="1"/>
  <c r="BL115" i="12"/>
  <c r="BL19" i="10" s="1"/>
  <c r="BK115" i="12"/>
  <c r="BK19" i="10" s="1"/>
  <c r="BJ115" i="12"/>
  <c r="BJ19" i="10" s="1"/>
  <c r="BH115" i="12"/>
  <c r="BH19" i="10" s="1"/>
  <c r="BG115" i="12"/>
  <c r="BG19" i="10" s="1"/>
  <c r="BF115" i="12"/>
  <c r="BF19" i="10" s="1"/>
  <c r="BE115" i="12"/>
  <c r="BE19" i="10" s="1"/>
  <c r="BC115" i="12"/>
  <c r="BC19" i="10" s="1"/>
  <c r="BB115" i="12"/>
  <c r="BB19" i="10" s="1"/>
  <c r="BA115" i="12"/>
  <c r="BA19" i="10" s="1"/>
  <c r="AZ115" i="12"/>
  <c r="AZ19" i="10" s="1"/>
  <c r="AX115" i="12"/>
  <c r="AX19" i="10" s="1"/>
  <c r="AW115" i="12"/>
  <c r="AW19" i="10" s="1"/>
  <c r="AV115" i="12"/>
  <c r="AV19" i="10" s="1"/>
  <c r="AU115" i="12"/>
  <c r="AU19" i="10" s="1"/>
  <c r="AS115" i="12"/>
  <c r="AS19" i="10" s="1"/>
  <c r="AR115" i="12"/>
  <c r="AR19" i="10" s="1"/>
  <c r="AQ115" i="12"/>
  <c r="AQ19" i="10" s="1"/>
  <c r="AP115" i="12"/>
  <c r="AP19" i="10" s="1"/>
  <c r="AN115" i="12"/>
  <c r="AN19" i="10" s="1"/>
  <c r="AM115" i="12"/>
  <c r="AM19" i="10" s="1"/>
  <c r="AL115" i="12"/>
  <c r="AL19" i="10" s="1"/>
  <c r="AK115" i="12"/>
  <c r="AK19" i="10" s="1"/>
  <c r="AI115" i="12"/>
  <c r="AI19" i="10" s="1"/>
  <c r="AH115" i="12"/>
  <c r="AH19" i="10" s="1"/>
  <c r="AG115" i="12"/>
  <c r="AG19" i="10" s="1"/>
  <c r="AF115" i="12"/>
  <c r="AF19" i="10" s="1"/>
  <c r="AD115" i="12"/>
  <c r="AD19" i="10" s="1"/>
  <c r="AC115" i="12"/>
  <c r="AC19" i="10" s="1"/>
  <c r="AB115" i="12"/>
  <c r="AB19" i="10" s="1"/>
  <c r="AA115" i="12"/>
  <c r="AA19" i="10" s="1"/>
  <c r="Y115" i="12"/>
  <c r="Y19" i="10" s="1"/>
  <c r="X115" i="12"/>
  <c r="X19" i="10" s="1"/>
  <c r="W115" i="12"/>
  <c r="W19" i="10" s="1"/>
  <c r="V115" i="12"/>
  <c r="V19" i="10" s="1"/>
  <c r="T115" i="12"/>
  <c r="T19" i="10" s="1"/>
  <c r="S115" i="12"/>
  <c r="S19" i="10" s="1"/>
  <c r="R115" i="12"/>
  <c r="R19" i="10" s="1"/>
  <c r="Q115" i="12"/>
  <c r="Q19" i="10" s="1"/>
  <c r="BU112" i="12"/>
  <c r="BZ342" i="12" s="1"/>
  <c r="BT112" i="12"/>
  <c r="BY342" i="12" s="1"/>
  <c r="BR112" i="12"/>
  <c r="BW342" i="12" s="1"/>
  <c r="BQ112" i="12"/>
  <c r="BP112" i="12"/>
  <c r="BO112" i="12"/>
  <c r="BM112" i="12"/>
  <c r="BL112" i="12"/>
  <c r="BK112" i="12"/>
  <c r="BJ112" i="12"/>
  <c r="BH112" i="12"/>
  <c r="BG112" i="12"/>
  <c r="BF112" i="12"/>
  <c r="BE112" i="12"/>
  <c r="BC112" i="12"/>
  <c r="BB112" i="12"/>
  <c r="BA112" i="12"/>
  <c r="AZ112" i="12"/>
  <c r="AX112" i="12"/>
  <c r="AW112" i="12"/>
  <c r="AV112" i="12"/>
  <c r="AU112" i="12"/>
  <c r="BX114" i="12"/>
  <c r="CC344" i="12" s="1"/>
  <c r="BV342" i="12"/>
  <c r="BU106" i="12"/>
  <c r="BT106" i="12"/>
  <c r="CB105" i="12"/>
  <c r="CA105" i="12"/>
  <c r="BZ105" i="12"/>
  <c r="BY105" i="12"/>
  <c r="BX105" i="12"/>
  <c r="BW105" i="12"/>
  <c r="BV105" i="12"/>
  <c r="BU105" i="12"/>
  <c r="BT105" i="12"/>
  <c r="BR106" i="12"/>
  <c r="BW336" i="12" s="1"/>
  <c r="BQ106" i="12"/>
  <c r="BP106" i="12"/>
  <c r="BO106" i="12"/>
  <c r="BR105" i="12"/>
  <c r="BQ105" i="12"/>
  <c r="BP105" i="12"/>
  <c r="BO105" i="12"/>
  <c r="BM106" i="12"/>
  <c r="BL106" i="12"/>
  <c r="BK106" i="12"/>
  <c r="BJ106" i="12"/>
  <c r="BM105" i="12"/>
  <c r="BL105" i="12"/>
  <c r="BK105" i="12"/>
  <c r="BJ105" i="12"/>
  <c r="BH106" i="12"/>
  <c r="BG106" i="12"/>
  <c r="BF106" i="12"/>
  <c r="BE106" i="12"/>
  <c r="BH105" i="12"/>
  <c r="BG105" i="12"/>
  <c r="BF105" i="12"/>
  <c r="BE105" i="12"/>
  <c r="BC106" i="12"/>
  <c r="BB106" i="12"/>
  <c r="BA106" i="12"/>
  <c r="AZ106" i="12"/>
  <c r="BC105" i="12"/>
  <c r="BB105" i="12"/>
  <c r="BA105" i="12"/>
  <c r="AZ105" i="12"/>
  <c r="AX106" i="12"/>
  <c r="AW106" i="12"/>
  <c r="AV106" i="12"/>
  <c r="AU106" i="12"/>
  <c r="AX105" i="12"/>
  <c r="AW105" i="12"/>
  <c r="AV105" i="12"/>
  <c r="AU105" i="12"/>
  <c r="AS112" i="12"/>
  <c r="AR112" i="12"/>
  <c r="AQ112" i="12"/>
  <c r="AP112" i="12"/>
  <c r="AS108" i="12"/>
  <c r="AR108" i="12"/>
  <c r="AQ108" i="12"/>
  <c r="AP108" i="12"/>
  <c r="AS107" i="12"/>
  <c r="AR107" i="12"/>
  <c r="AQ107" i="12"/>
  <c r="AP107" i="12"/>
  <c r="AS105" i="12"/>
  <c r="AR105" i="12"/>
  <c r="AQ105" i="12"/>
  <c r="AP105" i="12"/>
  <c r="AN112" i="12"/>
  <c r="AM112" i="12"/>
  <c r="AL112" i="12"/>
  <c r="AK112" i="12"/>
  <c r="AN108" i="12"/>
  <c r="AM108" i="12"/>
  <c r="AL108" i="12"/>
  <c r="AK108" i="12"/>
  <c r="AN107" i="12"/>
  <c r="AM107" i="12"/>
  <c r="AL107" i="12"/>
  <c r="AK107" i="12"/>
  <c r="AN105" i="12"/>
  <c r="AM105" i="12"/>
  <c r="AL105" i="12"/>
  <c r="AK105" i="12"/>
  <c r="AI112" i="12"/>
  <c r="AH112" i="12"/>
  <c r="AG112" i="12"/>
  <c r="AF112" i="12"/>
  <c r="AI108" i="12"/>
  <c r="AH108" i="12"/>
  <c r="AG108" i="12"/>
  <c r="AF108" i="12"/>
  <c r="AI107" i="12"/>
  <c r="AH107" i="12"/>
  <c r="AG107" i="12"/>
  <c r="AF107" i="12"/>
  <c r="AI105" i="12"/>
  <c r="AH105" i="12"/>
  <c r="AG105" i="12"/>
  <c r="AF105" i="12"/>
  <c r="AD112" i="12"/>
  <c r="AC112" i="12"/>
  <c r="AB112" i="12"/>
  <c r="AA112" i="12"/>
  <c r="AC108" i="12"/>
  <c r="AB108" i="12"/>
  <c r="AA108" i="12"/>
  <c r="AB107" i="12"/>
  <c r="AA107" i="12"/>
  <c r="AD105" i="12"/>
  <c r="AC105" i="12"/>
  <c r="AB105" i="12"/>
  <c r="AA105" i="12"/>
  <c r="Y112" i="12"/>
  <c r="X112" i="12"/>
  <c r="W112" i="12"/>
  <c r="V112" i="12"/>
  <c r="Y108" i="12"/>
  <c r="X108" i="12"/>
  <c r="W108" i="12"/>
  <c r="V108" i="12"/>
  <c r="Y107" i="12"/>
  <c r="X107" i="12"/>
  <c r="W107" i="12"/>
  <c r="V107" i="12"/>
  <c r="Y105" i="12"/>
  <c r="X105" i="12"/>
  <c r="W105" i="12"/>
  <c r="V105" i="12"/>
  <c r="T112" i="12"/>
  <c r="T342" i="12" s="1"/>
  <c r="S112" i="12"/>
  <c r="S342" i="12" s="1"/>
  <c r="R112" i="12"/>
  <c r="R342" i="12" s="1"/>
  <c r="Q112" i="12"/>
  <c r="Q342" i="12" s="1"/>
  <c r="T108" i="12"/>
  <c r="T338" i="12" s="1"/>
  <c r="S108" i="12"/>
  <c r="S338" i="12" s="1"/>
  <c r="R108" i="12"/>
  <c r="R338" i="12" s="1"/>
  <c r="Q108" i="12"/>
  <c r="Q338" i="12" s="1"/>
  <c r="T107" i="12"/>
  <c r="T337" i="12" s="1"/>
  <c r="S107" i="12"/>
  <c r="S337" i="12" s="1"/>
  <c r="R107" i="12"/>
  <c r="R337" i="12" s="1"/>
  <c r="Q107" i="12"/>
  <c r="Q337" i="12" s="1"/>
  <c r="T105" i="12"/>
  <c r="S105" i="12"/>
  <c r="R105" i="12"/>
  <c r="Q105" i="12"/>
  <c r="P105" i="12"/>
  <c r="O105" i="12"/>
  <c r="N105" i="12"/>
  <c r="M105" i="12"/>
  <c r="L105" i="12"/>
  <c r="BI103" i="12"/>
  <c r="BN103" i="12" s="1"/>
  <c r="BS103" i="12" s="1"/>
  <c r="BX103" i="12" s="1"/>
  <c r="AX103" i="12"/>
  <c r="AX95" i="12" s="1"/>
  <c r="AW103" i="12"/>
  <c r="AW333" i="12" s="1"/>
  <c r="AV103" i="12"/>
  <c r="AV333" i="12" s="1"/>
  <c r="AU103" i="12"/>
  <c r="AS103" i="12"/>
  <c r="AS333" i="12" s="1"/>
  <c r="AO103" i="12"/>
  <c r="AJ103" i="12"/>
  <c r="AE103" i="12"/>
  <c r="Z103" i="12"/>
  <c r="Z95" i="12" s="1"/>
  <c r="AS101" i="12"/>
  <c r="AR101" i="12"/>
  <c r="AQ101" i="12"/>
  <c r="AP101" i="12"/>
  <c r="AN101" i="12"/>
  <c r="AM101" i="12"/>
  <c r="AL101" i="12"/>
  <c r="AK101" i="12"/>
  <c r="AI101" i="12"/>
  <c r="AH101" i="12"/>
  <c r="AG101" i="12"/>
  <c r="AF101" i="12"/>
  <c r="AD101" i="12"/>
  <c r="AC101" i="12"/>
  <c r="AB101" i="12"/>
  <c r="AA101" i="12"/>
  <c r="AS100" i="12"/>
  <c r="AR100" i="12"/>
  <c r="AQ100" i="12"/>
  <c r="AP100" i="12"/>
  <c r="AN100" i="12"/>
  <c r="AN99" i="12" s="1"/>
  <c r="AM100" i="12"/>
  <c r="AM99" i="12" s="1"/>
  <c r="AL100" i="12"/>
  <c r="AK100" i="12"/>
  <c r="AK99" i="12" s="1"/>
  <c r="AI100" i="12"/>
  <c r="AI99" i="12" s="1"/>
  <c r="AH100" i="12"/>
  <c r="AH99" i="12" s="1"/>
  <c r="AG100" i="12"/>
  <c r="AG99" i="12" s="1"/>
  <c r="AF100" i="12"/>
  <c r="AF99" i="12" s="1"/>
  <c r="AD100" i="12"/>
  <c r="AD99" i="12" s="1"/>
  <c r="AC100" i="12"/>
  <c r="AC99" i="12" s="1"/>
  <c r="AB100" i="12"/>
  <c r="AB99" i="12" s="1"/>
  <c r="AA100" i="12"/>
  <c r="AA99" i="12" s="1"/>
  <c r="AS99" i="12"/>
  <c r="AR99" i="12"/>
  <c r="AQ99" i="12"/>
  <c r="AP99" i="12"/>
  <c r="CH94" i="12"/>
  <c r="CH93" i="12"/>
  <c r="CH91" i="12"/>
  <c r="CH83" i="12" s="1"/>
  <c r="CG94" i="12"/>
  <c r="CG93" i="12"/>
  <c r="CG91" i="12"/>
  <c r="CG83" i="12" s="1"/>
  <c r="CF94" i="12"/>
  <c r="CF93" i="12"/>
  <c r="CF91" i="12"/>
  <c r="CF83" i="12" s="1"/>
  <c r="CE94" i="12"/>
  <c r="CE93" i="12"/>
  <c r="CE91" i="12"/>
  <c r="CE83" i="12" s="1"/>
  <c r="CD94" i="12"/>
  <c r="CD93" i="12"/>
  <c r="CD91" i="12"/>
  <c r="CD83" i="12" s="1"/>
  <c r="BX94" i="12"/>
  <c r="CC324" i="12" s="1"/>
  <c r="BX93" i="12"/>
  <c r="CC323" i="12" s="1"/>
  <c r="BX91" i="12"/>
  <c r="BS94" i="12"/>
  <c r="BS93" i="12"/>
  <c r="BS91" i="12"/>
  <c r="BS83" i="12" s="1"/>
  <c r="BN94" i="12"/>
  <c r="BN93" i="12"/>
  <c r="BN91" i="12"/>
  <c r="BN83" i="12" s="1"/>
  <c r="BI94" i="12"/>
  <c r="BI93" i="12"/>
  <c r="BI91" i="12"/>
  <c r="BI83" i="12" s="1"/>
  <c r="AO98" i="12"/>
  <c r="AO97" i="12"/>
  <c r="AO96" i="12"/>
  <c r="AJ98" i="12"/>
  <c r="AJ96" i="12"/>
  <c r="AE98" i="12"/>
  <c r="AE96" i="12"/>
  <c r="Z98" i="12"/>
  <c r="U98" i="12"/>
  <c r="U328" i="12" s="1"/>
  <c r="AX98" i="12"/>
  <c r="AW98" i="12"/>
  <c r="AW100" i="12" s="1"/>
  <c r="AV98" i="12"/>
  <c r="AU98" i="12"/>
  <c r="AT98" i="12"/>
  <c r="AP97" i="12"/>
  <c r="P97" i="12"/>
  <c r="AY96" i="12"/>
  <c r="AY94" i="12"/>
  <c r="AY93" i="12"/>
  <c r="AY91" i="12"/>
  <c r="AT96" i="12"/>
  <c r="AR95" i="12"/>
  <c r="AQ95" i="12"/>
  <c r="AP95" i="12"/>
  <c r="AN95" i="12"/>
  <c r="AM95" i="12"/>
  <c r="AL95" i="12"/>
  <c r="AK95" i="12"/>
  <c r="AI95" i="12"/>
  <c r="AH95" i="12"/>
  <c r="AG95" i="12"/>
  <c r="AF95" i="12"/>
  <c r="AD95" i="12"/>
  <c r="AC95" i="12"/>
  <c r="AB95" i="12"/>
  <c r="AA95" i="12"/>
  <c r="Y95" i="12"/>
  <c r="X95" i="12"/>
  <c r="W95" i="12"/>
  <c r="V95" i="12"/>
  <c r="U95" i="12"/>
  <c r="U325" i="12" s="1"/>
  <c r="T95" i="12"/>
  <c r="T325" i="12" s="1"/>
  <c r="S95" i="12"/>
  <c r="S325" i="12" s="1"/>
  <c r="R95" i="12"/>
  <c r="R325" i="12" s="1"/>
  <c r="Q95" i="12"/>
  <c r="BD94" i="12"/>
  <c r="BD93" i="12"/>
  <c r="BD91" i="12"/>
  <c r="BD90" i="12"/>
  <c r="BD89" i="12"/>
  <c r="BD88" i="12"/>
  <c r="BD87" i="12"/>
  <c r="BD86" i="12"/>
  <c r="BD85" i="12"/>
  <c r="BC92" i="12"/>
  <c r="BB92" i="12"/>
  <c r="BA92" i="12"/>
  <c r="AZ92" i="12"/>
  <c r="AX92" i="12"/>
  <c r="AW92" i="12"/>
  <c r="AV92" i="12"/>
  <c r="AU92" i="12"/>
  <c r="AT91" i="12"/>
  <c r="AO91" i="12"/>
  <c r="AJ91" i="12"/>
  <c r="AE91" i="12"/>
  <c r="Z91" i="12"/>
  <c r="U91" i="12"/>
  <c r="Z88" i="12"/>
  <c r="U88" i="12"/>
  <c r="U318" i="12" s="1"/>
  <c r="AJ84" i="12"/>
  <c r="AJ82" i="12"/>
  <c r="AJ81" i="12"/>
  <c r="AE84" i="12"/>
  <c r="AE82" i="12"/>
  <c r="AE81" i="12"/>
  <c r="BS79" i="12"/>
  <c r="BS78" i="12"/>
  <c r="BS76" i="12"/>
  <c r="BS75" i="12"/>
  <c r="BS73" i="12"/>
  <c r="BS72" i="12"/>
  <c r="BS70" i="12"/>
  <c r="BS69" i="12"/>
  <c r="BS67" i="12"/>
  <c r="BS66" i="12"/>
  <c r="BS64" i="12"/>
  <c r="BS63" i="12"/>
  <c r="BS61" i="12"/>
  <c r="BS60" i="12"/>
  <c r="BS58" i="12"/>
  <c r="BS57" i="12"/>
  <c r="BS55" i="12"/>
  <c r="BS54" i="12"/>
  <c r="BS52" i="12"/>
  <c r="BS51" i="12"/>
  <c r="BN79" i="12"/>
  <c r="BN77" i="12" s="1"/>
  <c r="BC83" i="12"/>
  <c r="BB83" i="12"/>
  <c r="BA83" i="12"/>
  <c r="AZ83" i="12"/>
  <c r="AX83" i="12"/>
  <c r="AW83" i="12"/>
  <c r="AV83" i="12"/>
  <c r="AU83" i="12"/>
  <c r="AS83" i="12"/>
  <c r="AR83" i="12"/>
  <c r="AQ83" i="12"/>
  <c r="AP83" i="12"/>
  <c r="AN83" i="12"/>
  <c r="AM83" i="12"/>
  <c r="AL83" i="12"/>
  <c r="AK83" i="12"/>
  <c r="AI83" i="12"/>
  <c r="AH83" i="12"/>
  <c r="AG83" i="12"/>
  <c r="AF83" i="12"/>
  <c r="AD83" i="12"/>
  <c r="AC83" i="12"/>
  <c r="AB83" i="12"/>
  <c r="AA83" i="12"/>
  <c r="Y83" i="12"/>
  <c r="X83" i="12"/>
  <c r="W83" i="12"/>
  <c r="V83" i="12"/>
  <c r="T83" i="12"/>
  <c r="T313" i="12" s="1"/>
  <c r="S83" i="12"/>
  <c r="S313" i="12" s="1"/>
  <c r="R83" i="12"/>
  <c r="R313" i="12" s="1"/>
  <c r="Q83" i="12"/>
  <c r="Q313" i="12" s="1"/>
  <c r="AO82" i="12"/>
  <c r="AO81" i="12"/>
  <c r="Z82" i="12"/>
  <c r="Z81" i="12"/>
  <c r="U82" i="12"/>
  <c r="U312" i="12" s="1"/>
  <c r="U81" i="12"/>
  <c r="BU80" i="12"/>
  <c r="BZ310" i="12" s="1"/>
  <c r="BT80" i="12"/>
  <c r="BR82" i="12"/>
  <c r="BW312" i="12" s="1"/>
  <c r="BQ82" i="12"/>
  <c r="BV312" i="12" s="1"/>
  <c r="BP82" i="12"/>
  <c r="BO82" i="12"/>
  <c r="BR81" i="12"/>
  <c r="BW311" i="12" s="1"/>
  <c r="BQ81" i="12"/>
  <c r="BV311" i="12" s="1"/>
  <c r="BP81" i="12"/>
  <c r="BO81" i="12"/>
  <c r="BR80" i="12"/>
  <c r="BW310" i="12" s="1"/>
  <c r="BQ80" i="12"/>
  <c r="BP80" i="12"/>
  <c r="BO80" i="12"/>
  <c r="BM82" i="12"/>
  <c r="BL82" i="12"/>
  <c r="BK82" i="12"/>
  <c r="BJ82" i="12"/>
  <c r="BM81" i="12"/>
  <c r="BL81" i="12"/>
  <c r="BK81" i="12"/>
  <c r="BJ81" i="12"/>
  <c r="BM80" i="12"/>
  <c r="BL80" i="12"/>
  <c r="BK80" i="12"/>
  <c r="BJ80" i="12"/>
  <c r="BH82" i="12"/>
  <c r="BG82" i="12"/>
  <c r="BF82" i="12"/>
  <c r="BE82" i="12"/>
  <c r="BC82" i="12"/>
  <c r="BB82" i="12"/>
  <c r="BA82" i="12"/>
  <c r="AZ82" i="12"/>
  <c r="AX82" i="12"/>
  <c r="AX312" i="12" s="1"/>
  <c r="AW82" i="12"/>
  <c r="AW312" i="12" s="1"/>
  <c r="AV82" i="12"/>
  <c r="AV312" i="12" s="1"/>
  <c r="AU82" i="12"/>
  <c r="AU312" i="12" s="1"/>
  <c r="AT82" i="12"/>
  <c r="BH81" i="12"/>
  <c r="BG81" i="12"/>
  <c r="BF81" i="12"/>
  <c r="BE81" i="12"/>
  <c r="BC81" i="12"/>
  <c r="BB81" i="12"/>
  <c r="BA81" i="12"/>
  <c r="AZ81" i="12"/>
  <c r="AX81" i="12"/>
  <c r="AX311" i="12" s="1"/>
  <c r="AW81" i="12"/>
  <c r="AV81" i="12"/>
  <c r="AV311" i="12" s="1"/>
  <c r="AU81" i="12"/>
  <c r="AT81" i="12"/>
  <c r="AS80" i="12"/>
  <c r="AR80" i="12"/>
  <c r="AQ80" i="12"/>
  <c r="AP80" i="12"/>
  <c r="AN80" i="12"/>
  <c r="AM80" i="12"/>
  <c r="AL80" i="12"/>
  <c r="AK80" i="12"/>
  <c r="AI80" i="12"/>
  <c r="AH80" i="12"/>
  <c r="AG80" i="12"/>
  <c r="AF80" i="12"/>
  <c r="AD80" i="12"/>
  <c r="AC80" i="12"/>
  <c r="AB80" i="12"/>
  <c r="AA80" i="12"/>
  <c r="Y80" i="12"/>
  <c r="X80" i="12"/>
  <c r="W80" i="12"/>
  <c r="V80" i="12"/>
  <c r="T80" i="12"/>
  <c r="T310" i="12" s="1"/>
  <c r="S80" i="12"/>
  <c r="S310" i="12" s="1"/>
  <c r="R80" i="12"/>
  <c r="R310" i="12" s="1"/>
  <c r="Q80" i="12"/>
  <c r="Q310" i="12" s="1"/>
  <c r="BV80" i="12"/>
  <c r="BV77" i="12"/>
  <c r="CA307" i="12" s="1"/>
  <c r="BX78" i="12"/>
  <c r="CC308" i="12" s="1"/>
  <c r="BX66" i="12"/>
  <c r="BU77" i="12"/>
  <c r="BZ307" i="12" s="1"/>
  <c r="BT77" i="12"/>
  <c r="BY307" i="12" s="1"/>
  <c r="BR77" i="12"/>
  <c r="BW307" i="12" s="1"/>
  <c r="BQ77" i="12"/>
  <c r="BP77" i="12"/>
  <c r="BO77" i="12"/>
  <c r="BM77" i="12"/>
  <c r="BL77" i="12"/>
  <c r="BK77" i="12"/>
  <c r="BJ77" i="12"/>
  <c r="BI77" i="12"/>
  <c r="BH77" i="12"/>
  <c r="BX64" i="12"/>
  <c r="CC294" i="12" s="1"/>
  <c r="BV59" i="12"/>
  <c r="BX58" i="12"/>
  <c r="BX55" i="12"/>
  <c r="CC285" i="12" s="1"/>
  <c r="BX54" i="12"/>
  <c r="CC284" i="12" s="1"/>
  <c r="BX52" i="12"/>
  <c r="CC282" i="12" s="1"/>
  <c r="BX51" i="12"/>
  <c r="CC281" i="12" s="1"/>
  <c r="BN76" i="12"/>
  <c r="BN75" i="12"/>
  <c r="BN73" i="12"/>
  <c r="BN72" i="12"/>
  <c r="BN70" i="12"/>
  <c r="BN69" i="12"/>
  <c r="BN67" i="12"/>
  <c r="BN66" i="12"/>
  <c r="BN64" i="12"/>
  <c r="BN63" i="12"/>
  <c r="BN61" i="12"/>
  <c r="BN60" i="12"/>
  <c r="BN58" i="12"/>
  <c r="BN57" i="12"/>
  <c r="BN55" i="12"/>
  <c r="BN54" i="12"/>
  <c r="BN52" i="12"/>
  <c r="BN51" i="12"/>
  <c r="BI76" i="12"/>
  <c r="BI75" i="12"/>
  <c r="BI73" i="12"/>
  <c r="BI72" i="12"/>
  <c r="BI302" i="12" s="1"/>
  <c r="BI70" i="12"/>
  <c r="BI69" i="12"/>
  <c r="BI67" i="12"/>
  <c r="BI66" i="12"/>
  <c r="BI64" i="12"/>
  <c r="BI63" i="12"/>
  <c r="BI61" i="12"/>
  <c r="BI60" i="12"/>
  <c r="BI58" i="12"/>
  <c r="BI57" i="12"/>
  <c r="BI55" i="12"/>
  <c r="BI54" i="12"/>
  <c r="BI52" i="12"/>
  <c r="BI51" i="12"/>
  <c r="BU74" i="12"/>
  <c r="BT74" i="12"/>
  <c r="BY304" i="12" s="1"/>
  <c r="BR74" i="12"/>
  <c r="BQ74" i="12"/>
  <c r="BP74" i="12"/>
  <c r="BO74" i="12"/>
  <c r="BM74" i="12"/>
  <c r="BL74" i="12"/>
  <c r="BL304" i="12" s="1"/>
  <c r="BK74" i="12"/>
  <c r="BK304" i="12" s="1"/>
  <c r="BJ74" i="12"/>
  <c r="BH74" i="12"/>
  <c r="BU71" i="12"/>
  <c r="BU14" i="10" s="1"/>
  <c r="BT71" i="12"/>
  <c r="BR71" i="12"/>
  <c r="BR14" i="10" s="1"/>
  <c r="BQ71" i="12"/>
  <c r="BQ14" i="10" s="1"/>
  <c r="BP71" i="12"/>
  <c r="BP14" i="10" s="1"/>
  <c r="BO71" i="12"/>
  <c r="BO14" i="10" s="1"/>
  <c r="BM71" i="12"/>
  <c r="BM14" i="10" s="1"/>
  <c r="BL71" i="12"/>
  <c r="BL14" i="10" s="1"/>
  <c r="BK71" i="12"/>
  <c r="BK14" i="10" s="1"/>
  <c r="BJ71" i="12"/>
  <c r="BJ14" i="10" s="1"/>
  <c r="BH71" i="12"/>
  <c r="BH14" i="10" s="1"/>
  <c r="BG71" i="12"/>
  <c r="BG14" i="10" s="1"/>
  <c r="AS71" i="12"/>
  <c r="AX301" i="12" s="1"/>
  <c r="AR71" i="12"/>
  <c r="AW301" i="12" s="1"/>
  <c r="AQ71" i="12"/>
  <c r="AV301" i="12" s="1"/>
  <c r="AP71" i="12"/>
  <c r="AU301" i="12" s="1"/>
  <c r="BD70" i="12"/>
  <c r="BD69" i="12"/>
  <c r="BD67" i="12"/>
  <c r="BD66" i="12"/>
  <c r="BD64" i="12"/>
  <c r="BD63" i="12"/>
  <c r="BD61" i="12"/>
  <c r="BD60" i="12"/>
  <c r="BD58" i="12"/>
  <c r="BD57" i="12"/>
  <c r="BD55" i="12"/>
  <c r="BD54" i="12"/>
  <c r="BD52" i="12"/>
  <c r="BD51" i="12"/>
  <c r="AY70" i="12"/>
  <c r="AY69" i="12"/>
  <c r="AY67" i="12"/>
  <c r="AY66" i="12"/>
  <c r="AY64" i="12"/>
  <c r="AY63" i="12"/>
  <c r="AY61" i="12"/>
  <c r="AY60" i="12"/>
  <c r="AY58" i="12"/>
  <c r="AY57" i="12"/>
  <c r="AY55" i="12"/>
  <c r="AY54" i="12"/>
  <c r="AY52" i="12"/>
  <c r="AY51" i="12"/>
  <c r="AT70" i="12"/>
  <c r="AT69" i="12"/>
  <c r="AT67" i="12"/>
  <c r="AT66" i="12"/>
  <c r="AT64" i="12"/>
  <c r="AT63" i="12"/>
  <c r="AT61" i="12"/>
  <c r="AT60" i="12"/>
  <c r="AT58" i="12"/>
  <c r="AT57" i="12"/>
  <c r="AT55" i="12"/>
  <c r="AT54" i="12"/>
  <c r="AT52" i="12"/>
  <c r="AT51" i="12"/>
  <c r="BU68" i="12"/>
  <c r="BU15" i="10" s="1"/>
  <c r="BT68" i="12"/>
  <c r="BR68" i="12"/>
  <c r="BR15" i="10" s="1"/>
  <c r="BQ68" i="12"/>
  <c r="BQ15" i="10" s="1"/>
  <c r="BP68" i="12"/>
  <c r="BP15" i="10" s="1"/>
  <c r="BO68" i="12"/>
  <c r="BO15" i="10" s="1"/>
  <c r="BM68" i="12"/>
  <c r="BM15" i="10" s="1"/>
  <c r="BL68" i="12"/>
  <c r="BL15" i="10" s="1"/>
  <c r="BK68" i="12"/>
  <c r="BK15" i="10" s="1"/>
  <c r="BJ68" i="12"/>
  <c r="BJ15" i="10" s="1"/>
  <c r="BH68" i="12"/>
  <c r="BH15" i="10" s="1"/>
  <c r="BG68" i="12"/>
  <c r="BG15" i="10" s="1"/>
  <c r="BF68" i="12"/>
  <c r="BF15" i="10" s="1"/>
  <c r="BE68" i="12"/>
  <c r="BE15" i="10" s="1"/>
  <c r="BC68" i="12"/>
  <c r="BC15" i="10" s="1"/>
  <c r="BB68" i="12"/>
  <c r="BB15" i="10" s="1"/>
  <c r="BA68" i="12"/>
  <c r="BA15" i="10" s="1"/>
  <c r="AZ68" i="12"/>
  <c r="AZ15" i="10" s="1"/>
  <c r="AX68" i="12"/>
  <c r="AX15" i="10" s="1"/>
  <c r="AW68" i="12"/>
  <c r="AW15" i="10" s="1"/>
  <c r="AV68" i="12"/>
  <c r="AV15" i="10" s="1"/>
  <c r="AU68" i="12"/>
  <c r="AU15" i="10" s="1"/>
  <c r="AS68" i="12"/>
  <c r="AS15" i="10" s="1"/>
  <c r="AR68" i="12"/>
  <c r="AR15" i="10" s="1"/>
  <c r="AQ68" i="12"/>
  <c r="AQ15" i="10" s="1"/>
  <c r="AP68" i="12"/>
  <c r="AP15" i="10" s="1"/>
  <c r="BU65" i="12"/>
  <c r="BT65" i="12"/>
  <c r="BR65" i="12"/>
  <c r="BW295" i="12" s="1"/>
  <c r="BQ65" i="12"/>
  <c r="BP65" i="12"/>
  <c r="BO65" i="12"/>
  <c r="BM65" i="12"/>
  <c r="BL65" i="12"/>
  <c r="BK65" i="12"/>
  <c r="BJ65" i="12"/>
  <c r="BH65" i="12"/>
  <c r="BG65" i="12"/>
  <c r="BF65" i="12"/>
  <c r="BE65" i="12"/>
  <c r="BC65" i="12"/>
  <c r="BB65" i="12"/>
  <c r="BA65" i="12"/>
  <c r="AZ65" i="12"/>
  <c r="AX65" i="12"/>
  <c r="AW65" i="12"/>
  <c r="AV65" i="12"/>
  <c r="AU65" i="12"/>
  <c r="AS65" i="12"/>
  <c r="AR65" i="12"/>
  <c r="AQ65" i="12"/>
  <c r="AP65" i="12"/>
  <c r="AO64" i="12"/>
  <c r="AO63" i="12"/>
  <c r="AO61" i="12"/>
  <c r="AO60" i="12"/>
  <c r="AO58" i="12"/>
  <c r="AO57" i="12"/>
  <c r="AO55" i="12"/>
  <c r="AO54" i="12"/>
  <c r="AO52" i="12"/>
  <c r="AO51" i="12"/>
  <c r="AJ64" i="12"/>
  <c r="AJ63" i="12"/>
  <c r="AJ61" i="12"/>
  <c r="AJ60" i="12"/>
  <c r="AJ58" i="12"/>
  <c r="AJ57" i="12"/>
  <c r="AJ55" i="12"/>
  <c r="AJ54" i="12"/>
  <c r="AJ52" i="12"/>
  <c r="AJ51" i="12"/>
  <c r="AE64" i="12"/>
  <c r="AE63" i="12"/>
  <c r="AE61" i="12"/>
  <c r="AE60" i="12"/>
  <c r="AE58" i="12"/>
  <c r="AE57" i="12"/>
  <c r="AE55" i="12"/>
  <c r="AE54" i="12"/>
  <c r="AE52" i="12"/>
  <c r="AE51" i="12"/>
  <c r="Z64" i="12"/>
  <c r="Z63" i="12"/>
  <c r="Z61" i="12"/>
  <c r="Z60" i="12"/>
  <c r="Z58" i="12"/>
  <c r="Z57" i="12"/>
  <c r="Z55" i="12"/>
  <c r="Z54" i="12"/>
  <c r="Z52" i="12"/>
  <c r="Z51" i="12"/>
  <c r="U64" i="12"/>
  <c r="U294" i="12" s="1"/>
  <c r="U63" i="12"/>
  <c r="U293" i="12" s="1"/>
  <c r="U61" i="12"/>
  <c r="U291" i="12" s="1"/>
  <c r="U60" i="12"/>
  <c r="U290" i="12" s="1"/>
  <c r="U58" i="12"/>
  <c r="U288" i="12" s="1"/>
  <c r="U57" i="12"/>
  <c r="U287" i="12" s="1"/>
  <c r="U55" i="12"/>
  <c r="U285" i="12" s="1"/>
  <c r="U54" i="12"/>
  <c r="U284" i="12" s="1"/>
  <c r="U52" i="12"/>
  <c r="U282" i="12" s="1"/>
  <c r="U51" i="12"/>
  <c r="U281" i="12" s="1"/>
  <c r="BU62" i="12"/>
  <c r="BZ292" i="12" s="1"/>
  <c r="BT62" i="12"/>
  <c r="BY292" i="12" s="1"/>
  <c r="BR62" i="12"/>
  <c r="BW292" i="12" s="1"/>
  <c r="BQ62" i="12"/>
  <c r="BP62" i="12"/>
  <c r="BO62" i="12"/>
  <c r="BM62" i="12"/>
  <c r="BL62" i="12"/>
  <c r="BK62" i="12"/>
  <c r="BJ62" i="12"/>
  <c r="BH62" i="12"/>
  <c r="BG62" i="12"/>
  <c r="BF62" i="12"/>
  <c r="BE62" i="12"/>
  <c r="BC62" i="12"/>
  <c r="BB62" i="12"/>
  <c r="BA62" i="12"/>
  <c r="AZ62" i="12"/>
  <c r="AX62" i="12"/>
  <c r="AW62" i="12"/>
  <c r="AV62" i="12"/>
  <c r="AU62" i="12"/>
  <c r="AS62" i="12"/>
  <c r="AR62" i="12"/>
  <c r="AQ62" i="12"/>
  <c r="AP62" i="12"/>
  <c r="AN62" i="12"/>
  <c r="AM62" i="12"/>
  <c r="AL62" i="12"/>
  <c r="AK62" i="12"/>
  <c r="AI62" i="12"/>
  <c r="AH62" i="12"/>
  <c r="AG62" i="12"/>
  <c r="AF62" i="12"/>
  <c r="AD62" i="12"/>
  <c r="AC62" i="12"/>
  <c r="AB62" i="12"/>
  <c r="AA62" i="12"/>
  <c r="Y62" i="12"/>
  <c r="X62" i="12"/>
  <c r="W62" i="12"/>
  <c r="V62" i="12"/>
  <c r="T62" i="12"/>
  <c r="T292" i="12" s="1"/>
  <c r="S62" i="12"/>
  <c r="S292" i="12" s="1"/>
  <c r="R62" i="12"/>
  <c r="R292" i="12" s="1"/>
  <c r="Q62" i="12"/>
  <c r="Q292" i="12" s="1"/>
  <c r="BU59" i="12"/>
  <c r="BZ289" i="12" s="1"/>
  <c r="BT59" i="12"/>
  <c r="BY289" i="12" s="1"/>
  <c r="BR59" i="12"/>
  <c r="BW289" i="12" s="1"/>
  <c r="BQ59" i="12"/>
  <c r="BP59" i="12"/>
  <c r="BO59" i="12"/>
  <c r="BM59" i="12"/>
  <c r="BL59" i="12"/>
  <c r="BK59" i="12"/>
  <c r="BJ59" i="12"/>
  <c r="BH59" i="12"/>
  <c r="BG59" i="12"/>
  <c r="BF59" i="12"/>
  <c r="BE59" i="12"/>
  <c r="BC59" i="12"/>
  <c r="BB59" i="12"/>
  <c r="BA59" i="12"/>
  <c r="AZ59" i="12"/>
  <c r="AX59" i="12"/>
  <c r="AW59" i="12"/>
  <c r="AV59" i="12"/>
  <c r="AU59" i="12"/>
  <c r="AS59" i="12"/>
  <c r="AR59" i="12"/>
  <c r="AQ59" i="12"/>
  <c r="AP59" i="12"/>
  <c r="AN59" i="12"/>
  <c r="AM59" i="12"/>
  <c r="AL59" i="12"/>
  <c r="AK59" i="12"/>
  <c r="AI59" i="12"/>
  <c r="AH59" i="12"/>
  <c r="AG59" i="12"/>
  <c r="AF59" i="12"/>
  <c r="AD59" i="12"/>
  <c r="AC59" i="12"/>
  <c r="AB59" i="12"/>
  <c r="AA59" i="12"/>
  <c r="Y59" i="12"/>
  <c r="X59" i="12"/>
  <c r="W59" i="12"/>
  <c r="V59" i="12"/>
  <c r="T59" i="12"/>
  <c r="T289" i="12" s="1"/>
  <c r="S59" i="12"/>
  <c r="S289" i="12" s="1"/>
  <c r="R59" i="12"/>
  <c r="R289" i="12" s="1"/>
  <c r="Q59" i="12"/>
  <c r="Q289" i="12" s="1"/>
  <c r="BU56" i="12"/>
  <c r="BT56" i="12"/>
  <c r="BR56" i="12"/>
  <c r="BW286" i="12" s="1"/>
  <c r="BQ56" i="12"/>
  <c r="BP56" i="12"/>
  <c r="BO56" i="12"/>
  <c r="BM56" i="12"/>
  <c r="BL56" i="12"/>
  <c r="BK56" i="12"/>
  <c r="BJ56" i="12"/>
  <c r="BH56" i="12"/>
  <c r="BG56" i="12"/>
  <c r="BF56" i="12"/>
  <c r="BE56" i="12"/>
  <c r="BC56" i="12"/>
  <c r="BB56" i="12"/>
  <c r="BA56" i="12"/>
  <c r="AZ56" i="12"/>
  <c r="AX56" i="12"/>
  <c r="AW56" i="12"/>
  <c r="AV56" i="12"/>
  <c r="AU56" i="12"/>
  <c r="AS56" i="12"/>
  <c r="AR56" i="12"/>
  <c r="AQ56" i="12"/>
  <c r="AP56" i="12"/>
  <c r="AN56" i="12"/>
  <c r="AM56" i="12"/>
  <c r="AL56" i="12"/>
  <c r="AK56" i="12"/>
  <c r="AI56" i="12"/>
  <c r="AH56" i="12"/>
  <c r="AG56" i="12"/>
  <c r="AF56" i="12"/>
  <c r="AD56" i="12"/>
  <c r="AC56" i="12"/>
  <c r="AB56" i="12"/>
  <c r="AA56" i="12"/>
  <c r="Y56" i="12"/>
  <c r="X56" i="12"/>
  <c r="W56" i="12"/>
  <c r="V56" i="12"/>
  <c r="T56" i="12"/>
  <c r="T286" i="12" s="1"/>
  <c r="S56" i="12"/>
  <c r="S286" i="12" s="1"/>
  <c r="R56" i="12"/>
  <c r="R286" i="12" s="1"/>
  <c r="Q56" i="12"/>
  <c r="Q286" i="12" s="1"/>
  <c r="BU53" i="12"/>
  <c r="BU18" i="10" s="1"/>
  <c r="BT53" i="12"/>
  <c r="BR53" i="12"/>
  <c r="BR18" i="10" s="1"/>
  <c r="BQ53" i="12"/>
  <c r="BQ18" i="10" s="1"/>
  <c r="BP53" i="12"/>
  <c r="BP18" i="10" s="1"/>
  <c r="BO53" i="12"/>
  <c r="BO18" i="10" s="1"/>
  <c r="BM53" i="12"/>
  <c r="BM18" i="10" s="1"/>
  <c r="BL53" i="12"/>
  <c r="BL18" i="10" s="1"/>
  <c r="BK53" i="12"/>
  <c r="BK18" i="10" s="1"/>
  <c r="BJ53" i="12"/>
  <c r="BJ18" i="10" s="1"/>
  <c r="BH53" i="12"/>
  <c r="BH18" i="10" s="1"/>
  <c r="BG53" i="12"/>
  <c r="BG18" i="10" s="1"/>
  <c r="BF53" i="12"/>
  <c r="BF18" i="10" s="1"/>
  <c r="BE53" i="12"/>
  <c r="BE18" i="10" s="1"/>
  <c r="BC53" i="12"/>
  <c r="BC18" i="10" s="1"/>
  <c r="BB53" i="12"/>
  <c r="BB18" i="10" s="1"/>
  <c r="BA53" i="12"/>
  <c r="BA18" i="10" s="1"/>
  <c r="AZ53" i="12"/>
  <c r="AZ18" i="10" s="1"/>
  <c r="AX53" i="12"/>
  <c r="AX18" i="10" s="1"/>
  <c r="AW53" i="12"/>
  <c r="AW18" i="10" s="1"/>
  <c r="AV53" i="12"/>
  <c r="AV18" i="10" s="1"/>
  <c r="AU53" i="12"/>
  <c r="AU18" i="10" s="1"/>
  <c r="AS53" i="12"/>
  <c r="AS18" i="10" s="1"/>
  <c r="AR53" i="12"/>
  <c r="AR18" i="10" s="1"/>
  <c r="AQ53" i="12"/>
  <c r="AQ18" i="10" s="1"/>
  <c r="AP53" i="12"/>
  <c r="AP18" i="10" s="1"/>
  <c r="AN53" i="12"/>
  <c r="AN18" i="10" s="1"/>
  <c r="AM53" i="12"/>
  <c r="AM18" i="10" s="1"/>
  <c r="AL53" i="12"/>
  <c r="AL18" i="10" s="1"/>
  <c r="AK53" i="12"/>
  <c r="AK18" i="10" s="1"/>
  <c r="AI53" i="12"/>
  <c r="AI18" i="10" s="1"/>
  <c r="AH53" i="12"/>
  <c r="AH18" i="10" s="1"/>
  <c r="AG53" i="12"/>
  <c r="AG18" i="10" s="1"/>
  <c r="AF53" i="12"/>
  <c r="AF18" i="10" s="1"/>
  <c r="AD53" i="12"/>
  <c r="AD18" i="10" s="1"/>
  <c r="AC53" i="12"/>
  <c r="AC18" i="10" s="1"/>
  <c r="AB53" i="12"/>
  <c r="AB18" i="10" s="1"/>
  <c r="AA53" i="12"/>
  <c r="AA18" i="10" s="1"/>
  <c r="Y53" i="12"/>
  <c r="Y18" i="10" s="1"/>
  <c r="X53" i="12"/>
  <c r="X18" i="10" s="1"/>
  <c r="W53" i="12"/>
  <c r="W18" i="10" s="1"/>
  <c r="V53" i="12"/>
  <c r="V18" i="10" s="1"/>
  <c r="T53" i="12"/>
  <c r="T18" i="10" s="1"/>
  <c r="S53" i="12"/>
  <c r="S18" i="10" s="1"/>
  <c r="R53" i="12"/>
  <c r="R18" i="10" s="1"/>
  <c r="Q53" i="12"/>
  <c r="Q18" i="10" s="1"/>
  <c r="BU50" i="12"/>
  <c r="BU17" i="10" s="1"/>
  <c r="BT50" i="12"/>
  <c r="BR50" i="12"/>
  <c r="BR17" i="10" s="1"/>
  <c r="BQ50" i="12"/>
  <c r="BQ17" i="10" s="1"/>
  <c r="BP50" i="12"/>
  <c r="BP17" i="10" s="1"/>
  <c r="BO50" i="12"/>
  <c r="BO17" i="10" s="1"/>
  <c r="BM50" i="12"/>
  <c r="BM17" i="10" s="1"/>
  <c r="BL50" i="12"/>
  <c r="BL17" i="10" s="1"/>
  <c r="BK50" i="12"/>
  <c r="BK17" i="10" s="1"/>
  <c r="BJ50" i="12"/>
  <c r="BJ17" i="10" s="1"/>
  <c r="BH50" i="12"/>
  <c r="BH17" i="10" s="1"/>
  <c r="BG50" i="12"/>
  <c r="BG17" i="10" s="1"/>
  <c r="BF50" i="12"/>
  <c r="BF17" i="10" s="1"/>
  <c r="BE50" i="12"/>
  <c r="BE17" i="10" s="1"/>
  <c r="BC50" i="12"/>
  <c r="BC17" i="10" s="1"/>
  <c r="BB50" i="12"/>
  <c r="BB17" i="10" s="1"/>
  <c r="BA50" i="12"/>
  <c r="BA17" i="10" s="1"/>
  <c r="AZ50" i="12"/>
  <c r="AZ17" i="10" s="1"/>
  <c r="AX50" i="12"/>
  <c r="AX17" i="10" s="1"/>
  <c r="AW50" i="12"/>
  <c r="AW17" i="10" s="1"/>
  <c r="AV50" i="12"/>
  <c r="AV17" i="10" s="1"/>
  <c r="AU50" i="12"/>
  <c r="AU17" i="10" s="1"/>
  <c r="BU47" i="12"/>
  <c r="BZ277" i="12" s="1"/>
  <c r="BT47" i="12"/>
  <c r="BY277" i="12" s="1"/>
  <c r="BR47" i="12"/>
  <c r="BW277" i="12" s="1"/>
  <c r="BQ47" i="12"/>
  <c r="BP47" i="12"/>
  <c r="BO47" i="12"/>
  <c r="BM47" i="12"/>
  <c r="BL47" i="12"/>
  <c r="BK47" i="12"/>
  <c r="BJ47" i="12"/>
  <c r="BH47" i="12"/>
  <c r="BG47" i="12"/>
  <c r="BF47" i="12"/>
  <c r="BE47" i="12"/>
  <c r="BC47" i="12"/>
  <c r="BB47" i="12"/>
  <c r="BA47" i="12"/>
  <c r="AZ47" i="12"/>
  <c r="AX47" i="12"/>
  <c r="AW47" i="12"/>
  <c r="AV47" i="12"/>
  <c r="AU47" i="12"/>
  <c r="AS50" i="12"/>
  <c r="AS17" i="10" s="1"/>
  <c r="AR50" i="12"/>
  <c r="AR17" i="10" s="1"/>
  <c r="AQ50" i="12"/>
  <c r="AQ17" i="10" s="1"/>
  <c r="AP50" i="12"/>
  <c r="AP17" i="10" s="1"/>
  <c r="AR49" i="12"/>
  <c r="AQ49" i="12"/>
  <c r="AP49" i="12"/>
  <c r="AS48" i="12"/>
  <c r="AR48" i="12"/>
  <c r="AQ48" i="12"/>
  <c r="AP48" i="12"/>
  <c r="AN50" i="12"/>
  <c r="AN17" i="10" s="1"/>
  <c r="AM50" i="12"/>
  <c r="AM17" i="10" s="1"/>
  <c r="AL50" i="12"/>
  <c r="AL17" i="10" s="1"/>
  <c r="AK50" i="12"/>
  <c r="AK17" i="10" s="1"/>
  <c r="AN49" i="12"/>
  <c r="AM49" i="12"/>
  <c r="AL49" i="12"/>
  <c r="AK49" i="12"/>
  <c r="AN48" i="12"/>
  <c r="AM48" i="12"/>
  <c r="AL48" i="12"/>
  <c r="AK48" i="12"/>
  <c r="AI50" i="12"/>
  <c r="AI17" i="10" s="1"/>
  <c r="AH50" i="12"/>
  <c r="AH17" i="10" s="1"/>
  <c r="AG50" i="12"/>
  <c r="AG17" i="10" s="1"/>
  <c r="AF50" i="12"/>
  <c r="AF17" i="10" s="1"/>
  <c r="AI49" i="12"/>
  <c r="AH49" i="12"/>
  <c r="AG49" i="12"/>
  <c r="AF49" i="12"/>
  <c r="AI48" i="12"/>
  <c r="AH48" i="12"/>
  <c r="AG48" i="12"/>
  <c r="AF48" i="12"/>
  <c r="AD50" i="12"/>
  <c r="AD17" i="10" s="1"/>
  <c r="AC50" i="12"/>
  <c r="AC17" i="10" s="1"/>
  <c r="AB50" i="12"/>
  <c r="AB17" i="10" s="1"/>
  <c r="AA50" i="12"/>
  <c r="AA17" i="10" s="1"/>
  <c r="AD49" i="12"/>
  <c r="AC49" i="12"/>
  <c r="AB49" i="12"/>
  <c r="AA49" i="12"/>
  <c r="AD48" i="12"/>
  <c r="AC48" i="12"/>
  <c r="AB48" i="12"/>
  <c r="AA48" i="12"/>
  <c r="Y50" i="12"/>
  <c r="Y17" i="10" s="1"/>
  <c r="X50" i="12"/>
  <c r="X17" i="10" s="1"/>
  <c r="W50" i="12"/>
  <c r="W17" i="10" s="1"/>
  <c r="V50" i="12"/>
  <c r="V17" i="10" s="1"/>
  <c r="Y49" i="12"/>
  <c r="X49" i="12"/>
  <c r="W49" i="12"/>
  <c r="V49" i="12"/>
  <c r="Y48" i="12"/>
  <c r="X48" i="12"/>
  <c r="W48" i="12"/>
  <c r="V48" i="12"/>
  <c r="T50" i="12"/>
  <c r="T17" i="10" s="1"/>
  <c r="S50" i="12"/>
  <c r="S17" i="10" s="1"/>
  <c r="R50" i="12"/>
  <c r="R17" i="10" s="1"/>
  <c r="Q50" i="12"/>
  <c r="Q17" i="10" s="1"/>
  <c r="T49" i="12"/>
  <c r="T279" i="12" s="1"/>
  <c r="S49" i="12"/>
  <c r="S279" i="12" s="1"/>
  <c r="R49" i="12"/>
  <c r="R279" i="12" s="1"/>
  <c r="Q49" i="12"/>
  <c r="Q279" i="12" s="1"/>
  <c r="T48" i="12"/>
  <c r="T278" i="12" s="1"/>
  <c r="S48" i="12"/>
  <c r="S278" i="12" s="1"/>
  <c r="R48" i="12"/>
  <c r="R278" i="12" s="1"/>
  <c r="Q48" i="12"/>
  <c r="Q278" i="12" s="1"/>
  <c r="AO45" i="12"/>
  <c r="AO44" i="12"/>
  <c r="AO42" i="12"/>
  <c r="AO39" i="12"/>
  <c r="AO38" i="12"/>
  <c r="AJ45" i="12"/>
  <c r="AJ44" i="12"/>
  <c r="AJ42" i="12"/>
  <c r="AJ39" i="12"/>
  <c r="AJ38" i="12"/>
  <c r="AE45" i="12"/>
  <c r="AE44" i="12"/>
  <c r="AE42" i="12"/>
  <c r="AE41" i="12"/>
  <c r="AE39" i="12"/>
  <c r="AE38" i="12"/>
  <c r="Z45" i="12"/>
  <c r="Z42" i="12"/>
  <c r="Z40" i="12" s="1"/>
  <c r="U45" i="12"/>
  <c r="U275" i="12" s="1"/>
  <c r="U44" i="12"/>
  <c r="U274" i="12" s="1"/>
  <c r="U42" i="12"/>
  <c r="U272" i="12" s="1"/>
  <c r="Y44" i="12"/>
  <c r="AD274" i="12" s="1"/>
  <c r="AN43" i="12"/>
  <c r="AM43" i="12"/>
  <c r="AL43" i="12"/>
  <c r="AK43" i="12"/>
  <c r="AI43" i="12"/>
  <c r="AH43" i="12"/>
  <c r="AG43" i="12"/>
  <c r="AF43" i="12"/>
  <c r="AD43" i="12"/>
  <c r="AC43" i="12"/>
  <c r="AB43" i="12"/>
  <c r="AA43" i="12"/>
  <c r="X43" i="12"/>
  <c r="W43" i="12"/>
  <c r="V43" i="12"/>
  <c r="T43" i="12"/>
  <c r="T273" i="12" s="1"/>
  <c r="S43" i="12"/>
  <c r="S273" i="12" s="1"/>
  <c r="R43" i="12"/>
  <c r="R273" i="12" s="1"/>
  <c r="Q43" i="12"/>
  <c r="Q273" i="12" s="1"/>
  <c r="AN40" i="12"/>
  <c r="AM40" i="12"/>
  <c r="AL40" i="12"/>
  <c r="AK40" i="12"/>
  <c r="AI40" i="12"/>
  <c r="AH40" i="12"/>
  <c r="AG40" i="12"/>
  <c r="AF40" i="12"/>
  <c r="AD40" i="12"/>
  <c r="AC40" i="12"/>
  <c r="AB40" i="12"/>
  <c r="AA40" i="12"/>
  <c r="Y40" i="12"/>
  <c r="X40" i="12"/>
  <c r="W40" i="12"/>
  <c r="V40" i="12"/>
  <c r="T40" i="12"/>
  <c r="T270" i="12" s="1"/>
  <c r="S40" i="12"/>
  <c r="S270" i="12" s="1"/>
  <c r="R40" i="12"/>
  <c r="R270" i="12" s="1"/>
  <c r="Q40" i="12"/>
  <c r="Q270" i="12" s="1"/>
  <c r="AY39" i="12"/>
  <c r="AY38" i="12"/>
  <c r="AY36" i="12"/>
  <c r="AY35" i="12"/>
  <c r="AY30" i="12"/>
  <c r="AY29" i="12"/>
  <c r="AY27" i="12"/>
  <c r="AY26" i="12"/>
  <c r="AY24" i="12"/>
  <c r="AY23" i="12"/>
  <c r="AY21" i="12"/>
  <c r="AY20" i="12"/>
  <c r="AT39" i="12"/>
  <c r="AT38" i="12"/>
  <c r="Z39" i="12"/>
  <c r="Z38" i="12"/>
  <c r="U39" i="12"/>
  <c r="U269" i="12" s="1"/>
  <c r="U38" i="12"/>
  <c r="U268" i="12" s="1"/>
  <c r="AX37" i="12"/>
  <c r="AW37" i="12"/>
  <c r="AV37" i="12"/>
  <c r="AU37" i="12"/>
  <c r="AS37" i="12"/>
  <c r="AR37" i="12"/>
  <c r="AQ37" i="12"/>
  <c r="AP37" i="12"/>
  <c r="AN37" i="12"/>
  <c r="AM37" i="12"/>
  <c r="AL37" i="12"/>
  <c r="AK37" i="12"/>
  <c r="AI37" i="12"/>
  <c r="AH37" i="12"/>
  <c r="AG37" i="12"/>
  <c r="AF37" i="12"/>
  <c r="AD37" i="12"/>
  <c r="AC37" i="12"/>
  <c r="AB37" i="12"/>
  <c r="AA37" i="12"/>
  <c r="Y37" i="12"/>
  <c r="X37" i="12"/>
  <c r="W37" i="12"/>
  <c r="V37" i="12"/>
  <c r="T37" i="12"/>
  <c r="T267" i="12" s="1"/>
  <c r="S37" i="12"/>
  <c r="S267" i="12" s="1"/>
  <c r="R37" i="12"/>
  <c r="R267" i="12" s="1"/>
  <c r="Q37" i="12"/>
  <c r="Q267" i="12" s="1"/>
  <c r="BD36" i="12"/>
  <c r="BD35" i="12"/>
  <c r="BD30" i="12"/>
  <c r="BD29" i="12"/>
  <c r="BD259" i="12" s="1"/>
  <c r="BD27" i="12"/>
  <c r="BD26" i="12"/>
  <c r="BD256" i="12" s="1"/>
  <c r="BD24" i="12"/>
  <c r="BD23" i="12"/>
  <c r="BD21" i="12"/>
  <c r="BD20" i="12"/>
  <c r="BE34" i="12"/>
  <c r="BE33" i="12"/>
  <c r="BE32" i="12"/>
  <c r="AT33" i="12"/>
  <c r="AT32" i="12"/>
  <c r="AT30" i="12"/>
  <c r="AT29" i="12"/>
  <c r="AT27" i="12"/>
  <c r="AT26" i="12"/>
  <c r="AT24" i="12"/>
  <c r="AT23" i="12"/>
  <c r="AT21" i="12"/>
  <c r="AT20" i="12"/>
  <c r="AO33" i="12"/>
  <c r="AO32" i="12"/>
  <c r="AO30" i="12"/>
  <c r="AO29" i="12"/>
  <c r="AO27" i="12"/>
  <c r="AO26" i="12"/>
  <c r="AO24" i="12"/>
  <c r="AO23" i="12"/>
  <c r="AO21" i="12"/>
  <c r="AO20" i="12"/>
  <c r="AJ33" i="12"/>
  <c r="AJ32" i="12"/>
  <c r="AJ30" i="12"/>
  <c r="AJ29" i="12"/>
  <c r="AJ27" i="12"/>
  <c r="AJ26" i="12"/>
  <c r="AJ24" i="12"/>
  <c r="AJ23" i="12"/>
  <c r="AJ21" i="12"/>
  <c r="AJ20" i="12"/>
  <c r="AE33" i="12"/>
  <c r="AE32" i="12"/>
  <c r="AE30" i="12"/>
  <c r="AE29" i="12"/>
  <c r="AE27" i="12"/>
  <c r="AE26" i="12"/>
  <c r="AE24" i="12"/>
  <c r="AE23" i="12"/>
  <c r="AE21" i="12"/>
  <c r="AE20" i="12"/>
  <c r="Z33" i="12"/>
  <c r="Z32" i="12"/>
  <c r="Z30" i="12"/>
  <c r="Z29" i="12"/>
  <c r="Z27" i="12"/>
  <c r="Z26" i="12"/>
  <c r="Z24" i="12"/>
  <c r="Z23" i="12"/>
  <c r="Z21" i="12"/>
  <c r="Z20" i="12"/>
  <c r="U33" i="12"/>
  <c r="U263" i="12" s="1"/>
  <c r="U32" i="12"/>
  <c r="U262" i="12" s="1"/>
  <c r="U30" i="12"/>
  <c r="U260" i="12" s="1"/>
  <c r="U29" i="12"/>
  <c r="U259" i="12" s="1"/>
  <c r="U27" i="12"/>
  <c r="U257" i="12" s="1"/>
  <c r="U26" i="12"/>
  <c r="U256" i="12" s="1"/>
  <c r="U24" i="12"/>
  <c r="U254" i="12" s="1"/>
  <c r="U23" i="12"/>
  <c r="U253" i="12" s="1"/>
  <c r="U21" i="12"/>
  <c r="U251" i="12" s="1"/>
  <c r="U20" i="12"/>
  <c r="U250" i="12" s="1"/>
  <c r="BU33" i="12"/>
  <c r="BZ33" i="12" s="1"/>
  <c r="BZ17" i="12" s="1"/>
  <c r="BT33" i="12"/>
  <c r="BY263" i="12" s="1"/>
  <c r="BR33" i="12"/>
  <c r="BW263" i="12" s="1"/>
  <c r="BQ33" i="12"/>
  <c r="BV263" i="12" s="1"/>
  <c r="BP33" i="12"/>
  <c r="BO33" i="12"/>
  <c r="BM33" i="12"/>
  <c r="BL33" i="12"/>
  <c r="BK33" i="12"/>
  <c r="BJ33" i="12"/>
  <c r="BH33" i="12"/>
  <c r="BG33" i="12"/>
  <c r="BF33" i="12"/>
  <c r="BU32" i="12"/>
  <c r="BT32" i="12"/>
  <c r="BY262" i="12" s="1"/>
  <c r="BR32" i="12"/>
  <c r="BW262" i="12" s="1"/>
  <c r="BQ32" i="12"/>
  <c r="BP32" i="12"/>
  <c r="BO32" i="12"/>
  <c r="BM32" i="12"/>
  <c r="BL32" i="12"/>
  <c r="BK32" i="12"/>
  <c r="BJ32" i="12"/>
  <c r="BH32" i="12"/>
  <c r="BG32" i="12"/>
  <c r="BF32" i="12"/>
  <c r="BC34" i="12"/>
  <c r="BB34" i="12"/>
  <c r="BA34" i="12"/>
  <c r="AZ34" i="12"/>
  <c r="BC33" i="12"/>
  <c r="BB33" i="12"/>
  <c r="BA33" i="12"/>
  <c r="AZ33" i="12"/>
  <c r="BC32" i="12"/>
  <c r="BB32" i="12"/>
  <c r="BB31" i="12" s="1"/>
  <c r="BA32" i="12"/>
  <c r="BA31" i="12" s="1"/>
  <c r="AZ32" i="12"/>
  <c r="AZ31" i="12" s="1"/>
  <c r="AX34" i="12"/>
  <c r="AW34" i="12"/>
  <c r="AV34" i="12"/>
  <c r="AU34" i="12"/>
  <c r="AX33" i="12"/>
  <c r="AX263" i="12" s="1"/>
  <c r="AW33" i="12"/>
  <c r="AW263" i="12" s="1"/>
  <c r="AV33" i="12"/>
  <c r="AV263" i="12" s="1"/>
  <c r="AU33" i="12"/>
  <c r="AU263" i="12" s="1"/>
  <c r="AX32" i="12"/>
  <c r="AX262" i="12" s="1"/>
  <c r="AW32" i="12"/>
  <c r="AW262" i="12" s="1"/>
  <c r="AV32" i="12"/>
  <c r="AV262" i="12" s="1"/>
  <c r="AU32" i="12"/>
  <c r="AU262" i="12" s="1"/>
  <c r="AV31" i="12"/>
  <c r="AS31" i="12"/>
  <c r="AR31" i="12"/>
  <c r="AQ31" i="12"/>
  <c r="AP31" i="12"/>
  <c r="AN31" i="12"/>
  <c r="AM31" i="12"/>
  <c r="AL31" i="12"/>
  <c r="AK31" i="12"/>
  <c r="AI31" i="12"/>
  <c r="AH31" i="12"/>
  <c r="AG31" i="12"/>
  <c r="AF31" i="12"/>
  <c r="AD31" i="12"/>
  <c r="AC31" i="12"/>
  <c r="AB31" i="12"/>
  <c r="AA31" i="12"/>
  <c r="Y31" i="12"/>
  <c r="X31" i="12"/>
  <c r="W31" i="12"/>
  <c r="V31" i="12"/>
  <c r="T31" i="12"/>
  <c r="T261" i="12" s="1"/>
  <c r="S31" i="12"/>
  <c r="S261" i="12" s="1"/>
  <c r="R31" i="12"/>
  <c r="R261" i="12" s="1"/>
  <c r="Q31" i="12"/>
  <c r="Q261" i="12" s="1"/>
  <c r="BS30" i="12"/>
  <c r="BS29" i="12"/>
  <c r="BS27" i="12"/>
  <c r="BS26" i="12"/>
  <c r="BS24" i="12"/>
  <c r="BS23" i="12"/>
  <c r="BS21" i="12"/>
  <c r="BS20" i="12"/>
  <c r="BN30" i="12"/>
  <c r="BN29" i="12"/>
  <c r="BN27" i="12"/>
  <c r="BN26" i="12"/>
  <c r="BN24" i="12"/>
  <c r="BN23" i="12"/>
  <c r="BN21" i="12"/>
  <c r="BN20" i="12"/>
  <c r="BI30" i="12"/>
  <c r="BI29" i="12"/>
  <c r="BI27" i="12"/>
  <c r="BI26" i="12"/>
  <c r="BI24" i="12"/>
  <c r="BI23" i="12"/>
  <c r="BI21" i="12"/>
  <c r="BI20" i="12"/>
  <c r="BU28" i="12"/>
  <c r="BZ258" i="12" s="1"/>
  <c r="BT28" i="12"/>
  <c r="BY258" i="12" s="1"/>
  <c r="BR28" i="12"/>
  <c r="BW258" i="12" s="1"/>
  <c r="BQ28" i="12"/>
  <c r="BP28" i="12"/>
  <c r="BO28" i="12"/>
  <c r="BM28" i="12"/>
  <c r="BL28" i="12"/>
  <c r="BK28" i="12"/>
  <c r="BJ28" i="12"/>
  <c r="BH28" i="12"/>
  <c r="BG28" i="12"/>
  <c r="BF28" i="12"/>
  <c r="BE28" i="12"/>
  <c r="BC28" i="12"/>
  <c r="BB28" i="12"/>
  <c r="BA28" i="12"/>
  <c r="AZ28" i="12"/>
  <c r="AX28" i="12"/>
  <c r="AW28" i="12"/>
  <c r="AV28" i="12"/>
  <c r="AU28" i="12"/>
  <c r="AS28" i="12"/>
  <c r="AR28" i="12"/>
  <c r="AQ28" i="12"/>
  <c r="AP28" i="12"/>
  <c r="AN28" i="12"/>
  <c r="AM28" i="12"/>
  <c r="AL28" i="12"/>
  <c r="AK28" i="12"/>
  <c r="AI28" i="12"/>
  <c r="AH28" i="12"/>
  <c r="AG28" i="12"/>
  <c r="AF28" i="12"/>
  <c r="AD28" i="12"/>
  <c r="AC28" i="12"/>
  <c r="AB28" i="12"/>
  <c r="AA28" i="12"/>
  <c r="Y28" i="12"/>
  <c r="X28" i="12"/>
  <c r="W28" i="12"/>
  <c r="V28" i="12"/>
  <c r="T28" i="12"/>
  <c r="T258" i="12" s="1"/>
  <c r="S28" i="12"/>
  <c r="S258" i="12" s="1"/>
  <c r="R28" i="12"/>
  <c r="R258" i="12" s="1"/>
  <c r="Q28" i="12"/>
  <c r="Q258" i="12" s="1"/>
  <c r="BU25" i="12"/>
  <c r="BU16" i="10" s="1"/>
  <c r="BT25" i="12"/>
  <c r="BR25" i="12"/>
  <c r="BR16" i="10" s="1"/>
  <c r="BQ25" i="12"/>
  <c r="BQ16" i="10" s="1"/>
  <c r="BP25" i="12"/>
  <c r="BP16" i="10" s="1"/>
  <c r="BO25" i="12"/>
  <c r="BO16" i="10" s="1"/>
  <c r="BM25" i="12"/>
  <c r="BM16" i="10" s="1"/>
  <c r="BL25" i="12"/>
  <c r="BL16" i="10" s="1"/>
  <c r="BK25" i="12"/>
  <c r="BK16" i="10" s="1"/>
  <c r="BJ25" i="12"/>
  <c r="BJ16" i="10" s="1"/>
  <c r="BH25" i="12"/>
  <c r="BH16" i="10" s="1"/>
  <c r="BG25" i="12"/>
  <c r="BG16" i="10" s="1"/>
  <c r="BF25" i="12"/>
  <c r="BF16" i="10" s="1"/>
  <c r="BE25" i="12"/>
  <c r="BE16" i="10" s="1"/>
  <c r="BC25" i="12"/>
  <c r="BC16" i="10" s="1"/>
  <c r="BB25" i="12"/>
  <c r="BB16" i="10" s="1"/>
  <c r="BA25" i="12"/>
  <c r="BA16" i="10" s="1"/>
  <c r="AZ25" i="12"/>
  <c r="AZ16" i="10" s="1"/>
  <c r="AX25" i="12"/>
  <c r="AX16" i="10" s="1"/>
  <c r="AW25" i="12"/>
  <c r="AW16" i="10" s="1"/>
  <c r="AV25" i="12"/>
  <c r="AV16" i="10" s="1"/>
  <c r="AU25" i="12"/>
  <c r="AU16" i="10" s="1"/>
  <c r="AS25" i="12"/>
  <c r="AS16" i="10" s="1"/>
  <c r="AR25" i="12"/>
  <c r="AR16" i="10" s="1"/>
  <c r="AQ25" i="12"/>
  <c r="AQ16" i="10" s="1"/>
  <c r="AP25" i="12"/>
  <c r="AP16" i="10" s="1"/>
  <c r="AN25" i="12"/>
  <c r="AN16" i="10" s="1"/>
  <c r="AM25" i="12"/>
  <c r="AM16" i="10" s="1"/>
  <c r="AL25" i="12"/>
  <c r="AL16" i="10" s="1"/>
  <c r="AK25" i="12"/>
  <c r="AK16" i="10" s="1"/>
  <c r="AI25" i="12"/>
  <c r="AI16" i="10" s="1"/>
  <c r="AH25" i="12"/>
  <c r="AH16" i="10" s="1"/>
  <c r="AG25" i="12"/>
  <c r="AG16" i="10" s="1"/>
  <c r="AF25" i="12"/>
  <c r="AF16" i="10" s="1"/>
  <c r="AD25" i="12"/>
  <c r="AD16" i="10" s="1"/>
  <c r="AC25" i="12"/>
  <c r="AC16" i="10" s="1"/>
  <c r="AB25" i="12"/>
  <c r="AB16" i="10" s="1"/>
  <c r="AA25" i="12"/>
  <c r="AA16" i="10" s="1"/>
  <c r="Y25" i="12"/>
  <c r="Y16" i="10" s="1"/>
  <c r="X25" i="12"/>
  <c r="X16" i="10" s="1"/>
  <c r="W25" i="12"/>
  <c r="W16" i="10" s="1"/>
  <c r="V25" i="12"/>
  <c r="V16" i="10" s="1"/>
  <c r="T25" i="12"/>
  <c r="T16" i="10" s="1"/>
  <c r="S25" i="12"/>
  <c r="S16" i="10" s="1"/>
  <c r="R25" i="12"/>
  <c r="R16" i="10" s="1"/>
  <c r="Q25" i="12"/>
  <c r="Q16" i="10" s="1"/>
  <c r="BU22" i="12"/>
  <c r="BZ252" i="12" s="1"/>
  <c r="BT22" i="12"/>
  <c r="BY252" i="12" s="1"/>
  <c r="BR22" i="12"/>
  <c r="BW252" i="12" s="1"/>
  <c r="BQ22" i="12"/>
  <c r="BP22" i="12"/>
  <c r="BO22" i="12"/>
  <c r="BM22" i="12"/>
  <c r="BL22" i="12"/>
  <c r="BK22" i="12"/>
  <c r="BJ22" i="12"/>
  <c r="BH22" i="12"/>
  <c r="BG22" i="12"/>
  <c r="BF22" i="12"/>
  <c r="BE22" i="12"/>
  <c r="BC22" i="12"/>
  <c r="BB22" i="12"/>
  <c r="BA22" i="12"/>
  <c r="AZ22" i="12"/>
  <c r="AX22" i="12"/>
  <c r="AW22" i="12"/>
  <c r="AV22" i="12"/>
  <c r="AU22" i="12"/>
  <c r="AS22" i="12"/>
  <c r="AR22" i="12"/>
  <c r="AQ22" i="12"/>
  <c r="AP22" i="12"/>
  <c r="AN22" i="12"/>
  <c r="AM22" i="12"/>
  <c r="AL22" i="12"/>
  <c r="AK22" i="12"/>
  <c r="AI22" i="12"/>
  <c r="AH22" i="12"/>
  <c r="AG22" i="12"/>
  <c r="AF22" i="12"/>
  <c r="AD22" i="12"/>
  <c r="AC22" i="12"/>
  <c r="AB22" i="12"/>
  <c r="AA22" i="12"/>
  <c r="Y22" i="12"/>
  <c r="X22" i="12"/>
  <c r="W22" i="12"/>
  <c r="V22" i="12"/>
  <c r="T22" i="12"/>
  <c r="T252" i="12" s="1"/>
  <c r="S22" i="12"/>
  <c r="S252" i="12" s="1"/>
  <c r="R22" i="12"/>
  <c r="R252" i="12" s="1"/>
  <c r="Q22" i="12"/>
  <c r="Q252" i="12" s="1"/>
  <c r="BU19" i="12"/>
  <c r="BZ249" i="12" s="1"/>
  <c r="BT19" i="12"/>
  <c r="BY249" i="12" s="1"/>
  <c r="BR19" i="12"/>
  <c r="BW249" i="12" s="1"/>
  <c r="BQ19" i="12"/>
  <c r="BP19" i="12"/>
  <c r="BO19" i="12"/>
  <c r="BR18" i="12"/>
  <c r="BW248" i="12" s="1"/>
  <c r="BQ18" i="12"/>
  <c r="BP18" i="12"/>
  <c r="BO18" i="12"/>
  <c r="BM19" i="12"/>
  <c r="BL19" i="12"/>
  <c r="BK19" i="12"/>
  <c r="BJ19" i="12"/>
  <c r="BM18" i="12"/>
  <c r="BL18" i="12"/>
  <c r="BK18" i="12"/>
  <c r="BJ18" i="12"/>
  <c r="BH19" i="12"/>
  <c r="BH13" i="10" s="1"/>
  <c r="BG19" i="12"/>
  <c r="BG13" i="10" s="1"/>
  <c r="BF19" i="12"/>
  <c r="BF13" i="10" s="1"/>
  <c r="BE19" i="12"/>
  <c r="BE13" i="10" s="1"/>
  <c r="BH18" i="12"/>
  <c r="BG18" i="12"/>
  <c r="BF18" i="12"/>
  <c r="BE18" i="12"/>
  <c r="BC19" i="12"/>
  <c r="BB19" i="12"/>
  <c r="BB18" i="12" s="1"/>
  <c r="BA19" i="12"/>
  <c r="BA18" i="12" s="1"/>
  <c r="AZ19" i="12"/>
  <c r="AZ18" i="12" s="1"/>
  <c r="AX19" i="12"/>
  <c r="AW19" i="12"/>
  <c r="AW18" i="12" s="1"/>
  <c r="AV19" i="12"/>
  <c r="AU19" i="12"/>
  <c r="BV28" i="12"/>
  <c r="BV25" i="12"/>
  <c r="BV16" i="10" s="1"/>
  <c r="BU15" i="12"/>
  <c r="BT15" i="12"/>
  <c r="BR15" i="12"/>
  <c r="BQ15" i="12"/>
  <c r="BP15" i="12"/>
  <c r="BO15" i="12"/>
  <c r="BM15" i="12"/>
  <c r="BL15" i="12"/>
  <c r="BK15" i="12"/>
  <c r="BJ15" i="12"/>
  <c r="BH15" i="12"/>
  <c r="BG15" i="12"/>
  <c r="BF15" i="12"/>
  <c r="BE15" i="12"/>
  <c r="BC15" i="12"/>
  <c r="BB15" i="12"/>
  <c r="BA15" i="12"/>
  <c r="AZ15" i="12"/>
  <c r="AX15" i="12"/>
  <c r="AW15" i="12"/>
  <c r="AV15" i="12"/>
  <c r="AU15" i="12"/>
  <c r="AS19" i="12"/>
  <c r="AR19" i="12"/>
  <c r="AQ19" i="12"/>
  <c r="AQ18" i="12" s="1"/>
  <c r="AP19" i="12"/>
  <c r="AS18" i="12"/>
  <c r="AS17" i="12"/>
  <c r="AR17" i="12"/>
  <c r="AQ17" i="12"/>
  <c r="AP17" i="12"/>
  <c r="AS16" i="12"/>
  <c r="AR16" i="12"/>
  <c r="AQ16" i="12"/>
  <c r="AP16" i="12"/>
  <c r="AN19" i="12"/>
  <c r="AM19" i="12"/>
  <c r="AL19" i="12"/>
  <c r="AK19" i="12"/>
  <c r="AN17" i="12"/>
  <c r="AM17" i="12"/>
  <c r="AL17" i="12"/>
  <c r="AK17" i="12"/>
  <c r="AN16" i="12"/>
  <c r="AM16" i="12"/>
  <c r="AL16" i="12"/>
  <c r="AK16" i="12"/>
  <c r="AI19" i="12"/>
  <c r="AH19" i="12"/>
  <c r="AG19" i="12"/>
  <c r="AF19" i="12"/>
  <c r="AI17" i="12"/>
  <c r="AH17" i="12"/>
  <c r="AG17" i="12"/>
  <c r="AF17" i="12"/>
  <c r="AI16" i="12"/>
  <c r="AH16" i="12"/>
  <c r="AG16" i="12"/>
  <c r="AF16" i="12"/>
  <c r="AD19" i="12"/>
  <c r="AC19" i="12"/>
  <c r="AB19" i="12"/>
  <c r="AA19" i="12"/>
  <c r="AD17" i="12"/>
  <c r="AC17" i="12"/>
  <c r="AB17" i="12"/>
  <c r="AA17" i="12"/>
  <c r="AD16" i="12"/>
  <c r="AC16" i="12"/>
  <c r="AB16" i="12"/>
  <c r="AA16" i="12"/>
  <c r="Y19" i="12"/>
  <c r="X19" i="12"/>
  <c r="W19" i="12"/>
  <c r="W18" i="12" s="1"/>
  <c r="V19" i="12"/>
  <c r="Y18" i="12"/>
  <c r="Y17" i="12"/>
  <c r="X17" i="12"/>
  <c r="W17" i="12"/>
  <c r="V17" i="12"/>
  <c r="X16" i="12"/>
  <c r="W16" i="12"/>
  <c r="V16" i="12"/>
  <c r="T19" i="12"/>
  <c r="T249" i="12" s="1"/>
  <c r="S19" i="12"/>
  <c r="S249" i="12" s="1"/>
  <c r="R19" i="12"/>
  <c r="R249" i="12" s="1"/>
  <c r="Q19" i="12"/>
  <c r="Q249" i="12" s="1"/>
  <c r="T17" i="12"/>
  <c r="T247" i="12" s="1"/>
  <c r="S17" i="12"/>
  <c r="S247" i="12" s="1"/>
  <c r="R17" i="12"/>
  <c r="R247" i="12" s="1"/>
  <c r="Q17" i="12"/>
  <c r="Q247" i="12" s="1"/>
  <c r="T16" i="12"/>
  <c r="T246" i="12" s="1"/>
  <c r="S16" i="12"/>
  <c r="S246" i="12" s="1"/>
  <c r="R16" i="12"/>
  <c r="R246" i="12" s="1"/>
  <c r="Q16" i="12"/>
  <c r="Q246" i="12" s="1"/>
  <c r="CH9" i="12"/>
  <c r="CG9" i="12"/>
  <c r="CF9" i="12"/>
  <c r="CE9" i="12"/>
  <c r="CD9" i="12"/>
  <c r="CB9" i="12"/>
  <c r="CA9" i="12"/>
  <c r="BZ9" i="12"/>
  <c r="BY9" i="12"/>
  <c r="BX9" i="12"/>
  <c r="BW9" i="12"/>
  <c r="BV9" i="12"/>
  <c r="BU9" i="12"/>
  <c r="BT9" i="12"/>
  <c r="BS9" i="12"/>
  <c r="BR9" i="12"/>
  <c r="BQ9" i="12"/>
  <c r="BP9" i="12"/>
  <c r="BO9" i="12"/>
  <c r="BN9" i="12"/>
  <c r="BM9" i="12"/>
  <c r="BL9" i="12"/>
  <c r="BK9" i="12"/>
  <c r="BJ9" i="12"/>
  <c r="BI9" i="12"/>
  <c r="BH9" i="12"/>
  <c r="BG9" i="12"/>
  <c r="BF9" i="12"/>
  <c r="BE9" i="12"/>
  <c r="BD9" i="12"/>
  <c r="BC9" i="12"/>
  <c r="BB9" i="12"/>
  <c r="BA9" i="12"/>
  <c r="AZ9" i="12"/>
  <c r="AY9" i="12"/>
  <c r="AX9" i="12"/>
  <c r="AW9" i="12"/>
  <c r="AV9" i="12"/>
  <c r="AU9" i="12"/>
  <c r="AT9" i="12"/>
  <c r="AS9" i="12"/>
  <c r="AR9" i="12"/>
  <c r="AQ9" i="12"/>
  <c r="AP9" i="12"/>
  <c r="AO9" i="12"/>
  <c r="AN9" i="12"/>
  <c r="AM9" i="12"/>
  <c r="AL9" i="12"/>
  <c r="AK9" i="12"/>
  <c r="AJ9" i="12"/>
  <c r="AI9" i="12"/>
  <c r="AH9" i="12"/>
  <c r="AG9" i="12"/>
  <c r="AF9" i="12"/>
  <c r="AE9" i="12"/>
  <c r="AD9" i="12"/>
  <c r="AC9" i="12"/>
  <c r="AB9" i="12"/>
  <c r="AA9" i="12"/>
  <c r="Z9" i="12"/>
  <c r="Y9" i="12"/>
  <c r="X9" i="12"/>
  <c r="W9" i="12"/>
  <c r="V9" i="12"/>
  <c r="U9" i="12"/>
  <c r="T9" i="12"/>
  <c r="S9" i="12"/>
  <c r="R9" i="12"/>
  <c r="Q9" i="12"/>
  <c r="P9" i="12"/>
  <c r="O9" i="12"/>
  <c r="N9" i="12"/>
  <c r="M9" i="12"/>
  <c r="L9" i="12"/>
  <c r="J6" i="12"/>
  <c r="J5" i="12"/>
  <c r="U108" i="12" l="1"/>
  <c r="U338" i="12" s="1"/>
  <c r="AC18" i="12"/>
  <c r="AM18" i="12"/>
  <c r="BM123" i="15"/>
  <c r="BM132" i="15" s="1"/>
  <c r="AZ145" i="15"/>
  <c r="AI18" i="12"/>
  <c r="CD46" i="15"/>
  <c r="BO49" i="15"/>
  <c r="AS100" i="15"/>
  <c r="AX88" i="15"/>
  <c r="AX94" i="15" s="1"/>
  <c r="AD97" i="15"/>
  <c r="AE97" i="15" s="1"/>
  <c r="AI97" i="15"/>
  <c r="AJ97" i="15" s="1"/>
  <c r="BM97" i="15"/>
  <c r="AG18" i="12"/>
  <c r="BO11" i="12"/>
  <c r="AS49" i="12"/>
  <c r="AF24" i="15"/>
  <c r="AF30" i="15" s="1"/>
  <c r="BD35" i="15"/>
  <c r="Q123" i="15"/>
  <c r="Q132" i="15" s="1"/>
  <c r="BE123" i="15"/>
  <c r="BE132" i="15" s="1"/>
  <c r="BO123" i="15"/>
  <c r="BO132" i="15" s="1"/>
  <c r="U107" i="4"/>
  <c r="BO124" i="15"/>
  <c r="BO131" i="15" s="1"/>
  <c r="AG123" i="15"/>
  <c r="AG132" i="15" s="1"/>
  <c r="BK123" i="15"/>
  <c r="BK132" i="15" s="1"/>
  <c r="BQ123" i="15"/>
  <c r="BQ132" i="15" s="1"/>
  <c r="AJ145" i="15"/>
  <c r="BT145" i="15"/>
  <c r="AK47" i="12"/>
  <c r="BH29" i="15"/>
  <c r="AH100" i="15"/>
  <c r="AO107" i="4"/>
  <c r="BI107" i="4"/>
  <c r="BS107" i="4"/>
  <c r="AR15" i="12"/>
  <c r="BI254" i="12"/>
  <c r="BI257" i="12"/>
  <c r="BI260" i="12"/>
  <c r="AJ124" i="12"/>
  <c r="BD124" i="12"/>
  <c r="BN118" i="12"/>
  <c r="BN13" i="10" s="1"/>
  <c r="BH133" i="12"/>
  <c r="BM133" i="12"/>
  <c r="BM363" i="12" s="1"/>
  <c r="BP133" i="12"/>
  <c r="AE143" i="12"/>
  <c r="AE20" i="10" s="1"/>
  <c r="BI146" i="12"/>
  <c r="BJ184" i="12"/>
  <c r="AJ206" i="12"/>
  <c r="AO206" i="12"/>
  <c r="BN212" i="12"/>
  <c r="Q47" i="12"/>
  <c r="Q277" i="12" s="1"/>
  <c r="V106" i="12"/>
  <c r="AA106" i="12"/>
  <c r="AK106" i="12"/>
  <c r="BI378" i="12"/>
  <c r="T178" i="12"/>
  <c r="T408" i="12" s="1"/>
  <c r="AJ180" i="12"/>
  <c r="AG178" i="12"/>
  <c r="BB184" i="12"/>
  <c r="BS35" i="15"/>
  <c r="R100" i="15"/>
  <c r="AP100" i="15"/>
  <c r="BC88" i="15"/>
  <c r="Y97" i="15"/>
  <c r="Z97" i="15" s="1"/>
  <c r="AN97" i="15"/>
  <c r="AX97" i="15"/>
  <c r="AY97" i="15" s="1"/>
  <c r="BH97" i="15"/>
  <c r="BH100" i="15" s="1"/>
  <c r="BR97" i="15"/>
  <c r="BS97" i="15" s="1"/>
  <c r="U104" i="15"/>
  <c r="BL123" i="15"/>
  <c r="BL132" i="15" s="1"/>
  <c r="BP123" i="15"/>
  <c r="BP132" i="15" s="1"/>
  <c r="BR123" i="15"/>
  <c r="BR132" i="15" s="1"/>
  <c r="N150" i="15"/>
  <c r="AI29" i="15"/>
  <c r="AN40" i="15"/>
  <c r="AN35" i="15" s="1"/>
  <c r="AS40" i="15"/>
  <c r="AJ28" i="12"/>
  <c r="AY50" i="12"/>
  <c r="AY17" i="10" s="1"/>
  <c r="AE80" i="12"/>
  <c r="Q99" i="4"/>
  <c r="AA99" i="4"/>
  <c r="O95" i="4"/>
  <c r="O78" i="4"/>
  <c r="V99" i="4"/>
  <c r="S15" i="12"/>
  <c r="S245" i="12" s="1"/>
  <c r="BT16" i="10"/>
  <c r="BY255" i="12"/>
  <c r="AE19" i="12"/>
  <c r="AE31" i="12"/>
  <c r="X18" i="12"/>
  <c r="X47" i="12"/>
  <c r="BT17" i="10"/>
  <c r="BY280" i="12"/>
  <c r="BT18" i="10"/>
  <c r="BY283" i="12"/>
  <c r="AO53" i="12"/>
  <c r="BT15" i="10"/>
  <c r="BY298" i="12"/>
  <c r="AT53" i="12"/>
  <c r="AT18" i="10" s="1"/>
  <c r="AT62" i="12"/>
  <c r="AT65" i="12"/>
  <c r="AT68" i="12"/>
  <c r="AT15" i="10" s="1"/>
  <c r="BN53" i="12"/>
  <c r="BN18" i="10" s="1"/>
  <c r="BN59" i="12"/>
  <c r="AD47" i="12"/>
  <c r="AQ47" i="12"/>
  <c r="BS56" i="12"/>
  <c r="Z49" i="12"/>
  <c r="AF137" i="12"/>
  <c r="AP137" i="12"/>
  <c r="AC178" i="12"/>
  <c r="BA411" i="12"/>
  <c r="BC411" i="12"/>
  <c r="AL178" i="12"/>
  <c r="AL408" i="12" s="1"/>
  <c r="Z181" i="12"/>
  <c r="U187" i="12"/>
  <c r="U417" i="12" s="1"/>
  <c r="Y178" i="12"/>
  <c r="Z190" i="12"/>
  <c r="Z193" i="12"/>
  <c r="U197" i="12"/>
  <c r="U427" i="12" s="1"/>
  <c r="AE21" i="10"/>
  <c r="AJ21" i="10"/>
  <c r="W15" i="12"/>
  <c r="BT14" i="10"/>
  <c r="BY301" i="12"/>
  <c r="BT19" i="10"/>
  <c r="BY345" i="12"/>
  <c r="BT13" i="10"/>
  <c r="BY348" i="12"/>
  <c r="BT20" i="10"/>
  <c r="BY373" i="12"/>
  <c r="Y123" i="15"/>
  <c r="Y132" i="15" s="1"/>
  <c r="AM123" i="15"/>
  <c r="AM132" i="15" s="1"/>
  <c r="BA123" i="15"/>
  <c r="BA132" i="15" s="1"/>
  <c r="L145" i="15"/>
  <c r="AP145" i="15"/>
  <c r="BJ145" i="15"/>
  <c r="AF123" i="15"/>
  <c r="AF132" i="15" s="1"/>
  <c r="AZ123" i="15"/>
  <c r="AZ132" i="15" s="1"/>
  <c r="AA145" i="15"/>
  <c r="AO145" i="15"/>
  <c r="P78" i="4"/>
  <c r="P81" i="4"/>
  <c r="U145" i="15"/>
  <c r="BI145" i="15"/>
  <c r="BP11" i="12"/>
  <c r="BI253" i="12"/>
  <c r="BI256" i="12"/>
  <c r="AC15" i="12"/>
  <c r="BD257" i="12"/>
  <c r="BD260" i="12"/>
  <c r="AY25" i="12"/>
  <c r="S47" i="12"/>
  <c r="S277" i="12" s="1"/>
  <c r="AX80" i="12"/>
  <c r="AX310" i="12" s="1"/>
  <c r="AO312" i="12"/>
  <c r="AJ311" i="12"/>
  <c r="BD323" i="12"/>
  <c r="AE95" i="12"/>
  <c r="AO95" i="12"/>
  <c r="AO115" i="12"/>
  <c r="AO19" i="10" s="1"/>
  <c r="BX361" i="12"/>
  <c r="CC361" i="12"/>
  <c r="AJ133" i="12"/>
  <c r="S137" i="12"/>
  <c r="S367" i="12" s="1"/>
  <c r="AA137" i="12"/>
  <c r="AC137" i="12"/>
  <c r="AT149" i="12"/>
  <c r="AE166" i="12"/>
  <c r="AE164" i="12" s="1"/>
  <c r="W178" i="12"/>
  <c r="AT184" i="12"/>
  <c r="BC184" i="12"/>
  <c r="BF184" i="12"/>
  <c r="BK184" i="12"/>
  <c r="BG184" i="12"/>
  <c r="BG414" i="12" s="1"/>
  <c r="BO184" i="12"/>
  <c r="AJ184" i="12"/>
  <c r="AJ178" i="12" s="1"/>
  <c r="AO411" i="12"/>
  <c r="V178" i="12"/>
  <c r="X178" i="12"/>
  <c r="AE206" i="12"/>
  <c r="AJ436" i="12" s="1"/>
  <c r="AT206" i="12"/>
  <c r="AT21" i="10" s="1"/>
  <c r="AG15" i="12"/>
  <c r="AH18" i="12"/>
  <c r="AR18" i="12"/>
  <c r="AW248" i="12" s="1"/>
  <c r="V47" i="12"/>
  <c r="AA47" i="12"/>
  <c r="BQ11" i="12"/>
  <c r="BQ12" i="10" s="1"/>
  <c r="BX362" i="12"/>
  <c r="CC362" i="12"/>
  <c r="AZ133" i="12"/>
  <c r="BL133" i="12"/>
  <c r="BT11" i="12"/>
  <c r="BT12" i="10" s="1"/>
  <c r="BE124" i="15"/>
  <c r="BE131" i="15" s="1"/>
  <c r="Q124" i="15"/>
  <c r="Q131" i="15" s="1"/>
  <c r="AK124" i="15"/>
  <c r="AK131" i="15" s="1"/>
  <c r="N156" i="15"/>
  <c r="W123" i="15"/>
  <c r="W132" i="15" s="1"/>
  <c r="AC123" i="15"/>
  <c r="AC132" i="15" s="1"/>
  <c r="AI123" i="15"/>
  <c r="AI132" i="15" s="1"/>
  <c r="AQ123" i="15"/>
  <c r="AQ132" i="15" s="1"/>
  <c r="AW123" i="15"/>
  <c r="AW132" i="15" s="1"/>
  <c r="BC123" i="15"/>
  <c r="BC132" i="15" s="1"/>
  <c r="N145" i="15"/>
  <c r="V145" i="15"/>
  <c r="AF145" i="15"/>
  <c r="AT145" i="15"/>
  <c r="BN145" i="15"/>
  <c r="BN160" i="15" s="1"/>
  <c r="AE222" i="12"/>
  <c r="AJ225" i="12"/>
  <c r="AH329" i="12"/>
  <c r="BS30" i="15"/>
  <c r="BS97" i="4" s="1"/>
  <c r="BS99" i="4" s="1"/>
  <c r="BX128" i="15"/>
  <c r="BX197" i="15"/>
  <c r="BT30" i="15"/>
  <c r="BW24" i="15"/>
  <c r="BT123" i="15"/>
  <c r="BT132" i="15" s="1"/>
  <c r="BX123" i="15"/>
  <c r="BX132" i="15" s="1"/>
  <c r="BX205" i="15"/>
  <c r="BX181" i="15"/>
  <c r="AZ124" i="15"/>
  <c r="AZ131" i="15" s="1"/>
  <c r="AF124" i="15"/>
  <c r="AF131" i="15" s="1"/>
  <c r="BT124" i="15"/>
  <c r="BT131" i="15" s="1"/>
  <c r="R123" i="15"/>
  <c r="R132" i="15" s="1"/>
  <c r="T123" i="15"/>
  <c r="T132" i="15" s="1"/>
  <c r="X123" i="15"/>
  <c r="X132" i="15" s="1"/>
  <c r="AB123" i="15"/>
  <c r="AB132" i="15" s="1"/>
  <c r="AD123" i="15"/>
  <c r="AD132" i="15" s="1"/>
  <c r="AH123" i="15"/>
  <c r="AH132" i="15" s="1"/>
  <c r="AL123" i="15"/>
  <c r="AL132" i="15" s="1"/>
  <c r="AN123" i="15"/>
  <c r="AN132" i="15" s="1"/>
  <c r="AR123" i="15"/>
  <c r="AR132" i="15" s="1"/>
  <c r="AV123" i="15"/>
  <c r="AV132" i="15" s="1"/>
  <c r="AX123" i="15"/>
  <c r="AX132" i="15" s="1"/>
  <c r="BB123" i="15"/>
  <c r="BB132" i="15" s="1"/>
  <c r="BF124" i="15"/>
  <c r="BF131" i="15" s="1"/>
  <c r="M145" i="15"/>
  <c r="Q145" i="15"/>
  <c r="Q160" i="15" s="1"/>
  <c r="AK145" i="15"/>
  <c r="AU145" i="15"/>
  <c r="BE145" i="15"/>
  <c r="BO145" i="15"/>
  <c r="BO160" i="15" s="1"/>
  <c r="O150" i="15"/>
  <c r="V53" i="15"/>
  <c r="AA53" i="15"/>
  <c r="AF53" i="15"/>
  <c r="AK53" i="15"/>
  <c r="AP53" i="15"/>
  <c r="CC97" i="15"/>
  <c r="CC24" i="15" s="1"/>
  <c r="BV195" i="15"/>
  <c r="BV150" i="15"/>
  <c r="BV145" i="15"/>
  <c r="CE19" i="19"/>
  <c r="CE56" i="19" s="1"/>
  <c r="CF27" i="19"/>
  <c r="BV14" i="19"/>
  <c r="AY17" i="19"/>
  <c r="BW23" i="19"/>
  <c r="AJ32" i="19"/>
  <c r="AB15" i="12"/>
  <c r="AB245" i="12" s="1"/>
  <c r="BI53" i="12"/>
  <c r="BI18" i="10" s="1"/>
  <c r="AV364" i="12"/>
  <c r="AV133" i="12"/>
  <c r="CF18" i="20"/>
  <c r="CF17" i="20" s="1"/>
  <c r="CE18" i="19"/>
  <c r="CE55" i="19" s="1"/>
  <c r="AX100" i="12"/>
  <c r="AX97" i="12"/>
  <c r="AX327" i="12" s="1"/>
  <c r="CC321" i="12"/>
  <c r="BX83" i="12"/>
  <c r="CC313" i="12" s="1"/>
  <c r="AF329" i="12"/>
  <c r="AR178" i="12"/>
  <c r="AN231" i="12"/>
  <c r="AN461" i="12" s="1"/>
  <c r="AN221" i="12"/>
  <c r="AN219" i="12" s="1"/>
  <c r="S18" i="12"/>
  <c r="S248" i="12" s="1"/>
  <c r="X15" i="12"/>
  <c r="AC245" i="12" s="1"/>
  <c r="AH15" i="12"/>
  <c r="AM15" i="12"/>
  <c r="BI250" i="12"/>
  <c r="BI22" i="12"/>
  <c r="BH31" i="12"/>
  <c r="BM31" i="12"/>
  <c r="U25" i="12"/>
  <c r="AO25" i="12"/>
  <c r="AO16" i="10" s="1"/>
  <c r="AT22" i="12"/>
  <c r="BD251" i="12"/>
  <c r="BD254" i="12"/>
  <c r="AB18" i="12"/>
  <c r="AB248" i="12" s="1"/>
  <c r="AD18" i="12"/>
  <c r="AI248" i="12" s="1"/>
  <c r="AN18" i="12"/>
  <c r="AV18" i="12"/>
  <c r="AV248" i="12" s="1"/>
  <c r="AX18" i="12"/>
  <c r="AX248" i="12" s="1"/>
  <c r="Z37" i="12"/>
  <c r="AT268" i="12"/>
  <c r="AY28" i="12"/>
  <c r="AE43" i="12"/>
  <c r="AG47" i="12"/>
  <c r="AN47" i="12"/>
  <c r="AE53" i="12"/>
  <c r="AJ56" i="12"/>
  <c r="BD53" i="12"/>
  <c r="BD18" i="10" s="1"/>
  <c r="AT312" i="12"/>
  <c r="AT80" i="12"/>
  <c r="CH313" i="12"/>
  <c r="U321" i="12"/>
  <c r="U83" i="12"/>
  <c r="U313" i="12" s="1"/>
  <c r="AW95" i="12"/>
  <c r="AH352" i="12"/>
  <c r="AC107" i="12"/>
  <c r="AI353" i="12"/>
  <c r="AD108" i="12"/>
  <c r="AU416" i="12"/>
  <c r="AU184" i="12"/>
  <c r="AU414" i="12" s="1"/>
  <c r="R417" i="12"/>
  <c r="R178" i="12"/>
  <c r="R408" i="12" s="1"/>
  <c r="AY68" i="12"/>
  <c r="AY15" i="10" s="1"/>
  <c r="AP47" i="12"/>
  <c r="BH80" i="12"/>
  <c r="BM310" i="12" s="1"/>
  <c r="Z80" i="12"/>
  <c r="W313" i="12"/>
  <c r="Y313" i="12"/>
  <c r="AE97" i="12"/>
  <c r="AE115" i="12"/>
  <c r="AE19" i="10" s="1"/>
  <c r="AO112" i="12"/>
  <c r="AO108" i="12"/>
  <c r="Z124" i="12"/>
  <c r="AJ121" i="12"/>
  <c r="AO353" i="12"/>
  <c r="BI121" i="12"/>
  <c r="BS124" i="12"/>
  <c r="AK137" i="12"/>
  <c r="AM137" i="12"/>
  <c r="AJ143" i="12"/>
  <c r="AJ20" i="10" s="1"/>
  <c r="AO140" i="12"/>
  <c r="AT381" i="12"/>
  <c r="CF155" i="12"/>
  <c r="BJ411" i="12"/>
  <c r="BR411" i="12"/>
  <c r="AT416" i="12"/>
  <c r="AE184" i="12"/>
  <c r="AO184" i="12"/>
  <c r="AA178" i="12"/>
  <c r="AA408" i="12" s="1"/>
  <c r="AF178" i="12"/>
  <c r="AN178" i="12"/>
  <c r="AO419" i="12"/>
  <c r="BD212" i="12"/>
  <c r="BN209" i="12"/>
  <c r="BN208" i="12"/>
  <c r="BS443" i="12"/>
  <c r="AE231" i="12"/>
  <c r="AO233" i="12"/>
  <c r="AT222" i="12"/>
  <c r="BT11" i="19"/>
  <c r="BV11" i="19"/>
  <c r="BU14" i="19"/>
  <c r="BW14" i="19"/>
  <c r="AJ17" i="19"/>
  <c r="AJ20" i="19"/>
  <c r="AT17" i="19"/>
  <c r="AT20" i="19"/>
  <c r="CC23" i="19"/>
  <c r="CD23" i="19"/>
  <c r="CD26" i="19"/>
  <c r="CE26" i="19"/>
  <c r="AJ195" i="12"/>
  <c r="AE193" i="12"/>
  <c r="AO380" i="12"/>
  <c r="BT398" i="12"/>
  <c r="BT401" i="12"/>
  <c r="BZ404" i="12"/>
  <c r="AU411" i="12"/>
  <c r="AW411" i="12"/>
  <c r="BN411" i="12"/>
  <c r="BV411" i="12"/>
  <c r="BZ184" i="12"/>
  <c r="BZ179" i="12"/>
  <c r="CC186" i="12"/>
  <c r="CC180" i="12" s="1"/>
  <c r="BZ436" i="12"/>
  <c r="R15" i="12"/>
  <c r="R18" i="12"/>
  <c r="R248" i="12" s="1"/>
  <c r="T18" i="12"/>
  <c r="Y16" i="12"/>
  <c r="AL15" i="12"/>
  <c r="CA255" i="12"/>
  <c r="BV255" i="12"/>
  <c r="BW255" i="12"/>
  <c r="BZ255" i="12"/>
  <c r="BN22" i="12"/>
  <c r="BS19" i="12"/>
  <c r="BS18" i="12" s="1"/>
  <c r="BS22" i="12"/>
  <c r="BQ31" i="12"/>
  <c r="BJ262" i="12"/>
  <c r="BV246" i="12"/>
  <c r="BV262" i="12"/>
  <c r="BZ247" i="12"/>
  <c r="Z22" i="12"/>
  <c r="Z256" i="12"/>
  <c r="Z262" i="12"/>
  <c r="AE257" i="12"/>
  <c r="AO257" i="12"/>
  <c r="AO28" i="12"/>
  <c r="BD250" i="12"/>
  <c r="BD253" i="12"/>
  <c r="BD34" i="12"/>
  <c r="BI264" i="12" s="1"/>
  <c r="AY37" i="12"/>
  <c r="AB270" i="12"/>
  <c r="AD270" i="12"/>
  <c r="AA273" i="12"/>
  <c r="Y43" i="12"/>
  <c r="Y273" i="12" s="1"/>
  <c r="AO37" i="12"/>
  <c r="R47" i="12"/>
  <c r="R277" i="12" s="1"/>
  <c r="T47" i="12"/>
  <c r="T277" i="12" s="1"/>
  <c r="W47" i="12"/>
  <c r="W277" i="12" s="1"/>
  <c r="Y47" i="12"/>
  <c r="AB47" i="12"/>
  <c r="AB277" i="12" s="1"/>
  <c r="AF47" i="12"/>
  <c r="AI47" i="12"/>
  <c r="AL47" i="12"/>
  <c r="Z53" i="12"/>
  <c r="Z18" i="10" s="1"/>
  <c r="Z62" i="12"/>
  <c r="BW298" i="12"/>
  <c r="BZ298" i="12"/>
  <c r="AT50" i="12"/>
  <c r="AY65" i="12"/>
  <c r="AY295" i="12" s="1"/>
  <c r="BD62" i="12"/>
  <c r="BI59" i="12"/>
  <c r="BI74" i="12"/>
  <c r="CA289" i="12"/>
  <c r="BV289" i="12"/>
  <c r="BV310" i="12"/>
  <c r="CA310" i="12"/>
  <c r="AV80" i="12"/>
  <c r="AZ80" i="12"/>
  <c r="BS68" i="12"/>
  <c r="BS15" i="10" s="1"/>
  <c r="BS77" i="12"/>
  <c r="AV97" i="12"/>
  <c r="AV327" i="12" s="1"/>
  <c r="AJ101" i="12"/>
  <c r="CC103" i="12"/>
  <c r="CD103" i="12" s="1"/>
  <c r="CE103" i="12" s="1"/>
  <c r="CF103" i="12" s="1"/>
  <c r="CG103" i="12" s="1"/>
  <c r="CH103" i="12" s="1"/>
  <c r="BV345" i="12"/>
  <c r="AE112" i="12"/>
  <c r="BV348" i="12"/>
  <c r="BS349" i="12"/>
  <c r="AT355" i="12"/>
  <c r="BD121" i="12"/>
  <c r="BN350" i="12"/>
  <c r="BR357" i="12"/>
  <c r="BW357" i="12"/>
  <c r="BS130" i="12"/>
  <c r="BT133" i="12"/>
  <c r="CC135" i="12"/>
  <c r="CC108" i="12" s="1"/>
  <c r="BU365" i="12"/>
  <c r="Q139" i="12"/>
  <c r="Q369" i="12" s="1"/>
  <c r="X368" i="12"/>
  <c r="X369" i="12"/>
  <c r="X370" i="12"/>
  <c r="CA376" i="12"/>
  <c r="BV376" i="12"/>
  <c r="U138" i="12"/>
  <c r="U368" i="12" s="1"/>
  <c r="BW373" i="12"/>
  <c r="BZ373" i="12"/>
  <c r="BI377" i="12"/>
  <c r="BN146" i="12"/>
  <c r="BS143" i="12"/>
  <c r="BS20" i="10" s="1"/>
  <c r="BS146" i="12"/>
  <c r="BT149" i="12"/>
  <c r="BY379" i="12" s="1"/>
  <c r="BZ149" i="12"/>
  <c r="BZ138" i="12"/>
  <c r="AJ140" i="12"/>
  <c r="BE156" i="12"/>
  <c r="BE386" i="12" s="1"/>
  <c r="BS155" i="12"/>
  <c r="BX155" i="12"/>
  <c r="CC385" i="12" s="1"/>
  <c r="AE158" i="12"/>
  <c r="BR398" i="12"/>
  <c r="BW398" i="12"/>
  <c r="BR401" i="12"/>
  <c r="BW401" i="12"/>
  <c r="CA404" i="12"/>
  <c r="Q178" i="12"/>
  <c r="Q408" i="12" s="1"/>
  <c r="S178" i="12"/>
  <c r="S408" i="12" s="1"/>
  <c r="AF409" i="12"/>
  <c r="AH409" i="12"/>
  <c r="AJ179" i="12"/>
  <c r="AL409" i="12"/>
  <c r="AN409" i="12"/>
  <c r="AT179" i="12"/>
  <c r="AT409" i="12" s="1"/>
  <c r="AK410" i="12"/>
  <c r="AM410" i="12"/>
  <c r="AO180" i="12"/>
  <c r="AK411" i="12"/>
  <c r="AS411" i="12"/>
  <c r="AT413" i="12"/>
  <c r="BN413" i="12"/>
  <c r="AX184" i="12"/>
  <c r="BR184" i="12"/>
  <c r="BW414" i="12" s="1"/>
  <c r="BV409" i="12"/>
  <c r="BV415" i="12"/>
  <c r="CC185" i="12"/>
  <c r="AE181" i="12"/>
  <c r="V417" i="12"/>
  <c r="X417" i="12"/>
  <c r="AB417" i="12"/>
  <c r="AK417" i="12"/>
  <c r="AO187" i="12"/>
  <c r="AT417" i="12" s="1"/>
  <c r="AS417" i="12"/>
  <c r="AW417" i="12"/>
  <c r="AO197" i="12"/>
  <c r="BY436" i="12"/>
  <c r="BD209" i="12"/>
  <c r="BI443" i="12"/>
  <c r="U220" i="12"/>
  <c r="U221" i="12"/>
  <c r="Z220" i="12"/>
  <c r="Z221" i="12"/>
  <c r="AM221" i="12"/>
  <c r="AM219" i="12" s="1"/>
  <c r="U225" i="12"/>
  <c r="Z222" i="12"/>
  <c r="AM231" i="12"/>
  <c r="U231" i="12"/>
  <c r="BU11" i="19"/>
  <c r="BW11" i="19"/>
  <c r="BT17" i="19"/>
  <c r="BV17" i="19"/>
  <c r="BX17" i="19"/>
  <c r="CD13" i="19"/>
  <c r="CD50" i="19" s="1"/>
  <c r="CF64" i="19"/>
  <c r="CF30" i="19"/>
  <c r="CF29" i="20"/>
  <c r="BR11" i="12"/>
  <c r="BR12" i="10" s="1"/>
  <c r="BW245" i="12"/>
  <c r="CA258" i="12"/>
  <c r="BV258" i="12"/>
  <c r="BT18" i="12"/>
  <c r="BY248" i="12" s="1"/>
  <c r="BU31" i="12"/>
  <c r="BZ32" i="12"/>
  <c r="CC32" i="12" s="1"/>
  <c r="CC33" i="12"/>
  <c r="CC17" i="12" s="1"/>
  <c r="AJ250" i="12"/>
  <c r="AJ256" i="12"/>
  <c r="AT256" i="12"/>
  <c r="AT262" i="12"/>
  <c r="BW280" i="12"/>
  <c r="BZ280" i="12"/>
  <c r="BW283" i="12"/>
  <c r="BZ283" i="12"/>
  <c r="BW301" i="12"/>
  <c r="BZ301" i="12"/>
  <c r="BW304" i="12"/>
  <c r="BZ304" i="12"/>
  <c r="AN329" i="12"/>
  <c r="BW345" i="12"/>
  <c r="BZ345" i="12"/>
  <c r="BW348" i="12"/>
  <c r="BZ348" i="12"/>
  <c r="BQ357" i="12"/>
  <c r="BV357" i="12"/>
  <c r="BU133" i="12"/>
  <c r="BZ107" i="12"/>
  <c r="BU364" i="12"/>
  <c r="BY338" i="12"/>
  <c r="BE149" i="12"/>
  <c r="BG149" i="12"/>
  <c r="BG379" i="12" s="1"/>
  <c r="BJ149" i="12"/>
  <c r="BO379" i="12" s="1"/>
  <c r="BX387" i="12"/>
  <c r="CC387" i="12"/>
  <c r="CC355" i="12"/>
  <c r="CC406" i="12"/>
  <c r="BT23" i="19"/>
  <c r="CD132" i="12"/>
  <c r="CE132" i="12" s="1"/>
  <c r="CF132" i="12" s="1"/>
  <c r="CG132" i="12" s="1"/>
  <c r="CH132" i="12" s="1"/>
  <c r="BW17" i="19"/>
  <c r="CC11" i="19"/>
  <c r="CC14" i="19"/>
  <c r="AT14" i="19"/>
  <c r="AY14" i="19"/>
  <c r="AJ14" i="19"/>
  <c r="AJ128" i="15"/>
  <c r="AT128" i="15"/>
  <c r="BD128" i="15"/>
  <c r="BU35" i="15"/>
  <c r="BU42" i="15" s="1"/>
  <c r="BU56" i="15" s="1"/>
  <c r="BV35" i="15"/>
  <c r="BV42" i="15" s="1"/>
  <c r="BV56" i="15" s="1"/>
  <c r="BS128" i="15"/>
  <c r="CF23" i="20"/>
  <c r="BX60" i="12"/>
  <c r="BX290" i="12" s="1"/>
  <c r="BX174" i="12"/>
  <c r="Y235" i="12"/>
  <c r="Y11" i="10" s="1"/>
  <c r="CF13" i="20"/>
  <c r="CG13" i="20" s="1"/>
  <c r="CE13" i="19"/>
  <c r="CH27" i="20"/>
  <c r="CG27" i="19"/>
  <c r="CG64" i="19" s="1"/>
  <c r="CG31" i="19"/>
  <c r="CH31" i="20"/>
  <c r="CH31" i="19" s="1"/>
  <c r="BT241" i="12"/>
  <c r="V247" i="12"/>
  <c r="BK245" i="12"/>
  <c r="BX26" i="12"/>
  <c r="BX30" i="12"/>
  <c r="AU249" i="12"/>
  <c r="Q255" i="12"/>
  <c r="S255" i="12"/>
  <c r="Y261" i="12"/>
  <c r="AI261" i="12"/>
  <c r="BF262" i="12"/>
  <c r="BP262" i="12"/>
  <c r="BR262" i="12"/>
  <c r="BK263" i="12"/>
  <c r="BM263" i="12"/>
  <c r="BU263" i="12"/>
  <c r="AE251" i="12"/>
  <c r="AJ260" i="12"/>
  <c r="AO253" i="12"/>
  <c r="AO263" i="12"/>
  <c r="AA18" i="12"/>
  <c r="AP267" i="12"/>
  <c r="AY253" i="12"/>
  <c r="AY257" i="12"/>
  <c r="V270" i="12"/>
  <c r="X270" i="12"/>
  <c r="AI270" i="12"/>
  <c r="AC273" i="12"/>
  <c r="AF273" i="12"/>
  <c r="AK15" i="12"/>
  <c r="Z44" i="12"/>
  <c r="AE40" i="12"/>
  <c r="AE270" i="12" s="1"/>
  <c r="AE275" i="12"/>
  <c r="AJ274" i="12"/>
  <c r="AO269" i="12"/>
  <c r="Q280" i="12"/>
  <c r="S280" i="12"/>
  <c r="BC277" i="12"/>
  <c r="AV280" i="12"/>
  <c r="BA280" i="12"/>
  <c r="BF280" i="12"/>
  <c r="BU280" i="12"/>
  <c r="R283" i="12"/>
  <c r="T283" i="12"/>
  <c r="AI283" i="12"/>
  <c r="AX283" i="12"/>
  <c r="AD286" i="12"/>
  <c r="BH286" i="12"/>
  <c r="AI289" i="12"/>
  <c r="BH289" i="12"/>
  <c r="Y292" i="12"/>
  <c r="AS292" i="12"/>
  <c r="BM292" i="12"/>
  <c r="U59" i="12"/>
  <c r="U289" i="12" s="1"/>
  <c r="Z50" i="12"/>
  <c r="Z17" i="10" s="1"/>
  <c r="Z288" i="12"/>
  <c r="Z291" i="12"/>
  <c r="AE282" i="12"/>
  <c r="AE56" i="12"/>
  <c r="AJ286" i="12" s="1"/>
  <c r="AJ281" i="12"/>
  <c r="AJ288" i="12"/>
  <c r="AO50" i="12"/>
  <c r="AO17" i="10" s="1"/>
  <c r="AO287" i="12"/>
  <c r="AT284" i="12"/>
  <c r="AT287" i="12"/>
  <c r="BD50" i="12"/>
  <c r="BD17" i="10" s="1"/>
  <c r="BD287" i="12"/>
  <c r="BD300" i="12"/>
  <c r="BH301" i="12"/>
  <c r="BK301" i="12"/>
  <c r="BI285" i="12"/>
  <c r="BN285" i="12"/>
  <c r="BN288" i="12"/>
  <c r="BN296" i="12"/>
  <c r="BV65" i="12"/>
  <c r="BX70" i="12"/>
  <c r="BX76" i="12"/>
  <c r="CC306" i="12" s="1"/>
  <c r="BF80" i="12"/>
  <c r="BK310" i="12" s="1"/>
  <c r="BH312" i="12"/>
  <c r="BK311" i="12"/>
  <c r="BM311" i="12"/>
  <c r="AQ313" i="12"/>
  <c r="AS313" i="12"/>
  <c r="BA313" i="12"/>
  <c r="BC313" i="12"/>
  <c r="BS53" i="12"/>
  <c r="BS18" i="10" s="1"/>
  <c r="BX313" i="12"/>
  <c r="Z321" i="12"/>
  <c r="AJ321" i="12"/>
  <c r="AT321" i="12"/>
  <c r="AA325" i="12"/>
  <c r="AC325" i="12"/>
  <c r="AM325" i="12"/>
  <c r="AR47" i="12"/>
  <c r="Z328" i="12"/>
  <c r="AL330" i="12"/>
  <c r="AN330" i="12"/>
  <c r="AP331" i="12"/>
  <c r="AR331" i="12"/>
  <c r="AA337" i="12"/>
  <c r="AP342" i="12"/>
  <c r="BU336" i="12"/>
  <c r="AV342" i="12"/>
  <c r="AX342" i="12"/>
  <c r="T345" i="12"/>
  <c r="Y106" i="12"/>
  <c r="AI106" i="12"/>
  <c r="AN106" i="12"/>
  <c r="AS106" i="12"/>
  <c r="AS336" i="12" s="1"/>
  <c r="Z344" i="12"/>
  <c r="AY346" i="12"/>
  <c r="BD344" i="12"/>
  <c r="BJ348" i="12"/>
  <c r="AF351" i="12"/>
  <c r="BX356" i="12"/>
  <c r="BI351" i="12"/>
  <c r="BI353" i="12"/>
  <c r="BN346" i="12"/>
  <c r="BG364" i="12"/>
  <c r="AZ365" i="12"/>
  <c r="BL365" i="12"/>
  <c r="AH368" i="12"/>
  <c r="AH369" i="12"/>
  <c r="AH370" i="12"/>
  <c r="AR370" i="12"/>
  <c r="BX147" i="12"/>
  <c r="CC377" i="12" s="1"/>
  <c r="AV370" i="12"/>
  <c r="W373" i="12"/>
  <c r="AG137" i="12"/>
  <c r="AL367" i="12" s="1"/>
  <c r="AL137" i="12"/>
  <c r="AQ137" i="12"/>
  <c r="AV367" i="12" s="1"/>
  <c r="Z371" i="12"/>
  <c r="X379" i="12"/>
  <c r="BQ379" i="12"/>
  <c r="BK380" i="12"/>
  <c r="BM380" i="12"/>
  <c r="BU380" i="12"/>
  <c r="BO381" i="12"/>
  <c r="BQ381" i="12"/>
  <c r="AJ139" i="12"/>
  <c r="AT377" i="12"/>
  <c r="AY374" i="12"/>
  <c r="AY151" i="12"/>
  <c r="BD372" i="12"/>
  <c r="AT389" i="12"/>
  <c r="AB409" i="12"/>
  <c r="AB410" i="12"/>
  <c r="AI410" i="12"/>
  <c r="BD410" i="12"/>
  <c r="BF411" i="12"/>
  <c r="BC415" i="12"/>
  <c r="BF415" i="12"/>
  <c r="BK415" i="12"/>
  <c r="BR415" i="12"/>
  <c r="AZ416" i="12"/>
  <c r="BG416" i="12"/>
  <c r="BL416" i="12"/>
  <c r="BO416" i="12"/>
  <c r="BT416" i="12"/>
  <c r="Z413" i="12"/>
  <c r="AE416" i="12"/>
  <c r="AG417" i="12"/>
  <c r="Z419" i="12"/>
  <c r="AE191" i="12"/>
  <c r="AT419" i="12"/>
  <c r="AE429" i="12"/>
  <c r="R436" i="12"/>
  <c r="T436" i="12"/>
  <c r="W215" i="12"/>
  <c r="AG215" i="12"/>
  <c r="AQ215" i="12"/>
  <c r="AV235" i="12"/>
  <c r="AV11" i="10" s="1"/>
  <c r="BF235" i="12"/>
  <c r="BF11" i="10" s="1"/>
  <c r="U206" i="12"/>
  <c r="U21" i="10" s="1"/>
  <c r="Z206" i="12"/>
  <c r="BF439" i="12"/>
  <c r="T215" i="12"/>
  <c r="T445" i="12" s="1"/>
  <c r="AB215" i="12"/>
  <c r="AR215" i="12"/>
  <c r="AF446" i="12"/>
  <c r="AR446" i="12"/>
  <c r="V447" i="12"/>
  <c r="AH447" i="12"/>
  <c r="AP447" i="12"/>
  <c r="AE220" i="12"/>
  <c r="AE221" i="12"/>
  <c r="U222" i="12"/>
  <c r="Z225" i="12"/>
  <c r="AE225" i="12"/>
  <c r="AJ453" i="12"/>
  <c r="AJ457" i="12"/>
  <c r="AO456" i="12"/>
  <c r="AT462" i="12"/>
  <c r="BA235" i="12"/>
  <c r="BA11" i="10" s="1"/>
  <c r="BM235" i="12"/>
  <c r="BM11" i="10" s="1"/>
  <c r="AW236" i="12"/>
  <c r="BO466" i="12"/>
  <c r="BQ466" i="12"/>
  <c r="Q237" i="12"/>
  <c r="Q467" i="12" s="1"/>
  <c r="AW237" i="12"/>
  <c r="BE467" i="12"/>
  <c r="BO467" i="12"/>
  <c r="BQ467" i="12"/>
  <c r="CF63" i="20"/>
  <c r="CF69" i="20"/>
  <c r="BH36" i="15"/>
  <c r="AS41" i="15"/>
  <c r="AS35" i="15" s="1"/>
  <c r="AX41" i="15"/>
  <c r="BC41" i="15"/>
  <c r="BE35" i="15"/>
  <c r="BE42" i="15" s="1"/>
  <c r="AO13" i="22"/>
  <c r="AQ15" i="12"/>
  <c r="BT245" i="12"/>
  <c r="BX20" i="12"/>
  <c r="CC250" i="12" s="1"/>
  <c r="BX23" i="12"/>
  <c r="BX24" i="12"/>
  <c r="CC254" i="12" s="1"/>
  <c r="BX27" i="12"/>
  <c r="BX29" i="12"/>
  <c r="AX249" i="12"/>
  <c r="BU249" i="12"/>
  <c r="W252" i="12"/>
  <c r="AQ252" i="12"/>
  <c r="AV252" i="12"/>
  <c r="BK252" i="12"/>
  <c r="BP252" i="12"/>
  <c r="R255" i="12"/>
  <c r="T255" i="12"/>
  <c r="AB255" i="12"/>
  <c r="BF255" i="12"/>
  <c r="BK255" i="12"/>
  <c r="BA258" i="12"/>
  <c r="BU258" i="12"/>
  <c r="BN19" i="12"/>
  <c r="BS249" i="12" s="1"/>
  <c r="BS25" i="12"/>
  <c r="BS16" i="10" s="1"/>
  <c r="AU31" i="12"/>
  <c r="AZ261" i="12" s="1"/>
  <c r="AW31" i="12"/>
  <c r="BD32" i="12"/>
  <c r="BD16" i="12" s="1"/>
  <c r="BG262" i="12"/>
  <c r="BL262" i="12"/>
  <c r="BT262" i="12"/>
  <c r="BG263" i="12"/>
  <c r="BO263" i="12"/>
  <c r="BQ263" i="12"/>
  <c r="Z250" i="12"/>
  <c r="Z254" i="12"/>
  <c r="Z260" i="12"/>
  <c r="AE253" i="12"/>
  <c r="AE259" i="12"/>
  <c r="AE263" i="12"/>
  <c r="AJ254" i="12"/>
  <c r="AJ262" i="12"/>
  <c r="AO17" i="12"/>
  <c r="AO251" i="12"/>
  <c r="AO259" i="12"/>
  <c r="AT250" i="12"/>
  <c r="AT254" i="12"/>
  <c r="AT260" i="12"/>
  <c r="BE263" i="12"/>
  <c r="BD25" i="12"/>
  <c r="BD16" i="10" s="1"/>
  <c r="Z269" i="12"/>
  <c r="AY251" i="12"/>
  <c r="AY259" i="12"/>
  <c r="AY34" i="12"/>
  <c r="BD264" i="12" s="1"/>
  <c r="AY269" i="12"/>
  <c r="AE269" i="12"/>
  <c r="AJ268" i="12"/>
  <c r="AJ272" i="12"/>
  <c r="AO275" i="12"/>
  <c r="R280" i="12"/>
  <c r="T280" i="12"/>
  <c r="AW280" i="12"/>
  <c r="Q283" i="12"/>
  <c r="S283" i="12"/>
  <c r="Z284" i="12"/>
  <c r="Z287" i="12"/>
  <c r="AE294" i="12"/>
  <c r="AJ285" i="12"/>
  <c r="AJ293" i="12"/>
  <c r="AO291" i="12"/>
  <c r="BR295" i="12"/>
  <c r="BJ298" i="12"/>
  <c r="AT288" i="12"/>
  <c r="AY288" i="12"/>
  <c r="AY291" i="12"/>
  <c r="BD296" i="12"/>
  <c r="BG301" i="12"/>
  <c r="BJ301" i="12"/>
  <c r="BI65" i="12"/>
  <c r="BN284" i="12"/>
  <c r="BN297" i="12"/>
  <c r="BN300" i="12"/>
  <c r="BX72" i="12"/>
  <c r="BV74" i="12"/>
  <c r="BP307" i="12"/>
  <c r="BR307" i="12"/>
  <c r="BV307" i="12"/>
  <c r="AV310" i="12"/>
  <c r="AZ312" i="12"/>
  <c r="BB312" i="12"/>
  <c r="Z312" i="12"/>
  <c r="AA313" i="12"/>
  <c r="AC313" i="12"/>
  <c r="AM313" i="12"/>
  <c r="AU313" i="12"/>
  <c r="AW313" i="12"/>
  <c r="BN313" i="12"/>
  <c r="BS65" i="12"/>
  <c r="BX79" i="12"/>
  <c r="CC309" i="12" s="1"/>
  <c r="CD313" i="12"/>
  <c r="AE311" i="12"/>
  <c r="W325" i="12"/>
  <c r="Y325" i="12"/>
  <c r="AY92" i="12"/>
  <c r="AW97" i="12"/>
  <c r="AW327" i="12" s="1"/>
  <c r="U97" i="12"/>
  <c r="U327" i="12" s="1"/>
  <c r="Z97" i="12"/>
  <c r="CE313" i="12"/>
  <c r="AP329" i="12"/>
  <c r="AR329" i="12"/>
  <c r="AF330" i="12"/>
  <c r="AH330" i="12"/>
  <c r="AP330" i="12"/>
  <c r="AR330" i="12"/>
  <c r="AV100" i="12"/>
  <c r="AF331" i="12"/>
  <c r="AH331" i="12"/>
  <c r="AL331" i="12"/>
  <c r="AN331" i="12"/>
  <c r="Z325" i="12"/>
  <c r="AF337" i="12"/>
  <c r="AF338" i="12"/>
  <c r="BX119" i="12"/>
  <c r="CC349" i="12" s="1"/>
  <c r="Q345" i="12"/>
  <c r="S345" i="12"/>
  <c r="U115" i="12"/>
  <c r="U19" i="10" s="1"/>
  <c r="AE346" i="12"/>
  <c r="AJ344" i="12"/>
  <c r="AO346" i="12"/>
  <c r="AT344" i="12"/>
  <c r="AY112" i="12"/>
  <c r="AY115" i="12"/>
  <c r="AY19" i="10" s="1"/>
  <c r="AG351" i="12"/>
  <c r="U124" i="12"/>
  <c r="AE124" i="12"/>
  <c r="AJ355" i="12"/>
  <c r="AT121" i="12"/>
  <c r="AT124" i="12"/>
  <c r="AY353" i="12"/>
  <c r="BD355" i="12"/>
  <c r="BS355" i="12"/>
  <c r="AV363" i="12"/>
  <c r="BC364" i="12"/>
  <c r="BK364" i="12"/>
  <c r="BH365" i="12"/>
  <c r="BP365" i="12"/>
  <c r="AE364" i="12"/>
  <c r="AJ365" i="12"/>
  <c r="X137" i="12"/>
  <c r="AH137" i="12"/>
  <c r="AR137" i="12"/>
  <c r="BX144" i="12"/>
  <c r="BX148" i="12"/>
  <c r="CC378" i="12" s="1"/>
  <c r="AU370" i="12"/>
  <c r="V373" i="12"/>
  <c r="X373" i="12"/>
  <c r="Z140" i="12"/>
  <c r="AE371" i="12"/>
  <c r="AE375" i="12"/>
  <c r="BN143" i="12"/>
  <c r="BN20" i="10" s="1"/>
  <c r="W137" i="12"/>
  <c r="AB379" i="12"/>
  <c r="AF379" i="12"/>
  <c r="AH379" i="12"/>
  <c r="BD150" i="12"/>
  <c r="BD138" i="12" s="1"/>
  <c r="BM149" i="12"/>
  <c r="BM379" i="12" s="1"/>
  <c r="BR149" i="12"/>
  <c r="BW379" i="12" s="1"/>
  <c r="BU149" i="12"/>
  <c r="BU379" i="12" s="1"/>
  <c r="BO380" i="12"/>
  <c r="BQ380" i="12"/>
  <c r="BK381" i="12"/>
  <c r="BM381" i="12"/>
  <c r="BU381" i="12"/>
  <c r="AJ146" i="12"/>
  <c r="AJ376" i="12" s="1"/>
  <c r="AO372" i="12"/>
  <c r="AY140" i="12"/>
  <c r="AY143" i="12"/>
  <c r="AY20" i="10" s="1"/>
  <c r="AY378" i="12"/>
  <c r="AY152" i="12"/>
  <c r="BD146" i="12"/>
  <c r="BI376" i="12" s="1"/>
  <c r="CE386" i="12"/>
  <c r="CF387" i="12"/>
  <c r="Z389" i="12"/>
  <c r="AE390" i="12"/>
  <c r="AE163" i="12"/>
  <c r="AI409" i="12"/>
  <c r="AY178" i="12"/>
  <c r="AT181" i="12"/>
  <c r="BE411" i="12"/>
  <c r="BM411" i="12"/>
  <c r="BQ411" i="12"/>
  <c r="BU411" i="12"/>
  <c r="AY413" i="12"/>
  <c r="BS413" i="12"/>
  <c r="BB415" i="12"/>
  <c r="BG415" i="12"/>
  <c r="BJ415" i="12"/>
  <c r="BO415" i="12"/>
  <c r="BC416" i="12"/>
  <c r="BH416" i="12"/>
  <c r="BK416" i="12"/>
  <c r="BP416" i="12"/>
  <c r="Z180" i="12"/>
  <c r="AE179" i="12"/>
  <c r="AE413" i="12"/>
  <c r="Y417" i="12"/>
  <c r="AC417" i="12"/>
  <c r="AF417" i="12"/>
  <c r="AH417" i="12"/>
  <c r="AL417" i="12"/>
  <c r="AN417" i="12"/>
  <c r="AP417" i="12"/>
  <c r="AR417" i="12"/>
  <c r="AV417" i="12"/>
  <c r="AX417" i="12"/>
  <c r="U190" i="12"/>
  <c r="AE197" i="12"/>
  <c r="AJ197" i="12"/>
  <c r="Q436" i="12"/>
  <c r="S436" i="12"/>
  <c r="AA215" i="12"/>
  <c r="AZ235" i="12"/>
  <c r="AZ11" i="10" s="1"/>
  <c r="BD208" i="12"/>
  <c r="BD441" i="12"/>
  <c r="BN441" i="12"/>
  <c r="X215" i="12"/>
  <c r="AF215" i="12"/>
  <c r="X446" i="12"/>
  <c r="AB446" i="12"/>
  <c r="AN446" i="12"/>
  <c r="AD447" i="12"/>
  <c r="AL447" i="12"/>
  <c r="Z231" i="12"/>
  <c r="AT454" i="12"/>
  <c r="AW235" i="12"/>
  <c r="AW11" i="10" s="1"/>
  <c r="BE235" i="12"/>
  <c r="BE11" i="10" s="1"/>
  <c r="Q236" i="12"/>
  <c r="BK466" i="12"/>
  <c r="BM466" i="12"/>
  <c r="BU466" i="12"/>
  <c r="BK467" i="12"/>
  <c r="BM467" i="12"/>
  <c r="BU467" i="12"/>
  <c r="BT14" i="19"/>
  <c r="BU17" i="19"/>
  <c r="CD17" i="19"/>
  <c r="AO14" i="19"/>
  <c r="AO17" i="19"/>
  <c r="AO20" i="19"/>
  <c r="AY20" i="19"/>
  <c r="BV23" i="19"/>
  <c r="BX23" i="19"/>
  <c r="BU23" i="19"/>
  <c r="CC26" i="19"/>
  <c r="CE29" i="19"/>
  <c r="CF61" i="19"/>
  <c r="CF65" i="19"/>
  <c r="CF68" i="19"/>
  <c r="CF23" i="19"/>
  <c r="CF26" i="20"/>
  <c r="CF66" i="20" s="1"/>
  <c r="CG24" i="20"/>
  <c r="CH24" i="20" s="1"/>
  <c r="CG28" i="20"/>
  <c r="AC16" i="15"/>
  <c r="AC95" i="4" s="1"/>
  <c r="AH16" i="15"/>
  <c r="BO30" i="15"/>
  <c r="BO97" i="4" s="1"/>
  <c r="AO69" i="15"/>
  <c r="BS69" i="15"/>
  <c r="AY13" i="22"/>
  <c r="BD13" i="22"/>
  <c r="AJ13" i="22"/>
  <c r="AT13" i="22"/>
  <c r="BI13" i="22"/>
  <c r="Z181" i="15"/>
  <c r="AE195" i="15"/>
  <c r="AY195" i="15"/>
  <c r="BS195" i="15"/>
  <c r="CF160" i="22"/>
  <c r="CG156" i="22"/>
  <c r="CG158" i="22" s="1"/>
  <c r="N12" i="15"/>
  <c r="N151" i="15" s="1"/>
  <c r="N121" i="4" s="1"/>
  <c r="N122" i="4" s="1"/>
  <c r="N123" i="4" s="1"/>
  <c r="R195" i="15"/>
  <c r="V195" i="15"/>
  <c r="AD195" i="15"/>
  <c r="AH195" i="15"/>
  <c r="S195" i="15"/>
  <c r="W195" i="15"/>
  <c r="AA195" i="15"/>
  <c r="AI195" i="15"/>
  <c r="T195" i="15"/>
  <c r="X195" i="15"/>
  <c r="AB195" i="15"/>
  <c r="AF195" i="15"/>
  <c r="H9" i="20"/>
  <c r="L12" i="15"/>
  <c r="L151" i="15" s="1"/>
  <c r="L121" i="4" s="1"/>
  <c r="L122" i="4" s="1"/>
  <c r="L123" i="4" s="1"/>
  <c r="BU124" i="15"/>
  <c r="BU131" i="15" s="1"/>
  <c r="BU123" i="15"/>
  <c r="BU132" i="15" s="1"/>
  <c r="Q195" i="15"/>
  <c r="Y195" i="15"/>
  <c r="AC195" i="15"/>
  <c r="AG195" i="15"/>
  <c r="BU195" i="15"/>
  <c r="BU145" i="15"/>
  <c r="BU150" i="15"/>
  <c r="AE145" i="15"/>
  <c r="AY145" i="15"/>
  <c r="BS145" i="15"/>
  <c r="P195" i="15"/>
  <c r="BD145" i="15"/>
  <c r="Z145" i="15"/>
  <c r="Z195" i="15"/>
  <c r="BH123" i="15"/>
  <c r="BH132" i="15" s="1"/>
  <c r="P145" i="15"/>
  <c r="AJ195" i="15"/>
  <c r="BG124" i="15"/>
  <c r="BG131" i="15" s="1"/>
  <c r="AQ32" i="15"/>
  <c r="W35" i="15"/>
  <c r="AQ46" i="15"/>
  <c r="AU53" i="15"/>
  <c r="X15" i="15"/>
  <c r="AJ30" i="15"/>
  <c r="AJ97" i="4" s="1"/>
  <c r="AJ99" i="4" s="1"/>
  <c r="BK24" i="15"/>
  <c r="BK30" i="15" s="1"/>
  <c r="BK97" i="4" s="1"/>
  <c r="W32" i="15"/>
  <c r="W103" i="4" s="1"/>
  <c r="AG32" i="15"/>
  <c r="AG103" i="4" s="1"/>
  <c r="AR32" i="15"/>
  <c r="AV35" i="15"/>
  <c r="AV42" i="15" s="1"/>
  <c r="AY69" i="15"/>
  <c r="BD69" i="15"/>
  <c r="BI69" i="15"/>
  <c r="AE103" i="15"/>
  <c r="AE104" i="15" s="1"/>
  <c r="AO103" i="15"/>
  <c r="AO104" i="15" s="1"/>
  <c r="AY103" i="15"/>
  <c r="AY104" i="15" s="1"/>
  <c r="BI103" i="15"/>
  <c r="BI104" i="15" s="1"/>
  <c r="BS103" i="15"/>
  <c r="BS104" i="15" s="1"/>
  <c r="BX196" i="15" s="1"/>
  <c r="R46" i="15"/>
  <c r="T46" i="15" s="1"/>
  <c r="BA46" i="15"/>
  <c r="BJ53" i="15"/>
  <c r="BT53" i="15"/>
  <c r="BA49" i="15"/>
  <c r="AN49" i="15"/>
  <c r="AR15" i="15"/>
  <c r="AR94" i="10" s="1"/>
  <c r="BR19" i="15"/>
  <c r="BA24" i="15"/>
  <c r="BA30" i="15" s="1"/>
  <c r="BA97" i="4" s="1"/>
  <c r="AS32" i="15"/>
  <c r="BC32" i="15"/>
  <c r="BH49" i="15"/>
  <c r="AG49" i="15"/>
  <c r="AW49" i="15"/>
  <c r="AS49" i="15"/>
  <c r="V100" i="15"/>
  <c r="AC100" i="15"/>
  <c r="AX100" i="15"/>
  <c r="AH15" i="15"/>
  <c r="AH94" i="10" s="1"/>
  <c r="AY30" i="15"/>
  <c r="AY97" i="4" s="1"/>
  <c r="AY99" i="4" s="1"/>
  <c r="Q53" i="15"/>
  <c r="BC50" i="15"/>
  <c r="BC49" i="15" s="1"/>
  <c r="N100" i="15"/>
  <c r="BN181" i="15"/>
  <c r="U30" i="15"/>
  <c r="U97" i="4" s="1"/>
  <c r="U99" i="4" s="1"/>
  <c r="AE30" i="15"/>
  <c r="AE97" i="4" s="1"/>
  <c r="AE99" i="4" s="1"/>
  <c r="BP24" i="15"/>
  <c r="BG33" i="15"/>
  <c r="BG32" i="15" s="1"/>
  <c r="AY42" i="15"/>
  <c r="BP35" i="15"/>
  <c r="BR41" i="15"/>
  <c r="W46" i="15"/>
  <c r="AD46" i="15"/>
  <c r="BF46" i="15"/>
  <c r="BK49" i="15"/>
  <c r="AG46" i="15"/>
  <c r="T48" i="15"/>
  <c r="W49" i="15"/>
  <c r="Y52" i="15"/>
  <c r="P58" i="15"/>
  <c r="U57" i="15" s="1"/>
  <c r="AE69" i="15"/>
  <c r="AJ69" i="15"/>
  <c r="BJ100" i="15"/>
  <c r="BC196" i="15"/>
  <c r="N133" i="15"/>
  <c r="Y19" i="15"/>
  <c r="AS19" i="15"/>
  <c r="BC19" i="15"/>
  <c r="BM19" i="15"/>
  <c r="Z30" i="15"/>
  <c r="Z97" i="4" s="1"/>
  <c r="Z99" i="4" s="1"/>
  <c r="AL24" i="15"/>
  <c r="AL30" i="15" s="1"/>
  <c r="AL97" i="4" s="1"/>
  <c r="T25" i="15"/>
  <c r="S24" i="15"/>
  <c r="AX29" i="15"/>
  <c r="BR29" i="15"/>
  <c r="AZ42" i="15"/>
  <c r="BM33" i="15"/>
  <c r="BM32" i="15" s="1"/>
  <c r="BL32" i="15"/>
  <c r="AA42" i="15"/>
  <c r="AC39" i="15"/>
  <c r="AB35" i="15"/>
  <c r="BM48" i="15"/>
  <c r="BM46" i="15" s="1"/>
  <c r="BL46" i="15"/>
  <c r="S15" i="15"/>
  <c r="AC15" i="15"/>
  <c r="AC94" i="10" s="1"/>
  <c r="AM15" i="15"/>
  <c r="AW15" i="15"/>
  <c r="AW94" i="10" s="1"/>
  <c r="AW16" i="15"/>
  <c r="BB15" i="15"/>
  <c r="BB94" i="10" s="1"/>
  <c r="BB16" i="15"/>
  <c r="BG15" i="15"/>
  <c r="BG94" i="10" s="1"/>
  <c r="BG16" i="15"/>
  <c r="BL15" i="15"/>
  <c r="BL94" i="10" s="1"/>
  <c r="BL16" i="15"/>
  <c r="BQ15" i="15"/>
  <c r="BQ94" i="10" s="1"/>
  <c r="BQ16" i="15"/>
  <c r="O145" i="15"/>
  <c r="T19" i="15"/>
  <c r="AD19" i="15"/>
  <c r="AN19" i="15"/>
  <c r="AX19" i="15"/>
  <c r="BH19" i="15"/>
  <c r="BF24" i="15"/>
  <c r="BF30" i="15" s="1"/>
  <c r="BF97" i="4" s="1"/>
  <c r="X27" i="15"/>
  <c r="Y27" i="15" s="1"/>
  <c r="AB24" i="15"/>
  <c r="AB30" i="15" s="1"/>
  <c r="AB97" i="4" s="1"/>
  <c r="AB99" i="4" s="1"/>
  <c r="AV24" i="15"/>
  <c r="AV30" i="15" s="1"/>
  <c r="AV97" i="4" s="1"/>
  <c r="AN29" i="15"/>
  <c r="AF42" i="15"/>
  <c r="AJ42" i="15"/>
  <c r="BA32" i="15"/>
  <c r="BK32" i="15"/>
  <c r="AE42" i="15"/>
  <c r="BB36" i="15"/>
  <c r="BC36" i="15" s="1"/>
  <c r="BA35" i="15"/>
  <c r="AT124" i="15"/>
  <c r="AT131" i="15" s="1"/>
  <c r="O94" i="15"/>
  <c r="AQ100" i="15"/>
  <c r="AU100" i="15"/>
  <c r="N104" i="15"/>
  <c r="BK196" i="15"/>
  <c r="P196" i="15"/>
  <c r="BD103" i="15"/>
  <c r="BD104" i="15" s="1"/>
  <c r="BN103" i="15"/>
  <c r="BN104" i="15" s="1"/>
  <c r="M113" i="15"/>
  <c r="M156" i="15" s="1"/>
  <c r="BS123" i="15"/>
  <c r="BS132" i="15" s="1"/>
  <c r="O133" i="15"/>
  <c r="CD133" i="15"/>
  <c r="CH133" i="15"/>
  <c r="BT160" i="15"/>
  <c r="BD42" i="15"/>
  <c r="BQ35" i="15"/>
  <c r="BS42" i="15"/>
  <c r="Y47" i="15"/>
  <c r="AC46" i="15"/>
  <c r="BP46" i="15"/>
  <c r="R49" i="15"/>
  <c r="AB49" i="15"/>
  <c r="AR49" i="15"/>
  <c r="BE53" i="15"/>
  <c r="Y48" i="15"/>
  <c r="AD49" i="15"/>
  <c r="AI52" i="15"/>
  <c r="AI49" i="15" s="1"/>
  <c r="AX49" i="15"/>
  <c r="AE94" i="15"/>
  <c r="AE100" i="15" s="1"/>
  <c r="AE13" i="22"/>
  <c r="AO124" i="15"/>
  <c r="AO131" i="15" s="1"/>
  <c r="BN11" i="22"/>
  <c r="BN12" i="22" s="1"/>
  <c r="BN13" i="22" s="1"/>
  <c r="AI94" i="15"/>
  <c r="AI100" i="15" s="1"/>
  <c r="L100" i="15"/>
  <c r="Q100" i="15"/>
  <c r="AV100" i="15"/>
  <c r="CH24" i="79"/>
  <c r="BS18" i="22"/>
  <c r="BG196" i="15"/>
  <c r="CC112" i="15"/>
  <c r="CD112" i="15" s="1"/>
  <c r="CE112" i="15" s="1"/>
  <c r="CF112" i="15" s="1"/>
  <c r="CG112" i="15" s="1"/>
  <c r="CH112" i="15" s="1"/>
  <c r="AU124" i="15"/>
  <c r="AU131" i="15" s="1"/>
  <c r="AY124" i="15"/>
  <c r="AY131" i="15" s="1"/>
  <c r="BS124" i="15"/>
  <c r="BS131" i="15" s="1"/>
  <c r="CC133" i="15"/>
  <c r="BD181" i="15"/>
  <c r="BD200" i="15"/>
  <c r="BI200" i="15" s="1"/>
  <c r="BN200" i="15" s="1"/>
  <c r="BS200" i="15" s="1"/>
  <c r="BX200" i="15" s="1"/>
  <c r="CC200" i="15" s="1"/>
  <c r="CD200" i="15" s="1"/>
  <c r="CE200" i="15" s="1"/>
  <c r="CF200" i="15" s="1"/>
  <c r="CG200" i="15" s="1"/>
  <c r="CH200" i="15" s="1"/>
  <c r="AT87" i="19"/>
  <c r="AT34" i="19" s="1"/>
  <c r="AT33" i="19"/>
  <c r="P12" i="15"/>
  <c r="P151" i="15" s="1"/>
  <c r="P121" i="4" s="1"/>
  <c r="P122" i="4" s="1"/>
  <c r="P123" i="4" s="1"/>
  <c r="CF125" i="22"/>
  <c r="CG121" i="22"/>
  <c r="CG123" i="22" s="1"/>
  <c r="CE118" i="22"/>
  <c r="CF114" i="22"/>
  <c r="CF116" i="22" s="1"/>
  <c r="CE18" i="22"/>
  <c r="CE96" i="15" s="1"/>
  <c r="CG149" i="22"/>
  <c r="CG151" i="22" s="1"/>
  <c r="CF153" i="22"/>
  <c r="CH142" i="22"/>
  <c r="CH144" i="22" s="1"/>
  <c r="CH146" i="22" s="1"/>
  <c r="CG146" i="22"/>
  <c r="CG100" i="22"/>
  <c r="CG102" i="22" s="1"/>
  <c r="CF104" i="22"/>
  <c r="CG139" i="22"/>
  <c r="CH135" i="22"/>
  <c r="CH137" i="22" s="1"/>
  <c r="CH139" i="22" s="1"/>
  <c r="CG111" i="22"/>
  <c r="CH107" i="22"/>
  <c r="CH109" i="22" s="1"/>
  <c r="CG128" i="22"/>
  <c r="CG130" i="22" s="1"/>
  <c r="CF132" i="22"/>
  <c r="AP152" i="15"/>
  <c r="AI27" i="15"/>
  <c r="AH24" i="15"/>
  <c r="BM36" i="15"/>
  <c r="BO152" i="15"/>
  <c r="BG24" i="15"/>
  <c r="BH25" i="15"/>
  <c r="AS25" i="15"/>
  <c r="AR24" i="15"/>
  <c r="AA152" i="15"/>
  <c r="AZ152" i="15"/>
  <c r="AZ56" i="15"/>
  <c r="Q152" i="15"/>
  <c r="V152" i="15"/>
  <c r="AK152" i="15"/>
  <c r="AU152" i="15"/>
  <c r="BR25" i="15"/>
  <c r="BQ24" i="15"/>
  <c r="BN30" i="15"/>
  <c r="BN97" i="4" s="1"/>
  <c r="BN99" i="4" s="1"/>
  <c r="BL145" i="15"/>
  <c r="AT30" i="15"/>
  <c r="AT97" i="4" s="1"/>
  <c r="AT99" i="4" s="1"/>
  <c r="AI36" i="15"/>
  <c r="AI35" i="15" s="1"/>
  <c r="AH35" i="15"/>
  <c r="BK38" i="15"/>
  <c r="BL38" i="15" s="1"/>
  <c r="BM38" i="15" s="1"/>
  <c r="BJ35" i="15"/>
  <c r="BJ42" i="15" s="1"/>
  <c r="AD44" i="15"/>
  <c r="L67" i="15"/>
  <c r="L66" i="15" s="1"/>
  <c r="L105" i="4" s="1"/>
  <c r="M57" i="15"/>
  <c r="M58" i="15" s="1"/>
  <c r="AO123" i="15"/>
  <c r="AO132" i="15" s="1"/>
  <c r="AP123" i="15"/>
  <c r="AP132" i="15" s="1"/>
  <c r="BA100" i="15"/>
  <c r="H120" i="15"/>
  <c r="H64" i="15"/>
  <c r="O12" i="15"/>
  <c r="O151" i="15" s="1"/>
  <c r="O121" i="4" s="1"/>
  <c r="O122" i="4" s="1"/>
  <c r="O123" i="4" s="1"/>
  <c r="R197" i="15"/>
  <c r="R145" i="15"/>
  <c r="S16" i="15"/>
  <c r="S95" i="4" s="1"/>
  <c r="AB197" i="15"/>
  <c r="AB145" i="15"/>
  <c r="AL197" i="15"/>
  <c r="AL145" i="15"/>
  <c r="AM16" i="15"/>
  <c r="AV197" i="15"/>
  <c r="AV145" i="15"/>
  <c r="BA197" i="15"/>
  <c r="BA145" i="15"/>
  <c r="BF197" i="15"/>
  <c r="BF145" i="15"/>
  <c r="BK197" i="15"/>
  <c r="BK145" i="15"/>
  <c r="BP197" i="15"/>
  <c r="BP145" i="15"/>
  <c r="BP30" i="15"/>
  <c r="BP97" i="4" s="1"/>
  <c r="BP17" i="15"/>
  <c r="BR15" i="15"/>
  <c r="BR94" i="10" s="1"/>
  <c r="AI19" i="15"/>
  <c r="R24" i="15"/>
  <c r="R30" i="15" s="1"/>
  <c r="R97" i="4" s="1"/>
  <c r="R99" i="4" s="1"/>
  <c r="AG24" i="15"/>
  <c r="BE152" i="15"/>
  <c r="AM26" i="15"/>
  <c r="AN26" i="15" s="1"/>
  <c r="AQ24" i="15"/>
  <c r="AW25" i="15"/>
  <c r="BM29" i="15"/>
  <c r="AC33" i="15"/>
  <c r="AB32" i="15"/>
  <c r="AB103" i="4" s="1"/>
  <c r="BP33" i="15"/>
  <c r="AG35" i="15"/>
  <c r="AM35" i="15"/>
  <c r="BF35" i="15"/>
  <c r="BF42" i="15" s="1"/>
  <c r="Y36" i="15"/>
  <c r="AW35" i="15"/>
  <c r="BI35" i="15"/>
  <c r="BI42" i="15" s="1"/>
  <c r="BH41" i="15"/>
  <c r="W42" i="15"/>
  <c r="AU42" i="15"/>
  <c r="AU56" i="15" s="1"/>
  <c r="BC44" i="15"/>
  <c r="BG49" i="15"/>
  <c r="BR47" i="15"/>
  <c r="BR46" i="15" s="1"/>
  <c r="BQ46" i="15"/>
  <c r="AI47" i="15"/>
  <c r="AI46" i="15" s="1"/>
  <c r="AH46" i="15"/>
  <c r="BC48" i="15"/>
  <c r="BC46" i="15" s="1"/>
  <c r="BB46" i="15"/>
  <c r="BB53" i="15" s="1"/>
  <c r="S49" i="15"/>
  <c r="T50" i="15"/>
  <c r="U53" i="15"/>
  <c r="S55" i="15"/>
  <c r="T55" i="15" s="1"/>
  <c r="P137" i="15"/>
  <c r="P138" i="15" s="1"/>
  <c r="U124" i="15"/>
  <c r="U131" i="15" s="1"/>
  <c r="V124" i="15"/>
  <c r="V131" i="15" s="1"/>
  <c r="BM100" i="15"/>
  <c r="BN97" i="15"/>
  <c r="BT100" i="15"/>
  <c r="CE46" i="15"/>
  <c r="BU196" i="15"/>
  <c r="BP196" i="15"/>
  <c r="BI30" i="15"/>
  <c r="BI97" i="4" s="1"/>
  <c r="BI99" i="4" s="1"/>
  <c r="Z42" i="15"/>
  <c r="AH32" i="15"/>
  <c r="AH103" i="4" s="1"/>
  <c r="AI33" i="15"/>
  <c r="AI32" i="15" s="1"/>
  <c r="AI103" i="4" s="1"/>
  <c r="BQ50" i="15"/>
  <c r="BP49" i="15"/>
  <c r="Q57" i="15"/>
  <c r="M12" i="15"/>
  <c r="M151" i="15" s="1"/>
  <c r="M121" i="4" s="1"/>
  <c r="M122" i="4" s="1"/>
  <c r="M123" i="4" s="1"/>
  <c r="W197" i="15"/>
  <c r="W145" i="15"/>
  <c r="X16" i="15"/>
  <c r="X95" i="4" s="1"/>
  <c r="AG197" i="15"/>
  <c r="AG145" i="15"/>
  <c r="AQ197" i="15"/>
  <c r="AQ145" i="15"/>
  <c r="AR16" i="15"/>
  <c r="AL17" i="15"/>
  <c r="BO17" i="15"/>
  <c r="W24" i="15"/>
  <c r="W30" i="15" s="1"/>
  <c r="W97" i="4" s="1"/>
  <c r="W99" i="4" s="1"/>
  <c r="BB25" i="15"/>
  <c r="BJ24" i="15"/>
  <c r="BJ30" i="15" s="1"/>
  <c r="BJ97" i="4" s="1"/>
  <c r="BL25" i="15"/>
  <c r="X26" i="15"/>
  <c r="X24" i="15" s="1"/>
  <c r="AC25" i="15"/>
  <c r="AN25" i="15"/>
  <c r="AW33" i="15"/>
  <c r="BB32" i="15"/>
  <c r="BT42" i="15"/>
  <c r="Y33" i="15"/>
  <c r="Y32" i="15" s="1"/>
  <c r="Y103" i="4" s="1"/>
  <c r="R35" i="15"/>
  <c r="S38" i="15"/>
  <c r="T38" i="15" s="1"/>
  <c r="BG35" i="15"/>
  <c r="BO35" i="15"/>
  <c r="BO42" i="15" s="1"/>
  <c r="Y38" i="15"/>
  <c r="T36" i="15"/>
  <c r="BM41" i="15"/>
  <c r="BN35" i="15"/>
  <c r="BN42" i="15" s="1"/>
  <c r="X46" i="15"/>
  <c r="AS44" i="15"/>
  <c r="BH47" i="15"/>
  <c r="BH46" i="15" s="1"/>
  <c r="BG46" i="15"/>
  <c r="AL46" i="15"/>
  <c r="AR46" i="15"/>
  <c r="AS48" i="15"/>
  <c r="AS46" i="15" s="1"/>
  <c r="AM49" i="15"/>
  <c r="AK123" i="15"/>
  <c r="AK132" i="15" s="1"/>
  <c r="AJ123" i="15"/>
  <c r="AJ132" i="15" s="1"/>
  <c r="BX42" i="15"/>
  <c r="BD99" i="15"/>
  <c r="BC97" i="15"/>
  <c r="O156" i="15"/>
  <c r="BL196" i="15"/>
  <c r="BQ145" i="15"/>
  <c r="AO30" i="15"/>
  <c r="AO97" i="4" s="1"/>
  <c r="AO99" i="4" s="1"/>
  <c r="AF152" i="15"/>
  <c r="V42" i="15"/>
  <c r="V56" i="15" s="1"/>
  <c r="X37" i="15"/>
  <c r="X41" i="15"/>
  <c r="Y41" i="15" s="1"/>
  <c r="BR36" i="15"/>
  <c r="BR35" i="15" s="1"/>
  <c r="AX44" i="15"/>
  <c r="BQ196" i="15"/>
  <c r="BV196" i="15"/>
  <c r="AQ17" i="15"/>
  <c r="BD30" i="15"/>
  <c r="BD97" i="4" s="1"/>
  <c r="BD99" i="4" s="1"/>
  <c r="S33" i="15"/>
  <c r="S32" i="15" s="1"/>
  <c r="S103" i="4" s="1"/>
  <c r="R32" i="15"/>
  <c r="R103" i="4" s="1"/>
  <c r="AT42" i="15"/>
  <c r="AM33" i="15"/>
  <c r="AL32" i="15"/>
  <c r="AL35" i="15"/>
  <c r="AQ35" i="15"/>
  <c r="AD36" i="15"/>
  <c r="AR35" i="15"/>
  <c r="AR42" i="15" s="1"/>
  <c r="AX35" i="15"/>
  <c r="BM44" i="15"/>
  <c r="BL49" i="15"/>
  <c r="BL53" i="15" s="1"/>
  <c r="BM50" i="15"/>
  <c r="BM49" i="15" s="1"/>
  <c r="AH44" i="15"/>
  <c r="AH197" i="15" s="1"/>
  <c r="AN47" i="15"/>
  <c r="AN46" i="15" s="1"/>
  <c r="AM46" i="15"/>
  <c r="AW48" i="15"/>
  <c r="AV46" i="15"/>
  <c r="AV53" i="15" s="1"/>
  <c r="Y51" i="15"/>
  <c r="Y49" i="15" s="1"/>
  <c r="X49" i="15"/>
  <c r="AE137" i="15"/>
  <c r="S37" i="15"/>
  <c r="T37" i="15" s="1"/>
  <c r="AP42" i="15"/>
  <c r="AP56" i="15" s="1"/>
  <c r="AB46" i="15"/>
  <c r="BF49" i="15"/>
  <c r="BK46" i="15"/>
  <c r="BK53" i="15" s="1"/>
  <c r="AC49" i="15"/>
  <c r="AC53" i="15" s="1"/>
  <c r="AQ49" i="15"/>
  <c r="T52" i="15"/>
  <c r="Z69" i="15"/>
  <c r="U69" i="15"/>
  <c r="Z123" i="15"/>
  <c r="Z132" i="15" s="1"/>
  <c r="AT69" i="15"/>
  <c r="BN69" i="15"/>
  <c r="BI82" i="15"/>
  <c r="BH80" i="15"/>
  <c r="BI80" i="15" s="1"/>
  <c r="Z124" i="15"/>
  <c r="Z131" i="15" s="1"/>
  <c r="P97" i="15"/>
  <c r="O100" i="15"/>
  <c r="P100" i="15" s="1"/>
  <c r="T100" i="15"/>
  <c r="U97" i="15"/>
  <c r="AB100" i="15"/>
  <c r="AG100" i="15"/>
  <c r="AZ100" i="15"/>
  <c r="BE100" i="15"/>
  <c r="BL100" i="15"/>
  <c r="BG100" i="15"/>
  <c r="BF196" i="15"/>
  <c r="BJ196" i="15"/>
  <c r="N115" i="15"/>
  <c r="AA123" i="15"/>
  <c r="AA132" i="15" s="1"/>
  <c r="AE123" i="15"/>
  <c r="AE132" i="15" s="1"/>
  <c r="R53" i="15"/>
  <c r="AT123" i="15"/>
  <c r="AT132" i="15" s="1"/>
  <c r="BI123" i="15"/>
  <c r="BI132" i="15" s="1"/>
  <c r="BJ123" i="15"/>
  <c r="BJ132" i="15" s="1"/>
  <c r="BN123" i="15"/>
  <c r="BN132" i="15" s="1"/>
  <c r="BI124" i="15"/>
  <c r="BI131" i="15" s="1"/>
  <c r="BJ124" i="15"/>
  <c r="BJ131" i="15" s="1"/>
  <c r="M100" i="15"/>
  <c r="M115" i="15" s="1"/>
  <c r="X100" i="15"/>
  <c r="AW100" i="15"/>
  <c r="BI97" i="15"/>
  <c r="BP100" i="15"/>
  <c r="AM100" i="15"/>
  <c r="AZ196" i="15"/>
  <c r="BB196" i="15"/>
  <c r="BH196" i="15"/>
  <c r="AJ103" i="15"/>
  <c r="AJ104" i="15" s="1"/>
  <c r="AU123" i="15"/>
  <c r="AU132" i="15" s="1"/>
  <c r="AY123" i="15"/>
  <c r="AY132" i="15" s="1"/>
  <c r="L133" i="15"/>
  <c r="P133" i="15"/>
  <c r="CF133" i="15"/>
  <c r="Q42" i="15"/>
  <c r="U42" i="15"/>
  <c r="AK42" i="15"/>
  <c r="AK56" i="15" s="1"/>
  <c r="AO42" i="15"/>
  <c r="S44" i="15"/>
  <c r="X44" i="15"/>
  <c r="AM44" i="15"/>
  <c r="AM197" i="15" s="1"/>
  <c r="BG44" i="15"/>
  <c r="BQ44" i="15"/>
  <c r="AL49" i="15"/>
  <c r="AL53" i="15" s="1"/>
  <c r="BO53" i="15"/>
  <c r="U123" i="15"/>
  <c r="U132" i="15" s="1"/>
  <c r="V123" i="15"/>
  <c r="V132" i="15" s="1"/>
  <c r="BD205" i="15"/>
  <c r="BD175" i="15"/>
  <c r="AE205" i="15"/>
  <c r="AE175" i="15"/>
  <c r="BN124" i="15"/>
  <c r="BN131" i="15" s="1"/>
  <c r="S100" i="15"/>
  <c r="Y100" i="15"/>
  <c r="AF100" i="15"/>
  <c r="AK100" i="15"/>
  <c r="AR100" i="15"/>
  <c r="BQ100" i="15"/>
  <c r="W100" i="15"/>
  <c r="AA100" i="15"/>
  <c r="BK100" i="15"/>
  <c r="BO100" i="15"/>
  <c r="BR100" i="15"/>
  <c r="AS196" i="15"/>
  <c r="BA196" i="15"/>
  <c r="BE196" i="15"/>
  <c r="BM196" i="15"/>
  <c r="BR196" i="15"/>
  <c r="AT103" i="15"/>
  <c r="AT104" i="15" s="1"/>
  <c r="AA124" i="15"/>
  <c r="AA131" i="15" s="1"/>
  <c r="AE124" i="15"/>
  <c r="AE131" i="15" s="1"/>
  <c r="M133" i="15"/>
  <c r="CE133" i="15"/>
  <c r="AY88" i="15"/>
  <c r="AY94" i="15" s="1"/>
  <c r="AY100" i="15" s="1"/>
  <c r="P175" i="15"/>
  <c r="U205" i="15"/>
  <c r="U175" i="15"/>
  <c r="Z205" i="15"/>
  <c r="Z175" i="15"/>
  <c r="AO88" i="15"/>
  <c r="AO137" i="15" s="1"/>
  <c r="AT88" i="15"/>
  <c r="AT94" i="15" s="1"/>
  <c r="AT100" i="15" s="1"/>
  <c r="BI205" i="15"/>
  <c r="BI175" i="15"/>
  <c r="BN88" i="15"/>
  <c r="BN94" i="15" s="1"/>
  <c r="BN100" i="15" s="1"/>
  <c r="BS88" i="15"/>
  <c r="AD94" i="15"/>
  <c r="AD100" i="15" s="1"/>
  <c r="BY196" i="15"/>
  <c r="P103" i="15"/>
  <c r="P104" i="15" s="1"/>
  <c r="P197" i="15"/>
  <c r="U196" i="15"/>
  <c r="Z103" i="15"/>
  <c r="Z104" i="15" s="1"/>
  <c r="Z197" i="15"/>
  <c r="AE196" i="15"/>
  <c r="AJ197" i="15"/>
  <c r="AO196" i="15"/>
  <c r="AT197" i="15"/>
  <c r="BD197" i="15"/>
  <c r="BN197" i="15"/>
  <c r="L113" i="15"/>
  <c r="L169" i="15" s="1"/>
  <c r="AP124" i="15"/>
  <c r="AP131" i="15" s="1"/>
  <c r="AY205" i="15"/>
  <c r="AY175" i="15"/>
  <c r="U88" i="15"/>
  <c r="U94" i="15" s="1"/>
  <c r="Z88" i="15"/>
  <c r="Z94" i="15" s="1"/>
  <c r="AJ205" i="15"/>
  <c r="AJ175" i="15"/>
  <c r="AO205" i="15"/>
  <c r="AO175" i="15"/>
  <c r="AT205" i="15"/>
  <c r="AT175" i="15"/>
  <c r="BI88" i="15"/>
  <c r="BI137" i="15" s="1"/>
  <c r="BN205" i="15"/>
  <c r="BN175" i="15"/>
  <c r="BS205" i="15"/>
  <c r="BS175" i="15"/>
  <c r="P94" i="15"/>
  <c r="AJ94" i="15"/>
  <c r="AJ100" i="15" s="1"/>
  <c r="O104" i="15"/>
  <c r="T104" i="15"/>
  <c r="BT197" i="15"/>
  <c r="BO197" i="15"/>
  <c r="U197" i="15"/>
  <c r="Z196" i="15"/>
  <c r="AE197" i="15"/>
  <c r="AJ196" i="15"/>
  <c r="AO197" i="15"/>
  <c r="AY197" i="15"/>
  <c r="BI197" i="15"/>
  <c r="BS197" i="15"/>
  <c r="BD123" i="15"/>
  <c r="BD132" i="15" s="1"/>
  <c r="AJ124" i="15"/>
  <c r="AJ131" i="15" s="1"/>
  <c r="BD124" i="15"/>
  <c r="BD131" i="15" s="1"/>
  <c r="CG133" i="15"/>
  <c r="M177" i="15"/>
  <c r="M148" i="15"/>
  <c r="M80" i="4" s="1"/>
  <c r="M81" i="4" s="1"/>
  <c r="BO103" i="15"/>
  <c r="BO104" i="15" s="1"/>
  <c r="BO196" i="15" s="1"/>
  <c r="L150" i="15"/>
  <c r="L153" i="15"/>
  <c r="P150" i="15"/>
  <c r="P153" i="15"/>
  <c r="L177" i="15"/>
  <c r="L148" i="15"/>
  <c r="L80" i="4" s="1"/>
  <c r="L81" i="4" s="1"/>
  <c r="P177" i="15"/>
  <c r="P204" i="15"/>
  <c r="M150" i="15"/>
  <c r="N177" i="15"/>
  <c r="N169" i="15"/>
  <c r="N148" i="15"/>
  <c r="N80" i="4" s="1"/>
  <c r="N81" i="4" s="1"/>
  <c r="O177" i="15"/>
  <c r="O169" i="15"/>
  <c r="O148" i="15"/>
  <c r="O80" i="4" s="1"/>
  <c r="O81" i="4" s="1"/>
  <c r="AO195" i="15"/>
  <c r="AO181" i="15"/>
  <c r="AT181" i="15"/>
  <c r="BI195" i="15"/>
  <c r="BI181" i="15"/>
  <c r="U195" i="15"/>
  <c r="U181" i="15"/>
  <c r="BD195" i="15"/>
  <c r="AT195" i="15"/>
  <c r="BN195" i="15"/>
  <c r="AE181" i="15"/>
  <c r="AY181" i="15"/>
  <c r="BS181" i="15"/>
  <c r="AJ181" i="15"/>
  <c r="CF16" i="20"/>
  <c r="CE16" i="19"/>
  <c r="CC20" i="20"/>
  <c r="CC21" i="19"/>
  <c r="CD21" i="20"/>
  <c r="CE21" i="20" s="1"/>
  <c r="CF12" i="20"/>
  <c r="CE11" i="20"/>
  <c r="CE12" i="19"/>
  <c r="CG19" i="19"/>
  <c r="CH19" i="20"/>
  <c r="CH19" i="19" s="1"/>
  <c r="CG29" i="20"/>
  <c r="CH30" i="20"/>
  <c r="CG30" i="19"/>
  <c r="CG67" i="19" s="1"/>
  <c r="CH24" i="19"/>
  <c r="BX21" i="19"/>
  <c r="BX20" i="19" s="1"/>
  <c r="CF19" i="19"/>
  <c r="CH27" i="19"/>
  <c r="CD11" i="20"/>
  <c r="CD51" i="20" s="1"/>
  <c r="CE17" i="20"/>
  <c r="CE57" i="20" s="1"/>
  <c r="CD12" i="19"/>
  <c r="CD49" i="19" s="1"/>
  <c r="CE15" i="20"/>
  <c r="CG25" i="20"/>
  <c r="CG68" i="19"/>
  <c r="BX14" i="19"/>
  <c r="CD14" i="19"/>
  <c r="CC29" i="19"/>
  <c r="CE23" i="19"/>
  <c r="CF62" i="19"/>
  <c r="CF29" i="19"/>
  <c r="CF67" i="19"/>
  <c r="AO86" i="19"/>
  <c r="AO33" i="19" s="1"/>
  <c r="BI86" i="19"/>
  <c r="BI87" i="19" s="1"/>
  <c r="BV33" i="19"/>
  <c r="CD33" i="19"/>
  <c r="CH86" i="19"/>
  <c r="CH33" i="19" s="1"/>
  <c r="AY86" i="19"/>
  <c r="AY33" i="19" s="1"/>
  <c r="BT33" i="19"/>
  <c r="BX33" i="19"/>
  <c r="CC17" i="19"/>
  <c r="CD29" i="19"/>
  <c r="CF26" i="19"/>
  <c r="BS86" i="19"/>
  <c r="BS87" i="19" s="1"/>
  <c r="BW33" i="19"/>
  <c r="BW432" i="12" s="1"/>
  <c r="CE33" i="19"/>
  <c r="CF86" i="19"/>
  <c r="CF33" i="19" s="1"/>
  <c r="BU33" i="19"/>
  <c r="CC33" i="19"/>
  <c r="CG86" i="19"/>
  <c r="CG33" i="19" s="1"/>
  <c r="BD86" i="19"/>
  <c r="BD87" i="19" s="1"/>
  <c r="BX281" i="12"/>
  <c r="BX50" i="12"/>
  <c r="BN18" i="12"/>
  <c r="AO258" i="12"/>
  <c r="W246" i="12"/>
  <c r="W249" i="12"/>
  <c r="AB247" i="12"/>
  <c r="AG246" i="12"/>
  <c r="AG249" i="12"/>
  <c r="AL245" i="12"/>
  <c r="AL249" i="12"/>
  <c r="AV247" i="12"/>
  <c r="AQ247" i="12"/>
  <c r="BC249" i="12"/>
  <c r="BM248" i="12"/>
  <c r="AB252" i="12"/>
  <c r="AG255" i="12"/>
  <c r="AV255" i="12"/>
  <c r="BA255" i="12"/>
  <c r="BP255" i="12"/>
  <c r="W258" i="12"/>
  <c r="AL258" i="12"/>
  <c r="AV258" i="12"/>
  <c r="BN256" i="12"/>
  <c r="BS252" i="12"/>
  <c r="BC262" i="12"/>
  <c r="V267" i="12"/>
  <c r="AF267" i="12"/>
  <c r="AK267" i="12"/>
  <c r="AU267" i="12"/>
  <c r="AY33" i="12"/>
  <c r="Y278" i="12"/>
  <c r="AD277" i="12"/>
  <c r="AD280" i="12"/>
  <c r="AI279" i="12"/>
  <c r="AN280" i="12"/>
  <c r="AS280" i="12"/>
  <c r="BH277" i="12"/>
  <c r="BR277" i="12"/>
  <c r="Y286" i="12"/>
  <c r="AN286" i="12"/>
  <c r="AX286" i="12"/>
  <c r="BC286" i="12"/>
  <c r="BM286" i="12"/>
  <c r="AD292" i="12"/>
  <c r="AN292" i="12"/>
  <c r="BC292" i="12"/>
  <c r="BR292" i="12"/>
  <c r="AJ290" i="12"/>
  <c r="AO294" i="12"/>
  <c r="BC295" i="12"/>
  <c r="BM295" i="12"/>
  <c r="BN293" i="12"/>
  <c r="BN62" i="12"/>
  <c r="BN303" i="12"/>
  <c r="BN71" i="12"/>
  <c r="BN14" i="10" s="1"/>
  <c r="AH313" i="12"/>
  <c r="AJ83" i="12"/>
  <c r="Q15" i="12"/>
  <c r="Q245" i="12" s="1"/>
  <c r="Q18" i="12"/>
  <c r="Q248" i="12" s="1"/>
  <c r="V15" i="12"/>
  <c r="V245" i="12" s="1"/>
  <c r="V246" i="12"/>
  <c r="V18" i="12"/>
  <c r="V249" i="12"/>
  <c r="AA15" i="12"/>
  <c r="AA245" i="12" s="1"/>
  <c r="AA246" i="12"/>
  <c r="AA247" i="12"/>
  <c r="AA249" i="12"/>
  <c r="AF15" i="12"/>
  <c r="AF245" i="12" s="1"/>
  <c r="AF246" i="12"/>
  <c r="AF247" i="12"/>
  <c r="AF18" i="12"/>
  <c r="AF248" i="12" s="1"/>
  <c r="AF249" i="12"/>
  <c r="AK246" i="12"/>
  <c r="AK247" i="12"/>
  <c r="AK18" i="12"/>
  <c r="AK248" i="12" s="1"/>
  <c r="AK249" i="12"/>
  <c r="AP15" i="12"/>
  <c r="AP245" i="12" s="1"/>
  <c r="AU246" i="12"/>
  <c r="AP246" i="12"/>
  <c r="AU247" i="12"/>
  <c r="AP247" i="12"/>
  <c r="AP18" i="12"/>
  <c r="AP249" i="12"/>
  <c r="AZ245" i="12"/>
  <c r="BE245" i="12"/>
  <c r="BJ245" i="12"/>
  <c r="BO245" i="12"/>
  <c r="AW249" i="12"/>
  <c r="BB248" i="12"/>
  <c r="BB249" i="12"/>
  <c r="BG248" i="12"/>
  <c r="BG249" i="12"/>
  <c r="BL248" i="12"/>
  <c r="BL249" i="12"/>
  <c r="BQ248" i="12"/>
  <c r="BQ249" i="12"/>
  <c r="BT249" i="12"/>
  <c r="V252" i="12"/>
  <c r="AA252" i="12"/>
  <c r="AF252" i="12"/>
  <c r="AK252" i="12"/>
  <c r="AP252" i="12"/>
  <c r="AU252" i="12"/>
  <c r="AZ252" i="12"/>
  <c r="BE252" i="12"/>
  <c r="BJ252" i="12"/>
  <c r="BO252" i="12"/>
  <c r="BT252" i="12"/>
  <c r="V255" i="12"/>
  <c r="AA255" i="12"/>
  <c r="AF255" i="12"/>
  <c r="AK255" i="12"/>
  <c r="AP255" i="12"/>
  <c r="AU255" i="12"/>
  <c r="AZ255" i="12"/>
  <c r="BE255" i="12"/>
  <c r="BJ255" i="12"/>
  <c r="BO255" i="12"/>
  <c r="BT255" i="12"/>
  <c r="V258" i="12"/>
  <c r="AA258" i="12"/>
  <c r="AF258" i="12"/>
  <c r="AK258" i="12"/>
  <c r="AP258" i="12"/>
  <c r="AU258" i="12"/>
  <c r="AZ258" i="12"/>
  <c r="BE258" i="12"/>
  <c r="BJ258" i="12"/>
  <c r="BO258" i="12"/>
  <c r="BT258" i="12"/>
  <c r="BI251" i="12"/>
  <c r="BI25" i="12"/>
  <c r="BI16" i="10" s="1"/>
  <c r="BI259" i="12"/>
  <c r="BN251" i="12"/>
  <c r="BN25" i="12"/>
  <c r="BN16" i="10" s="1"/>
  <c r="BN259" i="12"/>
  <c r="BS251" i="12"/>
  <c r="BS259" i="12"/>
  <c r="X261" i="12"/>
  <c r="AC261" i="12"/>
  <c r="AH261" i="12"/>
  <c r="AM261" i="12"/>
  <c r="AR261" i="12"/>
  <c r="AW261" i="12"/>
  <c r="BB261" i="12"/>
  <c r="BB262" i="12"/>
  <c r="BB263" i="12"/>
  <c r="BB264" i="12"/>
  <c r="BG264" i="12"/>
  <c r="BL31" i="12"/>
  <c r="BQ261" i="12" s="1"/>
  <c r="BP31" i="12"/>
  <c r="BT31" i="12"/>
  <c r="BY261" i="12" s="1"/>
  <c r="BI32" i="12"/>
  <c r="BM262" i="12"/>
  <c r="BQ262" i="12"/>
  <c r="BU262" i="12"/>
  <c r="BF263" i="12"/>
  <c r="BJ263" i="12"/>
  <c r="BN33" i="12"/>
  <c r="BN17" i="12" s="1"/>
  <c r="BR263" i="12"/>
  <c r="BV31" i="12"/>
  <c r="U16" i="12"/>
  <c r="U246" i="12" s="1"/>
  <c r="U28" i="12"/>
  <c r="Z17" i="12"/>
  <c r="Z251" i="12"/>
  <c r="Z25" i="12"/>
  <c r="Z16" i="10" s="1"/>
  <c r="Z259" i="12"/>
  <c r="Z263" i="12"/>
  <c r="AE22" i="12"/>
  <c r="AE256" i="12"/>
  <c r="AE260" i="12"/>
  <c r="AJ19" i="12"/>
  <c r="AJ253" i="12"/>
  <c r="AJ257" i="12"/>
  <c r="AJ31" i="12"/>
  <c r="AJ261" i="12" s="1"/>
  <c r="AO250" i="12"/>
  <c r="AO254" i="12"/>
  <c r="AO262" i="12"/>
  <c r="AT17" i="12"/>
  <c r="AT247" i="12" s="1"/>
  <c r="AT251" i="12"/>
  <c r="AT25" i="12"/>
  <c r="AT16" i="10" s="1"/>
  <c r="AT259" i="12"/>
  <c r="AT263" i="12"/>
  <c r="BE262" i="12"/>
  <c r="BD28" i="12"/>
  <c r="BD266" i="12"/>
  <c r="BI266" i="12"/>
  <c r="Y267" i="12"/>
  <c r="AD267" i="12"/>
  <c r="AI267" i="12"/>
  <c r="AN267" i="12"/>
  <c r="AS267" i="12"/>
  <c r="AX267" i="12"/>
  <c r="AT37" i="12"/>
  <c r="AY250" i="12"/>
  <c r="AY254" i="12"/>
  <c r="AY32" i="12"/>
  <c r="AY16" i="12" s="1"/>
  <c r="U40" i="12"/>
  <c r="U270" i="12" s="1"/>
  <c r="Y270" i="12"/>
  <c r="AC270" i="12"/>
  <c r="AH270" i="12"/>
  <c r="AM270" i="12"/>
  <c r="X273" i="12"/>
  <c r="AD273" i="12"/>
  <c r="AI273" i="12"/>
  <c r="AN273" i="12"/>
  <c r="U43" i="12"/>
  <c r="U273" i="12" s="1"/>
  <c r="AE268" i="12"/>
  <c r="AE272" i="12"/>
  <c r="AJ37" i="12"/>
  <c r="AO267" i="12" s="1"/>
  <c r="AJ41" i="12"/>
  <c r="AJ16" i="12" s="1"/>
  <c r="AJ275" i="12"/>
  <c r="AO274" i="12"/>
  <c r="X278" i="12"/>
  <c r="X279" i="12"/>
  <c r="X280" i="12"/>
  <c r="AC47" i="12"/>
  <c r="AC277" i="12" s="1"/>
  <c r="AC278" i="12"/>
  <c r="AC279" i="12"/>
  <c r="AC280" i="12"/>
  <c r="AH47" i="12"/>
  <c r="AH277" i="12" s="1"/>
  <c r="AH278" i="12"/>
  <c r="AH279" i="12"/>
  <c r="AH280" i="12"/>
  <c r="AM47" i="12"/>
  <c r="AM277" i="12" s="1"/>
  <c r="AM278" i="12"/>
  <c r="AM279" i="12"/>
  <c r="AM280" i="12"/>
  <c r="AR278" i="12"/>
  <c r="AW278" i="12"/>
  <c r="AR279" i="12"/>
  <c r="AW279" i="12"/>
  <c r="AR280" i="12"/>
  <c r="AW277" i="12"/>
  <c r="BB277" i="12"/>
  <c r="BG277" i="12"/>
  <c r="BL277" i="12"/>
  <c r="BQ277" i="12"/>
  <c r="AU280" i="12"/>
  <c r="AZ280" i="12"/>
  <c r="BE280" i="12"/>
  <c r="BJ280" i="12"/>
  <c r="BO280" i="12"/>
  <c r="BT280" i="12"/>
  <c r="X283" i="12"/>
  <c r="AC283" i="12"/>
  <c r="AH283" i="12"/>
  <c r="AM283" i="12"/>
  <c r="AR283" i="12"/>
  <c r="AW283" i="12"/>
  <c r="BB283" i="12"/>
  <c r="BG283" i="12"/>
  <c r="BL283" i="12"/>
  <c r="BQ283" i="12"/>
  <c r="X286" i="12"/>
  <c r="AC286" i="12"/>
  <c r="AH286" i="12"/>
  <c r="AM286" i="12"/>
  <c r="AR286" i="12"/>
  <c r="AW286" i="12"/>
  <c r="BB286" i="12"/>
  <c r="BG286" i="12"/>
  <c r="BL286" i="12"/>
  <c r="BQ286" i="12"/>
  <c r="X289" i="12"/>
  <c r="AC289" i="12"/>
  <c r="AH289" i="12"/>
  <c r="AM289" i="12"/>
  <c r="AR289" i="12"/>
  <c r="AW289" i="12"/>
  <c r="BB289" i="12"/>
  <c r="BG289" i="12"/>
  <c r="BL289" i="12"/>
  <c r="BQ289" i="12"/>
  <c r="X292" i="12"/>
  <c r="AC292" i="12"/>
  <c r="AH292" i="12"/>
  <c r="AM292" i="12"/>
  <c r="AR292" i="12"/>
  <c r="AW292" i="12"/>
  <c r="BB292" i="12"/>
  <c r="BG292" i="12"/>
  <c r="BL292" i="12"/>
  <c r="BQ292" i="12"/>
  <c r="U50" i="12"/>
  <c r="U17" i="10" s="1"/>
  <c r="U62" i="12"/>
  <c r="U292" i="12" s="1"/>
  <c r="Z48" i="12"/>
  <c r="Z282" i="12"/>
  <c r="Z56" i="12"/>
  <c r="Z290" i="12"/>
  <c r="Z294" i="12"/>
  <c r="AE50" i="12"/>
  <c r="AE17" i="10" s="1"/>
  <c r="AE284" i="12"/>
  <c r="AE288" i="12"/>
  <c r="AJ50" i="12"/>
  <c r="AJ17" i="10" s="1"/>
  <c r="AJ59" i="12"/>
  <c r="AO284" i="12"/>
  <c r="AO288" i="12"/>
  <c r="AT48" i="12"/>
  <c r="AT282" i="12"/>
  <c r="AT56" i="12"/>
  <c r="AT291" i="12"/>
  <c r="AY282" i="12"/>
  <c r="BD282" i="12"/>
  <c r="BD56" i="12"/>
  <c r="BD291" i="12"/>
  <c r="BD65" i="12"/>
  <c r="BP301" i="12"/>
  <c r="BU301" i="12"/>
  <c r="BP304" i="12"/>
  <c r="BU304" i="12"/>
  <c r="BI281" i="12"/>
  <c r="BI50" i="12"/>
  <c r="BI17" i="10" s="1"/>
  <c r="BV53" i="12"/>
  <c r="BV18" i="10" s="1"/>
  <c r="BX288" i="12"/>
  <c r="BV62" i="12"/>
  <c r="BX63" i="12"/>
  <c r="CC293" i="12" s="1"/>
  <c r="BX73" i="12"/>
  <c r="CC303" i="12" s="1"/>
  <c r="BV71" i="12"/>
  <c r="BV14" i="10" s="1"/>
  <c r="BX308" i="12"/>
  <c r="X310" i="12"/>
  <c r="AC310" i="12"/>
  <c r="AH310" i="12"/>
  <c r="AM310" i="12"/>
  <c r="AR310" i="12"/>
  <c r="BE311" i="12"/>
  <c r="BI81" i="12"/>
  <c r="BE80" i="12"/>
  <c r="BE310" i="12" s="1"/>
  <c r="BS290" i="12"/>
  <c r="BS59" i="12"/>
  <c r="BS306" i="12"/>
  <c r="BS74" i="12"/>
  <c r="BX344" i="12"/>
  <c r="BX117" i="12"/>
  <c r="CC347" i="12" s="1"/>
  <c r="Z365" i="12"/>
  <c r="Z133" i="12"/>
  <c r="BK149" i="12"/>
  <c r="BK379" i="12" s="1"/>
  <c r="AE419" i="12"/>
  <c r="AE187" i="12"/>
  <c r="AE180" i="12"/>
  <c r="W247" i="12"/>
  <c r="AB249" i="12"/>
  <c r="AG247" i="12"/>
  <c r="AL246" i="12"/>
  <c r="AL18" i="12"/>
  <c r="AL248" i="12" s="1"/>
  <c r="AQ246" i="12"/>
  <c r="AV246" i="12"/>
  <c r="AV245" i="12"/>
  <c r="BF245" i="12"/>
  <c r="BC18" i="12"/>
  <c r="BC248" i="12" s="1"/>
  <c r="BH249" i="12"/>
  <c r="BM249" i="12"/>
  <c r="BR249" i="12"/>
  <c r="AG252" i="12"/>
  <c r="AL252" i="12"/>
  <c r="BA252" i="12"/>
  <c r="BF252" i="12"/>
  <c r="BU252" i="12"/>
  <c r="W255" i="12"/>
  <c r="AL255" i="12"/>
  <c r="BU255" i="12"/>
  <c r="AB258" i="12"/>
  <c r="AQ258" i="12"/>
  <c r="BF258" i="12"/>
  <c r="BP258" i="12"/>
  <c r="BN252" i="12"/>
  <c r="BS256" i="12"/>
  <c r="BC263" i="12"/>
  <c r="BN32" i="12"/>
  <c r="BN16" i="12" s="1"/>
  <c r="BS33" i="12"/>
  <c r="U17" i="12"/>
  <c r="U247" i="12" s="1"/>
  <c r="BD33" i="12"/>
  <c r="Z270" i="12"/>
  <c r="AN270" i="12"/>
  <c r="AK273" i="12"/>
  <c r="Y277" i="12"/>
  <c r="Y280" i="12"/>
  <c r="AD278" i="12"/>
  <c r="AI277" i="12"/>
  <c r="AI280" i="12"/>
  <c r="AN279" i="12"/>
  <c r="AS279" i="12"/>
  <c r="AX279" i="12"/>
  <c r="BM277" i="12"/>
  <c r="BK280" i="12"/>
  <c r="BP280" i="12"/>
  <c r="Y283" i="12"/>
  <c r="AD283" i="12"/>
  <c r="AN283" i="12"/>
  <c r="AS283" i="12"/>
  <c r="BC283" i="12"/>
  <c r="BM283" i="12"/>
  <c r="Y289" i="12"/>
  <c r="AN289" i="12"/>
  <c r="AX289" i="12"/>
  <c r="BC289" i="12"/>
  <c r="BM289" i="12"/>
  <c r="AJ294" i="12"/>
  <c r="AX295" i="12"/>
  <c r="BH295" i="12"/>
  <c r="AU298" i="12"/>
  <c r="BE298" i="12"/>
  <c r="BT298" i="12"/>
  <c r="AY284" i="12"/>
  <c r="AY53" i="12"/>
  <c r="AY18" i="10" s="1"/>
  <c r="AY294" i="12"/>
  <c r="AY62" i="12"/>
  <c r="BX69" i="12"/>
  <c r="CC299" i="12" s="1"/>
  <c r="BV68" i="12"/>
  <c r="BV15" i="10" s="1"/>
  <c r="AR325" i="12"/>
  <c r="BE364" i="12"/>
  <c r="BE133" i="12"/>
  <c r="BI134" i="12"/>
  <c r="BI107" i="12" s="1"/>
  <c r="AT365" i="12"/>
  <c r="AT133" i="12"/>
  <c r="Z381" i="12"/>
  <c r="Z149" i="12"/>
  <c r="AE379" i="12" s="1"/>
  <c r="X245" i="12"/>
  <c r="X246" i="12"/>
  <c r="X247" i="12"/>
  <c r="X248" i="12"/>
  <c r="X249" i="12"/>
  <c r="AC246" i="12"/>
  <c r="AC247" i="12"/>
  <c r="AC248" i="12"/>
  <c r="AC249" i="12"/>
  <c r="AH245" i="12"/>
  <c r="AH246" i="12"/>
  <c r="AH247" i="12"/>
  <c r="AH248" i="12"/>
  <c r="AH249" i="12"/>
  <c r="AM246" i="12"/>
  <c r="AM247" i="12"/>
  <c r="AM248" i="12"/>
  <c r="AM249" i="12"/>
  <c r="AR246" i="12"/>
  <c r="AW246" i="12"/>
  <c r="AR247" i="12"/>
  <c r="AW247" i="12"/>
  <c r="AR249" i="12"/>
  <c r="BB245" i="12"/>
  <c r="BG245" i="12"/>
  <c r="BL245" i="12"/>
  <c r="BQ245" i="12"/>
  <c r="BV19" i="12"/>
  <c r="CA249" i="12" s="1"/>
  <c r="BX21" i="12"/>
  <c r="CC251" i="12" s="1"/>
  <c r="AU18" i="12"/>
  <c r="AU248" i="12" s="1"/>
  <c r="AZ249" i="12"/>
  <c r="BE248" i="12"/>
  <c r="BE249" i="12"/>
  <c r="BJ248" i="12"/>
  <c r="BJ249" i="12"/>
  <c r="BO248" i="12"/>
  <c r="BO249" i="12"/>
  <c r="X252" i="12"/>
  <c r="AC252" i="12"/>
  <c r="AH252" i="12"/>
  <c r="AM252" i="12"/>
  <c r="AR252" i="12"/>
  <c r="AW252" i="12"/>
  <c r="BB252" i="12"/>
  <c r="BG252" i="12"/>
  <c r="BL252" i="12"/>
  <c r="BQ252" i="12"/>
  <c r="X255" i="12"/>
  <c r="AC255" i="12"/>
  <c r="AH255" i="12"/>
  <c r="AM255" i="12"/>
  <c r="AR255" i="12"/>
  <c r="AW255" i="12"/>
  <c r="BB255" i="12"/>
  <c r="BG255" i="12"/>
  <c r="BL255" i="12"/>
  <c r="BQ255" i="12"/>
  <c r="X258" i="12"/>
  <c r="AC258" i="12"/>
  <c r="AH258" i="12"/>
  <c r="AM258" i="12"/>
  <c r="AR258" i="12"/>
  <c r="AW258" i="12"/>
  <c r="BB258" i="12"/>
  <c r="BG258" i="12"/>
  <c r="BL258" i="12"/>
  <c r="BQ258" i="12"/>
  <c r="BI19" i="12"/>
  <c r="BN253" i="12"/>
  <c r="BN257" i="12"/>
  <c r="BS253" i="12"/>
  <c r="BS257" i="12"/>
  <c r="V261" i="12"/>
  <c r="AA261" i="12"/>
  <c r="AF261" i="12"/>
  <c r="AK261" i="12"/>
  <c r="AP261" i="12"/>
  <c r="AU261" i="12"/>
  <c r="AZ262" i="12"/>
  <c r="AZ263" i="12"/>
  <c r="AZ264" i="12"/>
  <c r="BF31" i="12"/>
  <c r="BF261" i="12" s="1"/>
  <c r="BJ31" i="12"/>
  <c r="BR31" i="12"/>
  <c r="BK262" i="12"/>
  <c r="BO262" i="12"/>
  <c r="BS32" i="12"/>
  <c r="BS16" i="12" s="1"/>
  <c r="BH263" i="12"/>
  <c r="BL263" i="12"/>
  <c r="BP263" i="12"/>
  <c r="BT263" i="12"/>
  <c r="BX33" i="12"/>
  <c r="U22" i="12"/>
  <c r="U252" i="12" s="1"/>
  <c r="Z19" i="12"/>
  <c r="AE249" i="12" s="1"/>
  <c r="Z253" i="12"/>
  <c r="Z257" i="12"/>
  <c r="Z31" i="12"/>
  <c r="AE16" i="12"/>
  <c r="AE250" i="12"/>
  <c r="AE254" i="12"/>
  <c r="AE28" i="12"/>
  <c r="AE262" i="12"/>
  <c r="AJ17" i="12"/>
  <c r="AO247" i="12" s="1"/>
  <c r="AJ251" i="12"/>
  <c r="AJ25" i="12"/>
  <c r="AJ16" i="10" s="1"/>
  <c r="AJ259" i="12"/>
  <c r="AJ263" i="12"/>
  <c r="AO22" i="12"/>
  <c r="AO256" i="12"/>
  <c r="AO260" i="12"/>
  <c r="AT19" i="12"/>
  <c r="AT253" i="12"/>
  <c r="AT257" i="12"/>
  <c r="AT31" i="12"/>
  <c r="BJ264" i="12"/>
  <c r="BE264" i="12"/>
  <c r="BD22" i="12"/>
  <c r="W267" i="12"/>
  <c r="AB267" i="12"/>
  <c r="AG267" i="12"/>
  <c r="AL267" i="12"/>
  <c r="AQ267" i="12"/>
  <c r="AV267" i="12"/>
  <c r="U37" i="12"/>
  <c r="U267" i="12" s="1"/>
  <c r="Z268" i="12"/>
  <c r="AT269" i="12"/>
  <c r="AY22" i="12"/>
  <c r="AY256" i="12"/>
  <c r="AY260" i="12"/>
  <c r="AY268" i="12"/>
  <c r="W270" i="12"/>
  <c r="AA270" i="12"/>
  <c r="AF270" i="12"/>
  <c r="AK270" i="12"/>
  <c r="V273" i="12"/>
  <c r="AB273" i="12"/>
  <c r="AG273" i="12"/>
  <c r="AL273" i="12"/>
  <c r="Z275" i="12"/>
  <c r="AJ269" i="12"/>
  <c r="AJ43" i="12"/>
  <c r="AO268" i="12"/>
  <c r="AO272" i="12"/>
  <c r="V277" i="12"/>
  <c r="V278" i="12"/>
  <c r="V279" i="12"/>
  <c r="V280" i="12"/>
  <c r="AA277" i="12"/>
  <c r="AA278" i="12"/>
  <c r="AA279" i="12"/>
  <c r="AA280" i="12"/>
  <c r="AF277" i="12"/>
  <c r="AF278" i="12"/>
  <c r="AF279" i="12"/>
  <c r="AJ49" i="12"/>
  <c r="AF280" i="12"/>
  <c r="AK278" i="12"/>
  <c r="AK279" i="12"/>
  <c r="AK280" i="12"/>
  <c r="AP277" i="12"/>
  <c r="AU278" i="12"/>
  <c r="AP278" i="12"/>
  <c r="AU279" i="12"/>
  <c r="AP279" i="12"/>
  <c r="AP280" i="12"/>
  <c r="AU277" i="12"/>
  <c r="AZ277" i="12"/>
  <c r="BE277" i="12"/>
  <c r="BJ277" i="12"/>
  <c r="BO277" i="12"/>
  <c r="BT277" i="12"/>
  <c r="BB280" i="12"/>
  <c r="BG280" i="12"/>
  <c r="BL280" i="12"/>
  <c r="BQ280" i="12"/>
  <c r="V283" i="12"/>
  <c r="AA283" i="12"/>
  <c r="AF283" i="12"/>
  <c r="AK283" i="12"/>
  <c r="AP283" i="12"/>
  <c r="AU283" i="12"/>
  <c r="AZ283" i="12"/>
  <c r="BE283" i="12"/>
  <c r="BJ283" i="12"/>
  <c r="BO283" i="12"/>
  <c r="BT283" i="12"/>
  <c r="V286" i="12"/>
  <c r="AA286" i="12"/>
  <c r="AF286" i="12"/>
  <c r="AK286" i="12"/>
  <c r="AP286" i="12"/>
  <c r="AU286" i="12"/>
  <c r="AZ286" i="12"/>
  <c r="BE286" i="12"/>
  <c r="BJ286" i="12"/>
  <c r="BO286" i="12"/>
  <c r="BT286" i="12"/>
  <c r="V289" i="12"/>
  <c r="AA289" i="12"/>
  <c r="AF289" i="12"/>
  <c r="AK289" i="12"/>
  <c r="AP289" i="12"/>
  <c r="AU289" i="12"/>
  <c r="AZ289" i="12"/>
  <c r="BE289" i="12"/>
  <c r="BJ289" i="12"/>
  <c r="BO289" i="12"/>
  <c r="BT289" i="12"/>
  <c r="V292" i="12"/>
  <c r="AA292" i="12"/>
  <c r="AF292" i="12"/>
  <c r="AK292" i="12"/>
  <c r="AP292" i="12"/>
  <c r="AU292" i="12"/>
  <c r="AZ292" i="12"/>
  <c r="BE292" i="12"/>
  <c r="BJ292" i="12"/>
  <c r="BO292" i="12"/>
  <c r="BT292" i="12"/>
  <c r="U48" i="12"/>
  <c r="U278" i="12" s="1"/>
  <c r="U56" i="12"/>
  <c r="U286" i="12" s="1"/>
  <c r="AE48" i="12"/>
  <c r="AE278" i="12" s="1"/>
  <c r="AE291" i="12"/>
  <c r="AJ282" i="12"/>
  <c r="AO48" i="12"/>
  <c r="AO282" i="12"/>
  <c r="AO56" i="12"/>
  <c r="AU295" i="12"/>
  <c r="AZ295" i="12"/>
  <c r="BE295" i="12"/>
  <c r="BJ295" i="12"/>
  <c r="BO295" i="12"/>
  <c r="BT295" i="12"/>
  <c r="AV298" i="12"/>
  <c r="BA298" i="12"/>
  <c r="BF298" i="12"/>
  <c r="BK298" i="12"/>
  <c r="BP298" i="12"/>
  <c r="BU298" i="12"/>
  <c r="AT280" i="12"/>
  <c r="AY290" i="12"/>
  <c r="AY59" i="12"/>
  <c r="AY299" i="12"/>
  <c r="BD280" i="12"/>
  <c r="BD284" i="12"/>
  <c r="BD288" i="12"/>
  <c r="BI293" i="12"/>
  <c r="BI62" i="12"/>
  <c r="BI303" i="12"/>
  <c r="BI71" i="12"/>
  <c r="BI14" i="10" s="1"/>
  <c r="BN299" i="12"/>
  <c r="BN68" i="12"/>
  <c r="BN15" i="10" s="1"/>
  <c r="BN305" i="12"/>
  <c r="BN74" i="12"/>
  <c r="BV50" i="12"/>
  <c r="BV17" i="10" s="1"/>
  <c r="BX285" i="12"/>
  <c r="V310" i="12"/>
  <c r="AA310" i="12"/>
  <c r="AF310" i="12"/>
  <c r="AK310" i="12"/>
  <c r="AP310" i="12"/>
  <c r="BB80" i="12"/>
  <c r="BG311" i="12"/>
  <c r="BG80" i="12"/>
  <c r="BG310" i="12" s="1"/>
  <c r="BF312" i="12"/>
  <c r="BI82" i="12"/>
  <c r="BK312" i="12"/>
  <c r="BP310" i="12"/>
  <c r="BU311" i="12"/>
  <c r="BP311" i="12"/>
  <c r="BU312" i="12"/>
  <c r="BP312" i="12"/>
  <c r="BS82" i="12"/>
  <c r="BS49" i="12" s="1"/>
  <c r="BU310" i="12"/>
  <c r="BN81" i="12"/>
  <c r="BN48" i="12" s="1"/>
  <c r="BS282" i="12"/>
  <c r="BS50" i="12"/>
  <c r="BX67" i="12"/>
  <c r="BS343" i="12"/>
  <c r="BS112" i="12"/>
  <c r="AK351" i="12"/>
  <c r="AP351" i="12"/>
  <c r="AU351" i="12"/>
  <c r="AZ351" i="12"/>
  <c r="BE351" i="12"/>
  <c r="BJ351" i="12"/>
  <c r="BX355" i="12"/>
  <c r="BX124" i="12"/>
  <c r="BX128" i="12"/>
  <c r="BN372" i="12"/>
  <c r="BN140" i="12"/>
  <c r="AB411" i="12"/>
  <c r="AB178" i="12"/>
  <c r="AB408" i="12" s="1"/>
  <c r="BA408" i="12"/>
  <c r="BF408" i="12"/>
  <c r="BK408" i="12"/>
  <c r="BP408" i="12"/>
  <c r="BU408" i="12"/>
  <c r="AW409" i="12"/>
  <c r="AR409" i="12"/>
  <c r="AG410" i="12"/>
  <c r="AX410" i="12"/>
  <c r="AS410" i="12"/>
  <c r="AV415" i="12"/>
  <c r="AV184" i="12"/>
  <c r="AV414" i="12" s="1"/>
  <c r="BQ241" i="12"/>
  <c r="BQ235" i="12"/>
  <c r="BQ11" i="10" s="1"/>
  <c r="W248" i="12"/>
  <c r="AB246" i="12"/>
  <c r="AG248" i="12"/>
  <c r="AL247" i="12"/>
  <c r="AQ249" i="12"/>
  <c r="BA245" i="12"/>
  <c r="BP245" i="12"/>
  <c r="BU245" i="12"/>
  <c r="BR248" i="12"/>
  <c r="AQ255" i="12"/>
  <c r="AG258" i="12"/>
  <c r="BK258" i="12"/>
  <c r="BN260" i="12"/>
  <c r="BS260" i="12"/>
  <c r="AD261" i="12"/>
  <c r="AN261" i="12"/>
  <c r="AS261" i="12"/>
  <c r="AX31" i="12"/>
  <c r="AX261" i="12" s="1"/>
  <c r="BC31" i="12"/>
  <c r="BH261" i="12" s="1"/>
  <c r="BC264" i="12"/>
  <c r="BH264" i="12"/>
  <c r="AE261" i="12"/>
  <c r="AA267" i="12"/>
  <c r="Y279" i="12"/>
  <c r="AD279" i="12"/>
  <c r="AI278" i="12"/>
  <c r="AN278" i="12"/>
  <c r="AS278" i="12"/>
  <c r="AX278" i="12"/>
  <c r="BH283" i="12"/>
  <c r="BR283" i="12"/>
  <c r="AI286" i="12"/>
  <c r="AS286" i="12"/>
  <c r="BR286" i="12"/>
  <c r="AD289" i="12"/>
  <c r="AS289" i="12"/>
  <c r="BR289" i="12"/>
  <c r="AI292" i="12"/>
  <c r="AX292" i="12"/>
  <c r="BH292" i="12"/>
  <c r="AE290" i="12"/>
  <c r="AE59" i="12"/>
  <c r="AO290" i="12"/>
  <c r="AO59" i="12"/>
  <c r="AZ298" i="12"/>
  <c r="BO298" i="12"/>
  <c r="BX284" i="12"/>
  <c r="BX53" i="12"/>
  <c r="BX18" i="10" s="1"/>
  <c r="BX294" i="12"/>
  <c r="AH325" i="12"/>
  <c r="AT326" i="12"/>
  <c r="AX365" i="12"/>
  <c r="AX133" i="12"/>
  <c r="AX363" i="12" s="1"/>
  <c r="BS372" i="12"/>
  <c r="BS140" i="12"/>
  <c r="T15" i="12"/>
  <c r="T245" i="12" s="1"/>
  <c r="Y15" i="12"/>
  <c r="Y246" i="12"/>
  <c r="Y247" i="12"/>
  <c r="Y249" i="12"/>
  <c r="AD15" i="12"/>
  <c r="AD246" i="12"/>
  <c r="AD247" i="12"/>
  <c r="AD248" i="12"/>
  <c r="AD249" i="12"/>
  <c r="AI15" i="12"/>
  <c r="AI246" i="12"/>
  <c r="AI247" i="12"/>
  <c r="AI249" i="12"/>
  <c r="AN15" i="12"/>
  <c r="AN246" i="12"/>
  <c r="AN247" i="12"/>
  <c r="AN248" i="12"/>
  <c r="AN249" i="12"/>
  <c r="AS15" i="12"/>
  <c r="AX245" i="12" s="1"/>
  <c r="AS246" i="12"/>
  <c r="AX246" i="12"/>
  <c r="AS247" i="12"/>
  <c r="AX247" i="12"/>
  <c r="AS248" i="12"/>
  <c r="AS249" i="12"/>
  <c r="BC245" i="12"/>
  <c r="BH245" i="12"/>
  <c r="BM245" i="12"/>
  <c r="BR245" i="12"/>
  <c r="BV22" i="12"/>
  <c r="AV249" i="12"/>
  <c r="BA249" i="12"/>
  <c r="BF248" i="12"/>
  <c r="BF249" i="12"/>
  <c r="BK248" i="12"/>
  <c r="BK249" i="12"/>
  <c r="BP248" i="12"/>
  <c r="BP249" i="12"/>
  <c r="BU18" i="12"/>
  <c r="Y252" i="12"/>
  <c r="AD252" i="12"/>
  <c r="AI252" i="12"/>
  <c r="AN252" i="12"/>
  <c r="AS252" i="12"/>
  <c r="AX252" i="12"/>
  <c r="BC252" i="12"/>
  <c r="BH252" i="12"/>
  <c r="BM252" i="12"/>
  <c r="BR252" i="12"/>
  <c r="Y255" i="12"/>
  <c r="AD255" i="12"/>
  <c r="AI255" i="12"/>
  <c r="AN255" i="12"/>
  <c r="AS255" i="12"/>
  <c r="AX255" i="12"/>
  <c r="BC255" i="12"/>
  <c r="BH255" i="12"/>
  <c r="BM255" i="12"/>
  <c r="BR255" i="12"/>
  <c r="Y258" i="12"/>
  <c r="AD258" i="12"/>
  <c r="AI258" i="12"/>
  <c r="AN258" i="12"/>
  <c r="AS258" i="12"/>
  <c r="AX258" i="12"/>
  <c r="BC258" i="12"/>
  <c r="BH258" i="12"/>
  <c r="BM258" i="12"/>
  <c r="BR258" i="12"/>
  <c r="BI28" i="12"/>
  <c r="BI258" i="12" s="1"/>
  <c r="BN250" i="12"/>
  <c r="BN254" i="12"/>
  <c r="BN28" i="12"/>
  <c r="BS250" i="12"/>
  <c r="BS254" i="12"/>
  <c r="BS28" i="12"/>
  <c r="W261" i="12"/>
  <c r="AB261" i="12"/>
  <c r="AG261" i="12"/>
  <c r="AL261" i="12"/>
  <c r="AQ261" i="12"/>
  <c r="AV261" i="12"/>
  <c r="BA261" i="12"/>
  <c r="BA262" i="12"/>
  <c r="BA263" i="12"/>
  <c r="BF264" i="12"/>
  <c r="BA264" i="12"/>
  <c r="BG31" i="12"/>
  <c r="BG261" i="12" s="1"/>
  <c r="BK31" i="12"/>
  <c r="BO31" i="12"/>
  <c r="BH262" i="12"/>
  <c r="BX32" i="12"/>
  <c r="BI33" i="12"/>
  <c r="BI263" i="12" s="1"/>
  <c r="U19" i="12"/>
  <c r="U31" i="12"/>
  <c r="U261" i="12" s="1"/>
  <c r="Z28" i="12"/>
  <c r="AE17" i="12"/>
  <c r="AE25" i="12"/>
  <c r="AE16" i="10" s="1"/>
  <c r="AJ22" i="12"/>
  <c r="AO19" i="12"/>
  <c r="AO31" i="12"/>
  <c r="AO261" i="12" s="1"/>
  <c r="AT16" i="12"/>
  <c r="AT28" i="12"/>
  <c r="BE31" i="12"/>
  <c r="BE261" i="12" s="1"/>
  <c r="BD19" i="12"/>
  <c r="BI265" i="12"/>
  <c r="BD265" i="12"/>
  <c r="X267" i="12"/>
  <c r="AC267" i="12"/>
  <c r="AH267" i="12"/>
  <c r="AM267" i="12"/>
  <c r="AR267" i="12"/>
  <c r="AW267" i="12"/>
  <c r="AY19" i="12"/>
  <c r="AG270" i="12"/>
  <c r="AL270" i="12"/>
  <c r="W273" i="12"/>
  <c r="AH273" i="12"/>
  <c r="AM273" i="12"/>
  <c r="Z272" i="12"/>
  <c r="AE37" i="12"/>
  <c r="AO43" i="12"/>
  <c r="AO273" i="12" s="1"/>
  <c r="W278" i="12"/>
  <c r="W279" i="12"/>
  <c r="W280" i="12"/>
  <c r="AB278" i="12"/>
  <c r="AB279" i="12"/>
  <c r="AB280" i="12"/>
  <c r="AG278" i="12"/>
  <c r="AG279" i="12"/>
  <c r="AG280" i="12"/>
  <c r="AL278" i="12"/>
  <c r="AL279" i="12"/>
  <c r="AL280" i="12"/>
  <c r="AQ278" i="12"/>
  <c r="AV278" i="12"/>
  <c r="AV279" i="12"/>
  <c r="AQ279" i="12"/>
  <c r="AQ280" i="12"/>
  <c r="BA277" i="12"/>
  <c r="BF277" i="12"/>
  <c r="BK277" i="12"/>
  <c r="BP277" i="12"/>
  <c r="BU277" i="12"/>
  <c r="AX280" i="12"/>
  <c r="BC280" i="12"/>
  <c r="BH280" i="12"/>
  <c r="BM280" i="12"/>
  <c r="BR280" i="12"/>
  <c r="W283" i="12"/>
  <c r="AB283" i="12"/>
  <c r="AG283" i="12"/>
  <c r="AL283" i="12"/>
  <c r="AQ283" i="12"/>
  <c r="AV283" i="12"/>
  <c r="BA283" i="12"/>
  <c r="BF283" i="12"/>
  <c r="BK283" i="12"/>
  <c r="BP283" i="12"/>
  <c r="BU283" i="12"/>
  <c r="W286" i="12"/>
  <c r="AB286" i="12"/>
  <c r="AG286" i="12"/>
  <c r="AL286" i="12"/>
  <c r="AQ286" i="12"/>
  <c r="AV286" i="12"/>
  <c r="BA286" i="12"/>
  <c r="BF286" i="12"/>
  <c r="BK286" i="12"/>
  <c r="BP286" i="12"/>
  <c r="BU286" i="12"/>
  <c r="W289" i="12"/>
  <c r="AB289" i="12"/>
  <c r="AG289" i="12"/>
  <c r="AL289" i="12"/>
  <c r="AQ289" i="12"/>
  <c r="AV289" i="12"/>
  <c r="BA289" i="12"/>
  <c r="BF289" i="12"/>
  <c r="BK289" i="12"/>
  <c r="BP289" i="12"/>
  <c r="BU289" i="12"/>
  <c r="W292" i="12"/>
  <c r="AB292" i="12"/>
  <c r="AG292" i="12"/>
  <c r="AL292" i="12"/>
  <c r="AQ292" i="12"/>
  <c r="AV292" i="12"/>
  <c r="BA292" i="12"/>
  <c r="BF292" i="12"/>
  <c r="BK292" i="12"/>
  <c r="BP292" i="12"/>
  <c r="BU292" i="12"/>
  <c r="U49" i="12"/>
  <c r="U279" i="12" s="1"/>
  <c r="U53" i="12"/>
  <c r="U18" i="10" s="1"/>
  <c r="Z281" i="12"/>
  <c r="Z285" i="12"/>
  <c r="Z59" i="12"/>
  <c r="Z289" i="12" s="1"/>
  <c r="Z293" i="12"/>
  <c r="AE49" i="12"/>
  <c r="AE279" i="12" s="1"/>
  <c r="AE287" i="12"/>
  <c r="AE62" i="12"/>
  <c r="AE292" i="12" s="1"/>
  <c r="AJ48" i="12"/>
  <c r="AJ284" i="12"/>
  <c r="AJ53" i="12"/>
  <c r="AJ18" i="10" s="1"/>
  <c r="AJ62" i="12"/>
  <c r="AJ292" i="12" s="1"/>
  <c r="AO49" i="12"/>
  <c r="AO62" i="12"/>
  <c r="AV295" i="12"/>
  <c r="BA295" i="12"/>
  <c r="BF295" i="12"/>
  <c r="BK295" i="12"/>
  <c r="BP295" i="12"/>
  <c r="BU295" i="12"/>
  <c r="AW298" i="12"/>
  <c r="BB298" i="12"/>
  <c r="BG298" i="12"/>
  <c r="BL298" i="12"/>
  <c r="BQ298" i="12"/>
  <c r="AT290" i="12"/>
  <c r="AT59" i="12"/>
  <c r="AY56" i="12"/>
  <c r="BD299" i="12"/>
  <c r="BD68" i="12"/>
  <c r="BD15" i="10" s="1"/>
  <c r="BO301" i="12"/>
  <c r="BT301" i="12"/>
  <c r="BO304" i="12"/>
  <c r="BT304" i="12"/>
  <c r="BI299" i="12"/>
  <c r="BI68" i="12"/>
  <c r="BI15" i="10" s="1"/>
  <c r="BN281" i="12"/>
  <c r="BN50" i="12"/>
  <c r="BN65" i="12"/>
  <c r="BU307" i="12"/>
  <c r="AU311" i="12"/>
  <c r="AU80" i="12"/>
  <c r="AU310" i="12" s="1"/>
  <c r="AY81" i="12"/>
  <c r="BC311" i="12"/>
  <c r="BC80" i="12"/>
  <c r="U311" i="12"/>
  <c r="U80" i="12"/>
  <c r="U310" i="12" s="1"/>
  <c r="AY83" i="12"/>
  <c r="BX75" i="12"/>
  <c r="CC305" i="12" s="1"/>
  <c r="BC322" i="12"/>
  <c r="AT101" i="12"/>
  <c r="AJ333" i="12"/>
  <c r="AJ95" i="12"/>
  <c r="AJ97" i="12"/>
  <c r="AJ327" i="12" s="1"/>
  <c r="AF342" i="12"/>
  <c r="AF106" i="12"/>
  <c r="AF336" i="12" s="1"/>
  <c r="BX120" i="12"/>
  <c r="CC350" i="12" s="1"/>
  <c r="Z347" i="12"/>
  <c r="Z115" i="12"/>
  <c r="Z19" i="10" s="1"/>
  <c r="Z108" i="12"/>
  <c r="Z338" i="12" s="1"/>
  <c r="BD343" i="12"/>
  <c r="BD112" i="12"/>
  <c r="BN344" i="12"/>
  <c r="BN112" i="12"/>
  <c r="BS358" i="12"/>
  <c r="BS127" i="12"/>
  <c r="BS357" i="12" s="1"/>
  <c r="BI372" i="12"/>
  <c r="BI140" i="12"/>
  <c r="CD387" i="12"/>
  <c r="CD155" i="12"/>
  <c r="U390" i="12"/>
  <c r="U158" i="12"/>
  <c r="U388" i="12" s="1"/>
  <c r="BV399" i="12"/>
  <c r="U215" i="12"/>
  <c r="U445" i="12" s="1"/>
  <c r="AO436" i="12"/>
  <c r="BK439" i="12"/>
  <c r="BP439" i="12"/>
  <c r="BU439" i="12"/>
  <c r="BC442" i="12"/>
  <c r="BH442" i="12"/>
  <c r="BM442" i="12"/>
  <c r="BR442" i="12"/>
  <c r="AS235" i="12"/>
  <c r="AS11" i="10" s="1"/>
  <c r="AT294" i="12"/>
  <c r="AY287" i="12"/>
  <c r="AY296" i="12"/>
  <c r="AY300" i="12"/>
  <c r="BD290" i="12"/>
  <c r="BD59" i="12"/>
  <c r="BD289" i="12" s="1"/>
  <c r="BD294" i="12"/>
  <c r="BM301" i="12"/>
  <c r="BR301" i="12"/>
  <c r="BM304" i="12"/>
  <c r="BR304" i="12"/>
  <c r="BI287" i="12"/>
  <c r="BI56" i="12"/>
  <c r="BI291" i="12"/>
  <c r="BN287" i="12"/>
  <c r="BN56" i="12"/>
  <c r="BN291" i="12"/>
  <c r="BX282" i="12"/>
  <c r="BX57" i="12"/>
  <c r="BV56" i="12"/>
  <c r="BX61" i="12"/>
  <c r="BX296" i="12"/>
  <c r="AW311" i="12"/>
  <c r="AW80" i="12"/>
  <c r="AW310" i="12" s="1"/>
  <c r="BA311" i="12"/>
  <c r="BA80" i="12"/>
  <c r="BA310" i="12" s="1"/>
  <c r="BD82" i="12"/>
  <c r="BM312" i="12"/>
  <c r="BR310" i="12"/>
  <c r="BR311" i="12"/>
  <c r="BR312" i="12"/>
  <c r="AO311" i="12"/>
  <c r="AO80" i="12"/>
  <c r="BS294" i="12"/>
  <c r="BS62" i="12"/>
  <c r="AE310" i="12"/>
  <c r="AW325" i="12"/>
  <c r="AO327" i="12"/>
  <c r="AL99" i="12"/>
  <c r="AL329" i="12" s="1"/>
  <c r="AE100" i="12"/>
  <c r="AE99" i="12" s="1"/>
  <c r="AT100" i="12"/>
  <c r="Q106" i="12"/>
  <c r="Q336" i="12" s="1"/>
  <c r="AK337" i="12"/>
  <c r="AK338" i="12"/>
  <c r="AK342" i="12"/>
  <c r="AP106" i="12"/>
  <c r="AP336" i="12" s="1"/>
  <c r="BX113" i="12"/>
  <c r="CC343" i="12" s="1"/>
  <c r="BX116" i="12"/>
  <c r="CC346" i="12" s="1"/>
  <c r="Z343" i="12"/>
  <c r="Z107" i="12"/>
  <c r="Z112" i="12"/>
  <c r="AJ347" i="12"/>
  <c r="AJ115" i="12"/>
  <c r="AJ19" i="10" s="1"/>
  <c r="AJ108" i="12"/>
  <c r="AO338" i="12" s="1"/>
  <c r="AO356" i="12"/>
  <c r="AO124" i="12"/>
  <c r="BI347" i="12"/>
  <c r="BI115" i="12"/>
  <c r="BI19" i="10" s="1"/>
  <c r="BN356" i="12"/>
  <c r="BN124" i="12"/>
  <c r="BX130" i="12"/>
  <c r="S363" i="12"/>
  <c r="S106" i="12"/>
  <c r="S336" i="12" s="1"/>
  <c r="X363" i="12"/>
  <c r="X106" i="12"/>
  <c r="AC363" i="12"/>
  <c r="AH363" i="12"/>
  <c r="AH106" i="12"/>
  <c r="AM363" i="12"/>
  <c r="AM106" i="12"/>
  <c r="AR363" i="12"/>
  <c r="AR106" i="12"/>
  <c r="AR336" i="12" s="1"/>
  <c r="BA364" i="12"/>
  <c r="BA133" i="12"/>
  <c r="BA363" i="12" s="1"/>
  <c r="BS134" i="12"/>
  <c r="BS107" i="12" s="1"/>
  <c r="BJ365" i="12"/>
  <c r="BJ133" i="12"/>
  <c r="BN135" i="12"/>
  <c r="BR365" i="12"/>
  <c r="BR133" i="12"/>
  <c r="U364" i="12"/>
  <c r="U133" i="12"/>
  <c r="U363" i="12" s="1"/>
  <c r="AC368" i="12"/>
  <c r="AC369" i="12"/>
  <c r="AC370" i="12"/>
  <c r="AM368" i="12"/>
  <c r="AM369" i="12"/>
  <c r="AM370" i="12"/>
  <c r="BX142" i="12"/>
  <c r="BX145" i="12"/>
  <c r="BV143" i="12"/>
  <c r="BV20" i="10" s="1"/>
  <c r="AZ370" i="12"/>
  <c r="BE370" i="12"/>
  <c r="BJ370" i="12"/>
  <c r="BO370" i="12"/>
  <c r="BT370" i="12"/>
  <c r="BS373" i="12"/>
  <c r="V137" i="12"/>
  <c r="AA367" i="12" s="1"/>
  <c r="AD379" i="12"/>
  <c r="AD137" i="12"/>
  <c r="AM379" i="12"/>
  <c r="AR379" i="12"/>
  <c r="AW379" i="12"/>
  <c r="BB379" i="12"/>
  <c r="BB380" i="12"/>
  <c r="BB381" i="12"/>
  <c r="BG380" i="12"/>
  <c r="BG381" i="12"/>
  <c r="AJ373" i="12"/>
  <c r="AT375" i="12"/>
  <c r="AT143" i="12"/>
  <c r="AT20" i="10" s="1"/>
  <c r="AT139" i="12"/>
  <c r="AY377" i="12"/>
  <c r="AY146" i="12"/>
  <c r="BD376" i="12" s="1"/>
  <c r="CH387" i="12"/>
  <c r="CH155" i="12"/>
  <c r="T388" i="12"/>
  <c r="T137" i="12"/>
  <c r="T367" i="12" s="1"/>
  <c r="Y388" i="12"/>
  <c r="AD388" i="12"/>
  <c r="AI388" i="12"/>
  <c r="AN388" i="12"/>
  <c r="AS388" i="12"/>
  <c r="AO390" i="12"/>
  <c r="AO158" i="12"/>
  <c r="U139" i="12"/>
  <c r="U369" i="12" s="1"/>
  <c r="BX173" i="12"/>
  <c r="CC403" i="12" s="1"/>
  <c r="BV171" i="12"/>
  <c r="BV400" i="12"/>
  <c r="V409" i="12"/>
  <c r="V410" i="12"/>
  <c r="V411" i="12"/>
  <c r="BV439" i="12"/>
  <c r="AR447" i="12"/>
  <c r="AR237" i="12"/>
  <c r="BD321" i="12"/>
  <c r="BD83" i="12"/>
  <c r="AP327" i="12"/>
  <c r="AT97" i="12"/>
  <c r="AT327" i="12" s="1"/>
  <c r="AU97" i="12"/>
  <c r="AU327" i="12" s="1"/>
  <c r="AU100" i="12"/>
  <c r="AY98" i="12"/>
  <c r="BI324" i="12"/>
  <c r="BI92" i="12"/>
  <c r="BN324" i="12"/>
  <c r="BN92" i="12"/>
  <c r="BS324" i="12"/>
  <c r="BS92" i="12"/>
  <c r="BS322" i="12" s="1"/>
  <c r="BX324" i="12"/>
  <c r="BX92" i="12"/>
  <c r="CC322" i="12" s="1"/>
  <c r="CD324" i="12"/>
  <c r="CD92" i="12"/>
  <c r="CE324" i="12"/>
  <c r="CE92" i="12"/>
  <c r="CE322" i="12" s="1"/>
  <c r="CF324" i="12"/>
  <c r="CF92" i="12"/>
  <c r="CG324" i="12"/>
  <c r="CG92" i="12"/>
  <c r="CG322" i="12" s="1"/>
  <c r="CH324" i="12"/>
  <c r="CH92" i="12"/>
  <c r="AP337" i="12"/>
  <c r="AU337" i="12"/>
  <c r="AU338" i="12"/>
  <c r="AP338" i="12"/>
  <c r="AZ336" i="12"/>
  <c r="BE336" i="12"/>
  <c r="BJ336" i="12"/>
  <c r="BO336" i="12"/>
  <c r="BV338" i="12"/>
  <c r="BX349" i="12"/>
  <c r="AJ343" i="12"/>
  <c r="AJ107" i="12"/>
  <c r="AJ112" i="12"/>
  <c r="AT347" i="12"/>
  <c r="AT115" i="12"/>
  <c r="AT19" i="10" s="1"/>
  <c r="AT108" i="12"/>
  <c r="AT338" i="12" s="1"/>
  <c r="AI352" i="12"/>
  <c r="AD121" i="12"/>
  <c r="AD106" i="12" s="1"/>
  <c r="AD107" i="12"/>
  <c r="AD337" i="12" s="1"/>
  <c r="AH354" i="12"/>
  <c r="AM354" i="12"/>
  <c r="AR354" i="12"/>
  <c r="AW354" i="12"/>
  <c r="BB354" i="12"/>
  <c r="BG354" i="12"/>
  <c r="BL354" i="12"/>
  <c r="BQ354" i="12"/>
  <c r="BX359" i="12"/>
  <c r="AE122" i="12"/>
  <c r="AJ352" i="12" s="1"/>
  <c r="AO352" i="12"/>
  <c r="AO121" i="12"/>
  <c r="AO351" i="12" s="1"/>
  <c r="AY356" i="12"/>
  <c r="AY124" i="12"/>
  <c r="AY354" i="12" s="1"/>
  <c r="BI343" i="12"/>
  <c r="BI112" i="12"/>
  <c r="BN352" i="12"/>
  <c r="BN121" i="12"/>
  <c r="BN351" i="12" s="1"/>
  <c r="AW364" i="12"/>
  <c r="AW133" i="12"/>
  <c r="AW363" i="12" s="1"/>
  <c r="BU363" i="12"/>
  <c r="BF365" i="12"/>
  <c r="BF133" i="12"/>
  <c r="AO364" i="12"/>
  <c r="AO133" i="12"/>
  <c r="AO363" i="12" s="1"/>
  <c r="AM367" i="12"/>
  <c r="BX141" i="12"/>
  <c r="BV140" i="12"/>
  <c r="U372" i="12"/>
  <c r="U140" i="12"/>
  <c r="U370" i="12" s="1"/>
  <c r="Y373" i="12"/>
  <c r="Y137" i="12"/>
  <c r="AD373" i="12"/>
  <c r="AI373" i="12"/>
  <c r="AI137" i="12"/>
  <c r="AN373" i="12"/>
  <c r="AN137" i="12"/>
  <c r="AN367" i="12" s="1"/>
  <c r="AS373" i="12"/>
  <c r="AS137" i="12"/>
  <c r="AX367" i="12" s="1"/>
  <c r="AX373" i="12"/>
  <c r="BC373" i="12"/>
  <c r="BH373" i="12"/>
  <c r="BM373" i="12"/>
  <c r="BR373" i="12"/>
  <c r="Z374" i="12"/>
  <c r="Z138" i="12"/>
  <c r="Z368" i="12" s="1"/>
  <c r="Z143" i="12"/>
  <c r="Z20" i="10" s="1"/>
  <c r="R379" i="12"/>
  <c r="R137" i="12"/>
  <c r="R367" i="12" s="1"/>
  <c r="AO378" i="12"/>
  <c r="AO146" i="12"/>
  <c r="AO376" i="12" s="1"/>
  <c r="AT371" i="12"/>
  <c r="AT138" i="12"/>
  <c r="AT140" i="12"/>
  <c r="BD375" i="12"/>
  <c r="BD143" i="12"/>
  <c r="BD20" i="10" s="1"/>
  <c r="BI383" i="12"/>
  <c r="BD383" i="12"/>
  <c r="BD152" i="12"/>
  <c r="BX385" i="12"/>
  <c r="CG386" i="12"/>
  <c r="CG155" i="12"/>
  <c r="CG385" i="12" s="1"/>
  <c r="AJ389" i="12"/>
  <c r="AJ158" i="12"/>
  <c r="AJ388" i="12" s="1"/>
  <c r="AI411" i="12"/>
  <c r="AI178" i="12"/>
  <c r="AM411" i="12"/>
  <c r="AM178" i="12"/>
  <c r="AQ411" i="12"/>
  <c r="AQ178" i="12"/>
  <c r="BU416" i="12"/>
  <c r="BU184" i="12"/>
  <c r="R446" i="12"/>
  <c r="R236" i="12"/>
  <c r="AP446" i="12"/>
  <c r="AP236" i="12"/>
  <c r="AT216" i="12"/>
  <c r="T447" i="12"/>
  <c r="T237" i="12"/>
  <c r="T467" i="12" s="1"/>
  <c r="AJ462" i="12"/>
  <c r="AJ231" i="12"/>
  <c r="AJ461" i="12" s="1"/>
  <c r="AO463" i="12"/>
  <c r="AO231" i="12"/>
  <c r="AO461" i="12" s="1"/>
  <c r="AT456" i="12"/>
  <c r="AT225" i="12"/>
  <c r="AC235" i="12"/>
  <c r="AC11" i="10" s="1"/>
  <c r="BS286" i="12"/>
  <c r="BS302" i="12"/>
  <c r="BS71" i="12"/>
  <c r="BS14" i="10" s="1"/>
  <c r="BS307" i="12"/>
  <c r="BX309" i="12"/>
  <c r="CF313" i="12"/>
  <c r="Z318" i="12"/>
  <c r="Z83" i="12"/>
  <c r="Z313" i="12" s="1"/>
  <c r="AU333" i="12"/>
  <c r="AU95" i="12"/>
  <c r="AU325" i="12" s="1"/>
  <c r="AY103" i="12"/>
  <c r="V337" i="12"/>
  <c r="V338" i="12"/>
  <c r="V342" i="12"/>
  <c r="AA336" i="12"/>
  <c r="AA338" i="12"/>
  <c r="AA342" i="12"/>
  <c r="BA342" i="12"/>
  <c r="BF342" i="12"/>
  <c r="BK342" i="12"/>
  <c r="BP342" i="12"/>
  <c r="BU342" i="12"/>
  <c r="R345" i="12"/>
  <c r="R106" i="12"/>
  <c r="R336" i="12" s="1"/>
  <c r="W345" i="12"/>
  <c r="W106" i="12"/>
  <c r="W336" i="12" s="1"/>
  <c r="AB345" i="12"/>
  <c r="AB106" i="12"/>
  <c r="AG345" i="12"/>
  <c r="AG106" i="12"/>
  <c r="AG336" i="12" s="1"/>
  <c r="AL345" i="12"/>
  <c r="AL106" i="12"/>
  <c r="AQ345" i="12"/>
  <c r="AQ106" i="12"/>
  <c r="AQ336" i="12" s="1"/>
  <c r="AV345" i="12"/>
  <c r="BA345" i="12"/>
  <c r="BF345" i="12"/>
  <c r="BK345" i="12"/>
  <c r="BP345" i="12"/>
  <c r="BU345" i="12"/>
  <c r="AE342" i="12"/>
  <c r="AT343" i="12"/>
  <c r="AT107" i="12"/>
  <c r="AT112" i="12"/>
  <c r="BD347" i="12"/>
  <c r="BD115" i="12"/>
  <c r="BD19" i="10" s="1"/>
  <c r="BO348" i="12"/>
  <c r="BT348" i="12"/>
  <c r="BS347" i="12"/>
  <c r="BS115" i="12"/>
  <c r="BS19" i="10" s="1"/>
  <c r="AJ354" i="12"/>
  <c r="AY352" i="12"/>
  <c r="AY121" i="12"/>
  <c r="AY351" i="12" s="1"/>
  <c r="BI355" i="12"/>
  <c r="BI124" i="12"/>
  <c r="BI354" i="12" s="1"/>
  <c r="BQ133" i="12"/>
  <c r="BB365" i="12"/>
  <c r="BB133" i="12"/>
  <c r="AR368" i="12"/>
  <c r="AW368" i="12"/>
  <c r="AR369" i="12"/>
  <c r="AW369" i="12"/>
  <c r="AW367" i="12"/>
  <c r="BB367" i="12"/>
  <c r="BG367" i="12"/>
  <c r="BL367" i="12"/>
  <c r="BQ367" i="12"/>
  <c r="BX374" i="12"/>
  <c r="AL376" i="12"/>
  <c r="AQ376" i="12"/>
  <c r="AV376" i="12"/>
  <c r="BA376" i="12"/>
  <c r="BF376" i="12"/>
  <c r="BK376" i="12"/>
  <c r="BP376" i="12"/>
  <c r="BU376" i="12"/>
  <c r="BN376" i="12"/>
  <c r="BS376" i="12"/>
  <c r="BS150" i="12"/>
  <c r="BS151" i="12"/>
  <c r="U381" i="12"/>
  <c r="U149" i="12"/>
  <c r="U379" i="12" s="1"/>
  <c r="AJ381" i="12"/>
  <c r="AJ149" i="12"/>
  <c r="AJ379" i="12" s="1"/>
  <c r="AO374" i="12"/>
  <c r="AO138" i="12"/>
  <c r="AO143" i="12"/>
  <c r="AO20" i="10" s="1"/>
  <c r="BD371" i="12"/>
  <c r="BD140" i="12"/>
  <c r="BD387" i="12"/>
  <c r="BD155" i="12"/>
  <c r="BD385" i="12" s="1"/>
  <c r="BE157" i="12"/>
  <c r="AJ163" i="12"/>
  <c r="AJ161" i="12" s="1"/>
  <c r="BU398" i="12"/>
  <c r="BX402" i="12"/>
  <c r="BX169" i="12"/>
  <c r="CC399" i="12" s="1"/>
  <c r="BD409" i="12"/>
  <c r="BD178" i="12"/>
  <c r="BT415" i="12"/>
  <c r="BT184" i="12"/>
  <c r="BX185" i="12"/>
  <c r="AW416" i="12"/>
  <c r="AW184" i="12"/>
  <c r="AW414" i="12" s="1"/>
  <c r="AO195" i="12"/>
  <c r="AJ193" i="12"/>
  <c r="Z428" i="12"/>
  <c r="Z197" i="12"/>
  <c r="Z427" i="12" s="1"/>
  <c r="AQ458" i="12"/>
  <c r="AF461" i="12"/>
  <c r="AK461" i="12"/>
  <c r="AP461" i="12"/>
  <c r="AO457" i="12"/>
  <c r="AO225" i="12"/>
  <c r="AO455" i="12" s="1"/>
  <c r="AE281" i="12"/>
  <c r="AE285" i="12"/>
  <c r="AE293" i="12"/>
  <c r="AJ287" i="12"/>
  <c r="AJ291" i="12"/>
  <c r="AO281" i="12"/>
  <c r="AO285" i="12"/>
  <c r="AO293" i="12"/>
  <c r="AW295" i="12"/>
  <c r="BB295" i="12"/>
  <c r="BG295" i="12"/>
  <c r="BL295" i="12"/>
  <c r="BQ295" i="12"/>
  <c r="AX298" i="12"/>
  <c r="BC298" i="12"/>
  <c r="BH298" i="12"/>
  <c r="BM298" i="12"/>
  <c r="BR298" i="12"/>
  <c r="AT281" i="12"/>
  <c r="AT285" i="12"/>
  <c r="AT293" i="12"/>
  <c r="AY281" i="12"/>
  <c r="AY285" i="12"/>
  <c r="AY293" i="12"/>
  <c r="BD281" i="12"/>
  <c r="BD285" i="12"/>
  <c r="BD293" i="12"/>
  <c r="BL301" i="12"/>
  <c r="BQ301" i="12"/>
  <c r="BQ304" i="12"/>
  <c r="BI284" i="12"/>
  <c r="BI288" i="12"/>
  <c r="BI296" i="12"/>
  <c r="BI300" i="12"/>
  <c r="BN282" i="12"/>
  <c r="BN290" i="12"/>
  <c r="BN294" i="12"/>
  <c r="BN302" i="12"/>
  <c r="BN306" i="12"/>
  <c r="BQ307" i="12"/>
  <c r="Y310" i="12"/>
  <c r="AD310" i="12"/>
  <c r="AI310" i="12"/>
  <c r="AN310" i="12"/>
  <c r="AS310" i="12"/>
  <c r="AT311" i="12"/>
  <c r="BB311" i="12"/>
  <c r="BF311" i="12"/>
  <c r="AY82" i="12"/>
  <c r="AY312" i="12" s="1"/>
  <c r="BC312" i="12"/>
  <c r="BG312" i="12"/>
  <c r="BL311" i="12"/>
  <c r="BL312" i="12"/>
  <c r="BQ310" i="12"/>
  <c r="BQ311" i="12"/>
  <c r="BQ312" i="12"/>
  <c r="Z311" i="12"/>
  <c r="X313" i="12"/>
  <c r="AB313" i="12"/>
  <c r="AG313" i="12"/>
  <c r="AL313" i="12"/>
  <c r="AP313" i="12"/>
  <c r="AT83" i="12"/>
  <c r="AX313" i="12"/>
  <c r="BB313" i="12"/>
  <c r="BS281" i="12"/>
  <c r="BS285" i="12"/>
  <c r="BS293" i="12"/>
  <c r="BS297" i="12"/>
  <c r="BS305" i="12"/>
  <c r="BS309" i="12"/>
  <c r="BS313" i="12"/>
  <c r="AE83" i="12"/>
  <c r="AJ312" i="12"/>
  <c r="AO321" i="12"/>
  <c r="BB322" i="12"/>
  <c r="BD324" i="12"/>
  <c r="X325" i="12"/>
  <c r="AB325" i="12"/>
  <c r="AG325" i="12"/>
  <c r="AL325" i="12"/>
  <c r="AQ325" i="12"/>
  <c r="AV95" i="12"/>
  <c r="AV325" i="12" s="1"/>
  <c r="AT328" i="12"/>
  <c r="AJ326" i="12"/>
  <c r="AO326" i="12"/>
  <c r="BI323" i="12"/>
  <c r="BN323" i="12"/>
  <c r="BS323" i="12"/>
  <c r="BX323" i="12"/>
  <c r="CD323" i="12"/>
  <c r="CE323" i="12"/>
  <c r="CF323" i="12"/>
  <c r="CG323" i="12"/>
  <c r="CH323" i="12"/>
  <c r="AG329" i="12"/>
  <c r="AK329" i="12"/>
  <c r="AS329" i="12"/>
  <c r="AG330" i="12"/>
  <c r="AK330" i="12"/>
  <c r="AO100" i="12"/>
  <c r="AS330" i="12"/>
  <c r="AG331" i="12"/>
  <c r="AK331" i="12"/>
  <c r="AO101" i="12"/>
  <c r="AO331" i="12" s="1"/>
  <c r="AS331" i="12"/>
  <c r="AE333" i="12"/>
  <c r="AT103" i="12"/>
  <c r="AX333" i="12"/>
  <c r="T106" i="12"/>
  <c r="T336" i="12" s="1"/>
  <c r="Y337" i="12"/>
  <c r="Y338" i="12"/>
  <c r="Y342" i="12"/>
  <c r="AD338" i="12"/>
  <c r="AD342" i="12"/>
  <c r="AI338" i="12"/>
  <c r="AI342" i="12"/>
  <c r="AN337" i="12"/>
  <c r="AN338" i="12"/>
  <c r="AN342" i="12"/>
  <c r="AX337" i="12"/>
  <c r="AS337" i="12"/>
  <c r="AX338" i="12"/>
  <c r="AS338" i="12"/>
  <c r="AS342" i="12"/>
  <c r="AX336" i="12"/>
  <c r="BC336" i="12"/>
  <c r="BH336" i="12"/>
  <c r="BM336" i="12"/>
  <c r="BR336" i="12"/>
  <c r="AU342" i="12"/>
  <c r="AZ342" i="12"/>
  <c r="BE342" i="12"/>
  <c r="BJ342" i="12"/>
  <c r="BO342" i="12"/>
  <c r="BT342" i="12"/>
  <c r="V345" i="12"/>
  <c r="AA345" i="12"/>
  <c r="AF345" i="12"/>
  <c r="AK345" i="12"/>
  <c r="AP345" i="12"/>
  <c r="AU345" i="12"/>
  <c r="AZ345" i="12"/>
  <c r="BE345" i="12"/>
  <c r="BJ345" i="12"/>
  <c r="BO345" i="12"/>
  <c r="BT345" i="12"/>
  <c r="U107" i="12"/>
  <c r="U337" i="12" s="1"/>
  <c r="Z346" i="12"/>
  <c r="AE107" i="12"/>
  <c r="AE344" i="12"/>
  <c r="AJ346" i="12"/>
  <c r="AO107" i="12"/>
  <c r="AO344" i="12"/>
  <c r="AT346" i="12"/>
  <c r="AY344" i="12"/>
  <c r="BD346" i="12"/>
  <c r="BM348" i="12"/>
  <c r="BR348" i="12"/>
  <c r="BS346" i="12"/>
  <c r="BS350" i="12"/>
  <c r="AN351" i="12"/>
  <c r="AS351" i="12"/>
  <c r="AX351" i="12"/>
  <c r="BC351" i="12"/>
  <c r="BH351" i="12"/>
  <c r="BM351" i="12"/>
  <c r="AG354" i="12"/>
  <c r="AL354" i="12"/>
  <c r="AQ354" i="12"/>
  <c r="AV354" i="12"/>
  <c r="BA354" i="12"/>
  <c r="BF354" i="12"/>
  <c r="BK354" i="12"/>
  <c r="BP354" i="12"/>
  <c r="BU354" i="12"/>
  <c r="AO355" i="12"/>
  <c r="AT353" i="12"/>
  <c r="AY355" i="12"/>
  <c r="BD353" i="12"/>
  <c r="BI346" i="12"/>
  <c r="BN343" i="12"/>
  <c r="BN347" i="12"/>
  <c r="BN355" i="12"/>
  <c r="W363" i="12"/>
  <c r="AB363" i="12"/>
  <c r="AG363" i="12"/>
  <c r="AL363" i="12"/>
  <c r="AQ363" i="12"/>
  <c r="AU133" i="12"/>
  <c r="AU363" i="12" s="1"/>
  <c r="BC133" i="12"/>
  <c r="BH363" i="12" s="1"/>
  <c r="BG133" i="12"/>
  <c r="BK133" i="12"/>
  <c r="BO133" i="12"/>
  <c r="BT363" i="12" s="1"/>
  <c r="AZ364" i="12"/>
  <c r="BD134" i="12"/>
  <c r="BH364" i="12"/>
  <c r="BA365" i="12"/>
  <c r="BE365" i="12"/>
  <c r="BI135" i="12"/>
  <c r="BM365" i="12"/>
  <c r="BQ365" i="12"/>
  <c r="Z364" i="12"/>
  <c r="AE365" i="12"/>
  <c r="W368" i="12"/>
  <c r="W369" i="12"/>
  <c r="W370" i="12"/>
  <c r="AB137" i="12"/>
  <c r="AB367" i="12" s="1"/>
  <c r="AB368" i="12"/>
  <c r="AB369" i="12"/>
  <c r="AB370" i="12"/>
  <c r="AG368" i="12"/>
  <c r="AG369" i="12"/>
  <c r="AG370" i="12"/>
  <c r="AL368" i="12"/>
  <c r="AL369" i="12"/>
  <c r="AL370" i="12"/>
  <c r="AQ368" i="12"/>
  <c r="AV368" i="12"/>
  <c r="AV369" i="12"/>
  <c r="AQ369" i="12"/>
  <c r="AQ370" i="12"/>
  <c r="BA367" i="12"/>
  <c r="BF367" i="12"/>
  <c r="BK367" i="12"/>
  <c r="BP367" i="12"/>
  <c r="BU367" i="12"/>
  <c r="AX370" i="12"/>
  <c r="BC370" i="12"/>
  <c r="BH370" i="12"/>
  <c r="BM370" i="12"/>
  <c r="BR370" i="12"/>
  <c r="AC373" i="12"/>
  <c r="AH373" i="12"/>
  <c r="AM373" i="12"/>
  <c r="AR373" i="12"/>
  <c r="AW373" i="12"/>
  <c r="BB373" i="12"/>
  <c r="BG373" i="12"/>
  <c r="BL373" i="12"/>
  <c r="BQ373" i="12"/>
  <c r="Z139" i="12"/>
  <c r="Z369" i="12" s="1"/>
  <c r="AE138" i="12"/>
  <c r="AE368" i="12" s="1"/>
  <c r="AE372" i="12"/>
  <c r="AK376" i="12"/>
  <c r="AP376" i="12"/>
  <c r="AU376" i="12"/>
  <c r="AZ376" i="12"/>
  <c r="BE376" i="12"/>
  <c r="BJ376" i="12"/>
  <c r="BO376" i="12"/>
  <c r="BT376" i="12"/>
  <c r="BI371" i="12"/>
  <c r="BI375" i="12"/>
  <c r="BN371" i="12"/>
  <c r="BN375" i="12"/>
  <c r="BS371" i="12"/>
  <c r="BS375" i="12"/>
  <c r="Q149" i="12"/>
  <c r="Y379" i="12"/>
  <c r="AC379" i="12"/>
  <c r="AG379" i="12"/>
  <c r="AL379" i="12"/>
  <c r="AQ379" i="12"/>
  <c r="AV379" i="12"/>
  <c r="BA379" i="12"/>
  <c r="BA380" i="12"/>
  <c r="BA381" i="12"/>
  <c r="BF379" i="12"/>
  <c r="BJ379" i="12"/>
  <c r="BR379" i="12"/>
  <c r="BF380" i="12"/>
  <c r="BJ380" i="12"/>
  <c r="BN150" i="12"/>
  <c r="BR380" i="12"/>
  <c r="BF381" i="12"/>
  <c r="BJ381" i="12"/>
  <c r="BN151" i="12"/>
  <c r="BR381" i="12"/>
  <c r="AJ138" i="12"/>
  <c r="AJ372" i="12"/>
  <c r="AO139" i="12"/>
  <c r="AO369" i="12" s="1"/>
  <c r="AO377" i="12"/>
  <c r="AO381" i="12"/>
  <c r="AT374" i="12"/>
  <c r="AT378" i="12"/>
  <c r="BG382" i="12"/>
  <c r="BB382" i="12"/>
  <c r="AY372" i="12"/>
  <c r="AY150" i="12"/>
  <c r="BD380" i="12" s="1"/>
  <c r="BD374" i="12"/>
  <c r="BD378" i="12"/>
  <c r="BE155" i="12"/>
  <c r="BE385" i="12" s="1"/>
  <c r="BF156" i="12"/>
  <c r="CD386" i="12"/>
  <c r="CE387" i="12"/>
  <c r="CH386" i="12"/>
  <c r="X388" i="12"/>
  <c r="AC388" i="12"/>
  <c r="AH388" i="12"/>
  <c r="AM388" i="12"/>
  <c r="AR388" i="12"/>
  <c r="Z390" i="12"/>
  <c r="AO389" i="12"/>
  <c r="AT390" i="12"/>
  <c r="BU401" i="12"/>
  <c r="BS169" i="12"/>
  <c r="Y408" i="12"/>
  <c r="Y409" i="12"/>
  <c r="AA409" i="12"/>
  <c r="AA410" i="12"/>
  <c r="AA411" i="12"/>
  <c r="AK178" i="12"/>
  <c r="AK408" i="12" s="1"/>
  <c r="AP178" i="12"/>
  <c r="AM409" i="12"/>
  <c r="AQ409" i="12"/>
  <c r="AV409" i="12"/>
  <c r="AF410" i="12"/>
  <c r="AN410" i="12"/>
  <c r="AR410" i="12"/>
  <c r="AW410" i="12"/>
  <c r="AH411" i="12"/>
  <c r="AL411" i="12"/>
  <c r="AP411" i="12"/>
  <c r="AT411" i="12"/>
  <c r="AX411" i="12"/>
  <c r="BB411" i="12"/>
  <c r="BG411" i="12"/>
  <c r="BK411" i="12"/>
  <c r="BO411" i="12"/>
  <c r="BS411" i="12"/>
  <c r="BW411" i="12"/>
  <c r="AZ415" i="12"/>
  <c r="AZ184" i="12"/>
  <c r="AZ414" i="12" s="1"/>
  <c r="BD185" i="12"/>
  <c r="BH415" i="12"/>
  <c r="BH184" i="12"/>
  <c r="BH414" i="12" s="1"/>
  <c r="BA416" i="12"/>
  <c r="BA184" i="12"/>
  <c r="BF414" i="12" s="1"/>
  <c r="U412" i="12"/>
  <c r="U179" i="12"/>
  <c r="U409" i="12" s="1"/>
  <c r="U181" i="12"/>
  <c r="Z179" i="12"/>
  <c r="Z409" i="12" s="1"/>
  <c r="Z184" i="12"/>
  <c r="Z178" i="12" s="1"/>
  <c r="AE411" i="12"/>
  <c r="AD417" i="12"/>
  <c r="AD178" i="12"/>
  <c r="AD408" i="12" s="1"/>
  <c r="AY419" i="12"/>
  <c r="AY187" i="12"/>
  <c r="AY417" i="12" s="1"/>
  <c r="AG445" i="12"/>
  <c r="BT235" i="12"/>
  <c r="BT11" i="10" s="1"/>
  <c r="BS440" i="12"/>
  <c r="BS207" i="12"/>
  <c r="BS209" i="12"/>
  <c r="BS439" i="12" s="1"/>
  <c r="AF445" i="12"/>
  <c r="V446" i="12"/>
  <c r="V236" i="12"/>
  <c r="AD446" i="12"/>
  <c r="AD236" i="12"/>
  <c r="X447" i="12"/>
  <c r="X237" i="12"/>
  <c r="AC467" i="12" s="1"/>
  <c r="AG449" i="12"/>
  <c r="AG450" i="12"/>
  <c r="AG451" i="12"/>
  <c r="AG452" i="12"/>
  <c r="AL449" i="12"/>
  <c r="AL450" i="12"/>
  <c r="AL451" i="12"/>
  <c r="AL452" i="12"/>
  <c r="AQ449" i="12"/>
  <c r="AQ450" i="12"/>
  <c r="AQ451" i="12"/>
  <c r="AQ452" i="12"/>
  <c r="AG455" i="12"/>
  <c r="AL455" i="12"/>
  <c r="AQ455" i="12"/>
  <c r="AT460" i="12"/>
  <c r="AT228" i="12"/>
  <c r="AK235" i="12"/>
  <c r="AK11" i="10" s="1"/>
  <c r="BA465" i="12"/>
  <c r="BE466" i="12"/>
  <c r="BI282" i="12"/>
  <c r="BI290" i="12"/>
  <c r="BI294" i="12"/>
  <c r="BO307" i="12"/>
  <c r="BT307" i="12"/>
  <c r="W310" i="12"/>
  <c r="AB310" i="12"/>
  <c r="AG310" i="12"/>
  <c r="AL310" i="12"/>
  <c r="AQ310" i="12"/>
  <c r="AZ311" i="12"/>
  <c r="BD81" i="12"/>
  <c r="BH311" i="12"/>
  <c r="BA312" i="12"/>
  <c r="BE312" i="12"/>
  <c r="BJ311" i="12"/>
  <c r="BJ312" i="12"/>
  <c r="BO310" i="12"/>
  <c r="BO311" i="12"/>
  <c r="BT311" i="12"/>
  <c r="BT312" i="12"/>
  <c r="BO312" i="12"/>
  <c r="BT310" i="12"/>
  <c r="V313" i="12"/>
  <c r="AD313" i="12"/>
  <c r="AI313" i="12"/>
  <c r="AN313" i="12"/>
  <c r="AR313" i="12"/>
  <c r="AV313" i="12"/>
  <c r="AZ313" i="12"/>
  <c r="BN82" i="12"/>
  <c r="BS287" i="12"/>
  <c r="BS291" i="12"/>
  <c r="BS299" i="12"/>
  <c r="BS303" i="12"/>
  <c r="BS81" i="12"/>
  <c r="CG313" i="12"/>
  <c r="AJ80" i="12"/>
  <c r="AJ310" i="12" s="1"/>
  <c r="AE321" i="12"/>
  <c r="AZ322" i="12"/>
  <c r="BD92" i="12"/>
  <c r="BD322" i="12" s="1"/>
  <c r="V325" i="12"/>
  <c r="AD325" i="12"/>
  <c r="AI325" i="12"/>
  <c r="AN325" i="12"/>
  <c r="AS95" i="12"/>
  <c r="AX325" i="12" s="1"/>
  <c r="AY321" i="12"/>
  <c r="AE328" i="12"/>
  <c r="AJ328" i="12"/>
  <c r="AO328" i="12"/>
  <c r="BI321" i="12"/>
  <c r="BN321" i="12"/>
  <c r="BS321" i="12"/>
  <c r="BX321" i="12"/>
  <c r="CD321" i="12"/>
  <c r="CE321" i="12"/>
  <c r="CF321" i="12"/>
  <c r="CG321" i="12"/>
  <c r="CH321" i="12"/>
  <c r="AI329" i="12"/>
  <c r="AM329" i="12"/>
  <c r="AI330" i="12"/>
  <c r="AM330" i="12"/>
  <c r="AQ330" i="12"/>
  <c r="AE101" i="12"/>
  <c r="AI331" i="12"/>
  <c r="AM331" i="12"/>
  <c r="AQ331" i="12"/>
  <c r="AO333" i="12"/>
  <c r="W337" i="12"/>
  <c r="W338" i="12"/>
  <c r="W342" i="12"/>
  <c r="AB337" i="12"/>
  <c r="AB338" i="12"/>
  <c r="AB342" i="12"/>
  <c r="AG337" i="12"/>
  <c r="AG338" i="12"/>
  <c r="AG342" i="12"/>
  <c r="AL337" i="12"/>
  <c r="AL338" i="12"/>
  <c r="AL342" i="12"/>
  <c r="AQ337" i="12"/>
  <c r="AV337" i="12"/>
  <c r="AQ338" i="12"/>
  <c r="AV338" i="12"/>
  <c r="AQ342" i="12"/>
  <c r="AV336" i="12"/>
  <c r="BA336" i="12"/>
  <c r="BF336" i="12"/>
  <c r="BK336" i="12"/>
  <c r="BP336" i="12"/>
  <c r="BT336" i="12"/>
  <c r="AW342" i="12"/>
  <c r="BB342" i="12"/>
  <c r="BG342" i="12"/>
  <c r="BL342" i="12"/>
  <c r="BQ342" i="12"/>
  <c r="X345" i="12"/>
  <c r="AC345" i="12"/>
  <c r="AH345" i="12"/>
  <c r="AM345" i="12"/>
  <c r="AR345" i="12"/>
  <c r="AW345" i="12"/>
  <c r="BB345" i="12"/>
  <c r="BG345" i="12"/>
  <c r="BL345" i="12"/>
  <c r="BQ345" i="12"/>
  <c r="U112" i="12"/>
  <c r="BK348" i="12"/>
  <c r="BP348" i="12"/>
  <c r="BU348" i="12"/>
  <c r="BS344" i="12"/>
  <c r="BS118" i="12"/>
  <c r="BS13" i="10" s="1"/>
  <c r="AL351" i="12"/>
  <c r="AQ351" i="12"/>
  <c r="AV351" i="12"/>
  <c r="BA351" i="12"/>
  <c r="BF351" i="12"/>
  <c r="BK351" i="12"/>
  <c r="AC121" i="12"/>
  <c r="AC106" i="12" s="1"/>
  <c r="AC336" i="12" s="1"/>
  <c r="AI354" i="12"/>
  <c r="AN354" i="12"/>
  <c r="AS354" i="12"/>
  <c r="AX354" i="12"/>
  <c r="BC354" i="12"/>
  <c r="BH354" i="12"/>
  <c r="BM354" i="12"/>
  <c r="BR354" i="12"/>
  <c r="AE123" i="12"/>
  <c r="AE108" i="12" s="1"/>
  <c r="BI344" i="12"/>
  <c r="BI118" i="12"/>
  <c r="BI13" i="10" s="1"/>
  <c r="BI352" i="12"/>
  <c r="BI356" i="12"/>
  <c r="BN115" i="12"/>
  <c r="BN19" i="10" s="1"/>
  <c r="BN349" i="12"/>
  <c r="BN353" i="12"/>
  <c r="BT357" i="12"/>
  <c r="Y363" i="12"/>
  <c r="AD363" i="12"/>
  <c r="AI363" i="12"/>
  <c r="AN363" i="12"/>
  <c r="AS363" i="12"/>
  <c r="AT364" i="12"/>
  <c r="BB364" i="12"/>
  <c r="BF364" i="12"/>
  <c r="BJ364" i="12"/>
  <c r="BN134" i="12"/>
  <c r="AY135" i="12"/>
  <c r="BC365" i="12"/>
  <c r="BG365" i="12"/>
  <c r="BK365" i="12"/>
  <c r="BO365" i="12"/>
  <c r="BS135" i="12"/>
  <c r="BS365" i="12" s="1"/>
  <c r="AE133" i="12"/>
  <c r="AE363" i="12" s="1"/>
  <c r="AJ364" i="12"/>
  <c r="AO365" i="12"/>
  <c r="Y368" i="12"/>
  <c r="Y369" i="12"/>
  <c r="Y370" i="12"/>
  <c r="AD368" i="12"/>
  <c r="AD369" i="12"/>
  <c r="AD370" i="12"/>
  <c r="AI368" i="12"/>
  <c r="AI369" i="12"/>
  <c r="AI370" i="12"/>
  <c r="AN368" i="12"/>
  <c r="AN369" i="12"/>
  <c r="AN370" i="12"/>
  <c r="AX368" i="12"/>
  <c r="AS368" i="12"/>
  <c r="AS369" i="12"/>
  <c r="AX369" i="12"/>
  <c r="AS370" i="12"/>
  <c r="BC367" i="12"/>
  <c r="BH367" i="12"/>
  <c r="BM367" i="12"/>
  <c r="BR367" i="12"/>
  <c r="BA370" i="12"/>
  <c r="BF370" i="12"/>
  <c r="BK370" i="12"/>
  <c r="BP370" i="12"/>
  <c r="BU370" i="12"/>
  <c r="AA373" i="12"/>
  <c r="AF373" i="12"/>
  <c r="AK373" i="12"/>
  <c r="AP373" i="12"/>
  <c r="AU373" i="12"/>
  <c r="AZ373" i="12"/>
  <c r="BE373" i="12"/>
  <c r="BJ373" i="12"/>
  <c r="BO373" i="12"/>
  <c r="BT373" i="12"/>
  <c r="AE140" i="12"/>
  <c r="AE370" i="12" s="1"/>
  <c r="AE374" i="12"/>
  <c r="AM376" i="12"/>
  <c r="AR376" i="12"/>
  <c r="AW376" i="12"/>
  <c r="BB376" i="12"/>
  <c r="BG376" i="12"/>
  <c r="BL376" i="12"/>
  <c r="BQ376" i="12"/>
  <c r="BI143" i="12"/>
  <c r="BI20" i="10" s="1"/>
  <c r="BN377" i="12"/>
  <c r="BS377" i="12"/>
  <c r="W379" i="12"/>
  <c r="AA379" i="12"/>
  <c r="AI379" i="12"/>
  <c r="AN379" i="12"/>
  <c r="AS379" i="12"/>
  <c r="AX379" i="12"/>
  <c r="BC379" i="12"/>
  <c r="BC380" i="12"/>
  <c r="BC381" i="12"/>
  <c r="BH379" i="12"/>
  <c r="BL379" i="12"/>
  <c r="BT379" i="12"/>
  <c r="BH380" i="12"/>
  <c r="BL380" i="12"/>
  <c r="BP380" i="12"/>
  <c r="BT380" i="12"/>
  <c r="BH381" i="12"/>
  <c r="BL381" i="12"/>
  <c r="BP381" i="12"/>
  <c r="BT381" i="12"/>
  <c r="AE381" i="12"/>
  <c r="AJ374" i="12"/>
  <c r="AO371" i="12"/>
  <c r="AO375" i="12"/>
  <c r="AO149" i="12"/>
  <c r="AT372" i="12"/>
  <c r="AT146" i="12"/>
  <c r="AT380" i="12"/>
  <c r="BE382" i="12"/>
  <c r="AZ382" i="12"/>
  <c r="BI384" i="12"/>
  <c r="BD384" i="12"/>
  <c r="BX386" i="12"/>
  <c r="CE155" i="12"/>
  <c r="CF386" i="12"/>
  <c r="CG387" i="12"/>
  <c r="V388" i="12"/>
  <c r="AA388" i="12"/>
  <c r="AF388" i="12"/>
  <c r="AK388" i="12"/>
  <c r="AP388" i="12"/>
  <c r="Z158" i="12"/>
  <c r="AE389" i="12"/>
  <c r="AJ390" i="12"/>
  <c r="AT158" i="12"/>
  <c r="BS171" i="12"/>
  <c r="BS401" i="12" s="1"/>
  <c r="W408" i="12"/>
  <c r="W409" i="12"/>
  <c r="W410" i="12"/>
  <c r="W411" i="12"/>
  <c r="AC409" i="12"/>
  <c r="AC410" i="12"/>
  <c r="AC411" i="12"/>
  <c r="AH178" i="12"/>
  <c r="AH408" i="12" s="1"/>
  <c r="AS178" i="12"/>
  <c r="AS408" i="12" s="1"/>
  <c r="AW408" i="12"/>
  <c r="BB408" i="12"/>
  <c r="BG408" i="12"/>
  <c r="BL408" i="12"/>
  <c r="BQ408" i="12"/>
  <c r="W414" i="12"/>
  <c r="AB414" i="12"/>
  <c r="AG414" i="12"/>
  <c r="AL414" i="12"/>
  <c r="AQ414" i="12"/>
  <c r="BP415" i="12"/>
  <c r="BP184" i="12"/>
  <c r="BP414" i="12" s="1"/>
  <c r="BQ416" i="12"/>
  <c r="BQ184" i="12"/>
  <c r="BV184" i="12"/>
  <c r="U184" i="12"/>
  <c r="U414" i="12" s="1"/>
  <c r="AO414" i="12"/>
  <c r="V427" i="12"/>
  <c r="AA427" i="12"/>
  <c r="AF427" i="12"/>
  <c r="AK427" i="12"/>
  <c r="AP427" i="12"/>
  <c r="AT428" i="12"/>
  <c r="AT197" i="12"/>
  <c r="AT427" i="12" s="1"/>
  <c r="Y436" i="12"/>
  <c r="Y215" i="12"/>
  <c r="AD436" i="12"/>
  <c r="AD215" i="12"/>
  <c r="AI436" i="12"/>
  <c r="AI215" i="12"/>
  <c r="AI445" i="12" s="1"/>
  <c r="AN436" i="12"/>
  <c r="AS436" i="12"/>
  <c r="AS215" i="12"/>
  <c r="AX436" i="12"/>
  <c r="AX235" i="12"/>
  <c r="AX11" i="10" s="1"/>
  <c r="AX437" i="12"/>
  <c r="AX236" i="12"/>
  <c r="AX466" i="12" s="1"/>
  <c r="AX438" i="12"/>
  <c r="AX237" i="12"/>
  <c r="AX467" i="12" s="1"/>
  <c r="BC436" i="12"/>
  <c r="BC235" i="12"/>
  <c r="BC11" i="10" s="1"/>
  <c r="BH437" i="12"/>
  <c r="BC437" i="12"/>
  <c r="BC236" i="12"/>
  <c r="BH438" i="12"/>
  <c r="BC438" i="12"/>
  <c r="BC237" i="12"/>
  <c r="BC467" i="12" s="1"/>
  <c r="BC439" i="12"/>
  <c r="BH436" i="12"/>
  <c r="BH235" i="12"/>
  <c r="BH11" i="10" s="1"/>
  <c r="BM436" i="12"/>
  <c r="BR436" i="12"/>
  <c r="BR235" i="12"/>
  <c r="BR11" i="10" s="1"/>
  <c r="BV212" i="12"/>
  <c r="BI444" i="12"/>
  <c r="BI212" i="12"/>
  <c r="BI208" i="12"/>
  <c r="BN438" i="12" s="1"/>
  <c r="AN215" i="12"/>
  <c r="AN445" i="12" s="1"/>
  <c r="AL446" i="12"/>
  <c r="AL236" i="12"/>
  <c r="AF447" i="12"/>
  <c r="AF237" i="12"/>
  <c r="AJ217" i="12"/>
  <c r="AN447" i="12"/>
  <c r="AN237" i="12"/>
  <c r="AS467" i="12" s="1"/>
  <c r="AJ221" i="12"/>
  <c r="AJ451" i="12" s="1"/>
  <c r="AO453" i="12"/>
  <c r="AO222" i="12"/>
  <c r="AG236" i="12"/>
  <c r="AF313" i="12"/>
  <c r="AK313" i="12"/>
  <c r="AO83" i="12"/>
  <c r="BS284" i="12"/>
  <c r="BS288" i="12"/>
  <c r="BS296" i="12"/>
  <c r="BS300" i="12"/>
  <c r="AE312" i="12"/>
  <c r="BA322" i="12"/>
  <c r="AF325" i="12"/>
  <c r="AK325" i="12"/>
  <c r="AP325" i="12"/>
  <c r="AY326" i="12"/>
  <c r="AE325" i="12"/>
  <c r="AO325" i="12"/>
  <c r="AJ100" i="12"/>
  <c r="AJ331" i="12"/>
  <c r="X337" i="12"/>
  <c r="X338" i="12"/>
  <c r="X342" i="12"/>
  <c r="AC337" i="12"/>
  <c r="AC338" i="12"/>
  <c r="AC342" i="12"/>
  <c r="AH337" i="12"/>
  <c r="AH338" i="12"/>
  <c r="AH342" i="12"/>
  <c r="AM337" i="12"/>
  <c r="AM338" i="12"/>
  <c r="AM342" i="12"/>
  <c r="AW337" i="12"/>
  <c r="AR337" i="12"/>
  <c r="AR338" i="12"/>
  <c r="AW338" i="12"/>
  <c r="AR342" i="12"/>
  <c r="AW336" i="12"/>
  <c r="BB336" i="12"/>
  <c r="BG336" i="12"/>
  <c r="BL336" i="12"/>
  <c r="BQ336" i="12"/>
  <c r="BC342" i="12"/>
  <c r="BH342" i="12"/>
  <c r="BM342" i="12"/>
  <c r="BR342" i="12"/>
  <c r="Y345" i="12"/>
  <c r="AD345" i="12"/>
  <c r="AI345" i="12"/>
  <c r="AN345" i="12"/>
  <c r="AS345" i="12"/>
  <c r="AX345" i="12"/>
  <c r="BC345" i="12"/>
  <c r="BH345" i="12"/>
  <c r="BM345" i="12"/>
  <c r="BR345" i="12"/>
  <c r="AE343" i="12"/>
  <c r="AE347" i="12"/>
  <c r="AO343" i="12"/>
  <c r="AO347" i="12"/>
  <c r="AY343" i="12"/>
  <c r="AY347" i="12"/>
  <c r="BL348" i="12"/>
  <c r="BQ348" i="12"/>
  <c r="AH351" i="12"/>
  <c r="AM351" i="12"/>
  <c r="AR351" i="12"/>
  <c r="AW351" i="12"/>
  <c r="BB351" i="12"/>
  <c r="BG351" i="12"/>
  <c r="BL351" i="12"/>
  <c r="AF354" i="12"/>
  <c r="AK354" i="12"/>
  <c r="AP354" i="12"/>
  <c r="AU354" i="12"/>
  <c r="AZ354" i="12"/>
  <c r="BE354" i="12"/>
  <c r="BJ354" i="12"/>
  <c r="BO354" i="12"/>
  <c r="BT354" i="12"/>
  <c r="AJ356" i="12"/>
  <c r="AT352" i="12"/>
  <c r="AT356" i="12"/>
  <c r="BD352" i="12"/>
  <c r="BD356" i="12"/>
  <c r="BU357" i="12"/>
  <c r="BS356" i="12"/>
  <c r="V363" i="12"/>
  <c r="AA363" i="12"/>
  <c r="AF363" i="12"/>
  <c r="AK363" i="12"/>
  <c r="AP363" i="12"/>
  <c r="AY134" i="12"/>
  <c r="AY107" i="12" s="1"/>
  <c r="BD135" i="12"/>
  <c r="V368" i="12"/>
  <c r="V369" i="12"/>
  <c r="V370" i="12"/>
  <c r="AA368" i="12"/>
  <c r="AA369" i="12"/>
  <c r="AA370" i="12"/>
  <c r="AF367" i="12"/>
  <c r="AF368" i="12"/>
  <c r="AF369" i="12"/>
  <c r="AF370" i="12"/>
  <c r="AK367" i="12"/>
  <c r="AK368" i="12"/>
  <c r="AK369" i="12"/>
  <c r="AK370" i="12"/>
  <c r="AP367" i="12"/>
  <c r="AU368" i="12"/>
  <c r="AP368" i="12"/>
  <c r="AU369" i="12"/>
  <c r="AP369" i="12"/>
  <c r="AP370" i="12"/>
  <c r="AU367" i="12"/>
  <c r="AZ367" i="12"/>
  <c r="BE367" i="12"/>
  <c r="BJ367" i="12"/>
  <c r="BO367" i="12"/>
  <c r="BT367" i="12"/>
  <c r="AW370" i="12"/>
  <c r="BB370" i="12"/>
  <c r="BG370" i="12"/>
  <c r="BL370" i="12"/>
  <c r="BQ370" i="12"/>
  <c r="AB373" i="12"/>
  <c r="AG373" i="12"/>
  <c r="AL373" i="12"/>
  <c r="AQ373" i="12"/>
  <c r="AV373" i="12"/>
  <c r="BA373" i="12"/>
  <c r="BF373" i="12"/>
  <c r="BK373" i="12"/>
  <c r="BP373" i="12"/>
  <c r="BU373" i="12"/>
  <c r="Z372" i="12"/>
  <c r="AN376" i="12"/>
  <c r="AS376" i="12"/>
  <c r="AX376" i="12"/>
  <c r="BC376" i="12"/>
  <c r="BH376" i="12"/>
  <c r="BM376" i="12"/>
  <c r="BR376" i="12"/>
  <c r="BN374" i="12"/>
  <c r="BN378" i="12"/>
  <c r="BS374" i="12"/>
  <c r="BS378" i="12"/>
  <c r="AK379" i="12"/>
  <c r="AP379" i="12"/>
  <c r="AU379" i="12"/>
  <c r="AZ379" i="12"/>
  <c r="AZ380" i="12"/>
  <c r="AZ381" i="12"/>
  <c r="BE379" i="12"/>
  <c r="BE380" i="12"/>
  <c r="BI150" i="12"/>
  <c r="BE381" i="12"/>
  <c r="BI151" i="12"/>
  <c r="Q381" i="12"/>
  <c r="V381" i="12"/>
  <c r="AJ371" i="12"/>
  <c r="AJ375" i="12"/>
  <c r="BF382" i="12"/>
  <c r="BA382" i="12"/>
  <c r="AY371" i="12"/>
  <c r="AY375" i="12"/>
  <c r="BD377" i="12"/>
  <c r="BD151" i="12"/>
  <c r="W388" i="12"/>
  <c r="AB388" i="12"/>
  <c r="AG388" i="12"/>
  <c r="AL388" i="12"/>
  <c r="AQ388" i="12"/>
  <c r="X408" i="12"/>
  <c r="X409" i="12"/>
  <c r="X410" i="12"/>
  <c r="X411" i="12"/>
  <c r="AC408" i="12"/>
  <c r="BC408" i="12"/>
  <c r="BH408" i="12"/>
  <c r="BM408" i="12"/>
  <c r="BR408" i="12"/>
  <c r="AU409" i="12"/>
  <c r="AP409" i="12"/>
  <c r="AV410" i="12"/>
  <c r="AQ410" i="12"/>
  <c r="AY409" i="12"/>
  <c r="AG411" i="12"/>
  <c r="BD413" i="12"/>
  <c r="BD181" i="12"/>
  <c r="BD411" i="12" s="1"/>
  <c r="BX183" i="12"/>
  <c r="BL415" i="12"/>
  <c r="BL184" i="12"/>
  <c r="BL414" i="12" s="1"/>
  <c r="BE416" i="12"/>
  <c r="BE184" i="12"/>
  <c r="BJ414" i="12" s="1"/>
  <c r="BI186" i="12"/>
  <c r="BM416" i="12"/>
  <c r="BM184" i="12"/>
  <c r="U416" i="12"/>
  <c r="U180" i="12"/>
  <c r="U410" i="12" s="1"/>
  <c r="AE427" i="12"/>
  <c r="AO427" i="12"/>
  <c r="BV438" i="12"/>
  <c r="BI440" i="12"/>
  <c r="BI207" i="12"/>
  <c r="BI209" i="12"/>
  <c r="BI439" i="12" s="1"/>
  <c r="BS444" i="12"/>
  <c r="BS212" i="12"/>
  <c r="BS442" i="12" s="1"/>
  <c r="BS208" i="12"/>
  <c r="AH446" i="12"/>
  <c r="AH236" i="12"/>
  <c r="AB447" i="12"/>
  <c r="AB237" i="12"/>
  <c r="AG467" i="12" s="1"/>
  <c r="U219" i="12"/>
  <c r="AW467" i="12"/>
  <c r="V414" i="12"/>
  <c r="AA414" i="12"/>
  <c r="AF414" i="12"/>
  <c r="AK414" i="12"/>
  <c r="AP414" i="12"/>
  <c r="AT414" i="12"/>
  <c r="AY185" i="12"/>
  <c r="BS185" i="12"/>
  <c r="BD186" i="12"/>
  <c r="BX186" i="12"/>
  <c r="CC416" i="12" s="1"/>
  <c r="AJ413" i="12"/>
  <c r="AO413" i="12"/>
  <c r="Y427" i="12"/>
  <c r="AD427" i="12"/>
  <c r="AI427" i="12"/>
  <c r="AN427" i="12"/>
  <c r="AS427" i="12"/>
  <c r="AJ429" i="12"/>
  <c r="X436" i="12"/>
  <c r="AC436" i="12"/>
  <c r="AH436" i="12"/>
  <c r="AM436" i="12"/>
  <c r="AR436" i="12"/>
  <c r="AW436" i="12"/>
  <c r="BB436" i="12"/>
  <c r="BB437" i="12"/>
  <c r="BG437" i="12"/>
  <c r="BG438" i="12"/>
  <c r="BB438" i="12"/>
  <c r="BB439" i="12"/>
  <c r="BG436" i="12"/>
  <c r="BL436" i="12"/>
  <c r="BQ436" i="12"/>
  <c r="BU436" i="12"/>
  <c r="BE439" i="12"/>
  <c r="BJ439" i="12"/>
  <c r="BO439" i="12"/>
  <c r="BT439" i="12"/>
  <c r="BB442" i="12"/>
  <c r="BG442" i="12"/>
  <c r="BL442" i="12"/>
  <c r="BQ442" i="12"/>
  <c r="AY209" i="12"/>
  <c r="AY439" i="12" s="1"/>
  <c r="BD207" i="12"/>
  <c r="BN207" i="12"/>
  <c r="S215" i="12"/>
  <c r="S445" i="12" s="1"/>
  <c r="AM215" i="12"/>
  <c r="AR445" i="12" s="1"/>
  <c r="U216" i="12"/>
  <c r="U446" i="12" s="1"/>
  <c r="Y446" i="12"/>
  <c r="AC446" i="12"/>
  <c r="AG446" i="12"/>
  <c r="AK446" i="12"/>
  <c r="AO216" i="12"/>
  <c r="AS446" i="12"/>
  <c r="W447" i="12"/>
  <c r="AA447" i="12"/>
  <c r="AE217" i="12"/>
  <c r="AI447" i="12"/>
  <c r="AM447" i="12"/>
  <c r="AQ447" i="12"/>
  <c r="AF449" i="12"/>
  <c r="AF450" i="12"/>
  <c r="AF451" i="12"/>
  <c r="AF452" i="12"/>
  <c r="AK449" i="12"/>
  <c r="AK450" i="12"/>
  <c r="AK451" i="12"/>
  <c r="AK452" i="12"/>
  <c r="AP449" i="12"/>
  <c r="AP450" i="12"/>
  <c r="AP451" i="12"/>
  <c r="AP452" i="12"/>
  <c r="AF455" i="12"/>
  <c r="AK455" i="12"/>
  <c r="AP455" i="12"/>
  <c r="AJ220" i="12"/>
  <c r="AJ454" i="12"/>
  <c r="AP458" i="12"/>
  <c r="AI461" i="12"/>
  <c r="AS461" i="12"/>
  <c r="AS463" i="12"/>
  <c r="AN463" i="12"/>
  <c r="AT221" i="12"/>
  <c r="AT459" i="12"/>
  <c r="AT463" i="12"/>
  <c r="BL235" i="12"/>
  <c r="BL11" i="10" s="1"/>
  <c r="T236" i="12"/>
  <c r="Y466" i="12" s="1"/>
  <c r="X236" i="12"/>
  <c r="AC466" i="12" s="1"/>
  <c r="AB236" i="12"/>
  <c r="AF236" i="12"/>
  <c r="AK466" i="12" s="1"/>
  <c r="AN236" i="12"/>
  <c r="AS466" i="12" s="1"/>
  <c r="AR236" i="12"/>
  <c r="AV236" i="12"/>
  <c r="BH466" i="12"/>
  <c r="BL466" i="12"/>
  <c r="BP466" i="12"/>
  <c r="BT466" i="12"/>
  <c r="AV237" i="12"/>
  <c r="BL467" i="12"/>
  <c r="BP467" i="12"/>
  <c r="BT467" i="12"/>
  <c r="Y410" i="12"/>
  <c r="Y411" i="12"/>
  <c r="AD409" i="12"/>
  <c r="AD410" i="12"/>
  <c r="AD411" i="12"/>
  <c r="AU408" i="12"/>
  <c r="AZ408" i="12"/>
  <c r="BE408" i="12"/>
  <c r="BJ408" i="12"/>
  <c r="BO408" i="12"/>
  <c r="BT408" i="12"/>
  <c r="AG409" i="12"/>
  <c r="AK409" i="12"/>
  <c r="AO409" i="12"/>
  <c r="AX409" i="12"/>
  <c r="AS409" i="12"/>
  <c r="AH410" i="12"/>
  <c r="AL410" i="12"/>
  <c r="AU410" i="12"/>
  <c r="AP410" i="12"/>
  <c r="AT180" i="12"/>
  <c r="AT410" i="12" s="1"/>
  <c r="AF411" i="12"/>
  <c r="AJ411" i="12"/>
  <c r="AN411" i="12"/>
  <c r="AR411" i="12"/>
  <c r="AV411" i="12"/>
  <c r="AZ411" i="12"/>
  <c r="BH411" i="12"/>
  <c r="BL411" i="12"/>
  <c r="BP411" i="12"/>
  <c r="BT411" i="12"/>
  <c r="BI413" i="12"/>
  <c r="X414" i="12"/>
  <c r="AC414" i="12"/>
  <c r="AH414" i="12"/>
  <c r="AM414" i="12"/>
  <c r="AR414" i="12"/>
  <c r="BA415" i="12"/>
  <c r="BE415" i="12"/>
  <c r="BI185" i="12"/>
  <c r="BM415" i="12"/>
  <c r="BQ415" i="12"/>
  <c r="BU415" i="12"/>
  <c r="BB416" i="12"/>
  <c r="BF416" i="12"/>
  <c r="BJ416" i="12"/>
  <c r="BN186" i="12"/>
  <c r="BR416" i="12"/>
  <c r="Z412" i="12"/>
  <c r="Z416" i="12"/>
  <c r="W417" i="12"/>
  <c r="AA417" i="12"/>
  <c r="AI417" i="12"/>
  <c r="AM417" i="12"/>
  <c r="AQ417" i="12"/>
  <c r="AU417" i="12"/>
  <c r="AJ419" i="12"/>
  <c r="W427" i="12"/>
  <c r="AB427" i="12"/>
  <c r="AG427" i="12"/>
  <c r="AL427" i="12"/>
  <c r="AQ427" i="12"/>
  <c r="Z429" i="12"/>
  <c r="AO428" i="12"/>
  <c r="AT429" i="12"/>
  <c r="V436" i="12"/>
  <c r="AA436" i="12"/>
  <c r="AF436" i="12"/>
  <c r="AK436" i="12"/>
  <c r="AP436" i="12"/>
  <c r="AU436" i="12"/>
  <c r="AZ436" i="12"/>
  <c r="BE437" i="12"/>
  <c r="AZ437" i="12"/>
  <c r="BE438" i="12"/>
  <c r="AZ438" i="12"/>
  <c r="AZ439" i="12"/>
  <c r="BE436" i="12"/>
  <c r="BJ436" i="12"/>
  <c r="BO436" i="12"/>
  <c r="Z437" i="12"/>
  <c r="AE437" i="12"/>
  <c r="AJ437" i="12"/>
  <c r="AO437" i="12"/>
  <c r="AT437" i="12"/>
  <c r="BG439" i="12"/>
  <c r="BL439" i="12"/>
  <c r="BQ439" i="12"/>
  <c r="AZ442" i="12"/>
  <c r="BE442" i="12"/>
  <c r="BJ442" i="12"/>
  <c r="BO442" i="12"/>
  <c r="BT442" i="12"/>
  <c r="AY207" i="12"/>
  <c r="BD443" i="12"/>
  <c r="BI441" i="12"/>
  <c r="BN443" i="12"/>
  <c r="BS441" i="12"/>
  <c r="Q215" i="12"/>
  <c r="Q445" i="12" s="1"/>
  <c r="AC215" i="12"/>
  <c r="AC445" i="12" s="1"/>
  <c r="AK215" i="12"/>
  <c r="W446" i="12"/>
  <c r="AA446" i="12"/>
  <c r="AE216" i="12"/>
  <c r="AE446" i="12" s="1"/>
  <c r="AI446" i="12"/>
  <c r="AM446" i="12"/>
  <c r="AQ446" i="12"/>
  <c r="U217" i="12"/>
  <c r="U447" i="12" s="1"/>
  <c r="Y447" i="12"/>
  <c r="AC447" i="12"/>
  <c r="AG447" i="12"/>
  <c r="AK447" i="12"/>
  <c r="AO217" i="12"/>
  <c r="AS447" i="12"/>
  <c r="AH449" i="12"/>
  <c r="AH450" i="12"/>
  <c r="AH451" i="12"/>
  <c r="AH452" i="12"/>
  <c r="AM449" i="12"/>
  <c r="AM450" i="12"/>
  <c r="AM451" i="12"/>
  <c r="AM452" i="12"/>
  <c r="AR449" i="12"/>
  <c r="AR450" i="12"/>
  <c r="AR451" i="12"/>
  <c r="AR452" i="12"/>
  <c r="AH455" i="12"/>
  <c r="AM455" i="12"/>
  <c r="AR455" i="12"/>
  <c r="AJ222" i="12"/>
  <c r="AJ452" i="12" s="1"/>
  <c r="AJ456" i="12"/>
  <c r="AR458" i="12"/>
  <c r="AG461" i="12"/>
  <c r="AL461" i="12"/>
  <c r="AQ461" i="12"/>
  <c r="AO220" i="12"/>
  <c r="AO454" i="12"/>
  <c r="AO228" i="12"/>
  <c r="AO458" i="12" s="1"/>
  <c r="AO462" i="12"/>
  <c r="AJ463" i="12"/>
  <c r="AT453" i="12"/>
  <c r="AT457" i="12"/>
  <c r="AT231" i="12"/>
  <c r="BB235" i="12"/>
  <c r="BB11" i="10" s="1"/>
  <c r="BJ235" i="12"/>
  <c r="BJ11" i="10" s="1"/>
  <c r="BB236" i="12"/>
  <c r="BB466" i="12" s="1"/>
  <c r="BF466" i="12"/>
  <c r="BJ466" i="12"/>
  <c r="BR466" i="12"/>
  <c r="R237" i="12"/>
  <c r="R467" i="12" s="1"/>
  <c r="V237" i="12"/>
  <c r="AD237" i="12"/>
  <c r="AD467" i="12" s="1"/>
  <c r="AH237" i="12"/>
  <c r="AH467" i="12" s="1"/>
  <c r="AL237" i="12"/>
  <c r="AP237" i="12"/>
  <c r="BB237" i="12"/>
  <c r="BB467" i="12" s="1"/>
  <c r="BF467" i="12"/>
  <c r="BJ467" i="12"/>
  <c r="BR467" i="12"/>
  <c r="Y414" i="12"/>
  <c r="AD414" i="12"/>
  <c r="AI414" i="12"/>
  <c r="AN414" i="12"/>
  <c r="AS414" i="12"/>
  <c r="BN185" i="12"/>
  <c r="AY186" i="12"/>
  <c r="AY416" i="12" s="1"/>
  <c r="BS186" i="12"/>
  <c r="AJ412" i="12"/>
  <c r="AE412" i="12"/>
  <c r="AJ416" i="12"/>
  <c r="AO416" i="12"/>
  <c r="AJ417" i="12"/>
  <c r="X427" i="12"/>
  <c r="AC427" i="12"/>
  <c r="AH427" i="12"/>
  <c r="AM427" i="12"/>
  <c r="AR427" i="12"/>
  <c r="AJ428" i="12"/>
  <c r="AO429" i="12"/>
  <c r="W436" i="12"/>
  <c r="AB436" i="12"/>
  <c r="AG436" i="12"/>
  <c r="AL436" i="12"/>
  <c r="AQ436" i="12"/>
  <c r="AV436" i="12"/>
  <c r="BA436" i="12"/>
  <c r="BF437" i="12"/>
  <c r="BA437" i="12"/>
  <c r="BA438" i="12"/>
  <c r="BF438" i="12"/>
  <c r="BA439" i="12"/>
  <c r="BF436" i="12"/>
  <c r="BK436" i="12"/>
  <c r="BP436" i="12"/>
  <c r="BT436" i="12"/>
  <c r="Z438" i="12"/>
  <c r="AE438" i="12"/>
  <c r="AJ438" i="12"/>
  <c r="AO438" i="12"/>
  <c r="AT438" i="12"/>
  <c r="BH439" i="12"/>
  <c r="BM439" i="12"/>
  <c r="BR439" i="12"/>
  <c r="BA442" i="12"/>
  <c r="BF442" i="12"/>
  <c r="BK442" i="12"/>
  <c r="BP442" i="12"/>
  <c r="BU442" i="12"/>
  <c r="AY208" i="12"/>
  <c r="BD438" i="12" s="1"/>
  <c r="AY212" i="12"/>
  <c r="AY442" i="12" s="1"/>
  <c r="BD440" i="12"/>
  <c r="BD444" i="12"/>
  <c r="BN440" i="12"/>
  <c r="BN444" i="12"/>
  <c r="R215" i="12"/>
  <c r="R445" i="12" s="1"/>
  <c r="V215" i="12"/>
  <c r="AH215" i="12"/>
  <c r="AL215" i="12"/>
  <c r="AL445" i="12" s="1"/>
  <c r="AP215" i="12"/>
  <c r="AJ216" i="12"/>
  <c r="AJ446" i="12" s="1"/>
  <c r="Z217" i="12"/>
  <c r="AT217" i="12"/>
  <c r="AI449" i="12"/>
  <c r="AI450" i="12"/>
  <c r="AI451" i="12"/>
  <c r="AI452" i="12"/>
  <c r="AN449" i="12"/>
  <c r="AN450" i="12"/>
  <c r="AN451" i="12"/>
  <c r="AN452" i="12"/>
  <c r="AS449" i="12"/>
  <c r="AS450" i="12"/>
  <c r="AS451" i="12"/>
  <c r="AS452" i="12"/>
  <c r="AI455" i="12"/>
  <c r="AN455" i="12"/>
  <c r="AS455" i="12"/>
  <c r="AS458" i="12"/>
  <c r="AH461" i="12"/>
  <c r="AM461" i="12"/>
  <c r="AR461" i="12"/>
  <c r="AO221" i="12"/>
  <c r="AO451" i="12" s="1"/>
  <c r="AM463" i="12"/>
  <c r="AR463" i="12"/>
  <c r="AT220" i="12"/>
  <c r="AU235" i="12"/>
  <c r="AU11" i="10" s="1"/>
  <c r="BG235" i="12"/>
  <c r="BG11" i="10" s="1"/>
  <c r="BK235" i="12"/>
  <c r="BK11" i="10" s="1"/>
  <c r="S236" i="12"/>
  <c r="W236" i="12"/>
  <c r="AA236" i="12"/>
  <c r="AI236" i="12"/>
  <c r="AM236" i="12"/>
  <c r="AQ236" i="12"/>
  <c r="AU236" i="12"/>
  <c r="AU466" i="12" s="1"/>
  <c r="S237" i="12"/>
  <c r="S467" i="12" s="1"/>
  <c r="W237" i="12"/>
  <c r="AA237" i="12"/>
  <c r="AI237" i="12"/>
  <c r="AM237" i="12"/>
  <c r="AM467" i="12" s="1"/>
  <c r="AQ237" i="12"/>
  <c r="AU237" i="12"/>
  <c r="AU467" i="12" s="1"/>
  <c r="AF160" i="15" l="1"/>
  <c r="AZ160" i="15"/>
  <c r="AK160" i="15"/>
  <c r="AT160" i="15"/>
  <c r="AS42" i="15"/>
  <c r="AE327" i="12"/>
  <c r="BB414" i="12"/>
  <c r="AR245" i="12"/>
  <c r="AJ160" i="15"/>
  <c r="BG467" i="12"/>
  <c r="AI467" i="12"/>
  <c r="V336" i="12"/>
  <c r="AQ245" i="12"/>
  <c r="AG245" i="12"/>
  <c r="V408" i="12"/>
  <c r="BK414" i="12"/>
  <c r="AU160" i="15"/>
  <c r="CC257" i="12"/>
  <c r="BX257" i="12"/>
  <c r="CC253" i="12"/>
  <c r="BX253" i="12"/>
  <c r="Z21" i="10"/>
  <c r="Z215" i="12"/>
  <c r="Z445" i="12" s="1"/>
  <c r="Z43" i="12"/>
  <c r="AE273" i="12" s="1"/>
  <c r="Z16" i="12"/>
  <c r="Z246" i="12" s="1"/>
  <c r="AE18" i="10"/>
  <c r="AE283" i="12"/>
  <c r="AG277" i="12"/>
  <c r="AL277" i="12"/>
  <c r="U16" i="10"/>
  <c r="U255" i="12"/>
  <c r="BJ160" i="15"/>
  <c r="BE160" i="15"/>
  <c r="BT97" i="4"/>
  <c r="BT152" i="15"/>
  <c r="BT150" i="15" s="1"/>
  <c r="AY16" i="10"/>
  <c r="AY255" i="12"/>
  <c r="BP12" i="10"/>
  <c r="BP241" i="12"/>
  <c r="AQ277" i="12"/>
  <c r="AV277" i="12"/>
  <c r="AO18" i="10"/>
  <c r="AT283" i="12"/>
  <c r="AO97" i="15"/>
  <c r="AN100" i="15"/>
  <c r="BD88" i="15"/>
  <c r="BD94" i="15" s="1"/>
  <c r="BC94" i="15"/>
  <c r="AO21" i="10"/>
  <c r="AT436" i="12"/>
  <c r="AF97" i="4"/>
  <c r="AF99" i="4" s="1"/>
  <c r="AF56" i="15"/>
  <c r="BO12" i="10"/>
  <c r="BO241" i="12"/>
  <c r="BO235" i="12"/>
  <c r="BO11" i="10" s="1"/>
  <c r="BT67" i="10" s="1"/>
  <c r="AO447" i="12"/>
  <c r="BH467" i="12"/>
  <c r="BM414" i="12"/>
  <c r="AO313" i="12"/>
  <c r="AT452" i="12"/>
  <c r="BI442" i="12"/>
  <c r="Y445" i="12"/>
  <c r="AJ414" i="12"/>
  <c r="Z388" i="12"/>
  <c r="CE385" i="12"/>
  <c r="AE338" i="12"/>
  <c r="BP235" i="12"/>
  <c r="BP11" i="10" s="1"/>
  <c r="BP56" i="10" s="1"/>
  <c r="Z417" i="12"/>
  <c r="AF408" i="12"/>
  <c r="AJ166" i="12"/>
  <c r="AJ164" i="12" s="1"/>
  <c r="AO337" i="12"/>
  <c r="BB363" i="12"/>
  <c r="AQ408" i="12"/>
  <c r="AO342" i="12"/>
  <c r="AY100" i="12"/>
  <c r="BD313" i="12"/>
  <c r="BS354" i="12"/>
  <c r="AO354" i="12"/>
  <c r="BX306" i="12"/>
  <c r="AE436" i="12"/>
  <c r="BK261" i="12"/>
  <c r="BA248" i="12"/>
  <c r="Z274" i="12"/>
  <c r="BI283" i="12"/>
  <c r="AW245" i="12"/>
  <c r="AR248" i="12"/>
  <c r="BS289" i="12"/>
  <c r="BX22" i="12"/>
  <c r="BX252" i="12" s="1"/>
  <c r="AM94" i="10"/>
  <c r="AN15" i="15"/>
  <c r="AN94" i="10" s="1"/>
  <c r="S94" i="10"/>
  <c r="S145" i="15"/>
  <c r="AD39" i="15"/>
  <c r="AD35" i="15" s="1"/>
  <c r="AC35" i="15"/>
  <c r="BD137" i="15"/>
  <c r="X94" i="10"/>
  <c r="Y15" i="15"/>
  <c r="Y94" i="10" s="1"/>
  <c r="Z160" i="15"/>
  <c r="AH95" i="4"/>
  <c r="AI16" i="15"/>
  <c r="AI95" i="4" s="1"/>
  <c r="CG28" i="19"/>
  <c r="CG65" i="19" s="1"/>
  <c r="CH28" i="20"/>
  <c r="CH28" i="19" s="1"/>
  <c r="AT178" i="12"/>
  <c r="AY408" i="12" s="1"/>
  <c r="AH367" i="12"/>
  <c r="BX71" i="12"/>
  <c r="BX14" i="10" s="1"/>
  <c r="BX25" i="12"/>
  <c r="BX16" i="10" s="1"/>
  <c r="AX414" i="12"/>
  <c r="BC414" i="12"/>
  <c r="AT17" i="10"/>
  <c r="AY280" i="12"/>
  <c r="T248" i="12"/>
  <c r="Y248" i="12"/>
  <c r="R245" i="12"/>
  <c r="W245" i="12"/>
  <c r="AJ325" i="12"/>
  <c r="BC310" i="12"/>
  <c r="AE267" i="12"/>
  <c r="AY258" i="12"/>
  <c r="AE247" i="12"/>
  <c r="AO289" i="12"/>
  <c r="AY252" i="12"/>
  <c r="AJ258" i="12"/>
  <c r="BE363" i="12"/>
  <c r="AE410" i="12"/>
  <c r="BD258" i="12"/>
  <c r="CH64" i="19"/>
  <c r="AB53" i="15"/>
  <c r="BD196" i="15"/>
  <c r="BC35" i="15"/>
  <c r="AA56" i="15"/>
  <c r="U160" i="15"/>
  <c r="AT15" i="22"/>
  <c r="AT178" i="22" s="1"/>
  <c r="AE139" i="12"/>
  <c r="AR367" i="12"/>
  <c r="X367" i="12"/>
  <c r="AO410" i="12"/>
  <c r="BN289" i="12"/>
  <c r="AK277" i="12"/>
  <c r="BO414" i="12"/>
  <c r="AO160" i="15"/>
  <c r="AE313" i="12"/>
  <c r="Z370" i="12"/>
  <c r="AY373" i="12"/>
  <c r="AZ310" i="12"/>
  <c r="BS258" i="12"/>
  <c r="BS248" i="12"/>
  <c r="U56" i="15"/>
  <c r="AI15" i="15"/>
  <c r="AI94" i="10" s="1"/>
  <c r="BM261" i="12"/>
  <c r="Z410" i="12"/>
  <c r="BI15" i="22"/>
  <c r="BI178" i="22" s="1"/>
  <c r="AB445" i="12"/>
  <c r="AQ367" i="12"/>
  <c r="AM245" i="12"/>
  <c r="BM465" i="12"/>
  <c r="CF56" i="19"/>
  <c r="CF18" i="19"/>
  <c r="CF17" i="19" s="1"/>
  <c r="CH68" i="19"/>
  <c r="BG25" i="10"/>
  <c r="BG58" i="10"/>
  <c r="BG67" i="10"/>
  <c r="BG59" i="10"/>
  <c r="BG56" i="10"/>
  <c r="BJ58" i="10"/>
  <c r="BJ59" i="10"/>
  <c r="BJ56" i="10"/>
  <c r="BJ67" i="10"/>
  <c r="BJ25" i="10"/>
  <c r="BK59" i="10"/>
  <c r="BK25" i="10"/>
  <c r="BK56" i="10"/>
  <c r="BK67" i="10"/>
  <c r="BK58" i="10"/>
  <c r="BK60" i="10" s="1"/>
  <c r="AU58" i="10"/>
  <c r="AU25" i="10"/>
  <c r="AU59" i="10"/>
  <c r="AU56" i="10"/>
  <c r="AT447" i="12"/>
  <c r="V445" i="12"/>
  <c r="BB58" i="10"/>
  <c r="BB59" i="10"/>
  <c r="BB56" i="10"/>
  <c r="BB67" i="10"/>
  <c r="BB25" i="10"/>
  <c r="BL67" i="10"/>
  <c r="BL59" i="10"/>
  <c r="BL58" i="10"/>
  <c r="BL56" i="10"/>
  <c r="BL25" i="10"/>
  <c r="BR58" i="10"/>
  <c r="BR59" i="10"/>
  <c r="BR56" i="10"/>
  <c r="BR67" i="10"/>
  <c r="BR25" i="10"/>
  <c r="BC59" i="10"/>
  <c r="BC56" i="10"/>
  <c r="BC58" i="10"/>
  <c r="BC60" i="10" s="1"/>
  <c r="BC67" i="10"/>
  <c r="BC25" i="10"/>
  <c r="AX59" i="10"/>
  <c r="AX58" i="10"/>
  <c r="AX25" i="10"/>
  <c r="AX67" i="10"/>
  <c r="AX56" i="10"/>
  <c r="AK58" i="10"/>
  <c r="AK56" i="10"/>
  <c r="AK59" i="10"/>
  <c r="AK25" i="10"/>
  <c r="AK62" i="10"/>
  <c r="BT59" i="10"/>
  <c r="BT58" i="10"/>
  <c r="BT56" i="10"/>
  <c r="BT25" i="10"/>
  <c r="AC58" i="10"/>
  <c r="AC118" i="4" s="1"/>
  <c r="AC25" i="10"/>
  <c r="AC59" i="10"/>
  <c r="AC117" i="4" s="1"/>
  <c r="AC56" i="10"/>
  <c r="AC116" i="4" s="1"/>
  <c r="AC73" i="4"/>
  <c r="BN258" i="12"/>
  <c r="BQ59" i="10"/>
  <c r="BQ58" i="10"/>
  <c r="BQ25" i="10"/>
  <c r="BQ56" i="10"/>
  <c r="BQ67" i="10"/>
  <c r="BS17" i="10"/>
  <c r="BS54" i="4"/>
  <c r="BE67" i="10"/>
  <c r="BE56" i="10"/>
  <c r="BE59" i="10"/>
  <c r="BE25" i="10"/>
  <c r="BE58" i="10"/>
  <c r="BE60" i="10" s="1"/>
  <c r="AZ67" i="10"/>
  <c r="AZ56" i="10"/>
  <c r="AZ25" i="10"/>
  <c r="AZ59" i="10"/>
  <c r="AZ58" i="10"/>
  <c r="BM59" i="10"/>
  <c r="BM58" i="10"/>
  <c r="BM25" i="10"/>
  <c r="BM67" i="10"/>
  <c r="BM56" i="10"/>
  <c r="BF25" i="10"/>
  <c r="BF59" i="10"/>
  <c r="BF67" i="10"/>
  <c r="BF58" i="10"/>
  <c r="BF60" i="10" s="1"/>
  <c r="BF56" i="10"/>
  <c r="AN336" i="12"/>
  <c r="Y58" i="10"/>
  <c r="Y118" i="4" s="1"/>
  <c r="Y25" i="10"/>
  <c r="Y56" i="10"/>
  <c r="Y116" i="4" s="1"/>
  <c r="Y59" i="10"/>
  <c r="Y117" i="4" s="1"/>
  <c r="Y73" i="4"/>
  <c r="AO370" i="12"/>
  <c r="BO56" i="10"/>
  <c r="BO67" i="10"/>
  <c r="BO25" i="10"/>
  <c r="BH67" i="10"/>
  <c r="BH56" i="10"/>
  <c r="BH59" i="10"/>
  <c r="BH58" i="10"/>
  <c r="BH25" i="10"/>
  <c r="BP67" i="10"/>
  <c r="BP25" i="10"/>
  <c r="BP58" i="10"/>
  <c r="BT414" i="12"/>
  <c r="BY414" i="12"/>
  <c r="AS59" i="10"/>
  <c r="AS25" i="10"/>
  <c r="AS62" i="10"/>
  <c r="AS56" i="10"/>
  <c r="AS58" i="10"/>
  <c r="AS60" i="10" s="1"/>
  <c r="BN17" i="10"/>
  <c r="BN54" i="4"/>
  <c r="BX17" i="10"/>
  <c r="AW56" i="10"/>
  <c r="AW59" i="10"/>
  <c r="AW25" i="10"/>
  <c r="AW58" i="10"/>
  <c r="AW60" i="10" s="1"/>
  <c r="BA59" i="10"/>
  <c r="BA58" i="10"/>
  <c r="BA25" i="10"/>
  <c r="BA67" i="10"/>
  <c r="BA56" i="10"/>
  <c r="AV59" i="10"/>
  <c r="AV56" i="10"/>
  <c r="AV25" i="10"/>
  <c r="AV58" i="10"/>
  <c r="AN277" i="12"/>
  <c r="AP160" i="15"/>
  <c r="V160" i="15"/>
  <c r="BI160" i="15"/>
  <c r="CF55" i="19"/>
  <c r="CF13" i="19"/>
  <c r="CF50" i="19" s="1"/>
  <c r="CC415" i="12"/>
  <c r="AT461" i="12"/>
  <c r="AE409" i="12"/>
  <c r="BN442" i="12"/>
  <c r="AO379" i="12"/>
  <c r="BP379" i="12"/>
  <c r="BN312" i="12"/>
  <c r="AJ368" i="12"/>
  <c r="BK363" i="12"/>
  <c r="BL310" i="12"/>
  <c r="AE161" i="12"/>
  <c r="BX146" i="12"/>
  <c r="AC367" i="12"/>
  <c r="AU336" i="12"/>
  <c r="BJ363" i="12"/>
  <c r="BX360" i="12"/>
  <c r="CC360" i="12"/>
  <c r="BS283" i="12"/>
  <c r="Z436" i="12"/>
  <c r="U436" i="12"/>
  <c r="BN295" i="12"/>
  <c r="AT289" i="12"/>
  <c r="AI245" i="12"/>
  <c r="BH248" i="12"/>
  <c r="AG408" i="12"/>
  <c r="AJ273" i="12"/>
  <c r="AE274" i="12"/>
  <c r="CC263" i="12"/>
  <c r="BT248" i="12"/>
  <c r="BX77" i="12"/>
  <c r="BD295" i="12"/>
  <c r="X277" i="12"/>
  <c r="AT267" i="12"/>
  <c r="AE252" i="12"/>
  <c r="BX254" i="12"/>
  <c r="BX250" i="12"/>
  <c r="AJ409" i="12"/>
  <c r="AY298" i="12"/>
  <c r="AJ455" i="12"/>
  <c r="BN283" i="12"/>
  <c r="BR241" i="12"/>
  <c r="AA160" i="15"/>
  <c r="BV160" i="15"/>
  <c r="BW30" i="15"/>
  <c r="BW97" i="4" s="1"/>
  <c r="BS160" i="15"/>
  <c r="BX160" i="15"/>
  <c r="AD16" i="15"/>
  <c r="AD95" i="4" s="1"/>
  <c r="CD97" i="15"/>
  <c r="BI196" i="15"/>
  <c r="AQ53" i="15"/>
  <c r="BE56" i="15"/>
  <c r="CF60" i="19"/>
  <c r="BZ108" i="12"/>
  <c r="BZ338" i="12" s="1"/>
  <c r="CF66" i="19"/>
  <c r="CG24" i="19"/>
  <c r="CG61" i="19" s="1"/>
  <c r="CG69" i="20"/>
  <c r="CG18" i="20"/>
  <c r="CG18" i="19" s="1"/>
  <c r="CE50" i="19"/>
  <c r="CE53" i="19"/>
  <c r="CC20" i="19"/>
  <c r="CC58" i="4" s="1"/>
  <c r="CC36" i="19"/>
  <c r="CC202" i="12" s="1"/>
  <c r="CF63" i="19"/>
  <c r="CE17" i="19"/>
  <c r="CE54" i="19" s="1"/>
  <c r="Z219" i="12"/>
  <c r="CC31" i="12"/>
  <c r="CC16" i="12"/>
  <c r="CC15" i="12" s="1"/>
  <c r="CC57" i="4" s="1"/>
  <c r="BV370" i="12"/>
  <c r="BR363" i="12"/>
  <c r="BW363" i="12"/>
  <c r="BV286" i="12"/>
  <c r="BI289" i="12"/>
  <c r="BU248" i="12"/>
  <c r="BZ248" i="12"/>
  <c r="AO252" i="12"/>
  <c r="BR261" i="12"/>
  <c r="BW261" i="12"/>
  <c r="CA298" i="12"/>
  <c r="BV298" i="12"/>
  <c r="CA301" i="12"/>
  <c r="BV301" i="12"/>
  <c r="BV261" i="12"/>
  <c r="CA261" i="12"/>
  <c r="BW431" i="12"/>
  <c r="AY411" i="12"/>
  <c r="BV295" i="12"/>
  <c r="BZ133" i="12"/>
  <c r="BY247" i="12"/>
  <c r="BZ368" i="12"/>
  <c r="BZ137" i="12"/>
  <c r="BZ367" i="12" s="1"/>
  <c r="BY337" i="12"/>
  <c r="BZ414" i="12"/>
  <c r="CA442" i="12"/>
  <c r="BV442" i="12"/>
  <c r="BV414" i="12"/>
  <c r="CA414" i="12"/>
  <c r="BS381" i="12"/>
  <c r="AE373" i="12"/>
  <c r="BV401" i="12"/>
  <c r="CA401" i="12"/>
  <c r="CA373" i="12"/>
  <c r="BV373" i="12"/>
  <c r="AE345" i="12"/>
  <c r="BH310" i="12"/>
  <c r="CC262" i="12"/>
  <c r="CA252" i="12"/>
  <c r="BV252" i="12"/>
  <c r="CA280" i="12"/>
  <c r="BV280" i="12"/>
  <c r="CA292" i="12"/>
  <c r="BV292" i="12"/>
  <c r="CA283" i="12"/>
  <c r="BV283" i="12"/>
  <c r="Z280" i="12"/>
  <c r="CD11" i="19"/>
  <c r="CD48" i="19" s="1"/>
  <c r="CG29" i="19"/>
  <c r="CG66" i="19" s="1"/>
  <c r="AJ427" i="12"/>
  <c r="CA304" i="12"/>
  <c r="BV304" i="12"/>
  <c r="BZ31" i="12"/>
  <c r="BZ261" i="12" s="1"/>
  <c r="BZ16" i="12"/>
  <c r="AO417" i="12"/>
  <c r="AO178" i="12"/>
  <c r="CC184" i="12"/>
  <c r="CC179" i="12"/>
  <c r="CC178" i="12" s="1"/>
  <c r="BZ379" i="12"/>
  <c r="CC134" i="12"/>
  <c r="CC107" i="12" s="1"/>
  <c r="BY246" i="12"/>
  <c r="BZ409" i="12"/>
  <c r="BZ178" i="12"/>
  <c r="BZ408" i="12" s="1"/>
  <c r="BX376" i="12"/>
  <c r="CC376" i="12"/>
  <c r="BX354" i="12"/>
  <c r="CC354" i="12"/>
  <c r="BX378" i="12"/>
  <c r="BX377" i="12"/>
  <c r="CC375" i="12"/>
  <c r="CC374" i="12"/>
  <c r="CC404" i="12"/>
  <c r="CC291" i="12"/>
  <c r="CC255" i="12"/>
  <c r="BX307" i="12"/>
  <c r="CC307" i="12"/>
  <c r="CC252" i="12"/>
  <c r="CC280" i="12"/>
  <c r="BX259" i="12"/>
  <c r="CC259" i="12"/>
  <c r="BX300" i="12"/>
  <c r="CC300" i="12"/>
  <c r="BX256" i="12"/>
  <c r="CC256" i="12"/>
  <c r="CC290" i="12"/>
  <c r="CC283" i="12"/>
  <c r="BX65" i="12"/>
  <c r="BX302" i="12"/>
  <c r="CC302" i="12"/>
  <c r="BX260" i="12"/>
  <c r="CC260" i="12"/>
  <c r="BU432" i="12"/>
  <c r="BZ432" i="12"/>
  <c r="CB432" i="12"/>
  <c r="BV432" i="12"/>
  <c r="CA432" i="12"/>
  <c r="CE11" i="19"/>
  <c r="AE160" i="15"/>
  <c r="W53" i="15"/>
  <c r="AH145" i="15"/>
  <c r="AC197" i="15"/>
  <c r="BG42" i="15"/>
  <c r="BC15" i="15"/>
  <c r="BC94" i="10" s="1"/>
  <c r="AR30" i="15"/>
  <c r="AR97" i="4" s="1"/>
  <c r="AD15" i="15"/>
  <c r="AD94" i="10" s="1"/>
  <c r="BD15" i="22"/>
  <c r="BD178" i="22" s="1"/>
  <c r="AY152" i="15"/>
  <c r="M169" i="15"/>
  <c r="BS137" i="15"/>
  <c r="Q56" i="15"/>
  <c r="Q58" i="15" s="1"/>
  <c r="R57" i="15" s="1"/>
  <c r="BF53" i="15"/>
  <c r="AR197" i="15"/>
  <c r="X145" i="15"/>
  <c r="BB35" i="15"/>
  <c r="BB42" i="15" s="1"/>
  <c r="AW197" i="15"/>
  <c r="AR53" i="15"/>
  <c r="BH33" i="15"/>
  <c r="BH32" i="15" s="1"/>
  <c r="BM15" i="15"/>
  <c r="BM94" i="10" s="1"/>
  <c r="BG145" i="15"/>
  <c r="BH35" i="15"/>
  <c r="AG42" i="15"/>
  <c r="BU160" i="15"/>
  <c r="BB145" i="15"/>
  <c r="BR24" i="15"/>
  <c r="U152" i="15"/>
  <c r="U150" i="15" s="1"/>
  <c r="AH30" i="15"/>
  <c r="AH97" i="4" s="1"/>
  <c r="AH99" i="4" s="1"/>
  <c r="BF152" i="15"/>
  <c r="BF153" i="15" s="1"/>
  <c r="BF154" i="15" s="1"/>
  <c r="BN196" i="15"/>
  <c r="BA53" i="15"/>
  <c r="CF21" i="20"/>
  <c r="CE21" i="19"/>
  <c r="CE20" i="20"/>
  <c r="CE49" i="19"/>
  <c r="BX28" i="12"/>
  <c r="CC258" i="12" s="1"/>
  <c r="BX16" i="12"/>
  <c r="BK465" i="12"/>
  <c r="BB465" i="12"/>
  <c r="BI381" i="12"/>
  <c r="BR465" i="12"/>
  <c r="BC465" i="12"/>
  <c r="AX465" i="12"/>
  <c r="BS348" i="12"/>
  <c r="AK187" i="15"/>
  <c r="AK122" i="15" s="1"/>
  <c r="AK130" i="15" s="1"/>
  <c r="AK133" i="15" s="1"/>
  <c r="BT187" i="15"/>
  <c r="BD370" i="12"/>
  <c r="AO373" i="12"/>
  <c r="AY342" i="12"/>
  <c r="AC187" i="15"/>
  <c r="BD373" i="12"/>
  <c r="Z373" i="12"/>
  <c r="BI342" i="12"/>
  <c r="AT345" i="12"/>
  <c r="BX82" i="12"/>
  <c r="U137" i="12"/>
  <c r="U367" i="12" s="1"/>
  <c r="BN342" i="12"/>
  <c r="BD342" i="12"/>
  <c r="BN280" i="12"/>
  <c r="AJ283" i="12"/>
  <c r="AE255" i="12"/>
  <c r="BQ187" i="15"/>
  <c r="BN304" i="12"/>
  <c r="BN298" i="12"/>
  <c r="AJ279" i="12"/>
  <c r="BX255" i="12"/>
  <c r="AY292" i="12"/>
  <c r="AY283" i="12"/>
  <c r="AJ246" i="12"/>
  <c r="AT255" i="12"/>
  <c r="AO255" i="12"/>
  <c r="BD262" i="12"/>
  <c r="T16" i="15"/>
  <c r="T95" i="4" s="1"/>
  <c r="BA42" i="15"/>
  <c r="AV152" i="15"/>
  <c r="AV153" i="15" s="1"/>
  <c r="AV154" i="15" s="1"/>
  <c r="BS152" i="15"/>
  <c r="BS150" i="15" s="1"/>
  <c r="AE152" i="15"/>
  <c r="AE153" i="15" s="1"/>
  <c r="AE154" i="15" s="1"/>
  <c r="AJ152" i="15"/>
  <c r="AJ150" i="15" s="1"/>
  <c r="AY15" i="22"/>
  <c r="AY178" i="22" s="1"/>
  <c r="Q466" i="12"/>
  <c r="Q235" i="12"/>
  <c r="Q11" i="10" s="1"/>
  <c r="AW187" i="15"/>
  <c r="AZ187" i="15"/>
  <c r="U345" i="12"/>
  <c r="BD255" i="12"/>
  <c r="BA187" i="15"/>
  <c r="BF465" i="12"/>
  <c r="AV187" i="15"/>
  <c r="AJ369" i="12"/>
  <c r="AU187" i="15"/>
  <c r="AU122" i="15" s="1"/>
  <c r="AU130" i="15" s="1"/>
  <c r="AU133" i="15" s="1"/>
  <c r="BO465" i="12"/>
  <c r="BG465" i="12"/>
  <c r="Z447" i="12"/>
  <c r="BJ465" i="12"/>
  <c r="BN416" i="12"/>
  <c r="BN180" i="12"/>
  <c r="BL187" i="15"/>
  <c r="BL127" i="15" s="1"/>
  <c r="AX408" i="12"/>
  <c r="BD365" i="12"/>
  <c r="BH187" i="15"/>
  <c r="AE414" i="12"/>
  <c r="BI373" i="12"/>
  <c r="BI348" i="12"/>
  <c r="BG363" i="12"/>
  <c r="AI337" i="12"/>
  <c r="BF157" i="12"/>
  <c r="BG157" i="12" s="1"/>
  <c r="AO368" i="12"/>
  <c r="AJ137" i="12"/>
  <c r="AJ363" i="12"/>
  <c r="BD345" i="12"/>
  <c r="AY345" i="12"/>
  <c r="AT337" i="12"/>
  <c r="BS301" i="12"/>
  <c r="AI408" i="12"/>
  <c r="Y367" i="12"/>
  <c r="AT351" i="12"/>
  <c r="AO388" i="12"/>
  <c r="AT373" i="12"/>
  <c r="AJ345" i="12"/>
  <c r="BN286" i="12"/>
  <c r="AS187" i="15"/>
  <c r="AZ363" i="12"/>
  <c r="Z345" i="12"/>
  <c r="BD298" i="12"/>
  <c r="AY286" i="12"/>
  <c r="U283" i="12"/>
  <c r="BO261" i="12"/>
  <c r="AD245" i="12"/>
  <c r="BX283" i="12"/>
  <c r="BD292" i="12"/>
  <c r="BN370" i="12"/>
  <c r="BI301" i="12"/>
  <c r="BI292" i="12"/>
  <c r="AO286" i="12"/>
  <c r="BD252" i="12"/>
  <c r="AZ248" i="12"/>
  <c r="AY267" i="12"/>
  <c r="BS263" i="12"/>
  <c r="BI280" i="12"/>
  <c r="BD286" i="12"/>
  <c r="Z255" i="12"/>
  <c r="BI255" i="12"/>
  <c r="AU245" i="12"/>
  <c r="BN292" i="12"/>
  <c r="BF310" i="12"/>
  <c r="BI295" i="12"/>
  <c r="CG56" i="19"/>
  <c r="CE51" i="20"/>
  <c r="AO94" i="15"/>
  <c r="AO100" i="15" s="1"/>
  <c r="T15" i="15"/>
  <c r="T94" i="10" s="1"/>
  <c r="AM145" i="15"/>
  <c r="AS15" i="15"/>
  <c r="AS94" i="10" s="1"/>
  <c r="AE56" i="15"/>
  <c r="AY56" i="15"/>
  <c r="AJ56" i="15"/>
  <c r="BD160" i="15"/>
  <c r="Z152" i="15"/>
  <c r="Z150" i="15" s="1"/>
  <c r="CG160" i="22"/>
  <c r="CH156" i="22"/>
  <c r="CH158" i="22" s="1"/>
  <c r="CH160" i="22" s="1"/>
  <c r="BE465" i="12"/>
  <c r="Z327" i="12"/>
  <c r="BM187" i="15"/>
  <c r="BM127" i="15" s="1"/>
  <c r="AE219" i="12"/>
  <c r="AE190" i="12"/>
  <c r="AJ191" i="12"/>
  <c r="AY381" i="12"/>
  <c r="AY139" i="12"/>
  <c r="AY369" i="12" s="1"/>
  <c r="CG26" i="20"/>
  <c r="CG66" i="20" s="1"/>
  <c r="Y187" i="15"/>
  <c r="Y127" i="15" s="1"/>
  <c r="AY160" i="15"/>
  <c r="L155" i="15"/>
  <c r="O155" i="15"/>
  <c r="M155" i="15"/>
  <c r="N155" i="15"/>
  <c r="AO87" i="19"/>
  <c r="AO34" i="19" s="1"/>
  <c r="AO32" i="19" s="1"/>
  <c r="AT196" i="15"/>
  <c r="AJ137" i="15"/>
  <c r="BQ197" i="15"/>
  <c r="BS196" i="15"/>
  <c r="AQ42" i="15"/>
  <c r="AR145" i="15"/>
  <c r="BQ30" i="15"/>
  <c r="BQ97" i="4" s="1"/>
  <c r="AW145" i="15"/>
  <c r="AW160" i="15" s="1"/>
  <c r="AC145" i="15"/>
  <c r="BT56" i="15"/>
  <c r="BH15" i="15"/>
  <c r="BH94" i="10" s="1"/>
  <c r="BP53" i="15"/>
  <c r="Z56" i="15"/>
  <c r="AS24" i="15"/>
  <c r="AI24" i="15"/>
  <c r="BL197" i="15"/>
  <c r="BB197" i="15"/>
  <c r="BG30" i="15"/>
  <c r="BG97" i="4" s="1"/>
  <c r="BS56" i="15"/>
  <c r="BC42" i="15"/>
  <c r="AG53" i="15"/>
  <c r="Y46" i="15"/>
  <c r="BI94" i="15"/>
  <c r="BI100" i="15" s="1"/>
  <c r="BK35" i="15"/>
  <c r="BK42" i="15" s="1"/>
  <c r="BK56" i="15" s="1"/>
  <c r="BO56" i="15"/>
  <c r="S30" i="15"/>
  <c r="S97" i="4" s="1"/>
  <c r="S99" i="4" s="1"/>
  <c r="AL152" i="15"/>
  <c r="AL153" i="15" s="1"/>
  <c r="AL154" i="15" s="1"/>
  <c r="T33" i="15"/>
  <c r="AV56" i="15"/>
  <c r="X35" i="15"/>
  <c r="X42" i="15" s="1"/>
  <c r="BR16" i="15"/>
  <c r="BQ17" i="15"/>
  <c r="BM16" i="15"/>
  <c r="BL17" i="15"/>
  <c r="BH16" i="15"/>
  <c r="BG17" i="15"/>
  <c r="BC16" i="15"/>
  <c r="BB17" i="15"/>
  <c r="AX16" i="15"/>
  <c r="AW17" i="15"/>
  <c r="Y37" i="15"/>
  <c r="Y35" i="15" s="1"/>
  <c r="Y42" i="15" s="1"/>
  <c r="BF56" i="15"/>
  <c r="AG30" i="15"/>
  <c r="AG97" i="4" s="1"/>
  <c r="AG99" i="4" s="1"/>
  <c r="Y24" i="15"/>
  <c r="Y26" i="15"/>
  <c r="BS11" i="22"/>
  <c r="BS13" i="22" s="1"/>
  <c r="BN15" i="22"/>
  <c r="BN178" i="22" s="1"/>
  <c r="AX15" i="15"/>
  <c r="AX94" i="10" s="1"/>
  <c r="CF87" i="19"/>
  <c r="CF34" i="19" s="1"/>
  <c r="CF32" i="19" s="1"/>
  <c r="AY87" i="19"/>
  <c r="AY34" i="19" s="1"/>
  <c r="AY32" i="19" s="1"/>
  <c r="CH87" i="19"/>
  <c r="CH34" i="19" s="1"/>
  <c r="CH32" i="19" s="1"/>
  <c r="CD34" i="19"/>
  <c r="AT32" i="19"/>
  <c r="CH100" i="22"/>
  <c r="CH102" i="22" s="1"/>
  <c r="CH104" i="22" s="1"/>
  <c r="CG104" i="22"/>
  <c r="CH149" i="22"/>
  <c r="CH151" i="22" s="1"/>
  <c r="CH153" i="22" s="1"/>
  <c r="CG153" i="22"/>
  <c r="CG132" i="22"/>
  <c r="CH128" i="22"/>
  <c r="CH130" i="22" s="1"/>
  <c r="CH132" i="22" s="1"/>
  <c r="CH121" i="22"/>
  <c r="CH123" i="22" s="1"/>
  <c r="CH125" i="22" s="1"/>
  <c r="CG125" i="22"/>
  <c r="CH111" i="22"/>
  <c r="CF118" i="22"/>
  <c r="CG114" i="22"/>
  <c r="CG116" i="22" s="1"/>
  <c r="CF18" i="22"/>
  <c r="CF96" i="15" s="1"/>
  <c r="CF46" i="15" s="1"/>
  <c r="W152" i="15"/>
  <c r="W56" i="15"/>
  <c r="R152" i="15"/>
  <c r="S53" i="15"/>
  <c r="T44" i="15"/>
  <c r="CC78" i="15"/>
  <c r="BJ152" i="15"/>
  <c r="BJ56" i="15"/>
  <c r="AD197" i="15"/>
  <c r="AD145" i="15"/>
  <c r="AD33" i="15"/>
  <c r="AD32" i="15" s="1"/>
  <c r="AD103" i="4" s="1"/>
  <c r="AC32" i="15"/>
  <c r="AC103" i="4" s="1"/>
  <c r="AM17" i="15"/>
  <c r="AN16" i="15"/>
  <c r="Q67" i="15"/>
  <c r="Q66" i="15" s="1"/>
  <c r="Q105" i="4" s="1"/>
  <c r="P155" i="15"/>
  <c r="P149" i="15"/>
  <c r="X53" i="15"/>
  <c r="Y44" i="15"/>
  <c r="Y197" i="15" s="1"/>
  <c r="AY196" i="15"/>
  <c r="BN137" i="15"/>
  <c r="U137" i="15"/>
  <c r="Z137" i="15"/>
  <c r="AW46" i="15"/>
  <c r="AW53" i="15" s="1"/>
  <c r="AX48" i="15"/>
  <c r="AX46" i="15" s="1"/>
  <c r="S35" i="15"/>
  <c r="S42" i="15" s="1"/>
  <c r="BH24" i="15"/>
  <c r="X197" i="15"/>
  <c r="AO152" i="15"/>
  <c r="AO56" i="15"/>
  <c r="BQ160" i="15"/>
  <c r="BD97" i="15"/>
  <c r="BD100" i="15" s="1"/>
  <c r="BC100" i="15"/>
  <c r="BM25" i="15"/>
  <c r="BL24" i="15"/>
  <c r="BL30" i="15" s="1"/>
  <c r="BL97" i="4" s="1"/>
  <c r="AQ160" i="15"/>
  <c r="AI42" i="15"/>
  <c r="BI152" i="15"/>
  <c r="BI56" i="15"/>
  <c r="AB42" i="15"/>
  <c r="AB56" i="15" s="1"/>
  <c r="T24" i="15"/>
  <c r="BA160" i="15"/>
  <c r="AB160" i="15"/>
  <c r="R160" i="15"/>
  <c r="L141" i="15"/>
  <c r="L76" i="15"/>
  <c r="V150" i="15"/>
  <c r="V153" i="15"/>
  <c r="V154" i="15" s="1"/>
  <c r="AM24" i="15"/>
  <c r="AN24" i="15" s="1"/>
  <c r="BL35" i="15"/>
  <c r="BL42" i="15" s="1"/>
  <c r="AT137" i="15"/>
  <c r="CC128" i="15"/>
  <c r="T145" i="15"/>
  <c r="BQ49" i="15"/>
  <c r="BQ53" i="15" s="1"/>
  <c r="BR50" i="15"/>
  <c r="BR49" i="15" s="1"/>
  <c r="S160" i="15"/>
  <c r="BQ33" i="15"/>
  <c r="BP32" i="15"/>
  <c r="AW24" i="15"/>
  <c r="AX25" i="15"/>
  <c r="BR145" i="15"/>
  <c r="BW160" i="15" s="1"/>
  <c r="BF160" i="15"/>
  <c r="AD53" i="15"/>
  <c r="AZ153" i="15"/>
  <c r="AZ154" i="15" s="1"/>
  <c r="AZ150" i="15"/>
  <c r="BM35" i="15"/>
  <c r="BM42" i="15" s="1"/>
  <c r="AV150" i="15"/>
  <c r="AY137" i="15"/>
  <c r="BG53" i="15"/>
  <c r="BH44" i="15"/>
  <c r="U100" i="15"/>
  <c r="AN33" i="15"/>
  <c r="AN32" i="15" s="1"/>
  <c r="AM32" i="15"/>
  <c r="O115" i="15"/>
  <c r="AS53" i="15"/>
  <c r="T35" i="15"/>
  <c r="BC25" i="15"/>
  <c r="BB24" i="15"/>
  <c r="AN145" i="15"/>
  <c r="X30" i="15"/>
  <c r="X97" i="4" s="1"/>
  <c r="X99" i="4" s="1"/>
  <c r="BG197" i="15"/>
  <c r="S197" i="15"/>
  <c r="BC53" i="15"/>
  <c r="BK152" i="15"/>
  <c r="BE153" i="15"/>
  <c r="BE154" i="15" s="1"/>
  <c r="BE150" i="15"/>
  <c r="AV160" i="15"/>
  <c r="AL160" i="15"/>
  <c r="Y145" i="15"/>
  <c r="AT152" i="15"/>
  <c r="AT56" i="15"/>
  <c r="Q153" i="15"/>
  <c r="Q154" i="15" s="1"/>
  <c r="Q150" i="15"/>
  <c r="AB152" i="15"/>
  <c r="AQ30" i="15"/>
  <c r="AQ97" i="4" s="1"/>
  <c r="AY153" i="15"/>
  <c r="AY154" i="15" s="1"/>
  <c r="AY150" i="15"/>
  <c r="Z153" i="15"/>
  <c r="Z154" i="15" s="1"/>
  <c r="AP150" i="15"/>
  <c r="AP153" i="15"/>
  <c r="AP154" i="15" s="1"/>
  <c r="BR44" i="15"/>
  <c r="AL42" i="15"/>
  <c r="AL56" i="15" s="1"/>
  <c r="BD152" i="15"/>
  <c r="BD56" i="15"/>
  <c r="AH42" i="15"/>
  <c r="BP160" i="15"/>
  <c r="AK153" i="15"/>
  <c r="AK154" i="15" s="1"/>
  <c r="AK150" i="15"/>
  <c r="L156" i="15"/>
  <c r="L115" i="15"/>
  <c r="BT196" i="15"/>
  <c r="BS94" i="15"/>
  <c r="BS100" i="15" s="1"/>
  <c r="Z100" i="15"/>
  <c r="AM53" i="15"/>
  <c r="AN44" i="15"/>
  <c r="AH53" i="15"/>
  <c r="AI44" i="15"/>
  <c r="BM53" i="15"/>
  <c r="R42" i="15"/>
  <c r="R56" i="15" s="1"/>
  <c r="T32" i="15"/>
  <c r="T103" i="4" s="1"/>
  <c r="AX53" i="15"/>
  <c r="AF153" i="15"/>
  <c r="AF154" i="15" s="1"/>
  <c r="AF150" i="15"/>
  <c r="CD80" i="15"/>
  <c r="CC35" i="15"/>
  <c r="CC42" i="15" s="1"/>
  <c r="CD35" i="15"/>
  <c r="CD42" i="15" s="1"/>
  <c r="AW32" i="15"/>
  <c r="AX33" i="15"/>
  <c r="AX32" i="15" s="1"/>
  <c r="AD25" i="15"/>
  <c r="AC24" i="15"/>
  <c r="BT153" i="15"/>
  <c r="BT154" i="15" s="1"/>
  <c r="BC197" i="15"/>
  <c r="BC145" i="15"/>
  <c r="AS16" i="15"/>
  <c r="AR17" i="15"/>
  <c r="AG160" i="15"/>
  <c r="W160" i="15"/>
  <c r="T49" i="15"/>
  <c r="BK160" i="15"/>
  <c r="BA152" i="15"/>
  <c r="M67" i="15"/>
  <c r="M66" i="15" s="1"/>
  <c r="M105" i="4" s="1"/>
  <c r="N57" i="15"/>
  <c r="N58" i="15" s="1"/>
  <c r="BN152" i="15"/>
  <c r="BN56" i="15"/>
  <c r="AU153" i="15"/>
  <c r="AU154" i="15" s="1"/>
  <c r="AU150" i="15"/>
  <c r="AA153" i="15"/>
  <c r="AA154" i="15" s="1"/>
  <c r="AA150" i="15"/>
  <c r="Y16" i="15"/>
  <c r="Y95" i="4" s="1"/>
  <c r="BO153" i="15"/>
  <c r="BO154" i="15" s="1"/>
  <c r="BO150" i="15"/>
  <c r="BR30" i="15"/>
  <c r="BR97" i="4" s="1"/>
  <c r="BF150" i="15"/>
  <c r="CE15" i="19"/>
  <c r="CE14" i="20"/>
  <c r="CE54" i="20" s="1"/>
  <c r="CF15" i="20"/>
  <c r="CH56" i="19"/>
  <c r="CF12" i="19"/>
  <c r="CF11" i="20"/>
  <c r="CF51" i="20" s="1"/>
  <c r="CG12" i="20"/>
  <c r="CF16" i="19"/>
  <c r="CG16" i="20"/>
  <c r="CH26" i="20"/>
  <c r="CH29" i="20"/>
  <c r="CH69" i="20" s="1"/>
  <c r="CH30" i="19"/>
  <c r="CD21" i="19"/>
  <c r="CD36" i="19" s="1"/>
  <c r="CD20" i="20"/>
  <c r="CH13" i="20"/>
  <c r="CH13" i="19" s="1"/>
  <c r="CG13" i="19"/>
  <c r="CG50" i="19" s="1"/>
  <c r="CH26" i="19"/>
  <c r="CH25" i="20"/>
  <c r="CG25" i="19"/>
  <c r="CG23" i="20"/>
  <c r="CG63" i="20" s="1"/>
  <c r="CF57" i="20"/>
  <c r="BX432" i="12"/>
  <c r="CG70" i="19"/>
  <c r="CC34" i="19"/>
  <c r="CC37" i="19" s="1"/>
  <c r="CE34" i="19"/>
  <c r="CE37" i="19" s="1"/>
  <c r="BT34" i="19"/>
  <c r="CH70" i="19"/>
  <c r="BV34" i="19"/>
  <c r="CG87" i="19"/>
  <c r="CG34" i="19" s="1"/>
  <c r="CG32" i="19" s="1"/>
  <c r="BU34" i="19"/>
  <c r="BW34" i="19"/>
  <c r="BW433" i="12" s="1"/>
  <c r="BX34" i="19"/>
  <c r="AD336" i="12"/>
  <c r="AI336" i="12"/>
  <c r="BI415" i="12"/>
  <c r="BI184" i="12"/>
  <c r="BI179" i="12"/>
  <c r="BS415" i="12"/>
  <c r="BS179" i="12"/>
  <c r="BS184" i="12"/>
  <c r="AZ465" i="12"/>
  <c r="AS445" i="12"/>
  <c r="BQ414" i="12"/>
  <c r="AT458" i="12"/>
  <c r="AQ445" i="12"/>
  <c r="U411" i="12"/>
  <c r="U178" i="12"/>
  <c r="U408" i="12" s="1"/>
  <c r="AO330" i="12"/>
  <c r="AO99" i="12"/>
  <c r="CF385" i="12"/>
  <c r="AD367" i="12"/>
  <c r="BV337" i="12"/>
  <c r="BV336" i="12"/>
  <c r="AO310" i="12"/>
  <c r="AY311" i="12"/>
  <c r="AY80" i="12"/>
  <c r="AY310" i="12" s="1"/>
  <c r="AY48" i="12"/>
  <c r="BD249" i="12"/>
  <c r="BD18" i="12"/>
  <c r="AV408" i="12"/>
  <c r="BX358" i="12"/>
  <c r="BX127" i="12"/>
  <c r="BX81" i="12"/>
  <c r="Z310" i="12"/>
  <c r="BG466" i="12"/>
  <c r="AI466" i="12"/>
  <c r="AI235" i="12"/>
  <c r="AI11" i="10" s="1"/>
  <c r="AT450" i="12"/>
  <c r="AT219" i="12"/>
  <c r="AH445" i="12"/>
  <c r="AJ215" i="12"/>
  <c r="AY438" i="12"/>
  <c r="AY237" i="12"/>
  <c r="AK445" i="12"/>
  <c r="AO215" i="12"/>
  <c r="AY437" i="12"/>
  <c r="AY236" i="12"/>
  <c r="AY206" i="12"/>
  <c r="AY21" i="10" s="1"/>
  <c r="AV467" i="12"/>
  <c r="AF466" i="12"/>
  <c r="AJ236" i="12"/>
  <c r="AF235" i="12"/>
  <c r="AF11" i="10" s="1"/>
  <c r="AK67" i="10" s="1"/>
  <c r="BL465" i="12"/>
  <c r="AM445" i="12"/>
  <c r="AY415" i="12"/>
  <c r="AY184" i="12"/>
  <c r="AY414" i="12" s="1"/>
  <c r="AH466" i="12"/>
  <c r="AH235" i="12"/>
  <c r="AH11" i="10" s="1"/>
  <c r="BI437" i="12"/>
  <c r="BI206" i="12"/>
  <c r="BI21" i="10" s="1"/>
  <c r="AE215" i="12"/>
  <c r="BI416" i="12"/>
  <c r="BI180" i="12"/>
  <c r="BI410" i="12" s="1"/>
  <c r="AJ330" i="12"/>
  <c r="AJ99" i="12"/>
  <c r="AJ329" i="12" s="1"/>
  <c r="AN467" i="12"/>
  <c r="X445" i="12"/>
  <c r="BD442" i="12"/>
  <c r="BC466" i="12"/>
  <c r="AD445" i="12"/>
  <c r="AT388" i="12"/>
  <c r="AT376" i="12"/>
  <c r="AY365" i="12"/>
  <c r="AY108" i="12"/>
  <c r="AY338" i="12" s="1"/>
  <c r="AQ329" i="12"/>
  <c r="BI313" i="12"/>
  <c r="BJ310" i="12"/>
  <c r="BD311" i="12"/>
  <c r="BD80" i="12"/>
  <c r="BA467" i="12"/>
  <c r="X467" i="12"/>
  <c r="Z446" i="12"/>
  <c r="BT465" i="12"/>
  <c r="AY410" i="12"/>
  <c r="AJ410" i="12"/>
  <c r="AY138" i="12"/>
  <c r="BD368" i="12" s="1"/>
  <c r="BN381" i="12"/>
  <c r="Q379" i="12"/>
  <c r="Q137" i="12"/>
  <c r="Q367" i="12" s="1"/>
  <c r="BI365" i="12"/>
  <c r="BD364" i="12"/>
  <c r="BD133" i="12"/>
  <c r="AJ353" i="12"/>
  <c r="AI351" i="12"/>
  <c r="AT333" i="12"/>
  <c r="AT49" i="12"/>
  <c r="AT279" i="12" s="1"/>
  <c r="BX415" i="12"/>
  <c r="BX184" i="12"/>
  <c r="BX179" i="12"/>
  <c r="CC409" i="12" s="1"/>
  <c r="AE137" i="12"/>
  <c r="AJ370" i="12"/>
  <c r="BS380" i="12"/>
  <c r="BS149" i="12"/>
  <c r="BS138" i="12"/>
  <c r="BV363" i="12"/>
  <c r="AL336" i="12"/>
  <c r="AB336" i="12"/>
  <c r="AT455" i="12"/>
  <c r="AT446" i="12"/>
  <c r="Z137" i="12"/>
  <c r="Z367" i="12" s="1"/>
  <c r="AT370" i="12"/>
  <c r="AT137" i="12"/>
  <c r="AS367" i="12"/>
  <c r="AI367" i="12"/>
  <c r="BX371" i="12"/>
  <c r="BX140" i="12"/>
  <c r="AO345" i="12"/>
  <c r="CH385" i="12"/>
  <c r="AY376" i="12"/>
  <c r="BN373" i="12"/>
  <c r="AM336" i="12"/>
  <c r="BN354" i="12"/>
  <c r="BX346" i="12"/>
  <c r="BX115" i="12"/>
  <c r="BX19" i="10" s="1"/>
  <c r="BS292" i="12"/>
  <c r="BD312" i="12"/>
  <c r="BD49" i="12"/>
  <c r="BI370" i="12"/>
  <c r="BX350" i="12"/>
  <c r="AO292" i="12"/>
  <c r="AO249" i="12"/>
  <c r="AO18" i="12"/>
  <c r="Z258" i="12"/>
  <c r="Z15" i="12"/>
  <c r="BS246" i="12"/>
  <c r="BN15" i="12"/>
  <c r="BN57" i="4" s="1"/>
  <c r="BS139" i="12"/>
  <c r="AT292" i="12"/>
  <c r="Z279" i="12"/>
  <c r="BS280" i="12"/>
  <c r="BS312" i="12"/>
  <c r="BI312" i="12"/>
  <c r="BI49" i="12"/>
  <c r="BI279" i="12" s="1"/>
  <c r="BB310" i="12"/>
  <c r="BV47" i="12"/>
  <c r="AO278" i="12"/>
  <c r="AT249" i="12"/>
  <c r="AT18" i="12"/>
  <c r="AJ247" i="12"/>
  <c r="BX251" i="12"/>
  <c r="BX118" i="12"/>
  <c r="BX13" i="10" s="1"/>
  <c r="BX299" i="12"/>
  <c r="BX68" i="12"/>
  <c r="BX15" i="10" s="1"/>
  <c r="BD263" i="12"/>
  <c r="BD17" i="12"/>
  <c r="BN262" i="12"/>
  <c r="BN31" i="12"/>
  <c r="AE417" i="12"/>
  <c r="AE178" i="12"/>
  <c r="AG367" i="12"/>
  <c r="BS295" i="12"/>
  <c r="BI311" i="12"/>
  <c r="BI80" i="12"/>
  <c r="BI48" i="12"/>
  <c r="BN278" i="12" s="1"/>
  <c r="AT286" i="12"/>
  <c r="Z286" i="12"/>
  <c r="U280" i="12"/>
  <c r="U47" i="12"/>
  <c r="U277" i="12" s="1"/>
  <c r="AJ267" i="12"/>
  <c r="AY246" i="12"/>
  <c r="Z247" i="12"/>
  <c r="BT261" i="12"/>
  <c r="AY263" i="12"/>
  <c r="AY17" i="12"/>
  <c r="AY247" i="12" s="1"/>
  <c r="AR277" i="12"/>
  <c r="AE18" i="12"/>
  <c r="Z292" i="12"/>
  <c r="BX19" i="12"/>
  <c r="CC249" i="12" s="1"/>
  <c r="BD48" i="12"/>
  <c r="AK245" i="12"/>
  <c r="AM466" i="12"/>
  <c r="AM235" i="12"/>
  <c r="AM11" i="10" s="1"/>
  <c r="S466" i="12"/>
  <c r="S235" i="12"/>
  <c r="S11" i="10" s="1"/>
  <c r="AL467" i="12"/>
  <c r="AO237" i="12"/>
  <c r="AN466" i="12"/>
  <c r="AN235" i="12"/>
  <c r="AN11" i="10" s="1"/>
  <c r="AS67" i="10" s="1"/>
  <c r="T466" i="12"/>
  <c r="T235" i="12"/>
  <c r="T11" i="10" s="1"/>
  <c r="Y67" i="10" s="1"/>
  <c r="AJ450" i="12"/>
  <c r="AJ219" i="12"/>
  <c r="BS438" i="12"/>
  <c r="AG466" i="12"/>
  <c r="AG235" i="12"/>
  <c r="AG11" i="10" s="1"/>
  <c r="AF467" i="12"/>
  <c r="AJ237" i="12"/>
  <c r="BD408" i="12"/>
  <c r="AJ367" i="12"/>
  <c r="R466" i="12"/>
  <c r="R235" i="12"/>
  <c r="R11" i="10" s="1"/>
  <c r="U236" i="12"/>
  <c r="BV437" i="12"/>
  <c r="Z337" i="12"/>
  <c r="BX343" i="12"/>
  <c r="BX112" i="12"/>
  <c r="BX291" i="12"/>
  <c r="BX59" i="12"/>
  <c r="AT331" i="12"/>
  <c r="U249" i="12"/>
  <c r="U18" i="12"/>
  <c r="U248" i="12" s="1"/>
  <c r="BX263" i="12"/>
  <c r="AT363" i="12"/>
  <c r="Z283" i="12"/>
  <c r="BX347" i="12"/>
  <c r="AJ249" i="12"/>
  <c r="AJ18" i="12"/>
  <c r="Z273" i="12"/>
  <c r="AA467" i="12"/>
  <c r="AE237" i="12"/>
  <c r="AA466" i="12"/>
  <c r="AE236" i="12"/>
  <c r="AA235" i="12"/>
  <c r="AA11" i="10" s="1"/>
  <c r="BS416" i="12"/>
  <c r="BS180" i="12"/>
  <c r="BS410" i="12" s="1"/>
  <c r="BI411" i="12"/>
  <c r="AO450" i="12"/>
  <c r="AO219" i="12"/>
  <c r="AV466" i="12"/>
  <c r="AB466" i="12"/>
  <c r="AB235" i="12"/>
  <c r="AB11" i="10" s="1"/>
  <c r="BX416" i="12"/>
  <c r="BR414" i="12"/>
  <c r="BA466" i="12"/>
  <c r="AZ467" i="12"/>
  <c r="AA445" i="12"/>
  <c r="BE414" i="12"/>
  <c r="BV410" i="12"/>
  <c r="BV178" i="12"/>
  <c r="BD381" i="12"/>
  <c r="BD139" i="12"/>
  <c r="BD369" i="12" s="1"/>
  <c r="BI380" i="12"/>
  <c r="BI149" i="12"/>
  <c r="BI138" i="12"/>
  <c r="AY364" i="12"/>
  <c r="AY133" i="12"/>
  <c r="AY363" i="12" s="1"/>
  <c r="AO452" i="12"/>
  <c r="AL466" i="12"/>
  <c r="AL235" i="12"/>
  <c r="AL11" i="10" s="1"/>
  <c r="BI438" i="12"/>
  <c r="BN364" i="12"/>
  <c r="BN133" i="12"/>
  <c r="BN107" i="12"/>
  <c r="BS337" i="12" s="1"/>
  <c r="U342" i="12"/>
  <c r="U106" i="12"/>
  <c r="U336" i="12" s="1"/>
  <c r="AK467" i="12"/>
  <c r="V466" i="12"/>
  <c r="Z236" i="12"/>
  <c r="V235" i="12"/>
  <c r="V11" i="10" s="1"/>
  <c r="BS437" i="12"/>
  <c r="BS206" i="12"/>
  <c r="BD439" i="12"/>
  <c r="BP465" i="12"/>
  <c r="W445" i="12"/>
  <c r="Z414" i="12"/>
  <c r="AP408" i="12"/>
  <c r="BN380" i="12"/>
  <c r="BN149" i="12"/>
  <c r="BN138" i="12"/>
  <c r="BC363" i="12"/>
  <c r="AE337" i="12"/>
  <c r="BN439" i="12"/>
  <c r="AT195" i="12"/>
  <c r="AO193" i="12"/>
  <c r="BX399" i="12"/>
  <c r="BE387" i="12"/>
  <c r="BL363" i="12"/>
  <c r="BD351" i="12"/>
  <c r="BS108" i="12"/>
  <c r="AY333" i="12"/>
  <c r="Y467" i="12"/>
  <c r="AP466" i="12"/>
  <c r="AT236" i="12"/>
  <c r="AP235" i="12"/>
  <c r="AP11" i="10" s="1"/>
  <c r="BU414" i="12"/>
  <c r="AM408" i="12"/>
  <c r="AT368" i="12"/>
  <c r="W367" i="12"/>
  <c r="BX135" i="12"/>
  <c r="AJ342" i="12"/>
  <c r="AJ106" i="12"/>
  <c r="CH322" i="12"/>
  <c r="CF322" i="12"/>
  <c r="CD322" i="12"/>
  <c r="BX322" i="12"/>
  <c r="BN322" i="12"/>
  <c r="AR467" i="12"/>
  <c r="AR408" i="12"/>
  <c r="BX403" i="12"/>
  <c r="BX170" i="12"/>
  <c r="BX171" i="12"/>
  <c r="BX372" i="12"/>
  <c r="BX134" i="12"/>
  <c r="X336" i="12"/>
  <c r="BD354" i="12"/>
  <c r="Y336" i="12"/>
  <c r="AT330" i="12"/>
  <c r="AT99" i="12"/>
  <c r="AT329" i="12" s="1"/>
  <c r="BX287" i="12"/>
  <c r="BX56" i="12"/>
  <c r="BI286" i="12"/>
  <c r="BV168" i="12"/>
  <c r="AT379" i="12"/>
  <c r="AK336" i="12"/>
  <c r="BX305" i="12"/>
  <c r="BX74" i="12"/>
  <c r="BI298" i="12"/>
  <c r="AO283" i="12"/>
  <c r="AT258" i="12"/>
  <c r="AT15" i="12"/>
  <c r="AJ252" i="12"/>
  <c r="BX262" i="12"/>
  <c r="BX31" i="12"/>
  <c r="AS245" i="12"/>
  <c r="Y245" i="12"/>
  <c r="BS370" i="12"/>
  <c r="AT354" i="12"/>
  <c r="BQ465" i="12"/>
  <c r="AY370" i="12"/>
  <c r="BX297" i="12"/>
  <c r="AT310" i="12"/>
  <c r="AY289" i="12"/>
  <c r="AT261" i="12"/>
  <c r="AE246" i="12"/>
  <c r="Z249" i="12"/>
  <c r="Z18" i="12"/>
  <c r="BS262" i="12"/>
  <c r="BS31" i="12"/>
  <c r="BJ261" i="12"/>
  <c r="BI249" i="12"/>
  <c r="BI18" i="12"/>
  <c r="BN248" i="12" s="1"/>
  <c r="BV249" i="12"/>
  <c r="BV18" i="12"/>
  <c r="Z379" i="12"/>
  <c r="BI364" i="12"/>
  <c r="BI133" i="12"/>
  <c r="BI363" i="12" s="1"/>
  <c r="AY95" i="12"/>
  <c r="Z252" i="12"/>
  <c r="BI252" i="12"/>
  <c r="AE369" i="12"/>
  <c r="Z363" i="12"/>
  <c r="BX303" i="12"/>
  <c r="AY49" i="12"/>
  <c r="AJ289" i="12"/>
  <c r="AE280" i="12"/>
  <c r="AE47" i="12"/>
  <c r="AY262" i="12"/>
  <c r="AY31" i="12"/>
  <c r="AY261" i="12" s="1"/>
  <c r="U258" i="12"/>
  <c r="U15" i="12"/>
  <c r="U245" i="12" s="1"/>
  <c r="BN263" i="12"/>
  <c r="BP261" i="12"/>
  <c r="BN255" i="12"/>
  <c r="AP248" i="12"/>
  <c r="V248" i="12"/>
  <c r="AJ313" i="12"/>
  <c r="BN301" i="12"/>
  <c r="BD283" i="12"/>
  <c r="Z267" i="12"/>
  <c r="BU261" i="12"/>
  <c r="AO47" i="12"/>
  <c r="AA248" i="12"/>
  <c r="BX280" i="12"/>
  <c r="BS255" i="12"/>
  <c r="AE286" i="12"/>
  <c r="BN415" i="12"/>
  <c r="BN184" i="12"/>
  <c r="BN179" i="12"/>
  <c r="AT451" i="12"/>
  <c r="BD437" i="12"/>
  <c r="BD206" i="12"/>
  <c r="BD21" i="10" s="1"/>
  <c r="AY337" i="12"/>
  <c r="BI322" i="12"/>
  <c r="BX375" i="12"/>
  <c r="BI345" i="12"/>
  <c r="BI139" i="12"/>
  <c r="AJ40" i="12"/>
  <c r="AJ270" i="12" s="1"/>
  <c r="AO41" i="12"/>
  <c r="BD246" i="12"/>
  <c r="BD15" i="12"/>
  <c r="BI262" i="12"/>
  <c r="BI31" i="12"/>
  <c r="AO106" i="12"/>
  <c r="AQ467" i="12"/>
  <c r="W467" i="12"/>
  <c r="AQ466" i="12"/>
  <c r="AQ235" i="12"/>
  <c r="AQ11" i="10" s="1"/>
  <c r="W466" i="12"/>
  <c r="W235" i="12"/>
  <c r="W11" i="10" s="1"/>
  <c r="AP445" i="12"/>
  <c r="AT215" i="12"/>
  <c r="AP467" i="12"/>
  <c r="AT237" i="12"/>
  <c r="AT467" i="12" s="1"/>
  <c r="V467" i="12"/>
  <c r="Z237" i="12"/>
  <c r="BN410" i="12"/>
  <c r="AR466" i="12"/>
  <c r="AR235" i="12"/>
  <c r="AR11" i="10" s="1"/>
  <c r="X466" i="12"/>
  <c r="X235" i="12"/>
  <c r="X11" i="10" s="1"/>
  <c r="AE447" i="12"/>
  <c r="AO446" i="12"/>
  <c r="BN437" i="12"/>
  <c r="BN206" i="12"/>
  <c r="BD416" i="12"/>
  <c r="AB467" i="12"/>
  <c r="AZ466" i="12"/>
  <c r="BX413" i="12"/>
  <c r="BX181" i="12"/>
  <c r="BX180" i="12"/>
  <c r="AW466" i="12"/>
  <c r="AJ447" i="12"/>
  <c r="BH465" i="12"/>
  <c r="AN408" i="12"/>
  <c r="BN345" i="12"/>
  <c r="AS325" i="12"/>
  <c r="AS47" i="12"/>
  <c r="BS311" i="12"/>
  <c r="BS80" i="12"/>
  <c r="BS48" i="12"/>
  <c r="U237" i="12"/>
  <c r="U467" i="12" s="1"/>
  <c r="AD466" i="12"/>
  <c r="AD235" i="12"/>
  <c r="AD11" i="10" s="1"/>
  <c r="BA414" i="12"/>
  <c r="BD415" i="12"/>
  <c r="BD184" i="12"/>
  <c r="BS399" i="12"/>
  <c r="BS168" i="12"/>
  <c r="BS58" i="4" s="1"/>
  <c r="BF386" i="12"/>
  <c r="BG156" i="12"/>
  <c r="BF155" i="12"/>
  <c r="BF385" i="12" s="1"/>
  <c r="AY380" i="12"/>
  <c r="AY149" i="12"/>
  <c r="AY379" i="12" s="1"/>
  <c r="BO363" i="12"/>
  <c r="AT313" i="12"/>
  <c r="AO236" i="12"/>
  <c r="AE388" i="12"/>
  <c r="BN348" i="12"/>
  <c r="BS345" i="12"/>
  <c r="BD108" i="12"/>
  <c r="AT342" i="12"/>
  <c r="AT106" i="12"/>
  <c r="BI382" i="12"/>
  <c r="BD382" i="12"/>
  <c r="BF363" i="12"/>
  <c r="AE121" i="12"/>
  <c r="AJ337" i="12"/>
  <c r="AY328" i="12"/>
  <c r="AY97" i="12"/>
  <c r="AY327" i="12" s="1"/>
  <c r="BD98" i="12"/>
  <c r="Z411" i="12"/>
  <c r="AT369" i="12"/>
  <c r="V379" i="12"/>
  <c r="BN365" i="12"/>
  <c r="BS364" i="12"/>
  <c r="BS133" i="12"/>
  <c r="BS363" i="12" s="1"/>
  <c r="AH336" i="12"/>
  <c r="CD131" i="12"/>
  <c r="BI108" i="12"/>
  <c r="BI106" i="12" s="1"/>
  <c r="AJ338" i="12"/>
  <c r="Z342" i="12"/>
  <c r="Z106" i="12"/>
  <c r="BX49" i="12"/>
  <c r="CD385" i="12"/>
  <c r="BD149" i="12"/>
  <c r="BX143" i="12"/>
  <c r="BX20" i="10" s="1"/>
  <c r="BN108" i="12"/>
  <c r="BN338" i="12" s="1"/>
  <c r="BD107" i="12"/>
  <c r="BD12" i="12" s="1"/>
  <c r="AY313" i="12"/>
  <c r="AO279" i="12"/>
  <c r="AJ278" i="12"/>
  <c r="AY249" i="12"/>
  <c r="AY18" i="12"/>
  <c r="BI16" i="12"/>
  <c r="AN245" i="12"/>
  <c r="AT95" i="12"/>
  <c r="AT325" i="12" s="1"/>
  <c r="AE289" i="12"/>
  <c r="BC261" i="12"/>
  <c r="BN139" i="12"/>
  <c r="BS342" i="12"/>
  <c r="BS298" i="12"/>
  <c r="BN311" i="12"/>
  <c r="BN80" i="12"/>
  <c r="BN49" i="12"/>
  <c r="BN279" i="12" s="1"/>
  <c r="AJ255" i="12"/>
  <c r="AE258" i="12"/>
  <c r="AE15" i="12"/>
  <c r="Z261" i="12"/>
  <c r="BX17" i="12"/>
  <c r="CC247" i="12" s="1"/>
  <c r="AO137" i="12"/>
  <c r="BS304" i="12"/>
  <c r="BX293" i="12"/>
  <c r="BX62" i="12"/>
  <c r="AT278" i="12"/>
  <c r="AJ280" i="12"/>
  <c r="AJ47" i="12"/>
  <c r="AJ277" i="12" s="1"/>
  <c r="Z278" i="12"/>
  <c r="BL261" i="12"/>
  <c r="BI17" i="12"/>
  <c r="BN247" i="12" s="1"/>
  <c r="AT252" i="12"/>
  <c r="AO280" i="12"/>
  <c r="BS17" i="12"/>
  <c r="BS15" i="12" s="1"/>
  <c r="BS57" i="4" s="1"/>
  <c r="BD31" i="12"/>
  <c r="BN249" i="12"/>
  <c r="BX48" i="12"/>
  <c r="Z47" i="12"/>
  <c r="Z277" i="12" s="1"/>
  <c r="AQ248" i="12"/>
  <c r="BP187" i="15" l="1"/>
  <c r="BP59" i="10"/>
  <c r="BO59" i="10"/>
  <c r="BO58" i="10"/>
  <c r="X160" i="15"/>
  <c r="BM30" i="15"/>
  <c r="BM97" i="4" s="1"/>
  <c r="AN197" i="15"/>
  <c r="BS153" i="15"/>
  <c r="BS154" i="15" s="1"/>
  <c r="AJ153" i="15"/>
  <c r="AJ154" i="15" s="1"/>
  <c r="BM197" i="15"/>
  <c r="AL150" i="15"/>
  <c r="AI145" i="15"/>
  <c r="AN160" i="15" s="1"/>
  <c r="AJ248" i="12"/>
  <c r="BH42" i="15"/>
  <c r="BX301" i="12"/>
  <c r="BD338" i="12"/>
  <c r="BD414" i="12"/>
  <c r="BF387" i="12"/>
  <c r="AE445" i="12"/>
  <c r="AX197" i="15"/>
  <c r="BB160" i="15"/>
  <c r="AE150" i="15"/>
  <c r="AR56" i="15"/>
  <c r="AH160" i="15"/>
  <c r="CH61" i="19"/>
  <c r="CG26" i="19"/>
  <c r="CG63" i="19" s="1"/>
  <c r="CC301" i="12"/>
  <c r="CH65" i="19"/>
  <c r="BH30" i="15"/>
  <c r="BH97" i="4" s="1"/>
  <c r="AC465" i="12"/>
  <c r="T30" i="15"/>
  <c r="T97" i="4" s="1"/>
  <c r="T99" i="4" s="1"/>
  <c r="CF54" i="19"/>
  <c r="BD261" i="12"/>
  <c r="AE245" i="12"/>
  <c r="AY248" i="12"/>
  <c r="Z336" i="12"/>
  <c r="AK465" i="12"/>
  <c r="BS12" i="12"/>
  <c r="BS236" i="12" s="1"/>
  <c r="BI369" i="12"/>
  <c r="BD137" i="12"/>
  <c r="AY106" i="12"/>
  <c r="BN414" i="12"/>
  <c r="AY279" i="12"/>
  <c r="CH18" i="20"/>
  <c r="CH17" i="20" s="1"/>
  <c r="AG152" i="15"/>
  <c r="AG150" i="15" s="1"/>
  <c r="BM145" i="15"/>
  <c r="BR160" i="15" s="1"/>
  <c r="AR152" i="15"/>
  <c r="AR150" i="15" s="1"/>
  <c r="AH152" i="15"/>
  <c r="AH153" i="15" s="1"/>
  <c r="AH154" i="15" s="1"/>
  <c r="BX258" i="12"/>
  <c r="AV60" i="10"/>
  <c r="BQ60" i="10"/>
  <c r="BR60" i="10"/>
  <c r="BB60" i="10"/>
  <c r="BP60" i="10"/>
  <c r="BH60" i="10"/>
  <c r="AD56" i="10"/>
  <c r="AD116" i="4" s="1"/>
  <c r="AD58" i="10"/>
  <c r="AD118" i="4" s="1"/>
  <c r="AD67" i="10"/>
  <c r="AD59" i="10"/>
  <c r="AD117" i="4" s="1"/>
  <c r="AD25" i="10"/>
  <c r="AD73" i="4"/>
  <c r="BN21" i="10"/>
  <c r="BN60" i="4"/>
  <c r="X67" i="10"/>
  <c r="X25" i="10"/>
  <c r="AC69" i="10" s="1"/>
  <c r="X56" i="10"/>
  <c r="X116" i="4" s="1"/>
  <c r="X58" i="10"/>
  <c r="X118" i="4" s="1"/>
  <c r="X59" i="10"/>
  <c r="X117" i="4" s="1"/>
  <c r="X73" i="4"/>
  <c r="AR62" i="10"/>
  <c r="AR56" i="10"/>
  <c r="AR59" i="10"/>
  <c r="AR67" i="10"/>
  <c r="AR58" i="10"/>
  <c r="AR60" i="10" s="1"/>
  <c r="AR25" i="10"/>
  <c r="AW69" i="10" s="1"/>
  <c r="AP67" i="10"/>
  <c r="AP58" i="10"/>
  <c r="AP59" i="10"/>
  <c r="AP62" i="10"/>
  <c r="AP25" i="10"/>
  <c r="AU69" i="10" s="1"/>
  <c r="AP56" i="10"/>
  <c r="AG67" i="10"/>
  <c r="AG58" i="10"/>
  <c r="AG118" i="4" s="1"/>
  <c r="AG25" i="10"/>
  <c r="AG56" i="10"/>
  <c r="AG116" i="4" s="1"/>
  <c r="AG59" i="10"/>
  <c r="AG117" i="4" s="1"/>
  <c r="AG73" i="4"/>
  <c r="AI58" i="10"/>
  <c r="AI118" i="4" s="1"/>
  <c r="AI56" i="10"/>
  <c r="AI116" i="4" s="1"/>
  <c r="AI67" i="10"/>
  <c r="AI59" i="10"/>
  <c r="AI117" i="4" s="1"/>
  <c r="AI25" i="10"/>
  <c r="AI73" i="4"/>
  <c r="Q67" i="10"/>
  <c r="Q58" i="10"/>
  <c r="Q118" i="4" s="1"/>
  <c r="Q25" i="10"/>
  <c r="Q59" i="10"/>
  <c r="Q117" i="4" s="1"/>
  <c r="Q56" i="10"/>
  <c r="Q116" i="4" s="1"/>
  <c r="U11" i="10"/>
  <c r="Q73" i="4"/>
  <c r="BA60" i="10"/>
  <c r="AW67" i="10"/>
  <c r="BH69" i="10"/>
  <c r="BH29" i="10"/>
  <c r="BH57" i="10"/>
  <c r="BO60" i="10"/>
  <c r="Y57" i="10"/>
  <c r="Y29" i="10"/>
  <c r="Y75" i="4"/>
  <c r="Y76" i="4" s="1"/>
  <c r="BF69" i="10"/>
  <c r="BF29" i="10"/>
  <c r="BF57" i="10"/>
  <c r="BM60" i="10"/>
  <c r="AZ60" i="10"/>
  <c r="AZ69" i="10"/>
  <c r="AZ29" i="10"/>
  <c r="AZ57" i="10"/>
  <c r="BE69" i="10"/>
  <c r="BE29" i="10"/>
  <c r="BE57" i="10"/>
  <c r="BQ69" i="10"/>
  <c r="BQ29" i="10"/>
  <c r="BQ57" i="10"/>
  <c r="BT57" i="10"/>
  <c r="BT69" i="10"/>
  <c r="BT29" i="10"/>
  <c r="BT60" i="10"/>
  <c r="AK57" i="10"/>
  <c r="AK29" i="10"/>
  <c r="AX60" i="10"/>
  <c r="BC57" i="10"/>
  <c r="BC69" i="10"/>
  <c r="BC29" i="10"/>
  <c r="BL57" i="10"/>
  <c r="BL69" i="10"/>
  <c r="BL29" i="10"/>
  <c r="BL60" i="10"/>
  <c r="AU57" i="10"/>
  <c r="AU29" i="10"/>
  <c r="AU67" i="10"/>
  <c r="BK69" i="10"/>
  <c r="BK29" i="10"/>
  <c r="BK57" i="10"/>
  <c r="BJ69" i="10"/>
  <c r="BJ29" i="10"/>
  <c r="BJ57" i="10"/>
  <c r="BJ60" i="10"/>
  <c r="BG60" i="10"/>
  <c r="W58" i="10"/>
  <c r="W118" i="4" s="1"/>
  <c r="W56" i="10"/>
  <c r="W116" i="4" s="1"/>
  <c r="W59" i="10"/>
  <c r="W117" i="4" s="1"/>
  <c r="W25" i="10"/>
  <c r="W67" i="10"/>
  <c r="W73" i="4"/>
  <c r="AQ59" i="10"/>
  <c r="AQ67" i="10"/>
  <c r="AQ62" i="10"/>
  <c r="AQ56" i="10"/>
  <c r="AQ58" i="10"/>
  <c r="AQ60" i="10" s="1"/>
  <c r="AQ25" i="10"/>
  <c r="BS21" i="10"/>
  <c r="BS60" i="4"/>
  <c r="V56" i="10"/>
  <c r="V116" i="4" s="1"/>
  <c r="V58" i="10"/>
  <c r="V118" i="4" s="1"/>
  <c r="V67" i="10"/>
  <c r="V59" i="10"/>
  <c r="V117" i="4" s="1"/>
  <c r="V25" i="10"/>
  <c r="Z11" i="10"/>
  <c r="V73" i="4"/>
  <c r="AL59" i="10"/>
  <c r="AL67" i="10"/>
  <c r="AL56" i="10"/>
  <c r="AL58" i="10"/>
  <c r="AL62" i="10"/>
  <c r="AL25" i="10"/>
  <c r="AB67" i="10"/>
  <c r="AB59" i="10"/>
  <c r="AB117" i="4" s="1"/>
  <c r="AB25" i="10"/>
  <c r="AB56" i="10"/>
  <c r="AB116" i="4" s="1"/>
  <c r="AB58" i="10"/>
  <c r="AB118" i="4" s="1"/>
  <c r="AB73" i="4"/>
  <c r="AA58" i="10"/>
  <c r="AA118" i="4" s="1"/>
  <c r="AA56" i="10"/>
  <c r="AA116" i="4" s="1"/>
  <c r="AA67" i="10"/>
  <c r="AE11" i="10"/>
  <c r="AA59" i="10"/>
  <c r="AA117" i="4" s="1"/>
  <c r="AA25" i="10"/>
  <c r="AA73" i="4"/>
  <c r="R56" i="10"/>
  <c r="R116" i="4" s="1"/>
  <c r="R58" i="10"/>
  <c r="R118" i="4" s="1"/>
  <c r="R67" i="10"/>
  <c r="R59" i="10"/>
  <c r="R117" i="4" s="1"/>
  <c r="R25" i="10"/>
  <c r="R73" i="4"/>
  <c r="T67" i="10"/>
  <c r="T59" i="10"/>
  <c r="T117" i="4" s="1"/>
  <c r="T25" i="10"/>
  <c r="T56" i="10"/>
  <c r="T116" i="4" s="1"/>
  <c r="T58" i="10"/>
  <c r="T118" i="4" s="1"/>
  <c r="T73" i="4"/>
  <c r="AN62" i="10"/>
  <c r="AN67" i="10"/>
  <c r="AN56" i="10"/>
  <c r="AN58" i="10"/>
  <c r="AN59" i="10"/>
  <c r="AN25" i="10"/>
  <c r="AS69" i="10" s="1"/>
  <c r="S58" i="10"/>
  <c r="S118" i="4" s="1"/>
  <c r="S56" i="10"/>
  <c r="S116" i="4" s="1"/>
  <c r="S67" i="10"/>
  <c r="S59" i="10"/>
  <c r="S117" i="4" s="1"/>
  <c r="S25" i="10"/>
  <c r="S73" i="4"/>
  <c r="AM59" i="10"/>
  <c r="AM67" i="10"/>
  <c r="AM56" i="10"/>
  <c r="AM62" i="10"/>
  <c r="AM58" i="10"/>
  <c r="AM25" i="10"/>
  <c r="AH58" i="10"/>
  <c r="AH118" i="4" s="1"/>
  <c r="AH67" i="10"/>
  <c r="AH59" i="10"/>
  <c r="AH117" i="4" s="1"/>
  <c r="AH25" i="10"/>
  <c r="AH56" i="10"/>
  <c r="AH116" i="4" s="1"/>
  <c r="AH73" i="4"/>
  <c r="AF67" i="10"/>
  <c r="AF59" i="10"/>
  <c r="AF117" i="4" s="1"/>
  <c r="AF25" i="10"/>
  <c r="AF56" i="10"/>
  <c r="AF116" i="4" s="1"/>
  <c r="AF58" i="10"/>
  <c r="AF118" i="4" s="1"/>
  <c r="AJ11" i="10"/>
  <c r="AF73" i="4"/>
  <c r="AV69" i="10"/>
  <c r="AV29" i="10"/>
  <c r="AV57" i="10"/>
  <c r="AV67" i="10"/>
  <c r="BA69" i="10"/>
  <c r="BA29" i="10"/>
  <c r="BA57" i="10"/>
  <c r="AW29" i="10"/>
  <c r="AW57" i="10"/>
  <c r="BX54" i="4"/>
  <c r="AS29" i="10"/>
  <c r="AS57" i="10"/>
  <c r="BP57" i="10"/>
  <c r="BP69" i="10"/>
  <c r="BP29" i="10"/>
  <c r="BO57" i="10"/>
  <c r="BO69" i="10"/>
  <c r="BO29" i="10"/>
  <c r="BM57" i="10"/>
  <c r="BM69" i="10"/>
  <c r="BM29" i="10"/>
  <c r="AC29" i="10"/>
  <c r="AC57" i="10"/>
  <c r="AC75" i="4"/>
  <c r="AC76" i="4" s="1"/>
  <c r="AC67" i="10"/>
  <c r="AX57" i="10"/>
  <c r="AX69" i="10"/>
  <c r="AX29" i="10"/>
  <c r="BR69" i="10"/>
  <c r="BR29" i="10"/>
  <c r="BR57" i="10"/>
  <c r="BB69" i="10"/>
  <c r="BB29" i="10"/>
  <c r="BB57" i="10"/>
  <c r="AU60" i="10"/>
  <c r="BG57" i="10"/>
  <c r="BG69" i="10"/>
  <c r="BG29" i="10"/>
  <c r="AC160" i="15"/>
  <c r="BY336" i="12"/>
  <c r="BY11" i="12"/>
  <c r="BY12" i="10" s="1"/>
  <c r="BW152" i="15"/>
  <c r="BW56" i="15"/>
  <c r="R58" i="15"/>
  <c r="S57" i="15" s="1"/>
  <c r="BH145" i="15"/>
  <c r="BH197" i="15"/>
  <c r="AR160" i="15"/>
  <c r="CE97" i="15"/>
  <c r="CD24" i="15"/>
  <c r="AM160" i="15"/>
  <c r="AI160" i="15"/>
  <c r="BZ13" i="12"/>
  <c r="BZ243" i="12" s="1"/>
  <c r="CC261" i="12"/>
  <c r="BX312" i="12"/>
  <c r="BX108" i="12"/>
  <c r="BX107" i="12"/>
  <c r="CH66" i="20"/>
  <c r="CG17" i="20"/>
  <c r="CG57" i="20" s="1"/>
  <c r="CE48" i="19"/>
  <c r="CF53" i="19"/>
  <c r="CF37" i="19"/>
  <c r="CF203" i="12" s="1"/>
  <c r="CE20" i="19"/>
  <c r="CE36" i="19"/>
  <c r="CE202" i="12" s="1"/>
  <c r="CH63" i="19"/>
  <c r="CD37" i="19"/>
  <c r="CD203" i="12" s="1"/>
  <c r="BN379" i="12"/>
  <c r="BG387" i="12"/>
  <c r="BH157" i="12"/>
  <c r="BH387" i="12" s="1"/>
  <c r="BV277" i="12"/>
  <c r="CA277" i="12"/>
  <c r="BN310" i="12"/>
  <c r="BN369" i="12"/>
  <c r="BN47" i="12"/>
  <c r="BN53" i="4" s="1"/>
  <c r="BS261" i="12"/>
  <c r="BV398" i="12"/>
  <c r="CA398" i="12"/>
  <c r="V367" i="12"/>
  <c r="BV408" i="12"/>
  <c r="CA408" i="12"/>
  <c r="AJ449" i="12"/>
  <c r="AT408" i="12"/>
  <c r="AO408" i="12"/>
  <c r="BZ246" i="12"/>
  <c r="BZ15" i="12"/>
  <c r="BZ12" i="12"/>
  <c r="BZ337" i="12"/>
  <c r="BZ106" i="12"/>
  <c r="BZ336" i="12" s="1"/>
  <c r="BW241" i="12"/>
  <c r="BV248" i="12"/>
  <c r="CA248" i="12"/>
  <c r="BY245" i="12"/>
  <c r="CC133" i="12"/>
  <c r="CC106" i="12"/>
  <c r="CC55" i="4" s="1"/>
  <c r="CC373" i="12"/>
  <c r="BX411" i="12"/>
  <c r="BX401" i="12"/>
  <c r="CC401" i="12"/>
  <c r="CC348" i="12"/>
  <c r="BX357" i="12"/>
  <c r="BX410" i="12"/>
  <c r="CC410" i="12"/>
  <c r="BX400" i="12"/>
  <c r="CC400" i="12"/>
  <c r="BX342" i="12"/>
  <c r="CC342" i="12"/>
  <c r="CC345" i="12"/>
  <c r="BX370" i="12"/>
  <c r="BX414" i="12"/>
  <c r="CC414" i="12"/>
  <c r="BX292" i="12"/>
  <c r="CC292" i="12"/>
  <c r="CC304" i="12"/>
  <c r="CC298" i="12"/>
  <c r="BX295" i="12"/>
  <c r="BX279" i="12"/>
  <c r="BX286" i="12"/>
  <c r="BX289" i="12"/>
  <c r="CC289" i="12"/>
  <c r="BX246" i="12"/>
  <c r="CC246" i="12"/>
  <c r="CC203" i="12"/>
  <c r="CB431" i="12"/>
  <c r="BU433" i="12"/>
  <c r="BZ433" i="12"/>
  <c r="CA431" i="12"/>
  <c r="BZ431" i="12"/>
  <c r="CB433" i="12"/>
  <c r="BV433" i="12"/>
  <c r="CA433" i="12"/>
  <c r="CC432" i="12"/>
  <c r="CD32" i="19"/>
  <c r="BH127" i="15"/>
  <c r="BG160" i="15"/>
  <c r="BA56" i="15"/>
  <c r="U153" i="15"/>
  <c r="U154" i="15" s="1"/>
  <c r="BL160" i="15"/>
  <c r="BG56" i="15"/>
  <c r="S56" i="15"/>
  <c r="T197" i="15"/>
  <c r="AS145" i="15"/>
  <c r="BG152" i="15"/>
  <c r="BG153" i="15" s="1"/>
  <c r="BG154" i="15" s="1"/>
  <c r="CC73" i="19"/>
  <c r="CG21" i="20"/>
  <c r="CF21" i="19"/>
  <c r="CF20" i="20"/>
  <c r="CF60" i="20" s="1"/>
  <c r="AB187" i="15"/>
  <c r="AA187" i="15"/>
  <c r="AG465" i="12"/>
  <c r="BX298" i="12"/>
  <c r="BX348" i="12"/>
  <c r="AO445" i="12"/>
  <c r="AJ445" i="12"/>
  <c r="AI465" i="12"/>
  <c r="AJ15" i="12"/>
  <c r="AJ245" i="12" s="1"/>
  <c r="BV431" i="12"/>
  <c r="BX431" i="12"/>
  <c r="Y30" i="15"/>
  <c r="Y97" i="4" s="1"/>
  <c r="Y99" i="4" s="1"/>
  <c r="BW408" i="12"/>
  <c r="BW409" i="12"/>
  <c r="AO191" i="12"/>
  <c r="AJ190" i="12"/>
  <c r="AS126" i="15"/>
  <c r="AS122" i="15"/>
  <c r="AS130" i="15" s="1"/>
  <c r="AS133" i="15" s="1"/>
  <c r="AS127" i="15"/>
  <c r="BG187" i="15"/>
  <c r="BO187" i="15"/>
  <c r="AU127" i="15"/>
  <c r="AU126" i="15"/>
  <c r="AZ127" i="15"/>
  <c r="AZ126" i="15"/>
  <c r="AW126" i="15"/>
  <c r="AW122" i="15"/>
  <c r="AW130" i="15" s="1"/>
  <c r="AW133" i="15" s="1"/>
  <c r="Q465" i="12"/>
  <c r="AZ122" i="15"/>
  <c r="AZ130" i="15" s="1"/>
  <c r="AZ133" i="15" s="1"/>
  <c r="AK127" i="15"/>
  <c r="AK126" i="15"/>
  <c r="BB187" i="15"/>
  <c r="BK187" i="15"/>
  <c r="BX373" i="12"/>
  <c r="AD465" i="12"/>
  <c r="X187" i="15"/>
  <c r="AR187" i="15"/>
  <c r="W465" i="12"/>
  <c r="AQ187" i="15"/>
  <c r="BX304" i="12"/>
  <c r="AP465" i="12"/>
  <c r="V465" i="12"/>
  <c r="AL187" i="15"/>
  <c r="R465" i="12"/>
  <c r="T187" i="15"/>
  <c r="T127" i="15" s="1"/>
  <c r="AN465" i="12"/>
  <c r="S465" i="12"/>
  <c r="AM465" i="12"/>
  <c r="BN261" i="12"/>
  <c r="BN12" i="12"/>
  <c r="BN236" i="12" s="1"/>
  <c r="AO248" i="12"/>
  <c r="BX345" i="12"/>
  <c r="BD310" i="12"/>
  <c r="AH465" i="12"/>
  <c r="AF187" i="15"/>
  <c r="BN13" i="12"/>
  <c r="BN237" i="12" s="1"/>
  <c r="AG56" i="15"/>
  <c r="S152" i="15"/>
  <c r="S150" i="15" s="1"/>
  <c r="Y126" i="15"/>
  <c r="Y122" i="15"/>
  <c r="Y130" i="15" s="1"/>
  <c r="Y133" i="15" s="1"/>
  <c r="BM126" i="15"/>
  <c r="BM122" i="15"/>
  <c r="BM130" i="15" s="1"/>
  <c r="BM133" i="15" s="1"/>
  <c r="BE187" i="15"/>
  <c r="BP126" i="15"/>
  <c r="BP122" i="15"/>
  <c r="BP130" i="15" s="1"/>
  <c r="BP133" i="15" s="1"/>
  <c r="BH126" i="15"/>
  <c r="BH122" i="15"/>
  <c r="BH130" i="15" s="1"/>
  <c r="BH133" i="15" s="1"/>
  <c r="BL126" i="15"/>
  <c r="BL122" i="15"/>
  <c r="BL130" i="15" s="1"/>
  <c r="BL133" i="15" s="1"/>
  <c r="BJ187" i="15"/>
  <c r="AV126" i="15"/>
  <c r="AV127" i="15"/>
  <c r="AV122" i="15"/>
  <c r="AV130" i="15" s="1"/>
  <c r="AV133" i="15" s="1"/>
  <c r="BF187" i="15"/>
  <c r="BA126" i="15"/>
  <c r="BA122" i="15"/>
  <c r="BA130" i="15" s="1"/>
  <c r="BA133" i="15" s="1"/>
  <c r="BA127" i="15"/>
  <c r="BQ126" i="15"/>
  <c r="BQ122" i="15"/>
  <c r="BQ130" i="15" s="1"/>
  <c r="BQ133" i="15" s="1"/>
  <c r="AC126" i="15"/>
  <c r="AC122" i="15"/>
  <c r="AC130" i="15" s="1"/>
  <c r="AC133" i="15" s="1"/>
  <c r="BT122" i="15"/>
  <c r="BT130" i="15" s="1"/>
  <c r="BT133" i="15" s="1"/>
  <c r="BT126" i="15"/>
  <c r="BT127" i="15"/>
  <c r="AX187" i="15"/>
  <c r="AX127" i="15" s="1"/>
  <c r="BC187" i="15"/>
  <c r="BR187" i="15"/>
  <c r="AI30" i="15"/>
  <c r="AI97" i="4" s="1"/>
  <c r="AI99" i="4" s="1"/>
  <c r="AH56" i="15"/>
  <c r="AM30" i="15"/>
  <c r="AM97" i="4" s="1"/>
  <c r="BM24" i="15"/>
  <c r="AX145" i="15"/>
  <c r="BC160" i="15" s="1"/>
  <c r="BX11" i="22"/>
  <c r="BX13" i="22" s="1"/>
  <c r="BS15" i="22"/>
  <c r="BS178" i="22" s="1"/>
  <c r="AX17" i="15"/>
  <c r="BC17" i="15"/>
  <c r="BH17" i="15"/>
  <c r="BM17" i="15"/>
  <c r="BR17" i="15"/>
  <c r="CH71" i="19"/>
  <c r="CG118" i="22"/>
  <c r="CH114" i="22"/>
  <c r="CH116" i="22" s="1"/>
  <c r="CG18" i="22"/>
  <c r="CG96" i="15" s="1"/>
  <c r="CG46" i="15" s="1"/>
  <c r="BA153" i="15"/>
  <c r="BA154" i="15" s="1"/>
  <c r="BA150" i="15"/>
  <c r="AI53" i="15"/>
  <c r="AI197" i="15"/>
  <c r="BR53" i="15"/>
  <c r="AQ152" i="15"/>
  <c r="AQ56" i="15"/>
  <c r="BB30" i="15"/>
  <c r="BB97" i="4" s="1"/>
  <c r="BC24" i="15"/>
  <c r="BR33" i="15"/>
  <c r="BR32" i="15" s="1"/>
  <c r="BQ32" i="15"/>
  <c r="Q172" i="15"/>
  <c r="Q109" i="4" s="1"/>
  <c r="Q141" i="15"/>
  <c r="Q76" i="15"/>
  <c r="O57" i="15"/>
  <c r="O58" i="15" s="1"/>
  <c r="O67" i="15" s="1"/>
  <c r="N67" i="15"/>
  <c r="N66" i="15" s="1"/>
  <c r="N105" i="4" s="1"/>
  <c r="AW42" i="15"/>
  <c r="AW127" i="15"/>
  <c r="T42" i="15"/>
  <c r="BD153" i="15"/>
  <c r="BD154" i="15" s="1"/>
  <c r="BD150" i="15"/>
  <c r="AB153" i="15"/>
  <c r="AB154" i="15" s="1"/>
  <c r="AB150" i="15"/>
  <c r="Y160" i="15"/>
  <c r="X152" i="15"/>
  <c r="X56" i="15"/>
  <c r="AM42" i="15"/>
  <c r="BH53" i="15"/>
  <c r="BP127" i="15"/>
  <c r="BP42" i="15"/>
  <c r="BP56" i="15" s="1"/>
  <c r="BP152" i="15"/>
  <c r="BI153" i="15"/>
  <c r="BI154" i="15" s="1"/>
  <c r="BI150" i="15"/>
  <c r="BG150" i="15"/>
  <c r="BN150" i="15"/>
  <c r="BN153" i="15"/>
  <c r="BN154" i="15" s="1"/>
  <c r="AN42" i="15"/>
  <c r="L140" i="15"/>
  <c r="L139" i="15"/>
  <c r="L136" i="15"/>
  <c r="L84" i="15"/>
  <c r="CE80" i="15"/>
  <c r="AS30" i="15"/>
  <c r="AS97" i="4" s="1"/>
  <c r="BK153" i="15"/>
  <c r="BK154" i="15" s="1"/>
  <c r="BK150" i="15"/>
  <c r="S153" i="15"/>
  <c r="S154" i="15" s="1"/>
  <c r="BH152" i="15"/>
  <c r="AO153" i="15"/>
  <c r="AO154" i="15" s="1"/>
  <c r="AO150" i="15"/>
  <c r="AN17" i="15"/>
  <c r="AD42" i="15"/>
  <c r="BJ153" i="15"/>
  <c r="BJ154" i="15" s="1"/>
  <c r="BJ150" i="15"/>
  <c r="CD78" i="15"/>
  <c r="CD128" i="15"/>
  <c r="T53" i="15"/>
  <c r="AR153" i="15"/>
  <c r="AR154" i="15" s="1"/>
  <c r="AH150" i="15"/>
  <c r="M141" i="15"/>
  <c r="M76" i="15"/>
  <c r="AS17" i="15"/>
  <c r="AC30" i="15"/>
  <c r="AC97" i="4" s="1"/>
  <c r="AC99" i="4" s="1"/>
  <c r="AD24" i="15"/>
  <c r="AG153" i="15"/>
  <c r="AG154" i="15" s="1"/>
  <c r="BR197" i="15"/>
  <c r="Y53" i="15"/>
  <c r="Y56" i="15" s="1"/>
  <c r="AC42" i="15"/>
  <c r="AC127" i="15"/>
  <c r="T152" i="15"/>
  <c r="Y152" i="15"/>
  <c r="BM152" i="15"/>
  <c r="BM56" i="15"/>
  <c r="AX42" i="15"/>
  <c r="AN53" i="15"/>
  <c r="CC88" i="15"/>
  <c r="AT153" i="15"/>
  <c r="AT154" i="15" s="1"/>
  <c r="AT150" i="15"/>
  <c r="BH160" i="15"/>
  <c r="AX24" i="15"/>
  <c r="AW30" i="15"/>
  <c r="AW97" i="4" s="1"/>
  <c r="T160" i="15"/>
  <c r="AS160" i="15"/>
  <c r="BL152" i="15"/>
  <c r="BL56" i="15"/>
  <c r="AD160" i="15"/>
  <c r="R153" i="15"/>
  <c r="R154" i="15" s="1"/>
  <c r="R150" i="15"/>
  <c r="W153" i="15"/>
  <c r="W154" i="15" s="1"/>
  <c r="W150" i="15"/>
  <c r="CH25" i="19"/>
  <c r="CH23" i="20"/>
  <c r="CH63" i="20" s="1"/>
  <c r="CD20" i="19"/>
  <c r="CH18" i="19"/>
  <c r="CG55" i="19"/>
  <c r="CG17" i="19"/>
  <c r="CG54" i="19" s="1"/>
  <c r="CG11" i="20"/>
  <c r="CG51" i="20" s="1"/>
  <c r="CG12" i="19"/>
  <c r="CH12" i="20"/>
  <c r="CH50" i="19"/>
  <c r="CH67" i="19"/>
  <c r="CH29" i="19"/>
  <c r="CH66" i="19" s="1"/>
  <c r="CH16" i="20"/>
  <c r="CH16" i="19" s="1"/>
  <c r="CG16" i="19"/>
  <c r="CG15" i="20"/>
  <c r="CF15" i="19"/>
  <c r="CF14" i="20"/>
  <c r="CF54" i="20" s="1"/>
  <c r="CG62" i="19"/>
  <c r="CG23" i="19"/>
  <c r="CG60" i="19" s="1"/>
  <c r="CF49" i="19"/>
  <c r="CF11" i="19"/>
  <c r="CF48" i="19" s="1"/>
  <c r="CE14" i="19"/>
  <c r="CE52" i="19"/>
  <c r="CG69" i="19"/>
  <c r="CH69" i="19"/>
  <c r="CE203" i="12"/>
  <c r="CE32" i="19"/>
  <c r="CC74" i="19"/>
  <c r="BX433" i="12"/>
  <c r="BU431" i="12"/>
  <c r="BU11" i="12"/>
  <c r="BU12" i="10" s="1"/>
  <c r="CC32" i="19"/>
  <c r="CC59" i="4" s="1"/>
  <c r="CG71" i="19"/>
  <c r="BD242" i="12"/>
  <c r="BD236" i="12"/>
  <c r="BD466" i="12" s="1"/>
  <c r="BS242" i="12"/>
  <c r="BX261" i="12"/>
  <c r="BS245" i="12"/>
  <c r="AT367" i="12"/>
  <c r="BX247" i="12"/>
  <c r="AS277" i="12"/>
  <c r="AX277" i="12"/>
  <c r="AO367" i="12"/>
  <c r="BD379" i="12"/>
  <c r="BI338" i="12"/>
  <c r="AT336" i="12"/>
  <c r="BG386" i="12"/>
  <c r="BG155" i="12"/>
  <c r="BG385" i="12" s="1"/>
  <c r="BH156" i="12"/>
  <c r="BI156" i="12" s="1"/>
  <c r="Z408" i="12"/>
  <c r="BS310" i="12"/>
  <c r="BI261" i="12"/>
  <c r="AY325" i="12"/>
  <c r="AY195" i="12"/>
  <c r="AY193" i="12" s="1"/>
  <c r="AT193" i="12"/>
  <c r="BN368" i="12"/>
  <c r="BN137" i="12"/>
  <c r="BN56" i="4" s="1"/>
  <c r="BN363" i="12"/>
  <c r="AL465" i="12"/>
  <c r="AE466" i="12"/>
  <c r="AE235" i="12"/>
  <c r="BV247" i="12"/>
  <c r="BV15" i="12"/>
  <c r="CA245" i="12" s="1"/>
  <c r="BS279" i="12"/>
  <c r="BV436" i="12"/>
  <c r="BX249" i="12"/>
  <c r="BX18" i="12"/>
  <c r="AE248" i="12"/>
  <c r="AT248" i="12"/>
  <c r="BS369" i="12"/>
  <c r="BS379" i="12"/>
  <c r="BX409" i="12"/>
  <c r="BX178" i="12"/>
  <c r="BX59" i="4" s="1"/>
  <c r="BD363" i="12"/>
  <c r="CB242" i="12"/>
  <c r="BS414" i="12"/>
  <c r="BI414" i="12"/>
  <c r="AU465" i="12"/>
  <c r="AR465" i="12"/>
  <c r="AW465" i="12"/>
  <c r="AO40" i="12"/>
  <c r="AO16" i="12"/>
  <c r="BX168" i="12"/>
  <c r="BX58" i="4" s="1"/>
  <c r="BI368" i="12"/>
  <c r="BI137" i="12"/>
  <c r="BI278" i="12"/>
  <c r="BI47" i="12"/>
  <c r="BS409" i="12"/>
  <c r="BS178" i="12"/>
  <c r="BS59" i="4" s="1"/>
  <c r="BX278" i="12"/>
  <c r="BX47" i="12"/>
  <c r="AS465" i="12"/>
  <c r="BD100" i="12"/>
  <c r="BD96" i="12"/>
  <c r="BD97" i="12"/>
  <c r="BI98" i="12"/>
  <c r="AE106" i="12"/>
  <c r="AE336" i="12" s="1"/>
  <c r="AJ351" i="12"/>
  <c r="AO466" i="12"/>
  <c r="AO235" i="12"/>
  <c r="AO11" i="10" s="1"/>
  <c r="AY336" i="12"/>
  <c r="BN409" i="12"/>
  <c r="BN178" i="12"/>
  <c r="BN59" i="4" s="1"/>
  <c r="AO472" i="12"/>
  <c r="AO277" i="12"/>
  <c r="AE277" i="12"/>
  <c r="BI248" i="12"/>
  <c r="BS436" i="12"/>
  <c r="Z466" i="12"/>
  <c r="Z235" i="12"/>
  <c r="BI379" i="12"/>
  <c r="AO449" i="12"/>
  <c r="AE467" i="12"/>
  <c r="AY15" i="12"/>
  <c r="BI310" i="12"/>
  <c r="AY368" i="12"/>
  <c r="AY137" i="12"/>
  <c r="BI436" i="12"/>
  <c r="AF465" i="12"/>
  <c r="AY436" i="12"/>
  <c r="AY235" i="12"/>
  <c r="AY11" i="10" s="1"/>
  <c r="BX15" i="12"/>
  <c r="BX57" i="4" s="1"/>
  <c r="BD337" i="12"/>
  <c r="BD106" i="12"/>
  <c r="BI336" i="12" s="1"/>
  <c r="BX365" i="12"/>
  <c r="BD248" i="12"/>
  <c r="BS247" i="12"/>
  <c r="BS13" i="12"/>
  <c r="BI247" i="12"/>
  <c r="BI13" i="12"/>
  <c r="CE131" i="12"/>
  <c r="CD130" i="12"/>
  <c r="CD360" i="12" s="1"/>
  <c r="BI246" i="12"/>
  <c r="BI15" i="12"/>
  <c r="BI12" i="12"/>
  <c r="BS398" i="12"/>
  <c r="BS278" i="12"/>
  <c r="BS47" i="12"/>
  <c r="BS53" i="4" s="1"/>
  <c r="BN436" i="12"/>
  <c r="X465" i="12"/>
  <c r="Z467" i="12"/>
  <c r="AT445" i="12"/>
  <c r="AQ465" i="12"/>
  <c r="AV465" i="12"/>
  <c r="AO336" i="12"/>
  <c r="BD245" i="12"/>
  <c r="BI337" i="12"/>
  <c r="BD436" i="12"/>
  <c r="Z248" i="12"/>
  <c r="BX364" i="12"/>
  <c r="BX133" i="12"/>
  <c r="AT466" i="12"/>
  <c r="AT235" i="12"/>
  <c r="AT11" i="10" s="1"/>
  <c r="BS338" i="12"/>
  <c r="BI157" i="12"/>
  <c r="BN337" i="12"/>
  <c r="BN106" i="12"/>
  <c r="BN55" i="4" s="1"/>
  <c r="AB465" i="12"/>
  <c r="AA465" i="12"/>
  <c r="U466" i="12"/>
  <c r="U235" i="12"/>
  <c r="U465" i="12" s="1"/>
  <c r="AJ467" i="12"/>
  <c r="T465" i="12"/>
  <c r="Y465" i="12"/>
  <c r="AO467" i="12"/>
  <c r="BD278" i="12"/>
  <c r="BD47" i="12"/>
  <c r="AE408" i="12"/>
  <c r="AJ408" i="12"/>
  <c r="BD247" i="12"/>
  <c r="BD13" i="12"/>
  <c r="BN246" i="12"/>
  <c r="Z245" i="12"/>
  <c r="BD279" i="12"/>
  <c r="BS368" i="12"/>
  <c r="BS137" i="12"/>
  <c r="BS56" i="4" s="1"/>
  <c r="AE367" i="12"/>
  <c r="AJ466" i="12"/>
  <c r="AJ235" i="12"/>
  <c r="AY466" i="12"/>
  <c r="AY467" i="12"/>
  <c r="AT449" i="12"/>
  <c r="BX311" i="12"/>
  <c r="BX80" i="12"/>
  <c r="BS106" i="12"/>
  <c r="BS55" i="4" s="1"/>
  <c r="AY278" i="12"/>
  <c r="AY47" i="12"/>
  <c r="AO329" i="12"/>
  <c r="BI409" i="12"/>
  <c r="BI178" i="12"/>
  <c r="AT47" i="12"/>
  <c r="BH56" i="15" l="1"/>
  <c r="R67" i="15"/>
  <c r="R66" i="15" s="1"/>
  <c r="R105" i="4" s="1"/>
  <c r="BM160" i="15"/>
  <c r="AM56" i="15"/>
  <c r="AJ336" i="12"/>
  <c r="S58" i="15"/>
  <c r="T57" i="15" s="1"/>
  <c r="BN61" i="4"/>
  <c r="CH57" i="20"/>
  <c r="AT25" i="10"/>
  <c r="AT58" i="10"/>
  <c r="AT67" i="10"/>
  <c r="AT59" i="10"/>
  <c r="AT117" i="4" s="1"/>
  <c r="AT56" i="10"/>
  <c r="AT116" i="4" s="1"/>
  <c r="AT73" i="4"/>
  <c r="BS61" i="4"/>
  <c r="AO67" i="10"/>
  <c r="AO59" i="10"/>
  <c r="AO117" i="4" s="1"/>
  <c r="AO58" i="10"/>
  <c r="AO25" i="10"/>
  <c r="AO56" i="10"/>
  <c r="AO116" i="4" s="1"/>
  <c r="AO73" i="4"/>
  <c r="BB61" i="10"/>
  <c r="BB33" i="10"/>
  <c r="BB72" i="10"/>
  <c r="BB44" i="10"/>
  <c r="BB31" i="10"/>
  <c r="BO72" i="10"/>
  <c r="BO44" i="10"/>
  <c r="BO61" i="10"/>
  <c r="BO33" i="10"/>
  <c r="BX53" i="4"/>
  <c r="AW44" i="10"/>
  <c r="AW31" i="10"/>
  <c r="AW61" i="10"/>
  <c r="AW33" i="10"/>
  <c r="AW62" i="10" s="1"/>
  <c r="AJ67" i="10"/>
  <c r="AJ58" i="10"/>
  <c r="AJ118" i="4" s="1"/>
  <c r="AJ59" i="10"/>
  <c r="AJ117" i="4" s="1"/>
  <c r="AJ25" i="10"/>
  <c r="AJ56" i="10"/>
  <c r="AJ116" i="4" s="1"/>
  <c r="AJ73" i="4"/>
  <c r="AH57" i="10"/>
  <c r="AH69" i="10"/>
  <c r="AH29" i="10"/>
  <c r="AH75" i="4"/>
  <c r="AH76" i="4" s="1"/>
  <c r="AM57" i="10"/>
  <c r="AM29" i="10"/>
  <c r="AM69" i="10"/>
  <c r="AN69" i="10"/>
  <c r="AN29" i="10"/>
  <c r="AS72" i="10" s="1"/>
  <c r="AN57" i="10"/>
  <c r="AB69" i="10"/>
  <c r="AB29" i="10"/>
  <c r="AB57" i="10"/>
  <c r="AB75" i="4"/>
  <c r="AB76" i="4" s="1"/>
  <c r="Z25" i="10"/>
  <c r="Z58" i="10"/>
  <c r="Z118" i="4" s="1"/>
  <c r="Z67" i="10"/>
  <c r="Z56" i="10"/>
  <c r="Z116" i="4" s="1"/>
  <c r="Z59" i="10"/>
  <c r="Z117" i="4" s="1"/>
  <c r="Z73" i="4"/>
  <c r="AQ57" i="10"/>
  <c r="AQ69" i="10"/>
  <c r="AQ29" i="10"/>
  <c r="AV72" i="10" s="1"/>
  <c r="W69" i="10"/>
  <c r="W57" i="10"/>
  <c r="W29" i="10"/>
  <c r="W75" i="4"/>
  <c r="W76" i="4" s="1"/>
  <c r="BK61" i="10"/>
  <c r="BK33" i="10"/>
  <c r="BK72" i="10"/>
  <c r="BK44" i="10"/>
  <c r="BC61" i="10"/>
  <c r="BC33" i="10"/>
  <c r="BC72" i="10"/>
  <c r="BC44" i="10"/>
  <c r="BC31" i="10"/>
  <c r="AK44" i="10"/>
  <c r="AK61" i="10"/>
  <c r="BT72" i="10"/>
  <c r="BT61" i="10"/>
  <c r="BT33" i="10"/>
  <c r="BT44" i="10"/>
  <c r="BQ61" i="10"/>
  <c r="BQ33" i="10"/>
  <c r="BQ72" i="10"/>
  <c r="BQ44" i="10"/>
  <c r="AZ61" i="10"/>
  <c r="AZ33" i="10"/>
  <c r="AZ72" i="10"/>
  <c r="AZ44" i="10"/>
  <c r="AZ31" i="10"/>
  <c r="Y61" i="10"/>
  <c r="Y33" i="10"/>
  <c r="Y44" i="10"/>
  <c r="Y78" i="4"/>
  <c r="U67" i="10"/>
  <c r="U56" i="10"/>
  <c r="U116" i="4" s="1"/>
  <c r="U59" i="10"/>
  <c r="U117" i="4" s="1"/>
  <c r="U25" i="10"/>
  <c r="U58" i="10"/>
  <c r="U118" i="4" s="1"/>
  <c r="U73" i="4"/>
  <c r="AP60" i="10"/>
  <c r="AR57" i="10"/>
  <c r="AR69" i="10"/>
  <c r="AR29" i="10"/>
  <c r="X57" i="10"/>
  <c r="X69" i="10"/>
  <c r="X29" i="10"/>
  <c r="X75" i="4"/>
  <c r="X76" i="4" s="1"/>
  <c r="AY67" i="10"/>
  <c r="AY56" i="10"/>
  <c r="AY116" i="4" s="1"/>
  <c r="AY59" i="10"/>
  <c r="AY117" i="4" s="1"/>
  <c r="AY58" i="10"/>
  <c r="AY25" i="10"/>
  <c r="AY158" i="4"/>
  <c r="AY73" i="4"/>
  <c r="BG61" i="10"/>
  <c r="BG44" i="10"/>
  <c r="BG72" i="10"/>
  <c r="BG33" i="10"/>
  <c r="BR72" i="10"/>
  <c r="BR44" i="10"/>
  <c r="BR61" i="10"/>
  <c r="BR33" i="10"/>
  <c r="AX72" i="10"/>
  <c r="AX44" i="10"/>
  <c r="AX31" i="10"/>
  <c r="AX61" i="10"/>
  <c r="AX33" i="10"/>
  <c r="AX62" i="10" s="1"/>
  <c r="AC61" i="10"/>
  <c r="AC33" i="10"/>
  <c r="AC72" i="10"/>
  <c r="AC44" i="10"/>
  <c r="AC78" i="4"/>
  <c r="BM61" i="10"/>
  <c r="BM33" i="10"/>
  <c r="BM72" i="10"/>
  <c r="BM44" i="10"/>
  <c r="BP72" i="10"/>
  <c r="BP44" i="10"/>
  <c r="BP61" i="10"/>
  <c r="BP33" i="10"/>
  <c r="AS61" i="10"/>
  <c r="AS44" i="10"/>
  <c r="BA72" i="10"/>
  <c r="BA44" i="10"/>
  <c r="BA31" i="10"/>
  <c r="BA61" i="10"/>
  <c r="BA33" i="10"/>
  <c r="AV61" i="10"/>
  <c r="AV33" i="10"/>
  <c r="AV62" i="10" s="1"/>
  <c r="AV44" i="10"/>
  <c r="AV31" i="10"/>
  <c r="AF57" i="10"/>
  <c r="AF69" i="10"/>
  <c r="AF29" i="10"/>
  <c r="AK72" i="10" s="1"/>
  <c r="AF75" i="4"/>
  <c r="AF76" i="4" s="1"/>
  <c r="S57" i="10"/>
  <c r="S29" i="10"/>
  <c r="S69" i="10"/>
  <c r="S75" i="4"/>
  <c r="S76" i="4" s="1"/>
  <c r="T69" i="10"/>
  <c r="T29" i="10"/>
  <c r="T57" i="10"/>
  <c r="T75" i="4"/>
  <c r="T76" i="4" s="1"/>
  <c r="R57" i="10"/>
  <c r="R69" i="10"/>
  <c r="R29" i="10"/>
  <c r="R75" i="4"/>
  <c r="R76" i="4" s="1"/>
  <c r="AA57" i="10"/>
  <c r="AA29" i="10"/>
  <c r="AA69" i="10"/>
  <c r="AA75" i="4"/>
  <c r="AA76" i="4" s="1"/>
  <c r="AE25" i="10"/>
  <c r="AE59" i="10"/>
  <c r="AE117" i="4" s="1"/>
  <c r="AE67" i="10"/>
  <c r="AE58" i="10"/>
  <c r="AE118" i="4" s="1"/>
  <c r="AE56" i="10"/>
  <c r="AE116" i="4" s="1"/>
  <c r="AE73" i="4"/>
  <c r="AL57" i="10"/>
  <c r="AL69" i="10"/>
  <c r="AL29" i="10"/>
  <c r="V69" i="10"/>
  <c r="V29" i="10"/>
  <c r="V57" i="10"/>
  <c r="V75" i="4"/>
  <c r="V76" i="4" s="1"/>
  <c r="BJ72" i="10"/>
  <c r="BJ44" i="10"/>
  <c r="BJ61" i="10"/>
  <c r="BJ33" i="10"/>
  <c r="AU61" i="10"/>
  <c r="AU33" i="10"/>
  <c r="AU62" i="10" s="1"/>
  <c r="AU44" i="10"/>
  <c r="AU31" i="10"/>
  <c r="BL72" i="10"/>
  <c r="BL44" i="10"/>
  <c r="BL61" i="10"/>
  <c r="BL33" i="10"/>
  <c r="AK69" i="10"/>
  <c r="BE72" i="10"/>
  <c r="BE33" i="10"/>
  <c r="BE61" i="10"/>
  <c r="BE44" i="10"/>
  <c r="BF72" i="10"/>
  <c r="BF44" i="10"/>
  <c r="BF61" i="10"/>
  <c r="BF33" i="10"/>
  <c r="Y69" i="10"/>
  <c r="BH72" i="10"/>
  <c r="BH44" i="10"/>
  <c r="BH61" i="10"/>
  <c r="BH33" i="10"/>
  <c r="Q57" i="10"/>
  <c r="Q69" i="10"/>
  <c r="Q29" i="10"/>
  <c r="Q75" i="4"/>
  <c r="Q76" i="4" s="1"/>
  <c r="AI57" i="10"/>
  <c r="AI29" i="10"/>
  <c r="AI69" i="10"/>
  <c r="AI75" i="4"/>
  <c r="AI76" i="4" s="1"/>
  <c r="AG57" i="10"/>
  <c r="AG69" i="10"/>
  <c r="AG29" i="10"/>
  <c r="AG75" i="4"/>
  <c r="AG76" i="4" s="1"/>
  <c r="AP57" i="10"/>
  <c r="AP69" i="10"/>
  <c r="AP29" i="10"/>
  <c r="AU72" i="10" s="1"/>
  <c r="AD69" i="10"/>
  <c r="AD29" i="10"/>
  <c r="AD57" i="10"/>
  <c r="AD75" i="4"/>
  <c r="AD76" i="4" s="1"/>
  <c r="BN242" i="12"/>
  <c r="BN277" i="12"/>
  <c r="BS466" i="12"/>
  <c r="AO473" i="12"/>
  <c r="BW153" i="15"/>
  <c r="BW154" i="15" s="1"/>
  <c r="BW150" i="15"/>
  <c r="CF97" i="15"/>
  <c r="CE24" i="15"/>
  <c r="CE74" i="19"/>
  <c r="BZ237" i="12"/>
  <c r="BZ467" i="12" s="1"/>
  <c r="CH37" i="19"/>
  <c r="CH203" i="12" s="1"/>
  <c r="CE35" i="19"/>
  <c r="CE433" i="12"/>
  <c r="CG53" i="19"/>
  <c r="CG37" i="19"/>
  <c r="CG74" i="19" s="1"/>
  <c r="CD35" i="19"/>
  <c r="CD201" i="12" s="1"/>
  <c r="CD22" i="10" s="1"/>
  <c r="CF36" i="19"/>
  <c r="CC35" i="19"/>
  <c r="CC201" i="12" s="1"/>
  <c r="CC22" i="10" s="1"/>
  <c r="AJ465" i="12"/>
  <c r="BD11" i="12"/>
  <c r="BD12" i="10" s="1"/>
  <c r="CC337" i="12"/>
  <c r="CD74" i="19"/>
  <c r="BZ245" i="12"/>
  <c r="BZ11" i="12"/>
  <c r="BZ12" i="10" s="1"/>
  <c r="BZ242" i="12"/>
  <c r="BZ236" i="12"/>
  <c r="BZ466" i="12" s="1"/>
  <c r="BX363" i="12"/>
  <c r="BX338" i="12"/>
  <c r="CC338" i="12"/>
  <c r="CC398" i="12"/>
  <c r="CC408" i="12"/>
  <c r="BX248" i="12"/>
  <c r="CC248" i="12"/>
  <c r="BX310" i="12"/>
  <c r="CC245" i="12"/>
  <c r="CB243" i="12"/>
  <c r="CC433" i="12"/>
  <c r="AI152" i="15"/>
  <c r="AI153" i="15" s="1"/>
  <c r="AI154" i="15" s="1"/>
  <c r="AN30" i="15"/>
  <c r="AN97" i="4" s="1"/>
  <c r="AI56" i="15"/>
  <c r="CF74" i="19"/>
  <c r="CF20" i="19"/>
  <c r="CF58" i="19"/>
  <c r="CH21" i="20"/>
  <c r="CG20" i="20"/>
  <c r="CG60" i="20" s="1"/>
  <c r="CG21" i="19"/>
  <c r="AT471" i="12"/>
  <c r="BS11" i="12"/>
  <c r="BS12" i="10" s="1"/>
  <c r="AO474" i="12"/>
  <c r="AM152" i="15"/>
  <c r="AM153" i="15" s="1"/>
  <c r="AM154" i="15" s="1"/>
  <c r="BC122" i="15"/>
  <c r="BC130" i="15" s="1"/>
  <c r="BC133" i="15" s="1"/>
  <c r="BC126" i="15"/>
  <c r="BC127" i="15"/>
  <c r="AX126" i="15"/>
  <c r="AX122" i="15"/>
  <c r="AX130" i="15" s="1"/>
  <c r="AX133" i="15" s="1"/>
  <c r="BT147" i="15"/>
  <c r="AZ147" i="15"/>
  <c r="BF126" i="15"/>
  <c r="BF127" i="15"/>
  <c r="BF122" i="15"/>
  <c r="BF130" i="15" s="1"/>
  <c r="BF133" i="15" s="1"/>
  <c r="AU147" i="15"/>
  <c r="AJ187" i="15"/>
  <c r="AM187" i="15"/>
  <c r="S187" i="15"/>
  <c r="AN187" i="15"/>
  <c r="T126" i="15"/>
  <c r="T122" i="15"/>
  <c r="T130" i="15" s="1"/>
  <c r="T133" i="15" s="1"/>
  <c r="V187" i="15"/>
  <c r="W187" i="15"/>
  <c r="X126" i="15"/>
  <c r="X127" i="15"/>
  <c r="X122" i="15"/>
  <c r="X130" i="15" s="1"/>
  <c r="X133" i="15" s="1"/>
  <c r="AD187" i="15"/>
  <c r="BQ147" i="15"/>
  <c r="AV147" i="15"/>
  <c r="BO127" i="15"/>
  <c r="BO126" i="15"/>
  <c r="BO122" i="15"/>
  <c r="BO130" i="15" s="1"/>
  <c r="BO133" i="15" s="1"/>
  <c r="AT191" i="12"/>
  <c r="AO190" i="12"/>
  <c r="Y147" i="15"/>
  <c r="AI187" i="15"/>
  <c r="AY478" i="12"/>
  <c r="BR126" i="15"/>
  <c r="BR122" i="15"/>
  <c r="BR130" i="15" s="1"/>
  <c r="BR133" i="15" s="1"/>
  <c r="AW147" i="15"/>
  <c r="BJ127" i="15"/>
  <c r="BJ126" i="15"/>
  <c r="BJ122" i="15"/>
  <c r="BJ130" i="15" s="1"/>
  <c r="BJ133" i="15" s="1"/>
  <c r="AS147" i="15"/>
  <c r="BE127" i="15"/>
  <c r="BE126" i="15"/>
  <c r="BE122" i="15"/>
  <c r="BE130" i="15" s="1"/>
  <c r="BE133" i="15" s="1"/>
  <c r="AF122" i="15"/>
  <c r="AF130" i="15" s="1"/>
  <c r="AF133" i="15" s="1"/>
  <c r="AF126" i="15"/>
  <c r="AF127" i="15"/>
  <c r="AH187" i="15"/>
  <c r="R187" i="15"/>
  <c r="AL126" i="15"/>
  <c r="AL122" i="15"/>
  <c r="AL130" i="15" s="1"/>
  <c r="AL133" i="15" s="1"/>
  <c r="AL127" i="15"/>
  <c r="AP187" i="15"/>
  <c r="AQ126" i="15"/>
  <c r="AQ122" i="15"/>
  <c r="AQ130" i="15" s="1"/>
  <c r="AQ133" i="15" s="1"/>
  <c r="AQ127" i="15"/>
  <c r="AR126" i="15"/>
  <c r="AR127" i="15"/>
  <c r="AR122" i="15"/>
  <c r="AR130" i="15" s="1"/>
  <c r="AR133" i="15" s="1"/>
  <c r="BK126" i="15"/>
  <c r="BK122" i="15"/>
  <c r="BK130" i="15" s="1"/>
  <c r="BK133" i="15" s="1"/>
  <c r="BK127" i="15"/>
  <c r="BB126" i="15"/>
  <c r="BB122" i="15"/>
  <c r="BB130" i="15" s="1"/>
  <c r="BB133" i="15" s="1"/>
  <c r="BB127" i="15"/>
  <c r="AK147" i="15"/>
  <c r="AC147" i="15"/>
  <c r="Q187" i="15"/>
  <c r="BA147" i="15"/>
  <c r="BG126" i="15"/>
  <c r="BG122" i="15"/>
  <c r="BG130" i="15" s="1"/>
  <c r="BG133" i="15" s="1"/>
  <c r="BG127" i="15"/>
  <c r="BL147" i="15"/>
  <c r="BH147" i="15"/>
  <c r="BP147" i="15"/>
  <c r="BM147" i="15"/>
  <c r="AG187" i="15"/>
  <c r="AA126" i="15"/>
  <c r="AA127" i="15"/>
  <c r="AA122" i="15"/>
  <c r="AA130" i="15" s="1"/>
  <c r="AA133" i="15" s="1"/>
  <c r="AB126" i="15"/>
  <c r="AB122" i="15"/>
  <c r="AB130" i="15" s="1"/>
  <c r="AB133" i="15" s="1"/>
  <c r="AB127" i="15"/>
  <c r="T56" i="15"/>
  <c r="BX15" i="22"/>
  <c r="CC11" i="22"/>
  <c r="CC13" i="22" s="1"/>
  <c r="AX160" i="15"/>
  <c r="CE51" i="19"/>
  <c r="CH118" i="22"/>
  <c r="CH18" i="22"/>
  <c r="CH96" i="15" s="1"/>
  <c r="CH46" i="15" s="1"/>
  <c r="CF80" i="15"/>
  <c r="AW152" i="15"/>
  <c r="AW56" i="15"/>
  <c r="AX30" i="15"/>
  <c r="AX97" i="4" s="1"/>
  <c r="CD88" i="15"/>
  <c r="BM153" i="15"/>
  <c r="BM154" i="15" s="1"/>
  <c r="BM150" i="15"/>
  <c r="BH153" i="15"/>
  <c r="BH154" i="15" s="1"/>
  <c r="BH150" i="15"/>
  <c r="CE35" i="15"/>
  <c r="CE42" i="15" s="1"/>
  <c r="P67" i="15"/>
  <c r="O66" i="15"/>
  <c r="O105" i="4" s="1"/>
  <c r="BQ42" i="15"/>
  <c r="BQ56" i="15" s="1"/>
  <c r="BQ127" i="15"/>
  <c r="BQ152" i="15"/>
  <c r="BB152" i="15"/>
  <c r="BB56" i="15"/>
  <c r="BC30" i="15"/>
  <c r="BC97" i="4" s="1"/>
  <c r="Y153" i="15"/>
  <c r="Y154" i="15" s="1"/>
  <c r="Y150" i="15"/>
  <c r="M139" i="15"/>
  <c r="M140" i="15"/>
  <c r="M136" i="15"/>
  <c r="M84" i="15"/>
  <c r="BR127" i="15"/>
  <c r="BR42" i="15"/>
  <c r="BR56" i="15" s="1"/>
  <c r="AN152" i="15"/>
  <c r="AN56" i="15"/>
  <c r="BL153" i="15"/>
  <c r="BL154" i="15" s="1"/>
  <c r="BL150" i="15"/>
  <c r="AC152" i="15"/>
  <c r="AC56" i="15"/>
  <c r="AD30" i="15"/>
  <c r="AD97" i="4" s="1"/>
  <c r="AD99" i="4" s="1"/>
  <c r="AS152" i="15"/>
  <c r="AS56" i="15"/>
  <c r="BP153" i="15"/>
  <c r="BP154" i="15" s="1"/>
  <c r="BP150" i="15"/>
  <c r="X153" i="15"/>
  <c r="X154" i="15" s="1"/>
  <c r="X150" i="15"/>
  <c r="Q139" i="15"/>
  <c r="Q140" i="15"/>
  <c r="Q84" i="15"/>
  <c r="Q136" i="15"/>
  <c r="R172" i="15"/>
  <c r="R109" i="4" s="1"/>
  <c r="R76" i="15"/>
  <c r="BR152" i="15"/>
  <c r="T153" i="15"/>
  <c r="T154" i="15" s="1"/>
  <c r="T150" i="15"/>
  <c r="CE78" i="15"/>
  <c r="CE128" i="15"/>
  <c r="N141" i="15"/>
  <c r="N76" i="15"/>
  <c r="AM150" i="15"/>
  <c r="AQ153" i="15"/>
  <c r="AQ154" i="15" s="1"/>
  <c r="AQ150" i="15"/>
  <c r="CF52" i="19"/>
  <c r="CF14" i="19"/>
  <c r="CH17" i="19"/>
  <c r="CH54" i="19" s="1"/>
  <c r="CH55" i="19"/>
  <c r="CG14" i="20"/>
  <c r="CG54" i="20" s="1"/>
  <c r="CG15" i="19"/>
  <c r="CH15" i="20"/>
  <c r="CH11" i="20"/>
  <c r="CH51" i="20" s="1"/>
  <c r="CH12" i="19"/>
  <c r="CG11" i="19"/>
  <c r="CG48" i="19" s="1"/>
  <c r="CG49" i="19"/>
  <c r="CD73" i="19"/>
  <c r="CD202" i="12"/>
  <c r="CD432" i="12" s="1"/>
  <c r="CE73" i="19"/>
  <c r="CF433" i="12"/>
  <c r="CH53" i="19"/>
  <c r="CH62" i="19"/>
  <c r="CH23" i="19"/>
  <c r="CH60" i="19" s="1"/>
  <c r="BU241" i="12"/>
  <c r="BU235" i="12"/>
  <c r="BU11" i="10" s="1"/>
  <c r="CD433" i="12"/>
  <c r="BD241" i="12"/>
  <c r="BX337" i="12"/>
  <c r="BX106" i="12"/>
  <c r="BX55" i="4" s="1"/>
  <c r="BN336" i="12"/>
  <c r="BI387" i="12"/>
  <c r="CF131" i="12"/>
  <c r="CE130" i="12"/>
  <c r="CE360" i="12" s="1"/>
  <c r="BS243" i="12"/>
  <c r="BS237" i="12"/>
  <c r="BS467" i="12" s="1"/>
  <c r="Z465" i="12"/>
  <c r="AY473" i="12"/>
  <c r="BX408" i="12"/>
  <c r="BI386" i="12"/>
  <c r="BI155" i="12"/>
  <c r="BI385" i="12" s="1"/>
  <c r="AT472" i="12"/>
  <c r="AT277" i="12"/>
  <c r="BD243" i="12"/>
  <c r="BD237" i="12"/>
  <c r="BD467" i="12" s="1"/>
  <c r="BJ157" i="12"/>
  <c r="BN408" i="12"/>
  <c r="BS408" i="12"/>
  <c r="BI367" i="12"/>
  <c r="AE465" i="12"/>
  <c r="BN367" i="12"/>
  <c r="BH386" i="12"/>
  <c r="BH155" i="12"/>
  <c r="BH385" i="12" s="1"/>
  <c r="BJ156" i="12"/>
  <c r="BK156" i="12" s="1"/>
  <c r="BI408" i="12"/>
  <c r="AY472" i="12"/>
  <c r="AY277" i="12"/>
  <c r="BS367" i="12"/>
  <c r="AT479" i="12"/>
  <c r="AT475" i="12"/>
  <c r="AT477" i="12"/>
  <c r="AT465" i="12"/>
  <c r="AT476" i="12"/>
  <c r="AT478" i="12"/>
  <c r="BS277" i="12"/>
  <c r="BI242" i="12"/>
  <c r="BI236" i="12"/>
  <c r="BI243" i="12"/>
  <c r="BI237" i="12"/>
  <c r="BN467" i="12" s="1"/>
  <c r="BD336" i="12"/>
  <c r="BX245" i="12"/>
  <c r="AY474" i="12"/>
  <c r="AY367" i="12"/>
  <c r="BN11" i="12"/>
  <c r="BN12" i="10" s="1"/>
  <c r="AY471" i="12"/>
  <c r="AY245" i="12"/>
  <c r="AO477" i="12"/>
  <c r="AO479" i="12"/>
  <c r="AO475" i="12"/>
  <c r="AO465" i="12"/>
  <c r="AO478" i="12"/>
  <c r="AO476" i="12"/>
  <c r="BI96" i="12"/>
  <c r="BI95" i="12" s="1"/>
  <c r="BI100" i="12"/>
  <c r="BI97" i="12"/>
  <c r="BN98" i="12"/>
  <c r="AO246" i="12"/>
  <c r="AT246" i="12"/>
  <c r="BV245" i="12"/>
  <c r="BD367" i="12"/>
  <c r="AT473" i="12"/>
  <c r="BS336" i="12"/>
  <c r="BD277" i="12"/>
  <c r="BI245" i="12"/>
  <c r="BI11" i="12"/>
  <c r="BI12" i="10" s="1"/>
  <c r="AY477" i="12"/>
  <c r="AY465" i="12"/>
  <c r="AY479" i="12"/>
  <c r="AY475" i="12"/>
  <c r="AY476" i="12"/>
  <c r="BN245" i="12"/>
  <c r="BX277" i="12"/>
  <c r="BI277" i="12"/>
  <c r="BX398" i="12"/>
  <c r="AO270" i="12"/>
  <c r="AO15" i="12"/>
  <c r="BN243" i="12"/>
  <c r="AT474" i="12"/>
  <c r="R141" i="15" l="1"/>
  <c r="S67" i="15"/>
  <c r="S66" i="15" s="1"/>
  <c r="S105" i="4" s="1"/>
  <c r="BD235" i="12"/>
  <c r="AI150" i="15"/>
  <c r="AI72" i="10"/>
  <c r="AI33" i="10"/>
  <c r="AI61" i="10"/>
  <c r="AI44" i="10"/>
  <c r="AI78" i="4"/>
  <c r="BH62" i="10"/>
  <c r="BH73" i="10"/>
  <c r="BH74" i="10"/>
  <c r="BH47" i="10"/>
  <c r="BH63" i="10"/>
  <c r="BH164" i="15" s="1"/>
  <c r="BH46" i="10"/>
  <c r="BL62" i="10"/>
  <c r="BL73" i="10"/>
  <c r="BL63" i="10"/>
  <c r="BL46" i="10"/>
  <c r="BL74" i="10"/>
  <c r="BL47" i="10"/>
  <c r="AA61" i="10"/>
  <c r="AA44" i="10"/>
  <c r="AA72" i="10"/>
  <c r="AA33" i="10"/>
  <c r="AA78" i="4"/>
  <c r="T72" i="10"/>
  <c r="T44" i="10"/>
  <c r="Y74" i="10" s="1"/>
  <c r="T61" i="10"/>
  <c r="T33" i="10"/>
  <c r="Y73" i="10" s="1"/>
  <c r="T78" i="4"/>
  <c r="S61" i="10"/>
  <c r="S44" i="10"/>
  <c r="S72" i="10"/>
  <c r="S33" i="10"/>
  <c r="S78" i="4"/>
  <c r="BA63" i="10"/>
  <c r="BA47" i="10"/>
  <c r="BA74" i="10"/>
  <c r="BA46" i="10"/>
  <c r="AS63" i="10"/>
  <c r="AS164" i="15" s="1"/>
  <c r="AS47" i="10"/>
  <c r="AS46" i="10"/>
  <c r="AC63" i="10"/>
  <c r="AC164" i="15" s="1"/>
  <c r="AC47" i="10"/>
  <c r="AC46" i="10"/>
  <c r="AC119" i="4" s="1"/>
  <c r="AC83" i="4"/>
  <c r="AC84" i="4" s="1"/>
  <c r="AC62" i="10"/>
  <c r="AY161" i="4"/>
  <c r="AY164" i="4"/>
  <c r="AY60" i="10"/>
  <c r="AY118" i="4"/>
  <c r="AR72" i="10"/>
  <c r="AR44" i="10"/>
  <c r="AW74" i="10" s="1"/>
  <c r="AR61" i="10"/>
  <c r="U69" i="10"/>
  <c r="U29" i="10"/>
  <c r="U57" i="10"/>
  <c r="U75" i="4"/>
  <c r="U76" i="4" s="1"/>
  <c r="Y72" i="10"/>
  <c r="AZ63" i="10"/>
  <c r="AZ46" i="10"/>
  <c r="AZ74" i="10"/>
  <c r="AZ47" i="10"/>
  <c r="AZ73" i="10"/>
  <c r="AZ62" i="10"/>
  <c r="BQ63" i="10"/>
  <c r="BQ47" i="10"/>
  <c r="BQ74" i="10"/>
  <c r="BQ46" i="10"/>
  <c r="BQ62" i="10"/>
  <c r="BQ73" i="10"/>
  <c r="BT63" i="10"/>
  <c r="BT164" i="15" s="1"/>
  <c r="BT46" i="10"/>
  <c r="BT74" i="10"/>
  <c r="BT47" i="10"/>
  <c r="BC74" i="10"/>
  <c r="BC46" i="10"/>
  <c r="BC63" i="10"/>
  <c r="BC47" i="10"/>
  <c r="BC62" i="10"/>
  <c r="BC73" i="10"/>
  <c r="BK63" i="10"/>
  <c r="BK47" i="10"/>
  <c r="BK74" i="10"/>
  <c r="BK46" i="10"/>
  <c r="BK62" i="10"/>
  <c r="BK73" i="10"/>
  <c r="AQ72" i="10"/>
  <c r="AQ44" i="10"/>
  <c r="AV74" i="10" s="1"/>
  <c r="AQ61" i="10"/>
  <c r="Z69" i="10"/>
  <c r="Z29" i="10"/>
  <c r="Z57" i="10"/>
  <c r="Z75" i="4"/>
  <c r="Z76" i="4" s="1"/>
  <c r="AM72" i="10"/>
  <c r="AM61" i="10"/>
  <c r="AM44" i="10"/>
  <c r="AO69" i="10"/>
  <c r="AJ69" i="10"/>
  <c r="AJ29" i="10"/>
  <c r="AJ57" i="10"/>
  <c r="AJ75" i="4"/>
  <c r="AJ76" i="4" s="1"/>
  <c r="AW72" i="10"/>
  <c r="BO73" i="10"/>
  <c r="BO62" i="10"/>
  <c r="BO63" i="10"/>
  <c r="BO47" i="10"/>
  <c r="BO74" i="10"/>
  <c r="BO46" i="10"/>
  <c r="AO60" i="10"/>
  <c r="AO118" i="4"/>
  <c r="AT60" i="10"/>
  <c r="AT118" i="4"/>
  <c r="BU59" i="10"/>
  <c r="BU58" i="10"/>
  <c r="BU25" i="10"/>
  <c r="BU67" i="10"/>
  <c r="BU56" i="10"/>
  <c r="AD61" i="10"/>
  <c r="AD33" i="10"/>
  <c r="AD72" i="10"/>
  <c r="AD44" i="10"/>
  <c r="AD78" i="4"/>
  <c r="AP61" i="10"/>
  <c r="AP72" i="10"/>
  <c r="AP44" i="10"/>
  <c r="AU74" i="10" s="1"/>
  <c r="AG61" i="10"/>
  <c r="AG33" i="10"/>
  <c r="AG72" i="10"/>
  <c r="AG44" i="10"/>
  <c r="AG78" i="4"/>
  <c r="Q72" i="10"/>
  <c r="Q44" i="10"/>
  <c r="Q61" i="10"/>
  <c r="Q33" i="10"/>
  <c r="Q78" i="4"/>
  <c r="BF62" i="10"/>
  <c r="BF73" i="10"/>
  <c r="BF74" i="10"/>
  <c r="BF47" i="10"/>
  <c r="BF63" i="10"/>
  <c r="BF46" i="10"/>
  <c r="BE63" i="10"/>
  <c r="BE46" i="10"/>
  <c r="BE74" i="10"/>
  <c r="BE47" i="10"/>
  <c r="BE73" i="10"/>
  <c r="BE62" i="10"/>
  <c r="AU46" i="10"/>
  <c r="AU63" i="10"/>
  <c r="AU47" i="10"/>
  <c r="BJ62" i="10"/>
  <c r="BJ73" i="10"/>
  <c r="BJ74" i="10"/>
  <c r="BJ47" i="10"/>
  <c r="BJ63" i="10"/>
  <c r="BJ46" i="10"/>
  <c r="V72" i="10"/>
  <c r="V44" i="10"/>
  <c r="V61" i="10"/>
  <c r="V33" i="10"/>
  <c r="V78" i="4"/>
  <c r="AL61" i="10"/>
  <c r="AL72" i="10"/>
  <c r="AL44" i="10"/>
  <c r="AE57" i="10"/>
  <c r="AE29" i="10"/>
  <c r="AE69" i="10"/>
  <c r="AE75" i="4"/>
  <c r="AE76" i="4" s="1"/>
  <c r="R72" i="10"/>
  <c r="R44" i="10"/>
  <c r="R61" i="10"/>
  <c r="R33" i="10"/>
  <c r="R78" i="4"/>
  <c r="AF72" i="10"/>
  <c r="AF44" i="10"/>
  <c r="AF61" i="10"/>
  <c r="AF33" i="10"/>
  <c r="AF78" i="4"/>
  <c r="AV63" i="10"/>
  <c r="AV46" i="10"/>
  <c r="AV47" i="10"/>
  <c r="BA62" i="10"/>
  <c r="BA73" i="10"/>
  <c r="BP73" i="10"/>
  <c r="BP62" i="10"/>
  <c r="BP63" i="10"/>
  <c r="BP164" i="15" s="1"/>
  <c r="BP46" i="10"/>
  <c r="BP74" i="10"/>
  <c r="BP47" i="10"/>
  <c r="BM74" i="10"/>
  <c r="BM46" i="10"/>
  <c r="BM63" i="10"/>
  <c r="BM47" i="10"/>
  <c r="BM62" i="10"/>
  <c r="BM73" i="10"/>
  <c r="AX63" i="10"/>
  <c r="AX46" i="10"/>
  <c r="AX74" i="10"/>
  <c r="AX47" i="10"/>
  <c r="BR62" i="10"/>
  <c r="BR73" i="10"/>
  <c r="BR74" i="10"/>
  <c r="BR47" i="10"/>
  <c r="BR63" i="10"/>
  <c r="BR46" i="10"/>
  <c r="BG73" i="10"/>
  <c r="BG62" i="10"/>
  <c r="BG63" i="10"/>
  <c r="BG46" i="10"/>
  <c r="BG74" i="10"/>
  <c r="BG47" i="10"/>
  <c r="AY57" i="10"/>
  <c r="AY69" i="10"/>
  <c r="AY29" i="10"/>
  <c r="AY75" i="4"/>
  <c r="AY76" i="4" s="1"/>
  <c r="X72" i="10"/>
  <c r="X44" i="10"/>
  <c r="X61" i="10"/>
  <c r="X33" i="10"/>
  <c r="X78" i="4"/>
  <c r="Y46" i="10"/>
  <c r="Y119" i="4" s="1"/>
  <c r="Y63" i="10"/>
  <c r="Y164" i="15" s="1"/>
  <c r="Y47" i="10"/>
  <c r="Y83" i="4"/>
  <c r="Y84" i="4" s="1"/>
  <c r="Y62" i="10"/>
  <c r="BT62" i="10"/>
  <c r="BT73" i="10"/>
  <c r="AK63" i="10"/>
  <c r="AK47" i="10"/>
  <c r="AK74" i="10"/>
  <c r="AK46" i="10"/>
  <c r="W61" i="10"/>
  <c r="W44" i="10"/>
  <c r="W72" i="10"/>
  <c r="W33" i="10"/>
  <c r="W78" i="4"/>
  <c r="AB72" i="10"/>
  <c r="AB44" i="10"/>
  <c r="AB61" i="10"/>
  <c r="AB33" i="10"/>
  <c r="AB78" i="4"/>
  <c r="AN72" i="10"/>
  <c r="AN44" i="10"/>
  <c r="AN61" i="10"/>
  <c r="AH72" i="10"/>
  <c r="AH44" i="10"/>
  <c r="AH61" i="10"/>
  <c r="AH33" i="10"/>
  <c r="AH78" i="4"/>
  <c r="AW46" i="10"/>
  <c r="AW63" i="10"/>
  <c r="AW164" i="15" s="1"/>
  <c r="AW47" i="10"/>
  <c r="BX61" i="4"/>
  <c r="BB63" i="10"/>
  <c r="BB46" i="10"/>
  <c r="BB74" i="10"/>
  <c r="BB47" i="10"/>
  <c r="BB73" i="10"/>
  <c r="BB62" i="10"/>
  <c r="AO57" i="10"/>
  <c r="AO29" i="10"/>
  <c r="AO75" i="4"/>
  <c r="AO76" i="4" s="1"/>
  <c r="AT69" i="10"/>
  <c r="AT29" i="10"/>
  <c r="AT57" i="10"/>
  <c r="AT75" i="4"/>
  <c r="AT76" i="4" s="1"/>
  <c r="AU164" i="15"/>
  <c r="AK164" i="15"/>
  <c r="CG97" i="15"/>
  <c r="CF24" i="15"/>
  <c r="BZ241" i="12"/>
  <c r="CG36" i="19"/>
  <c r="CG73" i="19" s="1"/>
  <c r="CF57" i="19"/>
  <c r="CF35" i="19"/>
  <c r="BD472" i="12"/>
  <c r="BI467" i="12"/>
  <c r="BS235" i="12"/>
  <c r="BS11" i="10" s="1"/>
  <c r="BZ235" i="12"/>
  <c r="BZ11" i="10" s="1"/>
  <c r="CC336" i="12"/>
  <c r="CB241" i="12"/>
  <c r="CC431" i="12"/>
  <c r="CE72" i="19"/>
  <c r="CG203" i="12"/>
  <c r="CG433" i="12" s="1"/>
  <c r="CD72" i="19"/>
  <c r="CC72" i="19"/>
  <c r="CH21" i="19"/>
  <c r="CH20" i="20"/>
  <c r="CH60" i="20" s="1"/>
  <c r="CG58" i="19"/>
  <c r="CG20" i="19"/>
  <c r="BS241" i="12"/>
  <c r="AA147" i="15"/>
  <c r="BM164" i="15"/>
  <c r="BP177" i="15"/>
  <c r="BP148" i="15"/>
  <c r="BL177" i="15"/>
  <c r="BL148" i="15"/>
  <c r="BA177" i="15"/>
  <c r="BA148" i="15"/>
  <c r="BA164" i="15"/>
  <c r="Q126" i="15"/>
  <c r="Q127" i="15"/>
  <c r="Q122" i="15"/>
  <c r="Q130" i="15" s="1"/>
  <c r="Q133" i="15" s="1"/>
  <c r="X147" i="15"/>
  <c r="AH126" i="15"/>
  <c r="AH122" i="15"/>
  <c r="AH130" i="15" s="1"/>
  <c r="AH133" i="15" s="1"/>
  <c r="AH127" i="15"/>
  <c r="AF147" i="15"/>
  <c r="AS177" i="15"/>
  <c r="AS148" i="15"/>
  <c r="BF147" i="15"/>
  <c r="BC147" i="15"/>
  <c r="AY187" i="15"/>
  <c r="AB147" i="15"/>
  <c r="AI126" i="15"/>
  <c r="AI122" i="15"/>
  <c r="AI130" i="15" s="1"/>
  <c r="AI133" i="15" s="1"/>
  <c r="AI127" i="15"/>
  <c r="AY191" i="12"/>
  <c r="AY190" i="12" s="1"/>
  <c r="AT190" i="12"/>
  <c r="BO147" i="15"/>
  <c r="BB147" i="15"/>
  <c r="AD126" i="15"/>
  <c r="AD122" i="15"/>
  <c r="AD130" i="15" s="1"/>
  <c r="AD133" i="15" s="1"/>
  <c r="AD127" i="15"/>
  <c r="AR147" i="15"/>
  <c r="W126" i="15"/>
  <c r="W122" i="15"/>
  <c r="W130" i="15" s="1"/>
  <c r="W133" i="15" s="1"/>
  <c r="W127" i="15"/>
  <c r="AQ147" i="15"/>
  <c r="V126" i="15"/>
  <c r="V127" i="15"/>
  <c r="V122" i="15"/>
  <c r="V130" i="15" s="1"/>
  <c r="V133" i="15" s="1"/>
  <c r="AL147" i="15"/>
  <c r="AN126" i="15"/>
  <c r="AN122" i="15"/>
  <c r="AN130" i="15" s="1"/>
  <c r="AN133" i="15" s="1"/>
  <c r="AN127" i="15"/>
  <c r="AM126" i="15"/>
  <c r="AM122" i="15"/>
  <c r="AM130" i="15" s="1"/>
  <c r="AM133" i="15" s="1"/>
  <c r="AM127" i="15"/>
  <c r="AZ148" i="15"/>
  <c r="AZ177" i="15"/>
  <c r="BT148" i="15"/>
  <c r="BT177" i="15"/>
  <c r="AX147" i="15"/>
  <c r="AO187" i="15"/>
  <c r="AT187" i="15"/>
  <c r="BU465" i="12"/>
  <c r="T58" i="15"/>
  <c r="U58" i="15" s="1"/>
  <c r="AG126" i="15"/>
  <c r="AG127" i="15"/>
  <c r="AG122" i="15"/>
  <c r="AG130" i="15" s="1"/>
  <c r="AG133" i="15" s="1"/>
  <c r="BM177" i="15"/>
  <c r="BM148" i="15"/>
  <c r="BH177" i="15"/>
  <c r="BH148" i="15"/>
  <c r="BL164" i="15"/>
  <c r="U187" i="15"/>
  <c r="AC148" i="15"/>
  <c r="AC80" i="4" s="1"/>
  <c r="AC81" i="4" s="1"/>
  <c r="AC177" i="15"/>
  <c r="AK177" i="15"/>
  <c r="AK148" i="15"/>
  <c r="AK167" i="15"/>
  <c r="BK147" i="15"/>
  <c r="AP122" i="15"/>
  <c r="AP130" i="15" s="1"/>
  <c r="AP133" i="15" s="1"/>
  <c r="AP126" i="15"/>
  <c r="AP127" i="15"/>
  <c r="R126" i="15"/>
  <c r="R122" i="15"/>
  <c r="R130" i="15" s="1"/>
  <c r="R133" i="15" s="1"/>
  <c r="R127" i="15"/>
  <c r="T147" i="15"/>
  <c r="BE147" i="15"/>
  <c r="AW177" i="15"/>
  <c r="AW148" i="15"/>
  <c r="AE187" i="15"/>
  <c r="Y177" i="15"/>
  <c r="Y148" i="15"/>
  <c r="Y80" i="4" s="1"/>
  <c r="Y81" i="4" s="1"/>
  <c r="BG147" i="15"/>
  <c r="AV148" i="15"/>
  <c r="AV177" i="15"/>
  <c r="AV164" i="15"/>
  <c r="BQ177" i="15"/>
  <c r="BQ148" i="15"/>
  <c r="Z187" i="15"/>
  <c r="S126" i="15"/>
  <c r="S122" i="15"/>
  <c r="S130" i="15" s="1"/>
  <c r="S133" i="15" s="1"/>
  <c r="S127" i="15"/>
  <c r="AJ122" i="15"/>
  <c r="AJ130" i="15" s="1"/>
  <c r="AJ133" i="15" s="1"/>
  <c r="AJ126" i="15"/>
  <c r="AJ127" i="15"/>
  <c r="AJ138" i="15"/>
  <c r="BJ147" i="15"/>
  <c r="AU177" i="15"/>
  <c r="AU148" i="15"/>
  <c r="AZ164" i="15"/>
  <c r="BR147" i="15"/>
  <c r="CC15" i="22"/>
  <c r="CC20" i="22" s="1"/>
  <c r="CC35" i="10" s="1"/>
  <c r="CD11" i="22"/>
  <c r="CD13" i="22" s="1"/>
  <c r="CH74" i="19"/>
  <c r="CE201" i="12"/>
  <c r="CE22" i="10" s="1"/>
  <c r="T67" i="15"/>
  <c r="BC152" i="15"/>
  <c r="BC56" i="15"/>
  <c r="CF78" i="15"/>
  <c r="CF128" i="15"/>
  <c r="BR150" i="15"/>
  <c r="BR153" i="15"/>
  <c r="BR154" i="15" s="1"/>
  <c r="Q115" i="15"/>
  <c r="Q113" i="15"/>
  <c r="Q166" i="15" s="1"/>
  <c r="AC153" i="15"/>
  <c r="AC154" i="15" s="1"/>
  <c r="AC150" i="15"/>
  <c r="BB150" i="15"/>
  <c r="BB153" i="15"/>
  <c r="BB154" i="15" s="1"/>
  <c r="CE88" i="15"/>
  <c r="AW153" i="15"/>
  <c r="AW154" i="15" s="1"/>
  <c r="AW150" i="15"/>
  <c r="CG80" i="15"/>
  <c r="S141" i="15"/>
  <c r="AS153" i="15"/>
  <c r="AS154" i="15" s="1"/>
  <c r="AS150" i="15"/>
  <c r="R139" i="15"/>
  <c r="R136" i="15"/>
  <c r="R84" i="15"/>
  <c r="R140" i="15"/>
  <c r="AD152" i="15"/>
  <c r="AD56" i="15"/>
  <c r="BQ153" i="15"/>
  <c r="BQ154" i="15" s="1"/>
  <c r="BQ150" i="15"/>
  <c r="AX152" i="15"/>
  <c r="AX56" i="15"/>
  <c r="N139" i="15"/>
  <c r="N140" i="15"/>
  <c r="N84" i="15"/>
  <c r="N136" i="15"/>
  <c r="AN153" i="15"/>
  <c r="AN154" i="15" s="1"/>
  <c r="AN150" i="15"/>
  <c r="O141" i="15"/>
  <c r="O76" i="15"/>
  <c r="P66" i="15"/>
  <c r="CF35" i="15"/>
  <c r="CF42" i="15" s="1"/>
  <c r="CH49" i="19"/>
  <c r="CH11" i="19"/>
  <c r="CH48" i="19" s="1"/>
  <c r="CF51" i="19"/>
  <c r="CF202" i="12"/>
  <c r="CF432" i="12" s="1"/>
  <c r="CF73" i="19"/>
  <c r="CH15" i="19"/>
  <c r="CH14" i="20"/>
  <c r="CH54" i="20" s="1"/>
  <c r="CG14" i="19"/>
  <c r="CG52" i="19"/>
  <c r="CE432" i="12"/>
  <c r="BO386" i="12"/>
  <c r="BJ386" i="12"/>
  <c r="BJ155" i="12"/>
  <c r="BS477" i="12"/>
  <c r="BS479" i="12"/>
  <c r="BS471" i="12"/>
  <c r="BS475" i="12"/>
  <c r="BS478" i="12"/>
  <c r="BL156" i="12"/>
  <c r="BM156" i="12" s="1"/>
  <c r="AO471" i="12"/>
  <c r="AO245" i="12"/>
  <c r="AT245" i="12"/>
  <c r="BI241" i="12"/>
  <c r="BI235" i="12"/>
  <c r="BI11" i="10" s="1"/>
  <c r="BI466" i="12"/>
  <c r="BN466" i="12"/>
  <c r="CG131" i="12"/>
  <c r="CF130" i="12"/>
  <c r="CF360" i="12" s="1"/>
  <c r="BX336" i="12"/>
  <c r="BD479" i="12"/>
  <c r="BD475" i="12"/>
  <c r="BD477" i="12"/>
  <c r="BD465" i="12"/>
  <c r="BD476" i="12"/>
  <c r="BD474" i="12"/>
  <c r="BD471" i="12"/>
  <c r="BD478" i="12"/>
  <c r="BK386" i="12"/>
  <c r="BP386" i="12"/>
  <c r="BN96" i="12"/>
  <c r="BN95" i="12" s="1"/>
  <c r="BN97" i="12"/>
  <c r="BS98" i="12"/>
  <c r="BN100" i="12"/>
  <c r="BN241" i="12"/>
  <c r="BN235" i="12"/>
  <c r="BN11" i="10" s="1"/>
  <c r="BO387" i="12"/>
  <c r="BJ387" i="12"/>
  <c r="BK157" i="12"/>
  <c r="BK155" i="12" s="1"/>
  <c r="S76" i="15" l="1"/>
  <c r="S172" i="15"/>
  <c r="S109" i="4" s="1"/>
  <c r="BD11" i="10"/>
  <c r="BD473" i="12"/>
  <c r="BU60" i="10"/>
  <c r="P87" i="10"/>
  <c r="P105" i="4"/>
  <c r="BZ35" i="10"/>
  <c r="BZ34" i="10" s="1"/>
  <c r="CC34" i="10"/>
  <c r="CA35" i="10"/>
  <c r="CA34" i="10" s="1"/>
  <c r="CC108" i="4"/>
  <c r="BZ24" i="10"/>
  <c r="BZ59" i="10"/>
  <c r="BZ58" i="10"/>
  <c r="BZ67" i="10"/>
  <c r="AO33" i="10"/>
  <c r="AO61" i="10"/>
  <c r="AO31" i="10"/>
  <c r="BB93" i="10"/>
  <c r="BB64" i="10"/>
  <c r="BB75" i="10"/>
  <c r="BB49" i="10"/>
  <c r="AH73" i="10"/>
  <c r="AH62" i="10"/>
  <c r="AH63" i="10"/>
  <c r="AH46" i="10"/>
  <c r="AH119" i="4" s="1"/>
  <c r="AH74" i="10"/>
  <c r="AH47" i="10"/>
  <c r="AH83" i="4"/>
  <c r="AH84" i="4" s="1"/>
  <c r="AB62" i="10"/>
  <c r="AB73" i="10"/>
  <c r="AB74" i="10"/>
  <c r="AB63" i="10"/>
  <c r="AB164" i="15" s="1"/>
  <c r="AB46" i="10"/>
  <c r="AB119" i="4" s="1"/>
  <c r="AB47" i="10"/>
  <c r="AB83" i="4"/>
  <c r="AB84" i="4" s="1"/>
  <c r="AK93" i="10"/>
  <c r="AK64" i="10"/>
  <c r="AK49" i="10"/>
  <c r="X73" i="10"/>
  <c r="X62" i="10"/>
  <c r="X63" i="10"/>
  <c r="X164" i="15" s="1"/>
  <c r="X46" i="10"/>
  <c r="X119" i="4" s="1"/>
  <c r="X74" i="10"/>
  <c r="X47" i="10"/>
  <c r="X83" i="4"/>
  <c r="X84" i="4" s="1"/>
  <c r="BG93" i="10"/>
  <c r="BG64" i="10"/>
  <c r="BG75" i="10"/>
  <c r="BG49" i="10"/>
  <c r="BG76" i="10" s="1"/>
  <c r="BR93" i="10"/>
  <c r="BR64" i="10"/>
  <c r="BR75" i="10"/>
  <c r="BR49" i="10"/>
  <c r="AX93" i="10"/>
  <c r="AX64" i="10"/>
  <c r="AX75" i="10"/>
  <c r="AX49" i="10"/>
  <c r="BM93" i="10"/>
  <c r="BM64" i="10"/>
  <c r="BM75" i="10"/>
  <c r="BM49" i="10"/>
  <c r="BP93" i="10"/>
  <c r="BP64" i="10"/>
  <c r="BP75" i="10"/>
  <c r="BP49" i="10"/>
  <c r="AV49" i="10"/>
  <c r="AV93" i="10"/>
  <c r="AV64" i="10"/>
  <c r="R73" i="10"/>
  <c r="R62" i="10"/>
  <c r="R63" i="10"/>
  <c r="R46" i="10"/>
  <c r="R119" i="4" s="1"/>
  <c r="R74" i="10"/>
  <c r="R47" i="10"/>
  <c r="R83" i="4"/>
  <c r="R84" i="4" s="1"/>
  <c r="AE61" i="10"/>
  <c r="AE33" i="10"/>
  <c r="AE72" i="10"/>
  <c r="AL74" i="10"/>
  <c r="AL47" i="10"/>
  <c r="AL63" i="10"/>
  <c r="AL164" i="15" s="1"/>
  <c r="AL46" i="10"/>
  <c r="AL167" i="15" s="1"/>
  <c r="V62" i="10"/>
  <c r="V73" i="10"/>
  <c r="V63" i="10"/>
  <c r="V46" i="10"/>
  <c r="V119" i="4" s="1"/>
  <c r="V74" i="10"/>
  <c r="V47" i="10"/>
  <c r="V83" i="4"/>
  <c r="V84" i="4" s="1"/>
  <c r="BJ93" i="10"/>
  <c r="BJ64" i="10"/>
  <c r="BJ75" i="10"/>
  <c r="BJ49" i="10"/>
  <c r="AU93" i="10"/>
  <c r="AU64" i="10"/>
  <c r="AU49" i="10"/>
  <c r="BE75" i="10"/>
  <c r="BE49" i="10"/>
  <c r="BE93" i="10"/>
  <c r="BE64" i="10"/>
  <c r="BF93" i="10"/>
  <c r="BF64" i="10"/>
  <c r="BF75" i="10"/>
  <c r="BF49" i="10"/>
  <c r="AG74" i="10"/>
  <c r="AG46" i="10"/>
  <c r="AG119" i="4" s="1"/>
  <c r="AG63" i="10"/>
  <c r="AG47" i="10"/>
  <c r="AG83" i="4"/>
  <c r="AG84" i="4" s="1"/>
  <c r="AG62" i="10"/>
  <c r="AG73" i="10"/>
  <c r="AP74" i="10"/>
  <c r="AP47" i="10"/>
  <c r="AP63" i="10"/>
  <c r="AP46" i="10"/>
  <c r="AD63" i="10"/>
  <c r="AD46" i="10"/>
  <c r="AD119" i="4" s="1"/>
  <c r="AD74" i="10"/>
  <c r="AD47" i="10"/>
  <c r="AD83" i="4"/>
  <c r="AD84" i="4" s="1"/>
  <c r="AD62" i="10"/>
  <c r="AD73" i="10"/>
  <c r="BU69" i="10"/>
  <c r="BU29" i="10"/>
  <c r="BU57" i="10"/>
  <c r="AO72" i="10"/>
  <c r="AJ61" i="10"/>
  <c r="AJ72" i="10"/>
  <c r="AJ33" i="10"/>
  <c r="Z61" i="10"/>
  <c r="Z33" i="10"/>
  <c r="Z72" i="10"/>
  <c r="Z44" i="10"/>
  <c r="U61" i="10"/>
  <c r="U44" i="10"/>
  <c r="U72" i="10"/>
  <c r="U33" i="10"/>
  <c r="AC73" i="10"/>
  <c r="AC93" i="10"/>
  <c r="AC64" i="10"/>
  <c r="AC86" i="4"/>
  <c r="AC75" i="10"/>
  <c r="AC49" i="10"/>
  <c r="AS93" i="10"/>
  <c r="AS64" i="10"/>
  <c r="AS49" i="10"/>
  <c r="BA75" i="10"/>
  <c r="BA49" i="10"/>
  <c r="BA76" i="10" s="1"/>
  <c r="BA93" i="10"/>
  <c r="BA64" i="10"/>
  <c r="T62" i="10"/>
  <c r="T73" i="10"/>
  <c r="T74" i="10"/>
  <c r="T63" i="10"/>
  <c r="T46" i="10"/>
  <c r="T119" i="4" s="1"/>
  <c r="T47" i="10"/>
  <c r="T83" i="4"/>
  <c r="T84" i="4" s="1"/>
  <c r="BL75" i="10"/>
  <c r="BL49" i="10"/>
  <c r="BL93" i="10"/>
  <c r="BL64" i="10"/>
  <c r="BH93" i="10"/>
  <c r="BH64" i="10"/>
  <c r="BH75" i="10"/>
  <c r="BH49" i="10"/>
  <c r="BN25" i="10"/>
  <c r="BN59" i="10"/>
  <c r="BN117" i="4" s="1"/>
  <c r="BN67" i="10"/>
  <c r="BN58" i="10"/>
  <c r="BN56" i="10"/>
  <c r="BN116" i="4" s="1"/>
  <c r="BN73" i="4"/>
  <c r="BN158" i="4"/>
  <c r="BI67" i="10"/>
  <c r="BI56" i="10"/>
  <c r="BI116" i="4" s="1"/>
  <c r="BI59" i="10"/>
  <c r="BI117" i="4" s="1"/>
  <c r="BI58" i="10"/>
  <c r="BI25" i="10"/>
  <c r="BI158" i="4"/>
  <c r="BI73" i="4"/>
  <c r="BS25" i="10"/>
  <c r="BS58" i="10"/>
  <c r="BS56" i="10"/>
  <c r="BS116" i="4" s="1"/>
  <c r="BS67" i="10"/>
  <c r="BS59" i="10"/>
  <c r="BS117" i="4" s="1"/>
  <c r="BS158" i="4"/>
  <c r="BS73" i="4"/>
  <c r="AT72" i="10"/>
  <c r="AT44" i="10"/>
  <c r="AT31" i="10"/>
  <c r="AT61" i="10"/>
  <c r="AT33" i="10"/>
  <c r="AW93" i="10"/>
  <c r="AW64" i="10"/>
  <c r="AW49" i="10"/>
  <c r="AN74" i="10"/>
  <c r="AN63" i="10"/>
  <c r="AN46" i="10"/>
  <c r="AN47" i="10"/>
  <c r="W73" i="10"/>
  <c r="W62" i="10"/>
  <c r="W74" i="10"/>
  <c r="W46" i="10"/>
  <c r="W119" i="4" s="1"/>
  <c r="W63" i="10"/>
  <c r="W47" i="10"/>
  <c r="W83" i="4"/>
  <c r="W84" i="4" s="1"/>
  <c r="AO44" i="10"/>
  <c r="Y93" i="10"/>
  <c r="Y64" i="10"/>
  <c r="Y86" i="4"/>
  <c r="Y49" i="10"/>
  <c r="AY61" i="10"/>
  <c r="AY33" i="10"/>
  <c r="AY72" i="10"/>
  <c r="AY44" i="10"/>
  <c r="AY31" i="10"/>
  <c r="AF73" i="10"/>
  <c r="AF62" i="10"/>
  <c r="AF74" i="10"/>
  <c r="AF47" i="10"/>
  <c r="AK75" i="10" s="1"/>
  <c r="AJ44" i="10"/>
  <c r="AF63" i="10"/>
  <c r="AF46" i="10"/>
  <c r="AF119" i="4" s="1"/>
  <c r="AF83" i="4"/>
  <c r="AF84" i="4" s="1"/>
  <c r="Q73" i="10"/>
  <c r="Q62" i="10"/>
  <c r="Q63" i="10"/>
  <c r="Q47" i="10"/>
  <c r="Q74" i="10"/>
  <c r="Q46" i="10"/>
  <c r="Q119" i="4" s="1"/>
  <c r="Q83" i="4"/>
  <c r="Q84" i="4" s="1"/>
  <c r="BO75" i="10"/>
  <c r="BO49" i="10"/>
  <c r="BO76" i="10" s="1"/>
  <c r="BO93" i="10"/>
  <c r="BO64" i="10"/>
  <c r="AM63" i="10"/>
  <c r="AM47" i="10"/>
  <c r="AM74" i="10"/>
  <c r="AM46" i="10"/>
  <c r="AQ63" i="10"/>
  <c r="AQ47" i="10"/>
  <c r="AQ74" i="10"/>
  <c r="AQ46" i="10"/>
  <c r="BK93" i="10"/>
  <c r="BK64" i="10"/>
  <c r="BK75" i="10"/>
  <c r="BK49" i="10"/>
  <c r="BK76" i="10" s="1"/>
  <c r="BC93" i="10"/>
  <c r="BC64" i="10"/>
  <c r="BC75" i="10"/>
  <c r="BC49" i="10"/>
  <c r="BT75" i="10"/>
  <c r="BT49" i="10"/>
  <c r="BT76" i="10" s="1"/>
  <c r="BT93" i="10"/>
  <c r="BT64" i="10"/>
  <c r="BQ93" i="10"/>
  <c r="BQ64" i="10"/>
  <c r="BQ75" i="10"/>
  <c r="BQ49" i="10"/>
  <c r="BQ76" i="10" s="1"/>
  <c r="AZ75" i="10"/>
  <c r="AZ49" i="10"/>
  <c r="AZ76" i="10" s="1"/>
  <c r="AZ93" i="10"/>
  <c r="AZ64" i="10"/>
  <c r="AR63" i="10"/>
  <c r="AR46" i="10"/>
  <c r="AR74" i="10"/>
  <c r="AR47" i="10"/>
  <c r="AC74" i="10"/>
  <c r="AS74" i="10"/>
  <c r="S62" i="10"/>
  <c r="S73" i="10"/>
  <c r="S74" i="10"/>
  <c r="S46" i="10"/>
  <c r="S119" i="4" s="1"/>
  <c r="S63" i="10"/>
  <c r="S47" i="10"/>
  <c r="S83" i="4"/>
  <c r="S84" i="4" s="1"/>
  <c r="AA62" i="10"/>
  <c r="AA73" i="10"/>
  <c r="AA63" i="10"/>
  <c r="AA164" i="15" s="1"/>
  <c r="AA47" i="10"/>
  <c r="AA74" i="10"/>
  <c r="AA46" i="10"/>
  <c r="AA119" i="4" s="1"/>
  <c r="AE44" i="10"/>
  <c r="AA83" i="4"/>
  <c r="AA84" i="4" s="1"/>
  <c r="AI63" i="10"/>
  <c r="AI47" i="10"/>
  <c r="AI74" i="10"/>
  <c r="AI46" i="10"/>
  <c r="AI119" i="4" s="1"/>
  <c r="AI83" i="4"/>
  <c r="AI84" i="4" s="1"/>
  <c r="AI73" i="10"/>
  <c r="AI62" i="10"/>
  <c r="BZ39" i="19"/>
  <c r="BZ40" i="19" s="1"/>
  <c r="T164" i="15"/>
  <c r="CH97" i="15"/>
  <c r="CH24" i="15" s="1"/>
  <c r="CG24" i="15"/>
  <c r="BZ465" i="12"/>
  <c r="CH36" i="19"/>
  <c r="CH202" i="12" s="1"/>
  <c r="CG35" i="19"/>
  <c r="CG72" i="19" s="1"/>
  <c r="BS476" i="12"/>
  <c r="BS473" i="12"/>
  <c r="BS474" i="12"/>
  <c r="BS472" i="12"/>
  <c r="BS465" i="12"/>
  <c r="CD431" i="12"/>
  <c r="CH433" i="12"/>
  <c r="CG57" i="19"/>
  <c r="CH20" i="19"/>
  <c r="CH58" i="19"/>
  <c r="CE431" i="12"/>
  <c r="BR164" i="15"/>
  <c r="BT190" i="15"/>
  <c r="BT165" i="15" s="1"/>
  <c r="BT11" i="15"/>
  <c r="BT167" i="15"/>
  <c r="BT151" i="15"/>
  <c r="AZ190" i="15"/>
  <c r="AZ165" i="15" s="1"/>
  <c r="AZ11" i="15"/>
  <c r="AZ167" i="15"/>
  <c r="AZ151" i="15"/>
  <c r="BJ177" i="15"/>
  <c r="BJ148" i="15"/>
  <c r="AN147" i="15"/>
  <c r="BQ164" i="15"/>
  <c r="AV190" i="15"/>
  <c r="AV165" i="15" s="1"/>
  <c r="AV11" i="15"/>
  <c r="AV167" i="15"/>
  <c r="AV151" i="15"/>
  <c r="BG148" i="15"/>
  <c r="BG177" i="15"/>
  <c r="AI147" i="15"/>
  <c r="BE177" i="15"/>
  <c r="BE148" i="15"/>
  <c r="T148" i="15"/>
  <c r="T80" i="4" s="1"/>
  <c r="T81" i="4" s="1"/>
  <c r="T177" i="15"/>
  <c r="AP147" i="15"/>
  <c r="BK177" i="15"/>
  <c r="BK148" i="15"/>
  <c r="BK164" i="15"/>
  <c r="AK190" i="15"/>
  <c r="AK165" i="15" s="1"/>
  <c r="AK11" i="15"/>
  <c r="BL190" i="15"/>
  <c r="BL165" i="15" s="1"/>
  <c r="BL11" i="15"/>
  <c r="BL167" i="15"/>
  <c r="BL151" i="15"/>
  <c r="BP190" i="15"/>
  <c r="BP165" i="15" s="1"/>
  <c r="BP11" i="15"/>
  <c r="BP167" i="15"/>
  <c r="BP151" i="15"/>
  <c r="BD187" i="15"/>
  <c r="AT126" i="15"/>
  <c r="AT127" i="15"/>
  <c r="AT122" i="15"/>
  <c r="AT130" i="15" s="1"/>
  <c r="AT133" i="15" s="1"/>
  <c r="AT138" i="15"/>
  <c r="AX177" i="15"/>
  <c r="AX148" i="15"/>
  <c r="AX164" i="15"/>
  <c r="AU167" i="15"/>
  <c r="AU151" i="15"/>
  <c r="AU190" i="15"/>
  <c r="AU165" i="15" s="1"/>
  <c r="AU11" i="15"/>
  <c r="AQ177" i="15"/>
  <c r="AQ148" i="15"/>
  <c r="AQ164" i="15"/>
  <c r="AR164" i="15"/>
  <c r="BB177" i="15"/>
  <c r="BB148" i="15"/>
  <c r="BO148" i="15"/>
  <c r="BO177" i="15"/>
  <c r="BF164" i="15"/>
  <c r="AS167" i="15"/>
  <c r="AS151" i="15"/>
  <c r="AS149" i="15" s="1"/>
  <c r="AS190" i="15"/>
  <c r="AS165" i="15" s="1"/>
  <c r="AS11" i="15"/>
  <c r="AF164" i="15"/>
  <c r="X177" i="15"/>
  <c r="X148" i="15"/>
  <c r="X80" i="4" s="1"/>
  <c r="X81" i="4" s="1"/>
  <c r="AC167" i="15"/>
  <c r="AC190" i="15"/>
  <c r="AC165" i="15" s="1"/>
  <c r="AC11" i="15"/>
  <c r="BN156" i="12"/>
  <c r="BN386" i="12" s="1"/>
  <c r="BR177" i="15"/>
  <c r="BR148" i="15"/>
  <c r="BJ164" i="15"/>
  <c r="AJ147" i="15"/>
  <c r="Z126" i="15"/>
  <c r="Z127" i="15"/>
  <c r="Z122" i="15"/>
  <c r="Z130" i="15" s="1"/>
  <c r="Z133" i="15" s="1"/>
  <c r="Z138" i="15"/>
  <c r="W147" i="15"/>
  <c r="AD147" i="15"/>
  <c r="BQ167" i="15"/>
  <c r="BQ151" i="15"/>
  <c r="BQ149" i="15" s="1"/>
  <c r="BQ190" i="15"/>
  <c r="BQ165" i="15" s="1"/>
  <c r="BQ11" i="15"/>
  <c r="BG164" i="15"/>
  <c r="AE127" i="15"/>
  <c r="AE126" i="15"/>
  <c r="AE122" i="15"/>
  <c r="AE130" i="15" s="1"/>
  <c r="AE133" i="15" s="1"/>
  <c r="AE138" i="15"/>
  <c r="BE164" i="15"/>
  <c r="AH147" i="15"/>
  <c r="U126" i="15"/>
  <c r="U127" i="15"/>
  <c r="U122" i="15"/>
  <c r="U130" i="15" s="1"/>
  <c r="U133" i="15" s="1"/>
  <c r="U138" i="15"/>
  <c r="BU187" i="15"/>
  <c r="AO127" i="15"/>
  <c r="AO126" i="15"/>
  <c r="AO122" i="15"/>
  <c r="AO130" i="15" s="1"/>
  <c r="AO133" i="15" s="1"/>
  <c r="AO138" i="15"/>
  <c r="AM147" i="15"/>
  <c r="S147" i="15"/>
  <c r="AL148" i="15"/>
  <c r="AL177" i="15"/>
  <c r="V147" i="15"/>
  <c r="AR177" i="15"/>
  <c r="AR148" i="15"/>
  <c r="BB164" i="15"/>
  <c r="BO164" i="15"/>
  <c r="Y167" i="15"/>
  <c r="Y190" i="15"/>
  <c r="Y165" i="15" s="1"/>
  <c r="Y11" i="15"/>
  <c r="AB148" i="15"/>
  <c r="AB80" i="4" s="1"/>
  <c r="AB81" i="4" s="1"/>
  <c r="AB177" i="15"/>
  <c r="AY126" i="15"/>
  <c r="AY127" i="15"/>
  <c r="AY122" i="15"/>
  <c r="AY130" i="15" s="1"/>
  <c r="AY133" i="15" s="1"/>
  <c r="AY138" i="15"/>
  <c r="BC177" i="15"/>
  <c r="BC148" i="15"/>
  <c r="BC164" i="15"/>
  <c r="AW167" i="15"/>
  <c r="AW151" i="15"/>
  <c r="AW149" i="15" s="1"/>
  <c r="AW190" i="15"/>
  <c r="AW165" i="15" s="1"/>
  <c r="AW11" i="15"/>
  <c r="BF148" i="15"/>
  <c r="BF177" i="15"/>
  <c r="AF177" i="15"/>
  <c r="AF148" i="15"/>
  <c r="AF80" i="4" s="1"/>
  <c r="AF81" i="4" s="1"/>
  <c r="R147" i="15"/>
  <c r="Q147" i="15"/>
  <c r="Q169" i="15" s="1"/>
  <c r="BA167" i="15"/>
  <c r="BA151" i="15"/>
  <c r="BA190" i="15"/>
  <c r="BA165" i="15" s="1"/>
  <c r="BA11" i="15"/>
  <c r="BH190" i="15"/>
  <c r="BH165" i="15" s="1"/>
  <c r="BH11" i="15"/>
  <c r="BH167" i="15"/>
  <c r="BH151" i="15"/>
  <c r="BM167" i="15"/>
  <c r="BM151" i="15"/>
  <c r="BM190" i="15"/>
  <c r="BM165" i="15" s="1"/>
  <c r="BM11" i="15"/>
  <c r="AG147" i="15"/>
  <c r="AA177" i="15"/>
  <c r="AA148" i="15"/>
  <c r="AA80" i="4" s="1"/>
  <c r="AA81" i="4" s="1"/>
  <c r="CD15" i="22"/>
  <c r="CD20" i="22" s="1"/>
  <c r="CD35" i="10" s="1"/>
  <c r="CE11" i="22"/>
  <c r="CE13" i="22" s="1"/>
  <c r="P141" i="15"/>
  <c r="P172" i="15"/>
  <c r="P109" i="4" s="1"/>
  <c r="S140" i="15"/>
  <c r="S136" i="15"/>
  <c r="S84" i="15"/>
  <c r="S139" i="15"/>
  <c r="CH80" i="15"/>
  <c r="CH35" i="15" s="1"/>
  <c r="CH42" i="15" s="1"/>
  <c r="V57" i="15"/>
  <c r="V58" i="15" s="1"/>
  <c r="Z57" i="15"/>
  <c r="Z58" i="15" s="1"/>
  <c r="O140" i="15"/>
  <c r="O136" i="15"/>
  <c r="O84" i="15"/>
  <c r="O139" i="15"/>
  <c r="P76" i="15"/>
  <c r="AD153" i="15"/>
  <c r="AD154" i="15" s="1"/>
  <c r="AD150" i="15"/>
  <c r="CF88" i="15"/>
  <c r="AX150" i="15"/>
  <c r="AX153" i="15"/>
  <c r="AX154" i="15" s="1"/>
  <c r="U67" i="15"/>
  <c r="T66" i="15"/>
  <c r="T105" i="4" s="1"/>
  <c r="R113" i="15"/>
  <c r="R166" i="15" s="1"/>
  <c r="R115" i="15"/>
  <c r="CG35" i="15"/>
  <c r="CG42" i="15" s="1"/>
  <c r="Q156" i="15"/>
  <c r="Q161" i="15" s="1"/>
  <c r="Q176" i="15"/>
  <c r="Q173" i="15"/>
  <c r="Q174" i="15"/>
  <c r="Q110" i="4" s="1"/>
  <c r="CG78" i="15"/>
  <c r="CG128" i="15"/>
  <c r="BC153" i="15"/>
  <c r="BC154" i="15" s="1"/>
  <c r="BC150" i="15"/>
  <c r="CH52" i="19"/>
  <c r="CH14" i="19"/>
  <c r="CF201" i="12"/>
  <c r="CF22" i="10" s="1"/>
  <c r="CF72" i="19"/>
  <c r="CG51" i="19"/>
  <c r="CG202" i="12"/>
  <c r="CG432" i="12" s="1"/>
  <c r="BS386" i="12"/>
  <c r="BK385" i="12"/>
  <c r="BP385" i="12"/>
  <c r="BN479" i="12"/>
  <c r="BN475" i="12"/>
  <c r="BN477" i="12"/>
  <c r="BN465" i="12"/>
  <c r="BN472" i="12"/>
  <c r="BN478" i="12"/>
  <c r="BN471" i="12"/>
  <c r="BN474" i="12"/>
  <c r="BN476" i="12"/>
  <c r="BN473" i="12"/>
  <c r="CH131" i="12"/>
  <c r="CH130" i="12" s="1"/>
  <c r="CG130" i="12"/>
  <c r="CG360" i="12" s="1"/>
  <c r="BI477" i="12"/>
  <c r="BI479" i="12"/>
  <c r="BI475" i="12"/>
  <c r="BI465" i="12"/>
  <c r="BI473" i="12"/>
  <c r="BI478" i="12"/>
  <c r="BI472" i="12"/>
  <c r="BI474" i="12"/>
  <c r="BI476" i="12"/>
  <c r="BI471" i="12"/>
  <c r="BR386" i="12"/>
  <c r="BM386" i="12"/>
  <c r="BK387" i="12"/>
  <c r="BP387" i="12"/>
  <c r="BL157" i="12"/>
  <c r="BL155" i="12" s="1"/>
  <c r="BQ386" i="12"/>
  <c r="BL386" i="12"/>
  <c r="BS96" i="12"/>
  <c r="BS95" i="12" s="1"/>
  <c r="BS100" i="12"/>
  <c r="BS97" i="12"/>
  <c r="BX98" i="12"/>
  <c r="CC98" i="12" s="1"/>
  <c r="BO385" i="12"/>
  <c r="BJ385" i="12"/>
  <c r="BD67" i="10" l="1"/>
  <c r="BD59" i="10"/>
  <c r="BD117" i="4" s="1"/>
  <c r="BD58" i="10"/>
  <c r="BD158" i="4"/>
  <c r="BD56" i="10"/>
  <c r="BD116" i="4" s="1"/>
  <c r="BD25" i="10"/>
  <c r="BD73" i="4"/>
  <c r="BM76" i="10"/>
  <c r="CB35" i="10"/>
  <c r="CB34" i="10" s="1"/>
  <c r="CD34" i="10"/>
  <c r="CH108" i="4"/>
  <c r="AR75" i="10"/>
  <c r="AR49" i="10"/>
  <c r="AR93" i="10"/>
  <c r="AR64" i="10"/>
  <c r="BC76" i="10"/>
  <c r="J25" i="4"/>
  <c r="AJ63" i="10"/>
  <c r="AJ46" i="10"/>
  <c r="AJ119" i="4" s="1"/>
  <c r="AJ74" i="10"/>
  <c r="AJ47" i="10"/>
  <c r="AJ83" i="4"/>
  <c r="AJ84" i="4" s="1"/>
  <c r="AY74" i="10"/>
  <c r="AY47" i="10"/>
  <c r="AY63" i="10"/>
  <c r="AY46" i="10"/>
  <c r="AY119" i="4" s="1"/>
  <c r="AY83" i="4"/>
  <c r="AY84" i="4" s="1"/>
  <c r="AY73" i="10"/>
  <c r="AY62" i="10"/>
  <c r="Y89" i="4"/>
  <c r="Y101" i="4"/>
  <c r="Y87" i="4"/>
  <c r="AW75" i="10"/>
  <c r="AT74" i="10"/>
  <c r="AT47" i="10"/>
  <c r="AT63" i="10"/>
  <c r="AT46" i="10"/>
  <c r="AT119" i="4" s="1"/>
  <c r="AT83" i="4"/>
  <c r="AT84" i="4" s="1"/>
  <c r="BS57" i="10"/>
  <c r="BS69" i="10"/>
  <c r="BS29" i="10"/>
  <c r="BS75" i="4"/>
  <c r="BS76" i="4" s="1"/>
  <c r="BI161" i="4"/>
  <c r="BI164" i="4"/>
  <c r="BI60" i="10"/>
  <c r="BI118" i="4"/>
  <c r="BN161" i="4"/>
  <c r="BN164" i="4"/>
  <c r="BN60" i="10"/>
  <c r="BN118" i="4"/>
  <c r="T93" i="10"/>
  <c r="T64" i="10"/>
  <c r="T86" i="4"/>
  <c r="T75" i="10"/>
  <c r="T49" i="10"/>
  <c r="AC89" i="4"/>
  <c r="AC87" i="4"/>
  <c r="AC101" i="4"/>
  <c r="U73" i="10"/>
  <c r="U62" i="10"/>
  <c r="U63" i="10"/>
  <c r="U46" i="10"/>
  <c r="U119" i="4" s="1"/>
  <c r="U83" i="4"/>
  <c r="U84" i="4" s="1"/>
  <c r="U74" i="10"/>
  <c r="U47" i="10"/>
  <c r="Z74" i="10"/>
  <c r="Z47" i="10"/>
  <c r="Z63" i="10"/>
  <c r="Z46" i="10"/>
  <c r="Z119" i="4" s="1"/>
  <c r="Z83" i="4"/>
  <c r="Z84" i="4" s="1"/>
  <c r="Z62" i="10"/>
  <c r="Z73" i="10"/>
  <c r="AJ73" i="10"/>
  <c r="AJ62" i="10"/>
  <c r="AD75" i="10"/>
  <c r="AD49" i="10"/>
  <c r="AD93" i="10"/>
  <c r="AD64" i="10"/>
  <c r="AD86" i="4"/>
  <c r="AP75" i="10"/>
  <c r="AP49" i="10"/>
  <c r="AP76" i="10" s="1"/>
  <c r="AP93" i="10"/>
  <c r="AP64" i="10"/>
  <c r="AU75" i="10"/>
  <c r="V93" i="10"/>
  <c r="V64" i="10"/>
  <c r="V75" i="10"/>
  <c r="V49" i="10"/>
  <c r="V86" i="4"/>
  <c r="AL75" i="10"/>
  <c r="AL49" i="10"/>
  <c r="AL93" i="10"/>
  <c r="AL64" i="10"/>
  <c r="R93" i="10"/>
  <c r="R64" i="10"/>
  <c r="R86" i="4"/>
  <c r="R75" i="10"/>
  <c r="R49" i="10"/>
  <c r="BP76" i="10"/>
  <c r="J27" i="4"/>
  <c r="AX76" i="10"/>
  <c r="BR76" i="10"/>
  <c r="AB93" i="10"/>
  <c r="AB64" i="10"/>
  <c r="AB75" i="10"/>
  <c r="AB49" i="10"/>
  <c r="AB86" i="4"/>
  <c r="AE74" i="10"/>
  <c r="AE47" i="10"/>
  <c r="AE83" i="4"/>
  <c r="AE84" i="4" s="1"/>
  <c r="AE63" i="10"/>
  <c r="AE46" i="10"/>
  <c r="AE119" i="4" s="1"/>
  <c r="S93" i="10"/>
  <c r="S64" i="10"/>
  <c r="S75" i="10"/>
  <c r="S49" i="10"/>
  <c r="S86" i="4"/>
  <c r="AQ75" i="10"/>
  <c r="AQ49" i="10"/>
  <c r="AQ76" i="10" s="1"/>
  <c r="AQ93" i="10"/>
  <c r="AQ64" i="10"/>
  <c r="AM75" i="10"/>
  <c r="AM49" i="10"/>
  <c r="AM93" i="10"/>
  <c r="AM64" i="10"/>
  <c r="AI75" i="10"/>
  <c r="AI49" i="10"/>
  <c r="AI86" i="4"/>
  <c r="AI93" i="10"/>
  <c r="AI64" i="10"/>
  <c r="AA93" i="10"/>
  <c r="AA64" i="10"/>
  <c r="AA86" i="4"/>
  <c r="AA75" i="10"/>
  <c r="AA49" i="10"/>
  <c r="Q75" i="10"/>
  <c r="Q49" i="10"/>
  <c r="Q93" i="10"/>
  <c r="Q64" i="10"/>
  <c r="Q86" i="4"/>
  <c r="AF75" i="10"/>
  <c r="AF49" i="10"/>
  <c r="AF93" i="10"/>
  <c r="AF64" i="10"/>
  <c r="AF86" i="4"/>
  <c r="Y75" i="10"/>
  <c r="AO63" i="10"/>
  <c r="AO46" i="10"/>
  <c r="AO119" i="4" s="1"/>
  <c r="AO83" i="4"/>
  <c r="AO84" i="4" s="1"/>
  <c r="AO74" i="10"/>
  <c r="AO47" i="10"/>
  <c r="W75" i="10"/>
  <c r="W49" i="10"/>
  <c r="W86" i="4"/>
  <c r="W93" i="10"/>
  <c r="W64" i="10"/>
  <c r="AN93" i="10"/>
  <c r="AN64" i="10"/>
  <c r="AN75" i="10"/>
  <c r="AN49" i="10"/>
  <c r="AW76" i="10"/>
  <c r="AT62" i="10"/>
  <c r="AT73" i="10"/>
  <c r="BS161" i="4"/>
  <c r="BS164" i="4"/>
  <c r="BS60" i="10"/>
  <c r="BS118" i="4"/>
  <c r="BI29" i="10"/>
  <c r="BI57" i="10"/>
  <c r="BI75" i="4"/>
  <c r="BI76" i="4" s="1"/>
  <c r="BN69" i="10"/>
  <c r="BN29" i="10"/>
  <c r="BN57" i="10"/>
  <c r="BN75" i="4"/>
  <c r="BN76" i="4" s="1"/>
  <c r="BH76" i="10"/>
  <c r="BL76" i="10"/>
  <c r="AS75" i="10"/>
  <c r="BU61" i="10"/>
  <c r="BU33" i="10"/>
  <c r="BU72" i="10"/>
  <c r="BU44" i="10"/>
  <c r="AG93" i="10"/>
  <c r="AG64" i="10"/>
  <c r="AG86" i="4"/>
  <c r="AG75" i="10"/>
  <c r="AG49" i="10"/>
  <c r="BF76" i="10"/>
  <c r="BE76" i="10"/>
  <c r="BJ76" i="10"/>
  <c r="AE73" i="10"/>
  <c r="AE62" i="10"/>
  <c r="AV75" i="10"/>
  <c r="X93" i="10"/>
  <c r="X64" i="10"/>
  <c r="X75" i="10"/>
  <c r="X49" i="10"/>
  <c r="X86" i="4"/>
  <c r="AK76" i="10"/>
  <c r="AH93" i="10"/>
  <c r="AH64" i="10"/>
  <c r="AH75" i="10"/>
  <c r="AH49" i="10"/>
  <c r="AH86" i="4"/>
  <c r="BB76" i="10"/>
  <c r="AO62" i="10"/>
  <c r="AO73" i="10"/>
  <c r="BZ60" i="10"/>
  <c r="BZ25" i="10"/>
  <c r="BZ68" i="10"/>
  <c r="BZ187" i="15"/>
  <c r="AS155" i="15"/>
  <c r="CH57" i="19"/>
  <c r="CH35" i="19"/>
  <c r="CH201" i="12" s="1"/>
  <c r="CH22" i="10" s="1"/>
  <c r="CC96" i="12"/>
  <c r="CC95" i="12" s="1"/>
  <c r="CC100" i="12"/>
  <c r="CC97" i="12"/>
  <c r="BS187" i="15"/>
  <c r="BZ189" i="15"/>
  <c r="BH144" i="15"/>
  <c r="BM157" i="12"/>
  <c r="AG177" i="15"/>
  <c r="AG148" i="15"/>
  <c r="AG80" i="4" s="1"/>
  <c r="AG81" i="4" s="1"/>
  <c r="BM144" i="15"/>
  <c r="BM149" i="15"/>
  <c r="BM155" i="15"/>
  <c r="BH149" i="15"/>
  <c r="BH155" i="15"/>
  <c r="BA149" i="15"/>
  <c r="BA155" i="15"/>
  <c r="Q148" i="15"/>
  <c r="Q80" i="4" s="1"/>
  <c r="Q81" i="4" s="1"/>
  <c r="Q177" i="15"/>
  <c r="X190" i="15"/>
  <c r="X165" i="15" s="1"/>
  <c r="X11" i="15"/>
  <c r="X167" i="15"/>
  <c r="R164" i="15"/>
  <c r="AW179" i="15"/>
  <c r="AW12" i="15"/>
  <c r="AW144" i="15"/>
  <c r="AY147" i="15"/>
  <c r="V164" i="15"/>
  <c r="S148" i="15"/>
  <c r="S80" i="4" s="1"/>
  <c r="S81" i="4" s="1"/>
  <c r="S177" i="15"/>
  <c r="AM177" i="15"/>
  <c r="AM148" i="15"/>
  <c r="AM164" i="15"/>
  <c r="AM167" i="15"/>
  <c r="AT147" i="15"/>
  <c r="BU127" i="15"/>
  <c r="BU126" i="15"/>
  <c r="BU122" i="15"/>
  <c r="BU130" i="15" s="1"/>
  <c r="BU133" i="15" s="1"/>
  <c r="U147" i="15"/>
  <c r="T167" i="15"/>
  <c r="T190" i="15"/>
  <c r="T165" i="15" s="1"/>
  <c r="T11" i="15"/>
  <c r="T179" i="15" s="1"/>
  <c r="AH164" i="15"/>
  <c r="BQ12" i="15"/>
  <c r="BQ179" i="15"/>
  <c r="BQ144" i="15"/>
  <c r="AD164" i="15"/>
  <c r="W164" i="15"/>
  <c r="AW155" i="15"/>
  <c r="BQ155" i="15"/>
  <c r="AA167" i="15"/>
  <c r="AC179" i="15"/>
  <c r="AC12" i="15"/>
  <c r="AC151" i="15" s="1"/>
  <c r="AC121" i="4" s="1"/>
  <c r="AC122" i="4" s="1"/>
  <c r="AC123" i="4" s="1"/>
  <c r="AC144" i="15"/>
  <c r="AF190" i="15"/>
  <c r="AF165" i="15" s="1"/>
  <c r="AF11" i="15"/>
  <c r="BF167" i="15"/>
  <c r="BF151" i="15"/>
  <c r="BF190" i="15"/>
  <c r="BF165" i="15" s="1"/>
  <c r="BF11" i="15"/>
  <c r="AR190" i="15"/>
  <c r="AR165" i="15" s="1"/>
  <c r="AR11" i="15"/>
  <c r="AR167" i="15"/>
  <c r="AR151" i="15"/>
  <c r="AQ167" i="15"/>
  <c r="AQ151" i="15"/>
  <c r="AQ190" i="15"/>
  <c r="AQ165" i="15" s="1"/>
  <c r="AQ11" i="15"/>
  <c r="AL190" i="15"/>
  <c r="AL165" i="15" s="1"/>
  <c r="AL11" i="15"/>
  <c r="AU179" i="15"/>
  <c r="AU12" i="15"/>
  <c r="AU144" i="15"/>
  <c r="AU149" i="15"/>
  <c r="AU155" i="15"/>
  <c r="AX190" i="15"/>
  <c r="AX165" i="15" s="1"/>
  <c r="AX11" i="15"/>
  <c r="AX167" i="15"/>
  <c r="AX151" i="15"/>
  <c r="AX149" i="15" s="1"/>
  <c r="BD127" i="15"/>
  <c r="BD126" i="15"/>
  <c r="BD138" i="15"/>
  <c r="BD122" i="15"/>
  <c r="BD130" i="15" s="1"/>
  <c r="BD133" i="15" s="1"/>
  <c r="BP149" i="15"/>
  <c r="BP155" i="15"/>
  <c r="BL149" i="15"/>
  <c r="BL155" i="15"/>
  <c r="AK179" i="15"/>
  <c r="AK12" i="15"/>
  <c r="AK151" i="15" s="1"/>
  <c r="AK144" i="15"/>
  <c r="BK167" i="15"/>
  <c r="BK151" i="15"/>
  <c r="BK190" i="15"/>
  <c r="BK165" i="15" s="1"/>
  <c r="BK11" i="15"/>
  <c r="AP164" i="15"/>
  <c r="AI148" i="15"/>
  <c r="AI80" i="4" s="1"/>
  <c r="AI81" i="4" s="1"/>
  <c r="AI177" i="15"/>
  <c r="AV149" i="15"/>
  <c r="AV155" i="15"/>
  <c r="AN164" i="15"/>
  <c r="AN167" i="15"/>
  <c r="AZ144" i="15"/>
  <c r="AG164" i="15"/>
  <c r="BM12" i="15"/>
  <c r="BM179" i="15"/>
  <c r="BH12" i="15"/>
  <c r="BH179" i="15"/>
  <c r="BA12" i="15"/>
  <c r="BA179" i="15"/>
  <c r="BA144" i="15"/>
  <c r="Q164" i="15"/>
  <c r="R148" i="15"/>
  <c r="R80" i="4" s="1"/>
  <c r="R81" i="4" s="1"/>
  <c r="R177" i="15"/>
  <c r="BC167" i="15"/>
  <c r="BC151" i="15"/>
  <c r="BC149" i="15" s="1"/>
  <c r="BC190" i="15"/>
  <c r="BC165" i="15" s="1"/>
  <c r="BC11" i="15"/>
  <c r="Y12" i="15"/>
  <c r="Y151" i="15" s="1"/>
  <c r="Y121" i="4" s="1"/>
  <c r="Y122" i="4" s="1"/>
  <c r="Y123" i="4" s="1"/>
  <c r="Y179" i="15"/>
  <c r="Y144" i="15"/>
  <c r="BO167" i="15"/>
  <c r="BO151" i="15"/>
  <c r="BO190" i="15"/>
  <c r="BO165" i="15" s="1"/>
  <c r="BO11" i="15"/>
  <c r="BB190" i="15"/>
  <c r="BB165" i="15" s="1"/>
  <c r="BB11" i="15"/>
  <c r="BB167" i="15"/>
  <c r="BB151" i="15"/>
  <c r="V177" i="15"/>
  <c r="V148" i="15"/>
  <c r="V80" i="4" s="1"/>
  <c r="V81" i="4" s="1"/>
  <c r="S164" i="15"/>
  <c r="AH177" i="15"/>
  <c r="AH148" i="15"/>
  <c r="AH80" i="4" s="1"/>
  <c r="AH81" i="4" s="1"/>
  <c r="BE190" i="15"/>
  <c r="BE165" i="15" s="1"/>
  <c r="BE11" i="15"/>
  <c r="BE167" i="15"/>
  <c r="BE151" i="15"/>
  <c r="BG167" i="15"/>
  <c r="BG151" i="15"/>
  <c r="BG190" i="15"/>
  <c r="BG165" i="15" s="1"/>
  <c r="BG11" i="15"/>
  <c r="AD177" i="15"/>
  <c r="AD148" i="15"/>
  <c r="AD80" i="4" s="1"/>
  <c r="AD81" i="4" s="1"/>
  <c r="W177" i="15"/>
  <c r="W148" i="15"/>
  <c r="W80" i="4" s="1"/>
  <c r="W81" i="4" s="1"/>
  <c r="AJ148" i="15"/>
  <c r="AJ80" i="4" s="1"/>
  <c r="AJ177" i="15"/>
  <c r="BJ190" i="15"/>
  <c r="BJ165" i="15" s="1"/>
  <c r="BJ11" i="15"/>
  <c r="BJ167" i="15"/>
  <c r="BJ151" i="15"/>
  <c r="BN187" i="15"/>
  <c r="AA190" i="15"/>
  <c r="AA165" i="15" s="1"/>
  <c r="AA11" i="15"/>
  <c r="AF167" i="15"/>
  <c r="AS12" i="15"/>
  <c r="AS179" i="15"/>
  <c r="AS144" i="15"/>
  <c r="AB167" i="15"/>
  <c r="AB190" i="15"/>
  <c r="AB165" i="15" s="1"/>
  <c r="AB11" i="15"/>
  <c r="AO147" i="15"/>
  <c r="BP12" i="15"/>
  <c r="BP179" i="15"/>
  <c r="BP144" i="15"/>
  <c r="BL179" i="15"/>
  <c r="BL12" i="15"/>
  <c r="BL144" i="15"/>
  <c r="AP177" i="15"/>
  <c r="AP148" i="15"/>
  <c r="AE147" i="15"/>
  <c r="AI164" i="15"/>
  <c r="AV179" i="15"/>
  <c r="AV12" i="15"/>
  <c r="AV144" i="15"/>
  <c r="Z147" i="15"/>
  <c r="AN177" i="15"/>
  <c r="AN148" i="15"/>
  <c r="AZ149" i="15"/>
  <c r="AZ155" i="15"/>
  <c r="AZ179" i="15"/>
  <c r="AZ12" i="15"/>
  <c r="BT149" i="15"/>
  <c r="BT155" i="15"/>
  <c r="BT179" i="15"/>
  <c r="BT12" i="15"/>
  <c r="BT144" i="15"/>
  <c r="BR167" i="15"/>
  <c r="BR151" i="15"/>
  <c r="BR190" i="15"/>
  <c r="BR165" i="15" s="1"/>
  <c r="BR11" i="15"/>
  <c r="BI187" i="15"/>
  <c r="CE15" i="22"/>
  <c r="CE20" i="22" s="1"/>
  <c r="CE35" i="10" s="1"/>
  <c r="CF11" i="22"/>
  <c r="CF13" i="22" s="1"/>
  <c r="CD12" i="79"/>
  <c r="CH73" i="19"/>
  <c r="CF431" i="12"/>
  <c r="CH432" i="12"/>
  <c r="R176" i="15"/>
  <c r="R156" i="15"/>
  <c r="R161" i="15" s="1"/>
  <c r="R173" i="15"/>
  <c r="R174" i="15"/>
  <c r="R110" i="4" s="1"/>
  <c r="R169" i="15"/>
  <c r="V67" i="15"/>
  <c r="V66" i="15" s="1"/>
  <c r="V105" i="4" s="1"/>
  <c r="W57" i="15"/>
  <c r="W58" i="15" s="1"/>
  <c r="S113" i="15"/>
  <c r="S166" i="15" s="1"/>
  <c r="S115" i="15"/>
  <c r="T172" i="15"/>
  <c r="T109" i="4" s="1"/>
  <c r="T141" i="15"/>
  <c r="T76" i="15"/>
  <c r="U66" i="15"/>
  <c r="P140" i="15"/>
  <c r="P139" i="15"/>
  <c r="P136" i="15"/>
  <c r="P84" i="15"/>
  <c r="CH78" i="15"/>
  <c r="CH128" i="15"/>
  <c r="CG88" i="15"/>
  <c r="AE57" i="15"/>
  <c r="AE58" i="15" s="1"/>
  <c r="AA57" i="15"/>
  <c r="AA58" i="15" s="1"/>
  <c r="CG201" i="12"/>
  <c r="CG22" i="10" s="1"/>
  <c r="CH51" i="19"/>
  <c r="BQ385" i="12"/>
  <c r="BL385" i="12"/>
  <c r="BR387" i="12"/>
  <c r="BM387" i="12"/>
  <c r="BX100" i="12"/>
  <c r="BX96" i="12"/>
  <c r="BX95" i="12" s="1"/>
  <c r="BX97" i="12"/>
  <c r="BQ387" i="12"/>
  <c r="BL387" i="12"/>
  <c r="BN157" i="12"/>
  <c r="CH360" i="12"/>
  <c r="BM155" i="12"/>
  <c r="BD57" i="10" l="1"/>
  <c r="BD29" i="10"/>
  <c r="BD147" i="15" s="1"/>
  <c r="BD69" i="10"/>
  <c r="BD75" i="4"/>
  <c r="BD76" i="4" s="1"/>
  <c r="BD161" i="4"/>
  <c r="BD164" i="4"/>
  <c r="AU76" i="10"/>
  <c r="BI69" i="10"/>
  <c r="BD60" i="10"/>
  <c r="BD118" i="4"/>
  <c r="U87" i="10"/>
  <c r="U89" i="10" s="1"/>
  <c r="U105" i="4"/>
  <c r="CE34" i="10"/>
  <c r="CM108" i="4"/>
  <c r="BZ69" i="10"/>
  <c r="BZ29" i="10"/>
  <c r="BZ57" i="10"/>
  <c r="AH89" i="4"/>
  <c r="AH76" i="10"/>
  <c r="X89" i="4"/>
  <c r="AC90" i="4" s="1"/>
  <c r="X76" i="10"/>
  <c r="BU63" i="10"/>
  <c r="BU47" i="10"/>
  <c r="BU74" i="10"/>
  <c r="BU46" i="10"/>
  <c r="BU62" i="10"/>
  <c r="BU73" i="10"/>
  <c r="AN76" i="10"/>
  <c r="W87" i="4"/>
  <c r="W101" i="4"/>
  <c r="AF89" i="4"/>
  <c r="AF76" i="10"/>
  <c r="Q87" i="4"/>
  <c r="Q101" i="4"/>
  <c r="AI101" i="4"/>
  <c r="AI87" i="4"/>
  <c r="S76" i="10"/>
  <c r="S89" i="4"/>
  <c r="S90" i="4" s="1"/>
  <c r="AB76" i="10"/>
  <c r="AB89" i="4"/>
  <c r="AV76" i="10"/>
  <c r="AL76" i="10"/>
  <c r="V101" i="4"/>
  <c r="V87" i="4"/>
  <c r="AD101" i="4"/>
  <c r="AD87" i="4"/>
  <c r="Z86" i="4"/>
  <c r="Z93" i="10"/>
  <c r="Z64" i="10"/>
  <c r="Z49" i="10"/>
  <c r="Z75" i="10"/>
  <c r="U93" i="10"/>
  <c r="U64" i="10"/>
  <c r="U49" i="10"/>
  <c r="U86" i="4"/>
  <c r="U75" i="10"/>
  <c r="AC76" i="10"/>
  <c r="T76" i="10"/>
  <c r="T89" i="4"/>
  <c r="T90" i="4" s="1"/>
  <c r="T87" i="4"/>
  <c r="T101" i="4"/>
  <c r="AJ86" i="4"/>
  <c r="AJ93" i="10"/>
  <c r="AJ64" i="10"/>
  <c r="AJ75" i="10"/>
  <c r="AJ49" i="10"/>
  <c r="AR76" i="10"/>
  <c r="AH87" i="4"/>
  <c r="AH101" i="4"/>
  <c r="X101" i="4"/>
  <c r="X87" i="4"/>
  <c r="AG76" i="10"/>
  <c r="AG89" i="4"/>
  <c r="AG87" i="4"/>
  <c r="AG101" i="4"/>
  <c r="BN72" i="10"/>
  <c r="BN33" i="10"/>
  <c r="BN61" i="10"/>
  <c r="BN44" i="10"/>
  <c r="BI33" i="10"/>
  <c r="BI61" i="10"/>
  <c r="BI44" i="10"/>
  <c r="W89" i="4"/>
  <c r="W76" i="10"/>
  <c r="AO93" i="10"/>
  <c r="AO64" i="10"/>
  <c r="AO86" i="4"/>
  <c r="AO49" i="10"/>
  <c r="AO75" i="10"/>
  <c r="AF101" i="4"/>
  <c r="AF87" i="4"/>
  <c r="Q76" i="10"/>
  <c r="Q89" i="4"/>
  <c r="Q90" i="4" s="1"/>
  <c r="AA76" i="10"/>
  <c r="AA89" i="4"/>
  <c r="AA101" i="4"/>
  <c r="AA87" i="4"/>
  <c r="AI89" i="4"/>
  <c r="AI76" i="10"/>
  <c r="AM76" i="10"/>
  <c r="S87" i="4"/>
  <c r="S101" i="4"/>
  <c r="AE86" i="4"/>
  <c r="AE93" i="10"/>
  <c r="AE64" i="10"/>
  <c r="AE75" i="10"/>
  <c r="AE49" i="10"/>
  <c r="AB87" i="4"/>
  <c r="AB101" i="4"/>
  <c r="R76" i="10"/>
  <c r="R89" i="4"/>
  <c r="R90" i="4" s="1"/>
  <c r="R101" i="4"/>
  <c r="R87" i="4"/>
  <c r="V89" i="4"/>
  <c r="V76" i="10"/>
  <c r="AD89" i="4"/>
  <c r="AD90" i="4" s="1"/>
  <c r="AD76" i="10"/>
  <c r="AH90" i="4"/>
  <c r="AS76" i="10"/>
  <c r="BS61" i="10"/>
  <c r="BS44" i="10"/>
  <c r="BS72" i="10"/>
  <c r="BS33" i="10"/>
  <c r="AT93" i="10"/>
  <c r="AT49" i="10"/>
  <c r="AT64" i="10"/>
  <c r="AT86" i="4"/>
  <c r="AT75" i="10"/>
  <c r="Y76" i="10"/>
  <c r="AY75" i="10"/>
  <c r="AY49" i="10"/>
  <c r="AY86" i="4"/>
  <c r="AY93" i="10"/>
  <c r="AY64" i="10"/>
  <c r="AJ78" i="4"/>
  <c r="AJ81" i="4"/>
  <c r="BZ188" i="15"/>
  <c r="BS126" i="15"/>
  <c r="BS122" i="15"/>
  <c r="BS130" i="15" s="1"/>
  <c r="BS133" i="15" s="1"/>
  <c r="BS127" i="15"/>
  <c r="BS138" i="15"/>
  <c r="AX155" i="15"/>
  <c r="BR149" i="15"/>
  <c r="BR155" i="15"/>
  <c r="BT146" i="15"/>
  <c r="Z177" i="15"/>
  <c r="Z148" i="15"/>
  <c r="Z80" i="4" s="1"/>
  <c r="Z204" i="15"/>
  <c r="AE177" i="15"/>
  <c r="AE148" i="15"/>
  <c r="AE80" i="4" s="1"/>
  <c r="BL146" i="15"/>
  <c r="BP146" i="15"/>
  <c r="BJ149" i="15"/>
  <c r="BJ155" i="15"/>
  <c r="BJ179" i="15"/>
  <c r="BJ12" i="15"/>
  <c r="BJ144" i="15"/>
  <c r="BG144" i="15"/>
  <c r="BL159" i="15" s="1"/>
  <c r="BG149" i="15"/>
  <c r="BG155" i="15"/>
  <c r="BE149" i="15"/>
  <c r="BE155" i="15"/>
  <c r="BE179" i="15"/>
  <c r="BE12" i="15"/>
  <c r="BE144" i="15"/>
  <c r="BU147" i="15"/>
  <c r="BB149" i="15"/>
  <c r="BB155" i="15"/>
  <c r="BO12" i="15"/>
  <c r="BO179" i="15"/>
  <c r="BO144" i="15"/>
  <c r="BO149" i="15"/>
  <c r="BO155" i="15"/>
  <c r="Y146" i="15"/>
  <c r="Y149" i="15"/>
  <c r="Y155" i="15"/>
  <c r="BC179" i="15"/>
  <c r="BC12" i="15"/>
  <c r="Q167" i="15"/>
  <c r="Q190" i="15"/>
  <c r="Q165" i="15" s="1"/>
  <c r="Q11" i="15"/>
  <c r="AZ146" i="15"/>
  <c r="AZ159" i="15"/>
  <c r="BK12" i="15"/>
  <c r="BK179" i="15"/>
  <c r="BK144" i="15"/>
  <c r="AX179" i="15"/>
  <c r="AX12" i="15"/>
  <c r="AX144" i="15"/>
  <c r="AL12" i="15"/>
  <c r="AL151" i="15" s="1"/>
  <c r="AL179" i="15"/>
  <c r="AL144" i="15"/>
  <c r="AQ12" i="15"/>
  <c r="AQ179" i="15"/>
  <c r="AQ144" i="15"/>
  <c r="AV159" i="15" s="1"/>
  <c r="AR179" i="15"/>
  <c r="AR12" i="15"/>
  <c r="AR144" i="15"/>
  <c r="BF12" i="15"/>
  <c r="BF179" i="15"/>
  <c r="BF144" i="15"/>
  <c r="AC146" i="15"/>
  <c r="AE164" i="15"/>
  <c r="W167" i="15"/>
  <c r="W190" i="15"/>
  <c r="W165" i="15" s="1"/>
  <c r="W11" i="15"/>
  <c r="BQ159" i="15"/>
  <c r="BQ146" i="15"/>
  <c r="AH190" i="15"/>
  <c r="AH165" i="15" s="1"/>
  <c r="AH11" i="15"/>
  <c r="AH167" i="15"/>
  <c r="T144" i="15"/>
  <c r="U148" i="15"/>
  <c r="U80" i="4" s="1"/>
  <c r="U177" i="15"/>
  <c r="AT177" i="15"/>
  <c r="AT148" i="15"/>
  <c r="AT80" i="4" s="1"/>
  <c r="AT204" i="15"/>
  <c r="AO164" i="15"/>
  <c r="V190" i="15"/>
  <c r="V165" i="15" s="1"/>
  <c r="V11" i="15"/>
  <c r="V167" i="15"/>
  <c r="X144" i="15"/>
  <c r="BH146" i="15"/>
  <c r="BI127" i="15"/>
  <c r="BI126" i="15"/>
  <c r="BI122" i="15"/>
  <c r="BI130" i="15" s="1"/>
  <c r="BI133" i="15" s="1"/>
  <c r="BI138" i="15"/>
  <c r="BR12" i="15"/>
  <c r="BR179" i="15"/>
  <c r="BR144" i="15"/>
  <c r="Z164" i="15"/>
  <c r="AV146" i="15"/>
  <c r="AI167" i="15"/>
  <c r="AI190" i="15"/>
  <c r="AI165" i="15" s="1"/>
  <c r="AI11" i="15"/>
  <c r="AO204" i="15"/>
  <c r="AO148" i="15"/>
  <c r="AO80" i="4" s="1"/>
  <c r="AO177" i="15"/>
  <c r="AB12" i="15"/>
  <c r="AB151" i="15" s="1"/>
  <c r="AB121" i="4" s="1"/>
  <c r="AB122" i="4" s="1"/>
  <c r="AB123" i="4" s="1"/>
  <c r="AB179" i="15"/>
  <c r="AB144" i="15"/>
  <c r="AS146" i="15"/>
  <c r="AJ164" i="15"/>
  <c r="AA179" i="15"/>
  <c r="AA12" i="15"/>
  <c r="AA151" i="15" s="1"/>
  <c r="AA121" i="4" s="1"/>
  <c r="AA122" i="4" s="1"/>
  <c r="AA123" i="4" s="1"/>
  <c r="AA144" i="15"/>
  <c r="BN126" i="15"/>
  <c r="BN127" i="15"/>
  <c r="BN122" i="15"/>
  <c r="BN130" i="15" s="1"/>
  <c r="BN133" i="15" s="1"/>
  <c r="BN138" i="15"/>
  <c r="BG12" i="15"/>
  <c r="BG179" i="15"/>
  <c r="S167" i="15"/>
  <c r="S190" i="15"/>
  <c r="S165" i="15" s="1"/>
  <c r="S11" i="15"/>
  <c r="BB179" i="15"/>
  <c r="BB12" i="15"/>
  <c r="BB144" i="15"/>
  <c r="BC144" i="15"/>
  <c r="BA159" i="15"/>
  <c r="BA146" i="15"/>
  <c r="AG167" i="15"/>
  <c r="AG190" i="15"/>
  <c r="AG165" i="15" s="1"/>
  <c r="AG11" i="15"/>
  <c r="AN190" i="15"/>
  <c r="AN165" i="15" s="1"/>
  <c r="AN11" i="15"/>
  <c r="AP190" i="15"/>
  <c r="AP165" i="15" s="1"/>
  <c r="AP11" i="15"/>
  <c r="AP167" i="15"/>
  <c r="AP151" i="15"/>
  <c r="BK149" i="15"/>
  <c r="BK155" i="15"/>
  <c r="AK146" i="15"/>
  <c r="AK149" i="15"/>
  <c r="AK155" i="15"/>
  <c r="AU146" i="15"/>
  <c r="AQ149" i="15"/>
  <c r="AQ155" i="15"/>
  <c r="AR149" i="15"/>
  <c r="AR155" i="15"/>
  <c r="BF149" i="15"/>
  <c r="BF155" i="15"/>
  <c r="AF179" i="15"/>
  <c r="AF12" i="15"/>
  <c r="AF151" i="15" s="1"/>
  <c r="AF121" i="4" s="1"/>
  <c r="AF122" i="4" s="1"/>
  <c r="AF123" i="4" s="1"/>
  <c r="AF144" i="15"/>
  <c r="AC149" i="15"/>
  <c r="AC155" i="15"/>
  <c r="AD190" i="15"/>
  <c r="AD165" i="15" s="1"/>
  <c r="AD11" i="15"/>
  <c r="AD167" i="15"/>
  <c r="U164" i="15"/>
  <c r="AT164" i="15"/>
  <c r="AM190" i="15"/>
  <c r="AM165" i="15" s="1"/>
  <c r="AM11" i="15"/>
  <c r="AY148" i="15"/>
  <c r="AY80" i="4" s="1"/>
  <c r="AY177" i="15"/>
  <c r="AY164" i="15"/>
  <c r="AW146" i="15"/>
  <c r="R190" i="15"/>
  <c r="R165" i="15" s="1"/>
  <c r="R11" i="15"/>
  <c r="R167" i="15"/>
  <c r="X12" i="15"/>
  <c r="X151" i="15" s="1"/>
  <c r="X121" i="4" s="1"/>
  <c r="X122" i="4" s="1"/>
  <c r="X123" i="4" s="1"/>
  <c r="X179" i="15"/>
  <c r="BM159" i="15"/>
  <c r="BM146" i="15"/>
  <c r="BC155" i="15"/>
  <c r="CE12" i="79"/>
  <c r="CG11" i="22"/>
  <c r="CG13" i="22" s="1"/>
  <c r="CF15" i="22"/>
  <c r="CF20" i="22" s="1"/>
  <c r="CF35" i="10" s="1"/>
  <c r="CF34" i="10" s="1"/>
  <c r="CH72" i="19"/>
  <c r="CH431" i="12"/>
  <c r="CG431" i="12"/>
  <c r="AJ57" i="15"/>
  <c r="AJ58" i="15" s="1"/>
  <c r="AF57" i="15"/>
  <c r="AF58" i="15" s="1"/>
  <c r="P115" i="15"/>
  <c r="P113" i="15"/>
  <c r="U141" i="15"/>
  <c r="U172" i="15"/>
  <c r="U109" i="4" s="1"/>
  <c r="V172" i="15"/>
  <c r="V109" i="4" s="1"/>
  <c r="V141" i="15"/>
  <c r="V76" i="15"/>
  <c r="X57" i="15"/>
  <c r="X58" i="15" s="1"/>
  <c r="W67" i="15"/>
  <c r="W66" i="15" s="1"/>
  <c r="W105" i="4" s="1"/>
  <c r="AA67" i="15"/>
  <c r="AA66" i="15" s="1"/>
  <c r="AA105" i="4" s="1"/>
  <c r="AB57" i="15"/>
  <c r="AB58" i="15" s="1"/>
  <c r="CH88" i="15"/>
  <c r="T140" i="15"/>
  <c r="T139" i="15"/>
  <c r="T136" i="15"/>
  <c r="T84" i="15"/>
  <c r="U76" i="15"/>
  <c r="S176" i="15"/>
  <c r="S156" i="15"/>
  <c r="S161" i="15" s="1"/>
  <c r="S173" i="15"/>
  <c r="S174" i="15"/>
  <c r="S110" i="4" s="1"/>
  <c r="S169" i="15"/>
  <c r="BN387" i="12"/>
  <c r="BS387" i="12"/>
  <c r="BN155" i="12"/>
  <c r="BR385" i="12"/>
  <c r="BM385" i="12"/>
  <c r="CD98" i="12"/>
  <c r="AG90" i="4" l="1"/>
  <c r="BD61" i="10"/>
  <c r="BD72" i="10"/>
  <c r="BD31" i="10"/>
  <c r="BD33" i="10"/>
  <c r="BD44" i="10"/>
  <c r="BI74" i="10" s="1"/>
  <c r="BI72" i="10"/>
  <c r="AA90" i="4"/>
  <c r="AY76" i="10"/>
  <c r="AY89" i="4"/>
  <c r="AY168" i="4"/>
  <c r="AY171" i="4" s="1"/>
  <c r="AT101" i="4"/>
  <c r="AT87" i="4"/>
  <c r="AT89" i="4"/>
  <c r="AT76" i="10"/>
  <c r="BS73" i="10"/>
  <c r="BS62" i="10"/>
  <c r="BS63" i="10"/>
  <c r="BS46" i="10"/>
  <c r="BS119" i="4" s="1"/>
  <c r="BS74" i="10"/>
  <c r="BS47" i="10"/>
  <c r="BS83" i="4"/>
  <c r="BS84" i="4" s="1"/>
  <c r="V90" i="4"/>
  <c r="AI90" i="4"/>
  <c r="AO76" i="10"/>
  <c r="AO97" i="10" s="1"/>
  <c r="AO89" i="4"/>
  <c r="BI63" i="10"/>
  <c r="BI46" i="10"/>
  <c r="BI119" i="4" s="1"/>
  <c r="BI47" i="10"/>
  <c r="BI83" i="4"/>
  <c r="BI84" i="4" s="1"/>
  <c r="BI62" i="10"/>
  <c r="BN63" i="10"/>
  <c r="BN46" i="10"/>
  <c r="BN119" i="4" s="1"/>
  <c r="BN74" i="10"/>
  <c r="BN47" i="10"/>
  <c r="BN83" i="4"/>
  <c r="BN84" i="4" s="1"/>
  <c r="BN73" i="10"/>
  <c r="BN62" i="10"/>
  <c r="Y90" i="4"/>
  <c r="U76" i="10"/>
  <c r="U89" i="4"/>
  <c r="U90" i="4" s="1"/>
  <c r="Z89" i="4"/>
  <c r="Z76" i="10"/>
  <c r="AB90" i="4"/>
  <c r="X90" i="4"/>
  <c r="BZ72" i="10"/>
  <c r="BZ44" i="10"/>
  <c r="BZ61" i="10"/>
  <c r="BZ33" i="10"/>
  <c r="AY101" i="4"/>
  <c r="AY87" i="4"/>
  <c r="AE89" i="4"/>
  <c r="AE90" i="4" s="1"/>
  <c r="AE76" i="10"/>
  <c r="AE101" i="4"/>
  <c r="AE87" i="4"/>
  <c r="AO87" i="4"/>
  <c r="AO101" i="4"/>
  <c r="W90" i="4"/>
  <c r="AJ76" i="10"/>
  <c r="AJ97" i="10" s="1"/>
  <c r="AJ89" i="4"/>
  <c r="AJ87" i="4"/>
  <c r="AJ101" i="4"/>
  <c r="U101" i="4"/>
  <c r="U87" i="4"/>
  <c r="Z101" i="4"/>
  <c r="Z87" i="4"/>
  <c r="AF90" i="4"/>
  <c r="BU93" i="10"/>
  <c r="BU64" i="10"/>
  <c r="BU75" i="10"/>
  <c r="BU49" i="10"/>
  <c r="BU76" i="10" s="1"/>
  <c r="AT78" i="4"/>
  <c r="AT81" i="4"/>
  <c r="Z78" i="4"/>
  <c r="Z81" i="4"/>
  <c r="AY78" i="4"/>
  <c r="AY81" i="4"/>
  <c r="AO78" i="4"/>
  <c r="AO81" i="4"/>
  <c r="U78" i="4"/>
  <c r="U81" i="4"/>
  <c r="AE78" i="4"/>
  <c r="AE81" i="4"/>
  <c r="BS147" i="15"/>
  <c r="Q168" i="15"/>
  <c r="S168" i="15"/>
  <c r="AT207" i="15"/>
  <c r="X149" i="15"/>
  <c r="X155" i="15"/>
  <c r="R12" i="15"/>
  <c r="R151" i="15" s="1"/>
  <c r="R121" i="4" s="1"/>
  <c r="R122" i="4" s="1"/>
  <c r="R123" i="4" s="1"/>
  <c r="R179" i="15"/>
  <c r="R144" i="15"/>
  <c r="AY190" i="15"/>
  <c r="AY165" i="15" s="1"/>
  <c r="AY11" i="15"/>
  <c r="AY167" i="15"/>
  <c r="AY151" i="15"/>
  <c r="AY121" i="4" s="1"/>
  <c r="AY122" i="4" s="1"/>
  <c r="AY123" i="4" s="1"/>
  <c r="AM12" i="15"/>
  <c r="AM151" i="15" s="1"/>
  <c r="AM179" i="15"/>
  <c r="AM144" i="15"/>
  <c r="U167" i="15"/>
  <c r="U190" i="15"/>
  <c r="U165" i="15" s="1"/>
  <c r="U11" i="15"/>
  <c r="AD179" i="15"/>
  <c r="AD12" i="15"/>
  <c r="AD151" i="15" s="1"/>
  <c r="AD121" i="4" s="1"/>
  <c r="AD122" i="4" s="1"/>
  <c r="AD123" i="4" s="1"/>
  <c r="AD144" i="15"/>
  <c r="AF159" i="15"/>
  <c r="AF146" i="15"/>
  <c r="AP149" i="15"/>
  <c r="AP155" i="15"/>
  <c r="S12" i="15"/>
  <c r="S151" i="15" s="1"/>
  <c r="S121" i="4" s="1"/>
  <c r="S122" i="4" s="1"/>
  <c r="S123" i="4" s="1"/>
  <c r="S179" i="15"/>
  <c r="AA146" i="15"/>
  <c r="AB146" i="15"/>
  <c r="AB149" i="15"/>
  <c r="AB155" i="15"/>
  <c r="X146" i="15"/>
  <c r="V179" i="15"/>
  <c r="V12" i="15"/>
  <c r="V151" i="15" s="1"/>
  <c r="V121" i="4" s="1"/>
  <c r="V122" i="4" s="1"/>
  <c r="V123" i="4" s="1"/>
  <c r="V144" i="15"/>
  <c r="T159" i="15"/>
  <c r="T146" i="15"/>
  <c r="AH12" i="15"/>
  <c r="AH151" i="15" s="1"/>
  <c r="AH121" i="4" s="1"/>
  <c r="AH122" i="4" s="1"/>
  <c r="AH123" i="4" s="1"/>
  <c r="AH179" i="15"/>
  <c r="AH144" i="15"/>
  <c r="BF159" i="15"/>
  <c r="BF146" i="15"/>
  <c r="AR146" i="15"/>
  <c r="AQ159" i="15"/>
  <c r="AQ146" i="15"/>
  <c r="AL146" i="15"/>
  <c r="AX159" i="15"/>
  <c r="AX146" i="15"/>
  <c r="BO159" i="15"/>
  <c r="BO146" i="15"/>
  <c r="BU148" i="15"/>
  <c r="BU177" i="15"/>
  <c r="BN147" i="15"/>
  <c r="BT159" i="15"/>
  <c r="R168" i="15"/>
  <c r="AW159" i="15"/>
  <c r="AY204" i="15"/>
  <c r="AY207" i="15" s="1"/>
  <c r="AT167" i="15"/>
  <c r="AT151" i="15"/>
  <c r="AT121" i="4" s="1"/>
  <c r="AT122" i="4" s="1"/>
  <c r="AT123" i="4" s="1"/>
  <c r="AT190" i="15"/>
  <c r="AT165" i="15" s="1"/>
  <c r="AT11" i="15"/>
  <c r="AF149" i="15"/>
  <c r="AF155" i="15"/>
  <c r="AK159" i="15"/>
  <c r="AP179" i="15"/>
  <c r="AP12" i="15"/>
  <c r="AP144" i="15"/>
  <c r="AN12" i="15"/>
  <c r="AN151" i="15" s="1"/>
  <c r="AN179" i="15"/>
  <c r="AN144" i="15"/>
  <c r="AG12" i="15"/>
  <c r="AG151" i="15" s="1"/>
  <c r="AG121" i="4" s="1"/>
  <c r="AG122" i="4" s="1"/>
  <c r="AG123" i="4" s="1"/>
  <c r="AG179" i="15"/>
  <c r="AG144" i="15"/>
  <c r="BC159" i="15"/>
  <c r="BC146" i="15"/>
  <c r="BB159" i="15"/>
  <c r="BB146" i="15"/>
  <c r="S144" i="15"/>
  <c r="AA149" i="15"/>
  <c r="AA155" i="15"/>
  <c r="AJ167" i="15"/>
  <c r="AJ204" i="15"/>
  <c r="AO207" i="15" s="1"/>
  <c r="AJ190" i="15"/>
  <c r="AJ165" i="15" s="1"/>
  <c r="AJ11" i="15"/>
  <c r="AI12" i="15"/>
  <c r="AI151" i="15" s="1"/>
  <c r="AI121" i="4" s="1"/>
  <c r="AI122" i="4" s="1"/>
  <c r="AI123" i="4" s="1"/>
  <c r="AI179" i="15"/>
  <c r="AI144" i="15"/>
  <c r="Z167" i="15"/>
  <c r="Z190" i="15"/>
  <c r="Z165" i="15" s="1"/>
  <c r="Z11" i="15"/>
  <c r="BR159" i="15"/>
  <c r="BR146" i="15"/>
  <c r="BI147" i="15"/>
  <c r="BH159" i="15"/>
  <c r="AO167" i="15"/>
  <c r="AO151" i="15"/>
  <c r="AO121" i="4" s="1"/>
  <c r="AO122" i="4" s="1"/>
  <c r="AO123" i="4" s="1"/>
  <c r="AO190" i="15"/>
  <c r="AO165" i="15" s="1"/>
  <c r="AO11" i="15"/>
  <c r="U204" i="15"/>
  <c r="U207" i="15" s="1"/>
  <c r="W179" i="15"/>
  <c r="W12" i="15"/>
  <c r="W151" i="15" s="1"/>
  <c r="W121" i="4" s="1"/>
  <c r="W122" i="4" s="1"/>
  <c r="W123" i="4" s="1"/>
  <c r="W144" i="15"/>
  <c r="AE167" i="15"/>
  <c r="AE190" i="15"/>
  <c r="AE165" i="15" s="1"/>
  <c r="AE11" i="15"/>
  <c r="AC159" i="15"/>
  <c r="AL149" i="15"/>
  <c r="AL155" i="15"/>
  <c r="BD148" i="15"/>
  <c r="BD80" i="4" s="1"/>
  <c r="BD177" i="15"/>
  <c r="BK159" i="15"/>
  <c r="BK146" i="15"/>
  <c r="Q179" i="15"/>
  <c r="Q12" i="15"/>
  <c r="Q151" i="15" s="1"/>
  <c r="Q121" i="4" s="1"/>
  <c r="Q122" i="4" s="1"/>
  <c r="Q123" i="4" s="1"/>
  <c r="Q144" i="15"/>
  <c r="Y159" i="15"/>
  <c r="BE146" i="15"/>
  <c r="BE159" i="15"/>
  <c r="BG159" i="15"/>
  <c r="BG146" i="15"/>
  <c r="BJ159" i="15"/>
  <c r="BJ146" i="15"/>
  <c r="BP159" i="15"/>
  <c r="AE204" i="15"/>
  <c r="AE207" i="15" s="1"/>
  <c r="CH11" i="22"/>
  <c r="CH13" i="22" s="1"/>
  <c r="CH15" i="22" s="1"/>
  <c r="CH20" i="22" s="1"/>
  <c r="CH35" i="10" s="1"/>
  <c r="CH34" i="10" s="1"/>
  <c r="CG15" i="22"/>
  <c r="CG20" i="22" s="1"/>
  <c r="CG35" i="10" s="1"/>
  <c r="CG34" i="10" s="1"/>
  <c r="CF12" i="79"/>
  <c r="AA172" i="15"/>
  <c r="AA109" i="4" s="1"/>
  <c r="AA141" i="15"/>
  <c r="AA76" i="15"/>
  <c r="U139" i="15"/>
  <c r="U140" i="15"/>
  <c r="U136" i="15"/>
  <c r="U84" i="15"/>
  <c r="AB67" i="15"/>
  <c r="AB66" i="15" s="1"/>
  <c r="AB105" i="4" s="1"/>
  <c r="AC57" i="15"/>
  <c r="AC58" i="15" s="1"/>
  <c r="V139" i="15"/>
  <c r="V84" i="15"/>
  <c r="V136" i="15"/>
  <c r="V140" i="15"/>
  <c r="AF67" i="15"/>
  <c r="AF66" i="15" s="1"/>
  <c r="AF105" i="4" s="1"/>
  <c r="AG57" i="15"/>
  <c r="AG58" i="15" s="1"/>
  <c r="T115" i="15"/>
  <c r="T113" i="15"/>
  <c r="T166" i="15" s="1"/>
  <c r="T168" i="15" s="1"/>
  <c r="AO57" i="15"/>
  <c r="AO58" i="15" s="1"/>
  <c r="AK57" i="15"/>
  <c r="AK58" i="15" s="1"/>
  <c r="W172" i="15"/>
  <c r="W109" i="4" s="1"/>
  <c r="W141" i="15"/>
  <c r="W76" i="15"/>
  <c r="P156" i="15"/>
  <c r="P169" i="15"/>
  <c r="P173" i="15"/>
  <c r="Y57" i="15"/>
  <c r="Y58" i="15" s="1"/>
  <c r="Y67" i="15" s="1"/>
  <c r="X67" i="15"/>
  <c r="X66" i="15" s="1"/>
  <c r="X105" i="4" s="1"/>
  <c r="CD96" i="12"/>
  <c r="CD95" i="12" s="1"/>
  <c r="CD97" i="12"/>
  <c r="CE98" i="12"/>
  <c r="CD100" i="12"/>
  <c r="BN385" i="12"/>
  <c r="BS385" i="12"/>
  <c r="D6" i="8"/>
  <c r="D5" i="8"/>
  <c r="D4" i="8"/>
  <c r="D3" i="8"/>
  <c r="D2" i="8"/>
  <c r="BD62" i="10" l="1"/>
  <c r="BD73" i="10"/>
  <c r="BI73" i="10"/>
  <c r="BD47" i="10"/>
  <c r="BD11" i="15" s="1"/>
  <c r="BD46" i="10"/>
  <c r="BD74" i="10"/>
  <c r="BD63" i="10"/>
  <c r="BD164" i="15" s="1"/>
  <c r="BD83" i="4"/>
  <c r="BD84" i="4" s="1"/>
  <c r="AJ91" i="4"/>
  <c r="AJ90" i="4"/>
  <c r="Z90" i="4"/>
  <c r="P97" i="10"/>
  <c r="U97" i="10"/>
  <c r="BI49" i="10"/>
  <c r="BI86" i="4"/>
  <c r="BI93" i="10"/>
  <c r="BI64" i="10"/>
  <c r="AO91" i="4"/>
  <c r="AO90" i="4"/>
  <c r="AT91" i="4"/>
  <c r="AT90" i="4"/>
  <c r="AY90" i="4"/>
  <c r="AY91" i="4"/>
  <c r="AE97" i="10"/>
  <c r="BZ62" i="10"/>
  <c r="BZ73" i="10"/>
  <c r="BZ63" i="10"/>
  <c r="BZ74" i="10"/>
  <c r="BZ45" i="10"/>
  <c r="BZ47" i="10" s="1"/>
  <c r="Z97" i="10"/>
  <c r="BN75" i="10"/>
  <c r="BN49" i="10"/>
  <c r="BN93" i="10"/>
  <c r="BN64" i="10"/>
  <c r="BN86" i="4"/>
  <c r="BS93" i="10"/>
  <c r="BS64" i="10"/>
  <c r="BS86" i="4"/>
  <c r="BS75" i="10"/>
  <c r="BS49" i="10"/>
  <c r="BD78" i="4"/>
  <c r="BD81" i="4"/>
  <c r="BS164" i="15"/>
  <c r="BS177" i="15"/>
  <c r="BS148" i="15"/>
  <c r="BS80" i="4" s="1"/>
  <c r="Z207" i="15"/>
  <c r="BU167" i="15"/>
  <c r="BU151" i="15"/>
  <c r="AO179" i="15"/>
  <c r="AO12" i="15"/>
  <c r="BI148" i="15"/>
  <c r="BI80" i="4" s="1"/>
  <c r="BI177" i="15"/>
  <c r="AI159" i="15"/>
  <c r="AI146" i="15"/>
  <c r="AJ179" i="15"/>
  <c r="AJ12" i="15"/>
  <c r="AJ151" i="15" s="1"/>
  <c r="AJ121" i="4" s="1"/>
  <c r="AJ122" i="4" s="1"/>
  <c r="AJ123" i="4" s="1"/>
  <c r="AJ144" i="15"/>
  <c r="S159" i="15"/>
  <c r="S146" i="15"/>
  <c r="AN149" i="15"/>
  <c r="AN155" i="15"/>
  <c r="AP159" i="15"/>
  <c r="AP146" i="15"/>
  <c r="AU159" i="15"/>
  <c r="AT149" i="15"/>
  <c r="AT155" i="15"/>
  <c r="BN148" i="15"/>
  <c r="BN80" i="4" s="1"/>
  <c r="BN177" i="15"/>
  <c r="AH159" i="15"/>
  <c r="AH146" i="15"/>
  <c r="AH149" i="15"/>
  <c r="AH155" i="15"/>
  <c r="V149" i="15"/>
  <c r="V155" i="15"/>
  <c r="AD159" i="15"/>
  <c r="AD146" i="15"/>
  <c r="AM159" i="15"/>
  <c r="AM146" i="15"/>
  <c r="AY149" i="15"/>
  <c r="AY155" i="15"/>
  <c r="R159" i="15"/>
  <c r="R146" i="15"/>
  <c r="R149" i="15"/>
  <c r="R155" i="15"/>
  <c r="BU11" i="15"/>
  <c r="BU190" i="15"/>
  <c r="BU165" i="15" s="1"/>
  <c r="Q146" i="15"/>
  <c r="Q159" i="15"/>
  <c r="W159" i="15"/>
  <c r="W146" i="15"/>
  <c r="AI149" i="15"/>
  <c r="AI155" i="15"/>
  <c r="BU164" i="15"/>
  <c r="Q149" i="15"/>
  <c r="Q155" i="15"/>
  <c r="AE179" i="15"/>
  <c r="AE12" i="15"/>
  <c r="AE151" i="15" s="1"/>
  <c r="AE121" i="4" s="1"/>
  <c r="AE122" i="4" s="1"/>
  <c r="AE123" i="4" s="1"/>
  <c r="AE144" i="15"/>
  <c r="W149" i="15"/>
  <c r="W155" i="15"/>
  <c r="AO144" i="15"/>
  <c r="AO149" i="15"/>
  <c r="AO155" i="15"/>
  <c r="BI164" i="15"/>
  <c r="Z179" i="15"/>
  <c r="Z12" i="15"/>
  <c r="Z151" i="15" s="1"/>
  <c r="Z121" i="4" s="1"/>
  <c r="Z122" i="4" s="1"/>
  <c r="Z123" i="4" s="1"/>
  <c r="Z144" i="15"/>
  <c r="AJ207" i="15"/>
  <c r="AG159" i="15"/>
  <c r="AG146" i="15"/>
  <c r="AG149" i="15"/>
  <c r="AG155" i="15"/>
  <c r="AN159" i="15"/>
  <c r="AN146" i="15"/>
  <c r="AS159" i="15"/>
  <c r="AT179" i="15"/>
  <c r="AT12" i="15"/>
  <c r="AT144" i="15"/>
  <c r="BN164" i="15"/>
  <c r="BN204" i="15"/>
  <c r="BD167" i="15"/>
  <c r="BD151" i="15"/>
  <c r="BD121" i="4" s="1"/>
  <c r="BD122" i="4" s="1"/>
  <c r="BD123" i="4" s="1"/>
  <c r="AL159" i="15"/>
  <c r="AR159" i="15"/>
  <c r="V159" i="15"/>
  <c r="V146" i="15"/>
  <c r="X159" i="15"/>
  <c r="AB159" i="15"/>
  <c r="AA159" i="15"/>
  <c r="S149" i="15"/>
  <c r="S155" i="15"/>
  <c r="AD149" i="15"/>
  <c r="AD155" i="15"/>
  <c r="U179" i="15"/>
  <c r="U12" i="15"/>
  <c r="U144" i="15"/>
  <c r="AM149" i="15"/>
  <c r="AM155" i="15"/>
  <c r="AY179" i="15"/>
  <c r="AY12" i="15"/>
  <c r="AY144" i="15"/>
  <c r="CG12" i="79"/>
  <c r="CH12" i="79"/>
  <c r="X172" i="15"/>
  <c r="X109" i="4" s="1"/>
  <c r="X141" i="15"/>
  <c r="X76" i="15"/>
  <c r="AK67" i="15"/>
  <c r="AK66" i="15" s="1"/>
  <c r="AL57" i="15"/>
  <c r="AL58" i="15" s="1"/>
  <c r="AB172" i="15"/>
  <c r="AB109" i="4" s="1"/>
  <c r="AB141" i="15"/>
  <c r="AB76" i="15"/>
  <c r="AT57" i="15"/>
  <c r="AT58" i="15" s="1"/>
  <c r="AP57" i="15"/>
  <c r="AP58" i="15" s="1"/>
  <c r="V113" i="15"/>
  <c r="V166" i="15" s="1"/>
  <c r="V168" i="15" s="1"/>
  <c r="V115" i="15"/>
  <c r="U115" i="15"/>
  <c r="U113" i="15"/>
  <c r="T176" i="15"/>
  <c r="T156" i="15"/>
  <c r="T161" i="15" s="1"/>
  <c r="T173" i="15"/>
  <c r="T174" i="15"/>
  <c r="T110" i="4" s="1"/>
  <c r="T169" i="15"/>
  <c r="AF172" i="15"/>
  <c r="AF109" i="4" s="1"/>
  <c r="AF141" i="15"/>
  <c r="AF76" i="15"/>
  <c r="Y66" i="15"/>
  <c r="Y105" i="4" s="1"/>
  <c r="Z67" i="15"/>
  <c r="W140" i="15"/>
  <c r="W84" i="15"/>
  <c r="W139" i="15"/>
  <c r="W136" i="15"/>
  <c r="AG67" i="15"/>
  <c r="AG66" i="15" s="1"/>
  <c r="AG105" i="4" s="1"/>
  <c r="AH57" i="15"/>
  <c r="AH58" i="15" s="1"/>
  <c r="AA140" i="15"/>
  <c r="AA139" i="15"/>
  <c r="AA136" i="15"/>
  <c r="AA84" i="15"/>
  <c r="AD57" i="15"/>
  <c r="AD58" i="15" s="1"/>
  <c r="AD67" i="15" s="1"/>
  <c r="AC67" i="15"/>
  <c r="AC66" i="15" s="1"/>
  <c r="AC105" i="4" s="1"/>
  <c r="CE96" i="12"/>
  <c r="CE95" i="12" s="1"/>
  <c r="CE100" i="12"/>
  <c r="CE97" i="12"/>
  <c r="CF98" i="12"/>
  <c r="BD49" i="10" l="1"/>
  <c r="BD144" i="15" s="1"/>
  <c r="BD64" i="10"/>
  <c r="BD75" i="10"/>
  <c r="BD93" i="10"/>
  <c r="BD86" i="4"/>
  <c r="BD190" i="15"/>
  <c r="BD165" i="15" s="1"/>
  <c r="BI75" i="10"/>
  <c r="BD119" i="4"/>
  <c r="BD204" i="15"/>
  <c r="BD207" i="15" s="1"/>
  <c r="BS168" i="4"/>
  <c r="BS171" i="4" s="1"/>
  <c r="BS89" i="4"/>
  <c r="BS76" i="10"/>
  <c r="BS87" i="4"/>
  <c r="BS101" i="4"/>
  <c r="BN89" i="4"/>
  <c r="BN168" i="4"/>
  <c r="BN171" i="4" s="1"/>
  <c r="BN76" i="10"/>
  <c r="BI89" i="4"/>
  <c r="BI76" i="10"/>
  <c r="BI168" i="4"/>
  <c r="BI171" i="4" s="1"/>
  <c r="BN101" i="4"/>
  <c r="BN87" i="4"/>
  <c r="BZ93" i="10"/>
  <c r="BZ64" i="10"/>
  <c r="BZ75" i="10"/>
  <c r="BZ49" i="10"/>
  <c r="BZ76" i="10" s="1"/>
  <c r="BI87" i="4"/>
  <c r="BI101" i="4"/>
  <c r="BN78" i="4"/>
  <c r="BN81" i="4"/>
  <c r="BI78" i="4"/>
  <c r="BI81" i="4"/>
  <c r="BS78" i="4"/>
  <c r="BS81" i="4"/>
  <c r="BS151" i="15"/>
  <c r="BS121" i="4" s="1"/>
  <c r="BS122" i="4" s="1"/>
  <c r="BS123" i="4" s="1"/>
  <c r="BS167" i="15"/>
  <c r="BS204" i="15"/>
  <c r="BS11" i="15"/>
  <c r="BS190" i="15"/>
  <c r="BS165" i="15" s="1"/>
  <c r="AY159" i="15"/>
  <c r="AY146" i="15"/>
  <c r="U159" i="15"/>
  <c r="U146" i="15"/>
  <c r="BD179" i="15"/>
  <c r="BD12" i="15"/>
  <c r="Z149" i="15"/>
  <c r="Z155" i="15"/>
  <c r="BI190" i="15"/>
  <c r="BI165" i="15" s="1"/>
  <c r="BI11" i="15"/>
  <c r="BI167" i="15"/>
  <c r="BI151" i="15"/>
  <c r="BI121" i="4" s="1"/>
  <c r="BI122" i="4" s="1"/>
  <c r="BI123" i="4" s="1"/>
  <c r="AO146" i="15"/>
  <c r="AO159" i="15"/>
  <c r="AE159" i="15"/>
  <c r="AE146" i="15"/>
  <c r="BU144" i="15"/>
  <c r="AJ149" i="15"/>
  <c r="AJ155" i="15"/>
  <c r="BI204" i="15"/>
  <c r="BU155" i="15"/>
  <c r="BU149" i="15"/>
  <c r="U151" i="15"/>
  <c r="U121" i="4" s="1"/>
  <c r="U122" i="4" s="1"/>
  <c r="U123" i="4" s="1"/>
  <c r="T12" i="15"/>
  <c r="T151" i="15" s="1"/>
  <c r="T121" i="4" s="1"/>
  <c r="T122" i="4" s="1"/>
  <c r="T123" i="4" s="1"/>
  <c r="BD149" i="15"/>
  <c r="BD155" i="15"/>
  <c r="BN190" i="15"/>
  <c r="BN165" i="15" s="1"/>
  <c r="BN11" i="15"/>
  <c r="BN167" i="15"/>
  <c r="BN151" i="15"/>
  <c r="BN121" i="4" s="1"/>
  <c r="BN122" i="4" s="1"/>
  <c r="BN123" i="4" s="1"/>
  <c r="AT159" i="15"/>
  <c r="AT146" i="15"/>
  <c r="Z146" i="15"/>
  <c r="Z159" i="15"/>
  <c r="AE149" i="15"/>
  <c r="AE155" i="15"/>
  <c r="BU179" i="15"/>
  <c r="BU12" i="15"/>
  <c r="AJ159" i="15"/>
  <c r="AJ146" i="15"/>
  <c r="AC172" i="15"/>
  <c r="AC109" i="4" s="1"/>
  <c r="AC141" i="15"/>
  <c r="AC76" i="15"/>
  <c r="AA113" i="15"/>
  <c r="AA166" i="15" s="1"/>
  <c r="AA168" i="15" s="1"/>
  <c r="AA115" i="15"/>
  <c r="AI57" i="15"/>
  <c r="AI58" i="15" s="1"/>
  <c r="AI67" i="15" s="1"/>
  <c r="AH67" i="15"/>
  <c r="AH66" i="15" s="1"/>
  <c r="AH105" i="4" s="1"/>
  <c r="W113" i="15"/>
  <c r="W166" i="15" s="1"/>
  <c r="W168" i="15" s="1"/>
  <c r="W115" i="15"/>
  <c r="AF140" i="15"/>
  <c r="AF139" i="15"/>
  <c r="AF136" i="15"/>
  <c r="AF84" i="15"/>
  <c r="U206" i="15"/>
  <c r="U203" i="15" s="1"/>
  <c r="U168" i="15"/>
  <c r="U156" i="15"/>
  <c r="U161" i="15" s="1"/>
  <c r="U176" i="15"/>
  <c r="U174" i="15"/>
  <c r="U110" i="4" s="1"/>
  <c r="U173" i="15"/>
  <c r="U169" i="15"/>
  <c r="V176" i="15"/>
  <c r="V156" i="15"/>
  <c r="V161" i="15" s="1"/>
  <c r="V173" i="15"/>
  <c r="V169" i="15"/>
  <c r="V174" i="15"/>
  <c r="V110" i="4" s="1"/>
  <c r="AB140" i="15"/>
  <c r="AB139" i="15"/>
  <c r="AB136" i="15"/>
  <c r="AB84" i="15"/>
  <c r="AK172" i="15"/>
  <c r="AK141" i="15"/>
  <c r="AK76" i="15"/>
  <c r="X140" i="15"/>
  <c r="X139" i="15"/>
  <c r="X136" i="15"/>
  <c r="X84" i="15"/>
  <c r="U166" i="15"/>
  <c r="AP67" i="15"/>
  <c r="AP66" i="15" s="1"/>
  <c r="AQ57" i="15"/>
  <c r="AQ58" i="15" s="1"/>
  <c r="AE67" i="15"/>
  <c r="AE66" i="15" s="1"/>
  <c r="AD66" i="15"/>
  <c r="AD105" i="4" s="1"/>
  <c r="AG172" i="15"/>
  <c r="AG109" i="4" s="1"/>
  <c r="AG141" i="15"/>
  <c r="AG76" i="15"/>
  <c r="Y172" i="15"/>
  <c r="Y109" i="4" s="1"/>
  <c r="Z66" i="15"/>
  <c r="Y76" i="15"/>
  <c r="Y141" i="15"/>
  <c r="AY57" i="15"/>
  <c r="AY58" i="15" s="1"/>
  <c r="AU57" i="15"/>
  <c r="AU58" i="15" s="1"/>
  <c r="AM57" i="15"/>
  <c r="AM58" i="15" s="1"/>
  <c r="AL67" i="15"/>
  <c r="AL66" i="15" s="1"/>
  <c r="CF100" i="12"/>
  <c r="CF96" i="12"/>
  <c r="CF95" i="12" s="1"/>
  <c r="CF97" i="12"/>
  <c r="CG98" i="12"/>
  <c r="BI207" i="15" l="1"/>
  <c r="BD87" i="4"/>
  <c r="BD101" i="4"/>
  <c r="BD89" i="4"/>
  <c r="BD168" i="4"/>
  <c r="BD171" i="4" s="1"/>
  <c r="BD76" i="10"/>
  <c r="Z87" i="10"/>
  <c r="Z89" i="10" s="1"/>
  <c r="Z105" i="4"/>
  <c r="AE87" i="10"/>
  <c r="AE89" i="10" s="1"/>
  <c r="AE105" i="4"/>
  <c r="BN90" i="4"/>
  <c r="BN91" i="4"/>
  <c r="BS90" i="4"/>
  <c r="BS91" i="4"/>
  <c r="BI91" i="4"/>
  <c r="BS207" i="15"/>
  <c r="BS12" i="15"/>
  <c r="BS179" i="15"/>
  <c r="BS144" i="15"/>
  <c r="BS146" i="15" s="1"/>
  <c r="BS149" i="15"/>
  <c r="BS155" i="15"/>
  <c r="BN149" i="15"/>
  <c r="BN155" i="15"/>
  <c r="BN179" i="15"/>
  <c r="BN12" i="15"/>
  <c r="BN144" i="15"/>
  <c r="T149" i="15"/>
  <c r="T155" i="15"/>
  <c r="BI149" i="15"/>
  <c r="BI155" i="15"/>
  <c r="BD159" i="15"/>
  <c r="BD146" i="15"/>
  <c r="U149" i="15"/>
  <c r="U155" i="15"/>
  <c r="BU146" i="15"/>
  <c r="BU159" i="15"/>
  <c r="BI179" i="15"/>
  <c r="BI12" i="15"/>
  <c r="BI144" i="15"/>
  <c r="BN207" i="15"/>
  <c r="AR57" i="15"/>
  <c r="AR58" i="15" s="1"/>
  <c r="AQ67" i="15"/>
  <c r="AQ66" i="15" s="1"/>
  <c r="AB115" i="15"/>
  <c r="AB113" i="15"/>
  <c r="AB166" i="15" s="1"/>
  <c r="AB168" i="15" s="1"/>
  <c r="AF115" i="15"/>
  <c r="AF113" i="15"/>
  <c r="AF166" i="15" s="1"/>
  <c r="AF168" i="15" s="1"/>
  <c r="AU67" i="15"/>
  <c r="AU66" i="15" s="1"/>
  <c r="AV57" i="15"/>
  <c r="AV58" i="15" s="1"/>
  <c r="Z141" i="15"/>
  <c r="Z76" i="15"/>
  <c r="Z172" i="15"/>
  <c r="Z109" i="4" s="1"/>
  <c r="AH172" i="15"/>
  <c r="AH109" i="4" s="1"/>
  <c r="AH141" i="15"/>
  <c r="AH76" i="15"/>
  <c r="BD57" i="15"/>
  <c r="BD58" i="15" s="1"/>
  <c r="AZ57" i="15"/>
  <c r="AZ58" i="15" s="1"/>
  <c r="AD172" i="15"/>
  <c r="AD109" i="4" s="1"/>
  <c r="AD141" i="15"/>
  <c r="AD76" i="15"/>
  <c r="AC139" i="15"/>
  <c r="AC140" i="15"/>
  <c r="AC136" i="15"/>
  <c r="AC84" i="15"/>
  <c r="AL172" i="15"/>
  <c r="AL141" i="15"/>
  <c r="AL76" i="15"/>
  <c r="AG139" i="15"/>
  <c r="AG140" i="15"/>
  <c r="AG136" i="15"/>
  <c r="AG84" i="15"/>
  <c r="AE141" i="15"/>
  <c r="AE76" i="15"/>
  <c r="AE172" i="15"/>
  <c r="AE109" i="4" s="1"/>
  <c r="AP141" i="15"/>
  <c r="AP76" i="15"/>
  <c r="AP172" i="15"/>
  <c r="X115" i="15"/>
  <c r="X113" i="15"/>
  <c r="AK139" i="15"/>
  <c r="AK140" i="15"/>
  <c r="AK136" i="15"/>
  <c r="AK84" i="15"/>
  <c r="W176" i="15"/>
  <c r="W156" i="15"/>
  <c r="W161" i="15" s="1"/>
  <c r="W173" i="15"/>
  <c r="W174" i="15"/>
  <c r="W110" i="4" s="1"/>
  <c r="W169" i="15"/>
  <c r="AI66" i="15"/>
  <c r="AI105" i="4" s="1"/>
  <c r="AJ67" i="15"/>
  <c r="AJ66" i="15" s="1"/>
  <c r="AN57" i="15"/>
  <c r="AN58" i="15" s="1"/>
  <c r="AN67" i="15" s="1"/>
  <c r="AM67" i="15"/>
  <c r="AM66" i="15" s="1"/>
  <c r="Y139" i="15"/>
  <c r="Y140" i="15"/>
  <c r="Y136" i="15"/>
  <c r="Y84" i="15"/>
  <c r="AA176" i="15"/>
  <c r="AA156" i="15"/>
  <c r="AA161" i="15" s="1"/>
  <c r="AA173" i="15"/>
  <c r="AA174" i="15"/>
  <c r="AA110" i="4" s="1"/>
  <c r="AA169" i="15"/>
  <c r="CG96" i="12"/>
  <c r="CG95" i="12" s="1"/>
  <c r="CG100" i="12"/>
  <c r="CG97" i="12"/>
  <c r="CH98" i="12"/>
  <c r="AT97" i="10" l="1"/>
  <c r="BD97" i="10"/>
  <c r="BD91" i="4"/>
  <c r="BD90" i="4"/>
  <c r="BI90" i="4"/>
  <c r="AY97" i="10"/>
  <c r="AJ87" i="10"/>
  <c r="AJ89" i="10" s="1"/>
  <c r="AJ105" i="4"/>
  <c r="BN146" i="15"/>
  <c r="BN159" i="15"/>
  <c r="BS159" i="15"/>
  <c r="BI159" i="15"/>
  <c r="BI146" i="15"/>
  <c r="AI172" i="15"/>
  <c r="AI109" i="4" s="1"/>
  <c r="AI141" i="15"/>
  <c r="AI76" i="15"/>
  <c r="AP139" i="15"/>
  <c r="AP140" i="15"/>
  <c r="AP84" i="15"/>
  <c r="AP136" i="15"/>
  <c r="AJ199" i="15"/>
  <c r="AJ201" i="15" s="1"/>
  <c r="AJ141" i="15"/>
  <c r="AJ76" i="15"/>
  <c r="AJ172" i="15"/>
  <c r="AJ109" i="4" s="1"/>
  <c r="Z139" i="15"/>
  <c r="Z136" i="15"/>
  <c r="Z140" i="15"/>
  <c r="Z84" i="15"/>
  <c r="AF156" i="15"/>
  <c r="AF161" i="15" s="1"/>
  <c r="AF176" i="15"/>
  <c r="AF173" i="15"/>
  <c r="AF174" i="15"/>
  <c r="AF110" i="4" s="1"/>
  <c r="AF169" i="15"/>
  <c r="X176" i="15"/>
  <c r="X156" i="15"/>
  <c r="X161" i="15" s="1"/>
  <c r="X173" i="15"/>
  <c r="X169" i="15"/>
  <c r="X174" i="15"/>
  <c r="X110" i="4" s="1"/>
  <c r="AZ67" i="15"/>
  <c r="AZ66" i="15" s="1"/>
  <c r="BA57" i="15"/>
  <c r="BA58" i="15" s="1"/>
  <c r="Y115" i="15"/>
  <c r="Y113" i="15"/>
  <c r="Y166" i="15" s="1"/>
  <c r="Y168" i="15" s="1"/>
  <c r="AM172" i="15"/>
  <c r="AM141" i="15"/>
  <c r="AM76" i="15"/>
  <c r="AC115" i="15"/>
  <c r="AC113" i="15"/>
  <c r="AD139" i="15"/>
  <c r="AD136" i="15"/>
  <c r="AD140" i="15"/>
  <c r="AD84" i="15"/>
  <c r="BI57" i="15"/>
  <c r="BI58" i="15" s="1"/>
  <c r="BE57" i="15"/>
  <c r="BE58" i="15" s="1"/>
  <c r="AV67" i="15"/>
  <c r="AV66" i="15" s="1"/>
  <c r="AW57" i="15"/>
  <c r="AW58" i="15" s="1"/>
  <c r="AQ172" i="15"/>
  <c r="AQ141" i="15"/>
  <c r="AQ76" i="15"/>
  <c r="AK115" i="15"/>
  <c r="AK113" i="15"/>
  <c r="AK166" i="15" s="1"/>
  <c r="AE136" i="15"/>
  <c r="AE140" i="15"/>
  <c r="AE84" i="15"/>
  <c r="AE139" i="15"/>
  <c r="AO67" i="15"/>
  <c r="AO66" i="15" s="1"/>
  <c r="AO105" i="4" s="1"/>
  <c r="AN66" i="15"/>
  <c r="X166" i="15"/>
  <c r="X168" i="15" s="1"/>
  <c r="AG115" i="15"/>
  <c r="AG113" i="15"/>
  <c r="AL139" i="15"/>
  <c r="AL136" i="15"/>
  <c r="AL84" i="15"/>
  <c r="AL140" i="15"/>
  <c r="AH139" i="15"/>
  <c r="AH84" i="15"/>
  <c r="AH140" i="15"/>
  <c r="AH136" i="15"/>
  <c r="AU172" i="15"/>
  <c r="AU141" i="15"/>
  <c r="AU76" i="15"/>
  <c r="AB176" i="15"/>
  <c r="AB156" i="15"/>
  <c r="AB161" i="15" s="1"/>
  <c r="AB173" i="15"/>
  <c r="AB169" i="15"/>
  <c r="AB174" i="15"/>
  <c r="AB110" i="4" s="1"/>
  <c r="AS57" i="15"/>
  <c r="AS58" i="15" s="1"/>
  <c r="AS67" i="15" s="1"/>
  <c r="AR67" i="15"/>
  <c r="AR66" i="15" s="1"/>
  <c r="CH96" i="12"/>
  <c r="CH95" i="12" s="1"/>
  <c r="CH97" i="12"/>
  <c r="CH100" i="12"/>
  <c r="AG176" i="15" l="1"/>
  <c r="AG156" i="15"/>
  <c r="AG161" i="15" s="1"/>
  <c r="AG173" i="15"/>
  <c r="AG174" i="15"/>
  <c r="AG110" i="4" s="1"/>
  <c r="AG169" i="15"/>
  <c r="AE113" i="15"/>
  <c r="AE115" i="15"/>
  <c r="AD113" i="15"/>
  <c r="AD115" i="15"/>
  <c r="AT67" i="15"/>
  <c r="AT66" i="15" s="1"/>
  <c r="AT105" i="4" s="1"/>
  <c r="AS66" i="15"/>
  <c r="AN172" i="15"/>
  <c r="AN141" i="15"/>
  <c r="AN76" i="15"/>
  <c r="AK176" i="15"/>
  <c r="AK168" i="15"/>
  <c r="AK156" i="15"/>
  <c r="AK161" i="15" s="1"/>
  <c r="AK173" i="15"/>
  <c r="AK174" i="15"/>
  <c r="AK169" i="15"/>
  <c r="BN57" i="15"/>
  <c r="BN58" i="15" s="1"/>
  <c r="BJ57" i="15"/>
  <c r="BJ58" i="15" s="1"/>
  <c r="AM140" i="15"/>
  <c r="AM136" i="15"/>
  <c r="AM84" i="15"/>
  <c r="AM139" i="15"/>
  <c r="AJ140" i="15"/>
  <c r="AJ139" i="15"/>
  <c r="AJ136" i="15"/>
  <c r="AJ84" i="15"/>
  <c r="AI140" i="15"/>
  <c r="AI136" i="15"/>
  <c r="AI84" i="15"/>
  <c r="AI139" i="15"/>
  <c r="AU140" i="15"/>
  <c r="AU136" i="15"/>
  <c r="AU84" i="15"/>
  <c r="AU139" i="15"/>
  <c r="AL113" i="15"/>
  <c r="AL115" i="15"/>
  <c r="AX57" i="15"/>
  <c r="AX58" i="15" s="1"/>
  <c r="AX67" i="15" s="1"/>
  <c r="AW67" i="15"/>
  <c r="AW66" i="15" s="1"/>
  <c r="BA67" i="15"/>
  <c r="BA66" i="15" s="1"/>
  <c r="BB57" i="15"/>
  <c r="BB58" i="15" s="1"/>
  <c r="Z113" i="15"/>
  <c r="Z115" i="15"/>
  <c r="AP113" i="15"/>
  <c r="AP166" i="15" s="1"/>
  <c r="AP115" i="15"/>
  <c r="AO199" i="15"/>
  <c r="AO201" i="15" s="1"/>
  <c r="AO141" i="15"/>
  <c r="AO76" i="15"/>
  <c r="AO172" i="15"/>
  <c r="AO109" i="4" s="1"/>
  <c r="AC176" i="15"/>
  <c r="AC156" i="15"/>
  <c r="AC161" i="15" s="1"/>
  <c r="AC173" i="15"/>
  <c r="AC169" i="15"/>
  <c r="AC174" i="15"/>
  <c r="AC110" i="4" s="1"/>
  <c r="AR172" i="15"/>
  <c r="AR141" i="15"/>
  <c r="AR76" i="15"/>
  <c r="AH113" i="15"/>
  <c r="AH166" i="15" s="1"/>
  <c r="AH168" i="15" s="1"/>
  <c r="AH115" i="15"/>
  <c r="AG166" i="15"/>
  <c r="AG168" i="15" s="1"/>
  <c r="AQ140" i="15"/>
  <c r="AQ139" i="15"/>
  <c r="AQ84" i="15"/>
  <c r="AQ136" i="15"/>
  <c r="AV172" i="15"/>
  <c r="AV141" i="15"/>
  <c r="AV76" i="15"/>
  <c r="BE67" i="15"/>
  <c r="BE66" i="15" s="1"/>
  <c r="BF57" i="15"/>
  <c r="BF58" i="15" s="1"/>
  <c r="AC166" i="15"/>
  <c r="AC168" i="15" s="1"/>
  <c r="Y176" i="15"/>
  <c r="Y156" i="15"/>
  <c r="Y161" i="15" s="1"/>
  <c r="Y173" i="15"/>
  <c r="Y174" i="15"/>
  <c r="Y110" i="4" s="1"/>
  <c r="Y169" i="15"/>
  <c r="AZ199" i="15"/>
  <c r="AZ201" i="15" s="1"/>
  <c r="AZ172" i="15"/>
  <c r="AZ141" i="15"/>
  <c r="AZ76" i="15"/>
  <c r="CC21" i="79" l="1"/>
  <c r="CH21" i="79"/>
  <c r="AZ140" i="15"/>
  <c r="AZ139" i="15"/>
  <c r="AZ136" i="15"/>
  <c r="AZ84" i="15"/>
  <c r="AV140" i="15"/>
  <c r="AV139" i="15"/>
  <c r="AV136" i="15"/>
  <c r="AV84" i="15"/>
  <c r="Z206" i="15"/>
  <c r="Z203" i="15" s="1"/>
  <c r="Z168" i="15"/>
  <c r="Z156" i="15"/>
  <c r="Z161" i="15" s="1"/>
  <c r="Z176" i="15"/>
  <c r="Z174" i="15"/>
  <c r="Z110" i="4" s="1"/>
  <c r="Z173" i="15"/>
  <c r="Z169" i="15"/>
  <c r="AI113" i="15"/>
  <c r="AI166" i="15" s="1"/>
  <c r="AI168" i="15" s="1"/>
  <c r="AI115" i="15"/>
  <c r="BS57" i="15"/>
  <c r="BS58" i="15" s="1"/>
  <c r="BO57" i="15"/>
  <c r="BO58" i="15" s="1"/>
  <c r="BE172" i="15"/>
  <c r="BE141" i="15"/>
  <c r="BE76" i="15"/>
  <c r="AR140" i="15"/>
  <c r="AR139" i="15"/>
  <c r="AR136" i="15"/>
  <c r="AR84" i="15"/>
  <c r="BA172" i="15"/>
  <c r="BA141" i="15"/>
  <c r="BA76" i="15"/>
  <c r="AY67" i="15"/>
  <c r="AY66" i="15" s="1"/>
  <c r="AY105" i="4" s="1"/>
  <c r="AX66" i="15"/>
  <c r="AJ115" i="15"/>
  <c r="AJ113" i="15"/>
  <c r="BJ67" i="15"/>
  <c r="BJ66" i="15" s="1"/>
  <c r="BK57" i="15"/>
  <c r="BK58" i="15" s="1"/>
  <c r="AN140" i="15"/>
  <c r="AN139" i="15"/>
  <c r="AN136" i="15"/>
  <c r="AN84" i="15"/>
  <c r="AQ113" i="15"/>
  <c r="AQ115" i="15"/>
  <c r="AS172" i="15"/>
  <c r="AS141" i="15"/>
  <c r="AS76" i="15"/>
  <c r="AE206" i="15"/>
  <c r="AE203" i="15" s="1"/>
  <c r="AE168" i="15"/>
  <c r="AE156" i="15"/>
  <c r="AE176" i="15"/>
  <c r="AE173" i="15"/>
  <c r="AE174" i="15"/>
  <c r="AE110" i="4" s="1"/>
  <c r="AE169" i="15"/>
  <c r="AH176" i="15"/>
  <c r="AH156" i="15"/>
  <c r="AH161" i="15" s="1"/>
  <c r="AH173" i="15"/>
  <c r="AH174" i="15"/>
  <c r="AH110" i="4" s="1"/>
  <c r="AH169" i="15"/>
  <c r="Z166" i="15"/>
  <c r="AL176" i="15"/>
  <c r="AL168" i="15"/>
  <c r="AL156" i="15"/>
  <c r="AL161" i="15" s="1"/>
  <c r="AL173" i="15"/>
  <c r="AL169" i="15"/>
  <c r="AL174" i="15"/>
  <c r="AT199" i="15"/>
  <c r="AT201" i="15" s="1"/>
  <c r="AT141" i="15"/>
  <c r="AT76" i="15"/>
  <c r="AT172" i="15"/>
  <c r="AT109" i="4" s="1"/>
  <c r="AD176" i="15"/>
  <c r="AD156" i="15"/>
  <c r="AD161" i="15" s="1"/>
  <c r="AD173" i="15"/>
  <c r="AD174" i="15"/>
  <c r="AD110" i="4" s="1"/>
  <c r="AD169" i="15"/>
  <c r="AE166" i="15"/>
  <c r="AU113" i="15"/>
  <c r="AU166" i="15" s="1"/>
  <c r="AU115" i="15"/>
  <c r="AM113" i="15"/>
  <c r="AM166" i="15" s="1"/>
  <c r="AM115" i="15"/>
  <c r="BG57" i="15"/>
  <c r="BG58" i="15" s="1"/>
  <c r="BF67" i="15"/>
  <c r="BF66" i="15" s="1"/>
  <c r="AO139" i="15"/>
  <c r="AO140" i="15"/>
  <c r="AO136" i="15"/>
  <c r="AO84" i="15"/>
  <c r="AP176" i="15"/>
  <c r="AP168" i="15"/>
  <c r="AP156" i="15"/>
  <c r="AP161" i="15" s="1"/>
  <c r="AP173" i="15"/>
  <c r="AP174" i="15"/>
  <c r="AP169" i="15"/>
  <c r="BC57" i="15"/>
  <c r="BC58" i="15" s="1"/>
  <c r="BC67" i="15" s="1"/>
  <c r="BB67" i="15"/>
  <c r="BB66" i="15" s="1"/>
  <c r="AW172" i="15"/>
  <c r="AW141" i="15"/>
  <c r="AW76" i="15"/>
  <c r="AL166" i="15"/>
  <c r="AD166" i="15"/>
  <c r="AD168" i="15" s="1"/>
  <c r="CH23" i="79" l="1"/>
  <c r="BF172" i="15"/>
  <c r="BF141" i="15"/>
  <c r="BF76" i="15"/>
  <c r="AQ176" i="15"/>
  <c r="AQ168" i="15"/>
  <c r="AQ156" i="15"/>
  <c r="AQ161" i="15" s="1"/>
  <c r="AQ173" i="15"/>
  <c r="AQ169" i="15"/>
  <c r="AQ174" i="15"/>
  <c r="AY199" i="15"/>
  <c r="AY201" i="15" s="1"/>
  <c r="AY141" i="15"/>
  <c r="AY76" i="15"/>
  <c r="AY172" i="15"/>
  <c r="AY109" i="4" s="1"/>
  <c r="BS67" i="15"/>
  <c r="BS66" i="15" s="1"/>
  <c r="BS105" i="4" s="1"/>
  <c r="BT57" i="15"/>
  <c r="BT58" i="15" s="1"/>
  <c r="BX57" i="15"/>
  <c r="AW139" i="15"/>
  <c r="AW140" i="15"/>
  <c r="AW136" i="15"/>
  <c r="AW84" i="15"/>
  <c r="BD67" i="15"/>
  <c r="BD66" i="15" s="1"/>
  <c r="BD105" i="4" s="1"/>
  <c r="BC66" i="15"/>
  <c r="BJ172" i="15"/>
  <c r="BJ141" i="15"/>
  <c r="BJ76" i="15"/>
  <c r="AX172" i="15"/>
  <c r="AX141" i="15"/>
  <c r="AX76" i="15"/>
  <c r="BO67" i="15"/>
  <c r="BO66" i="15" s="1"/>
  <c r="BP57" i="15"/>
  <c r="BP58" i="15" s="1"/>
  <c r="AV115" i="15"/>
  <c r="AV113" i="15"/>
  <c r="AZ115" i="15"/>
  <c r="AZ113" i="15"/>
  <c r="AS139" i="15"/>
  <c r="AS140" i="15"/>
  <c r="AS136" i="15"/>
  <c r="AS84" i="15"/>
  <c r="AJ206" i="15"/>
  <c r="AJ203" i="15" s="1"/>
  <c r="AJ168" i="15"/>
  <c r="AJ156" i="15"/>
  <c r="AJ161" i="15" s="1"/>
  <c r="AJ176" i="15"/>
  <c r="AJ174" i="15"/>
  <c r="AJ110" i="4" s="1"/>
  <c r="AJ173" i="15"/>
  <c r="AJ169" i="15"/>
  <c r="BE139" i="15"/>
  <c r="BE140" i="15"/>
  <c r="BE136" i="15"/>
  <c r="BE84" i="15"/>
  <c r="BH57" i="15"/>
  <c r="BH58" i="15" s="1"/>
  <c r="BH67" i="15" s="1"/>
  <c r="BG67" i="15"/>
  <c r="BG66" i="15" s="1"/>
  <c r="AM176" i="15"/>
  <c r="AM168" i="15"/>
  <c r="AM156" i="15"/>
  <c r="AM161" i="15" s="1"/>
  <c r="AM173" i="15"/>
  <c r="AM174" i="15"/>
  <c r="AM169" i="15"/>
  <c r="AE161" i="15"/>
  <c r="AQ166" i="15"/>
  <c r="BA139" i="15"/>
  <c r="BA140" i="15"/>
  <c r="BA136" i="15"/>
  <c r="BA84" i="15"/>
  <c r="AU176" i="15"/>
  <c r="AU168" i="15"/>
  <c r="AU156" i="15"/>
  <c r="AU161" i="15" s="1"/>
  <c r="AU173" i="15"/>
  <c r="AU169" i="15"/>
  <c r="AU174" i="15"/>
  <c r="AR115" i="15"/>
  <c r="AR113" i="15"/>
  <c r="BB172" i="15"/>
  <c r="BB141" i="15"/>
  <c r="BB76" i="15"/>
  <c r="AO115" i="15"/>
  <c r="AO113" i="15"/>
  <c r="AO166" i="15" s="1"/>
  <c r="AT139" i="15"/>
  <c r="AT136" i="15"/>
  <c r="AT140" i="15"/>
  <c r="AT84" i="15"/>
  <c r="AN115" i="15"/>
  <c r="AN113" i="15"/>
  <c r="BL57" i="15"/>
  <c r="BL58" i="15" s="1"/>
  <c r="BK67" i="15"/>
  <c r="BK66" i="15" s="1"/>
  <c r="AJ166" i="15"/>
  <c r="AI176" i="15"/>
  <c r="AI156" i="15"/>
  <c r="AI161" i="15" s="1"/>
  <c r="AI173" i="15"/>
  <c r="AI169" i="15"/>
  <c r="AI174" i="15"/>
  <c r="AI110" i="4" s="1"/>
  <c r="CH25" i="79" l="1"/>
  <c r="CH28" i="79" s="1"/>
  <c r="BT67" i="15"/>
  <c r="BT66" i="15" s="1"/>
  <c r="BT172" i="15" s="1"/>
  <c r="BU57" i="15"/>
  <c r="BU58" i="15" s="1"/>
  <c r="AN176" i="15"/>
  <c r="AN168" i="15"/>
  <c r="AN156" i="15"/>
  <c r="AN161" i="15" s="1"/>
  <c r="AN173" i="15"/>
  <c r="AN174" i="15"/>
  <c r="AN169" i="15"/>
  <c r="AZ168" i="15"/>
  <c r="AZ156" i="15"/>
  <c r="AZ161" i="15" s="1"/>
  <c r="AZ176" i="15"/>
  <c r="AZ173" i="15"/>
  <c r="AZ169" i="15"/>
  <c r="AZ174" i="15"/>
  <c r="BC172" i="15"/>
  <c r="BC141" i="15"/>
  <c r="BC76" i="15"/>
  <c r="BS199" i="15"/>
  <c r="BS201" i="15" s="1"/>
  <c r="BS141" i="15"/>
  <c r="BS76" i="15"/>
  <c r="BS172" i="15"/>
  <c r="BS109" i="4" s="1"/>
  <c r="BM57" i="15"/>
  <c r="BM58" i="15" s="1"/>
  <c r="BM67" i="15" s="1"/>
  <c r="BL67" i="15"/>
  <c r="BL66" i="15" s="1"/>
  <c r="AV176" i="15"/>
  <c r="AV168" i="15"/>
  <c r="AV156" i="15"/>
  <c r="AV161" i="15" s="1"/>
  <c r="AV173" i="15"/>
  <c r="AV169" i="15"/>
  <c r="AV174" i="15"/>
  <c r="BO199" i="15"/>
  <c r="BO201" i="15" s="1"/>
  <c r="BO172" i="15"/>
  <c r="BO141" i="15"/>
  <c r="BO76" i="15"/>
  <c r="AY136" i="15"/>
  <c r="AY140" i="15"/>
  <c r="AY84" i="15"/>
  <c r="AY139" i="15"/>
  <c r="AS115" i="15"/>
  <c r="AS113" i="15"/>
  <c r="AS166" i="15" s="1"/>
  <c r="BF139" i="15"/>
  <c r="BF140" i="15"/>
  <c r="BF136" i="15"/>
  <c r="BF84" i="15"/>
  <c r="AT113" i="15"/>
  <c r="AT166" i="15" s="1"/>
  <c r="AT115" i="15"/>
  <c r="AO206" i="15"/>
  <c r="AO203" i="15" s="1"/>
  <c r="AO168" i="15"/>
  <c r="AO156" i="15"/>
  <c r="AO161" i="15" s="1"/>
  <c r="AO176" i="15"/>
  <c r="AO174" i="15"/>
  <c r="AO110" i="4" s="1"/>
  <c r="AO169" i="15"/>
  <c r="AO173" i="15"/>
  <c r="BA115" i="15"/>
  <c r="BA113" i="15"/>
  <c r="BG172" i="15"/>
  <c r="BG141" i="15"/>
  <c r="BG76" i="15"/>
  <c r="BE115" i="15"/>
  <c r="BE113" i="15"/>
  <c r="BE166" i="15" s="1"/>
  <c r="AV166" i="15"/>
  <c r="BJ139" i="15"/>
  <c r="BJ140" i="15"/>
  <c r="BJ84" i="15"/>
  <c r="BJ136" i="15"/>
  <c r="BD199" i="15"/>
  <c r="BD201" i="15" s="1"/>
  <c r="BD141" i="15"/>
  <c r="BD76" i="15"/>
  <c r="BD172" i="15"/>
  <c r="BD109" i="4" s="1"/>
  <c r="BB139" i="15"/>
  <c r="BB84" i="15"/>
  <c r="BB136" i="15"/>
  <c r="BB140" i="15"/>
  <c r="AR176" i="15"/>
  <c r="AR168" i="15"/>
  <c r="AR156" i="15"/>
  <c r="AR161" i="15" s="1"/>
  <c r="AR173" i="15"/>
  <c r="AR169" i="15"/>
  <c r="AR174" i="15"/>
  <c r="BK172" i="15"/>
  <c r="BK141" i="15"/>
  <c r="BK76" i="15"/>
  <c r="AN166" i="15"/>
  <c r="AR166" i="15"/>
  <c r="BI67" i="15"/>
  <c r="BI66" i="15" s="1"/>
  <c r="BI105" i="4" s="1"/>
  <c r="BH66" i="15"/>
  <c r="AZ166" i="15"/>
  <c r="BP67" i="15"/>
  <c r="BP66" i="15" s="1"/>
  <c r="BQ57" i="15"/>
  <c r="BQ58" i="15" s="1"/>
  <c r="AX139" i="15"/>
  <c r="AX136" i="15"/>
  <c r="AX84" i="15"/>
  <c r="AX140" i="15"/>
  <c r="AW115" i="15"/>
  <c r="AW113" i="15"/>
  <c r="AW166" i="15" s="1"/>
  <c r="BV57" i="15" l="1"/>
  <c r="BV58" i="15" s="1"/>
  <c r="BU67" i="15"/>
  <c r="BU66" i="15" s="1"/>
  <c r="BT141" i="15"/>
  <c r="BT76" i="15"/>
  <c r="BT140" i="15" s="1"/>
  <c r="BR57" i="15"/>
  <c r="BR58" i="15" s="1"/>
  <c r="BR67" i="15" s="1"/>
  <c r="BR66" i="15" s="1"/>
  <c r="BQ67" i="15"/>
  <c r="BQ66" i="15" s="1"/>
  <c r="AW176" i="15"/>
  <c r="AW168" i="15"/>
  <c r="AW156" i="15"/>
  <c r="AW161" i="15" s="1"/>
  <c r="AW173" i="15"/>
  <c r="AW174" i="15"/>
  <c r="AW169" i="15"/>
  <c r="AX113" i="15"/>
  <c r="AX166" i="15" s="1"/>
  <c r="AX115" i="15"/>
  <c r="BP199" i="15"/>
  <c r="BP201" i="15" s="1"/>
  <c r="BP172" i="15"/>
  <c r="BP141" i="15"/>
  <c r="BP76" i="15"/>
  <c r="BK140" i="15"/>
  <c r="BK84" i="15"/>
  <c r="BK139" i="15"/>
  <c r="BK136" i="15"/>
  <c r="AT206" i="15"/>
  <c r="AT203" i="15" s="1"/>
  <c r="AT156" i="15"/>
  <c r="AT161" i="15" s="1"/>
  <c r="AT168" i="15"/>
  <c r="AT176" i="15"/>
  <c r="AT173" i="15"/>
  <c r="AT174" i="15"/>
  <c r="AT110" i="4" s="1"/>
  <c r="AT169" i="15"/>
  <c r="AS176" i="15"/>
  <c r="AS168" i="15"/>
  <c r="AS156" i="15"/>
  <c r="AS161" i="15" s="1"/>
  <c r="AS173" i="15"/>
  <c r="AS174" i="15"/>
  <c r="AS169" i="15"/>
  <c r="AY113" i="15"/>
  <c r="J29" i="4" s="1"/>
  <c r="AY115" i="15"/>
  <c r="BO140" i="15"/>
  <c r="BO136" i="15"/>
  <c r="BO84" i="15"/>
  <c r="BO139" i="15"/>
  <c r="BA176" i="15"/>
  <c r="BA168" i="15"/>
  <c r="BA156" i="15"/>
  <c r="BA161" i="15" s="1"/>
  <c r="BA173" i="15"/>
  <c r="BA174" i="15"/>
  <c r="BA169" i="15"/>
  <c r="BH172" i="15"/>
  <c r="BH141" i="15"/>
  <c r="BH76" i="15"/>
  <c r="BG140" i="15"/>
  <c r="BG139" i="15"/>
  <c r="BG136" i="15"/>
  <c r="BG84" i="15"/>
  <c r="BF113" i="15"/>
  <c r="BF166" i="15" s="1"/>
  <c r="BF115" i="15"/>
  <c r="BL172" i="15"/>
  <c r="BL141" i="15"/>
  <c r="BL76" i="15"/>
  <c r="BS136" i="15"/>
  <c r="BS140" i="15"/>
  <c r="BS84" i="15"/>
  <c r="BS139" i="15"/>
  <c r="BC140" i="15"/>
  <c r="BC136" i="15"/>
  <c r="BC84" i="15"/>
  <c r="BC139" i="15"/>
  <c r="BI199" i="15"/>
  <c r="BI201" i="15" s="1"/>
  <c r="BI141" i="15"/>
  <c r="BI76" i="15"/>
  <c r="BI172" i="15"/>
  <c r="BB113" i="15"/>
  <c r="BB166" i="15" s="1"/>
  <c r="BB115" i="15"/>
  <c r="BD140" i="15"/>
  <c r="BD139" i="15"/>
  <c r="BD136" i="15"/>
  <c r="BD84" i="15"/>
  <c r="BJ113" i="15"/>
  <c r="BJ166" i="15" s="1"/>
  <c r="BJ115" i="15"/>
  <c r="BE176" i="15"/>
  <c r="BE168" i="15"/>
  <c r="BE156" i="15"/>
  <c r="BE161" i="15" s="1"/>
  <c r="BE173" i="15"/>
  <c r="BE174" i="15"/>
  <c r="BE169" i="15"/>
  <c r="BA166" i="15"/>
  <c r="BN67" i="15"/>
  <c r="BN66" i="15" s="1"/>
  <c r="BN105" i="4" s="1"/>
  <c r="BM66" i="15"/>
  <c r="BI109" i="4" l="1"/>
  <c r="J21" i="4"/>
  <c r="J23" i="4" s="1"/>
  <c r="BV67" i="15"/>
  <c r="BV66" i="15" s="1"/>
  <c r="BV76" i="15" s="1"/>
  <c r="BW57" i="15"/>
  <c r="BW58" i="15" s="1"/>
  <c r="BW67" i="15" s="1"/>
  <c r="BW66" i="15" s="1"/>
  <c r="BU172" i="15"/>
  <c r="BU141" i="15"/>
  <c r="BU76" i="15"/>
  <c r="BT84" i="15"/>
  <c r="BT115" i="15" s="1"/>
  <c r="BT139" i="15"/>
  <c r="BT136" i="15"/>
  <c r="BN199" i="15"/>
  <c r="BN201" i="15" s="1"/>
  <c r="BN141" i="15"/>
  <c r="BN76" i="15"/>
  <c r="BN172" i="15"/>
  <c r="BN109" i="4" s="1"/>
  <c r="BJ176" i="15"/>
  <c r="BJ156" i="15"/>
  <c r="BJ161" i="15" s="1"/>
  <c r="BJ168" i="15"/>
  <c r="BJ173" i="15"/>
  <c r="BJ174" i="15"/>
  <c r="BJ169" i="15"/>
  <c r="BF176" i="15"/>
  <c r="BF168" i="15"/>
  <c r="BF156" i="15"/>
  <c r="BF161" i="15" s="1"/>
  <c r="BF173" i="15"/>
  <c r="BF169" i="15"/>
  <c r="BF174" i="15"/>
  <c r="BH140" i="15"/>
  <c r="BH139" i="15"/>
  <c r="BH136" i="15"/>
  <c r="BH84" i="15"/>
  <c r="AX176" i="15"/>
  <c r="AX168" i="15"/>
  <c r="AX156" i="15"/>
  <c r="AX161" i="15" s="1"/>
  <c r="AX173" i="15"/>
  <c r="AX174" i="15"/>
  <c r="AX169" i="15"/>
  <c r="BQ199" i="15"/>
  <c r="BQ201" i="15" s="1"/>
  <c r="BQ172" i="15"/>
  <c r="BQ141" i="15"/>
  <c r="BQ76" i="15"/>
  <c r="BM172" i="15"/>
  <c r="BM141" i="15"/>
  <c r="BM76" i="15"/>
  <c r="BD115" i="15"/>
  <c r="BD113" i="15"/>
  <c r="BD166" i="15" s="1"/>
  <c r="BL140" i="15"/>
  <c r="BL139" i="15"/>
  <c r="BL136" i="15"/>
  <c r="BL84" i="15"/>
  <c r="BG113" i="15"/>
  <c r="BG166" i="15" s="1"/>
  <c r="BG115" i="15"/>
  <c r="BO113" i="15"/>
  <c r="BO166" i="15" s="1"/>
  <c r="BO115" i="15"/>
  <c r="AY206" i="15"/>
  <c r="AY203" i="15" s="1"/>
  <c r="AY168" i="15"/>
  <c r="AY156" i="15"/>
  <c r="AY161" i="15" s="1"/>
  <c r="AY176" i="15"/>
  <c r="J31" i="4" s="1"/>
  <c r="AY169" i="15"/>
  <c r="AY174" i="15"/>
  <c r="AY110" i="4" s="1"/>
  <c r="AY173" i="15"/>
  <c r="BK113" i="15"/>
  <c r="BK115" i="15"/>
  <c r="BR172" i="15"/>
  <c r="BR199" i="15"/>
  <c r="BR201" i="15" s="1"/>
  <c r="BR141" i="15"/>
  <c r="BR76" i="15"/>
  <c r="BR136" i="15" s="1"/>
  <c r="BB176" i="15"/>
  <c r="BB168" i="15"/>
  <c r="BB156" i="15"/>
  <c r="J30" i="4" s="1"/>
  <c r="BB173" i="15"/>
  <c r="BB174" i="15"/>
  <c r="BB169" i="15"/>
  <c r="BI139" i="15"/>
  <c r="BI140" i="15"/>
  <c r="BI84" i="15"/>
  <c r="BI136" i="15"/>
  <c r="BC113" i="15"/>
  <c r="BC166" i="15" s="1"/>
  <c r="BC115" i="15"/>
  <c r="BS113" i="15"/>
  <c r="BS115" i="15"/>
  <c r="AY166" i="15"/>
  <c r="BP140" i="15"/>
  <c r="BP139" i="15"/>
  <c r="BP136" i="15"/>
  <c r="BP84" i="15"/>
  <c r="BV172" i="15" l="1"/>
  <c r="BW172" i="15"/>
  <c r="BW141" i="15"/>
  <c r="BW76" i="15"/>
  <c r="BV141" i="15"/>
  <c r="BT113" i="15"/>
  <c r="BT176" i="15" s="1"/>
  <c r="BV84" i="15"/>
  <c r="BV140" i="15"/>
  <c r="BV139" i="15"/>
  <c r="BV136" i="15"/>
  <c r="BU136" i="15"/>
  <c r="BU84" i="15"/>
  <c r="BU140" i="15"/>
  <c r="BU139" i="15"/>
  <c r="BN139" i="15"/>
  <c r="BN136" i="15"/>
  <c r="BN84" i="15"/>
  <c r="BN140" i="15"/>
  <c r="BI115" i="15"/>
  <c r="BI113" i="15"/>
  <c r="BC176" i="15"/>
  <c r="BC168" i="15"/>
  <c r="BC156" i="15"/>
  <c r="BC161" i="15" s="1"/>
  <c r="BC173" i="15"/>
  <c r="BC169" i="15"/>
  <c r="BC174" i="15"/>
  <c r="BR139" i="15"/>
  <c r="BR84" i="15"/>
  <c r="BR140" i="15"/>
  <c r="BO176" i="15"/>
  <c r="BO168" i="15"/>
  <c r="BO156" i="15"/>
  <c r="BO161" i="15" s="1"/>
  <c r="BO173" i="15"/>
  <c r="BO174" i="15"/>
  <c r="BO169" i="15"/>
  <c r="BD206" i="15"/>
  <c r="BD203" i="15" s="1"/>
  <c r="BD168" i="15"/>
  <c r="BD156" i="15"/>
  <c r="BD161" i="15" s="1"/>
  <c r="BD176" i="15"/>
  <c r="BD169" i="15"/>
  <c r="BD174" i="15"/>
  <c r="BD110" i="4" s="1"/>
  <c r="BD173" i="15"/>
  <c r="BQ139" i="15"/>
  <c r="BQ140" i="15"/>
  <c r="BQ136" i="15"/>
  <c r="BQ84" i="15"/>
  <c r="BT168" i="15"/>
  <c r="BT173" i="15"/>
  <c r="BT169" i="15"/>
  <c r="BS156" i="15"/>
  <c r="BS176" i="15"/>
  <c r="BS174" i="15"/>
  <c r="BS110" i="4" s="1"/>
  <c r="BS173" i="15"/>
  <c r="BK176" i="15"/>
  <c r="BK168" i="15"/>
  <c r="BK156" i="15"/>
  <c r="BK161" i="15" s="1"/>
  <c r="BK173" i="15"/>
  <c r="BK174" i="15"/>
  <c r="BK169" i="15"/>
  <c r="BK166" i="15"/>
  <c r="BH115" i="15"/>
  <c r="BH113" i="15"/>
  <c r="BT166" i="15"/>
  <c r="BB161" i="15"/>
  <c r="BG176" i="15"/>
  <c r="BG168" i="15"/>
  <c r="BG156" i="15"/>
  <c r="BG161" i="15" s="1"/>
  <c r="BG173" i="15"/>
  <c r="BG174" i="15"/>
  <c r="BG169" i="15"/>
  <c r="BP115" i="15"/>
  <c r="BP113" i="15"/>
  <c r="BL115" i="15"/>
  <c r="BL113" i="15"/>
  <c r="BL166" i="15" s="1"/>
  <c r="BM139" i="15"/>
  <c r="BM140" i="15"/>
  <c r="BM136" i="15"/>
  <c r="BM84" i="15"/>
  <c r="BT174" i="15" l="1"/>
  <c r="BT156" i="15"/>
  <c r="BT161" i="15" s="1"/>
  <c r="BW140" i="15"/>
  <c r="BW136" i="15"/>
  <c r="BW139" i="15"/>
  <c r="BW84" i="15"/>
  <c r="BU115" i="15"/>
  <c r="BU113" i="15"/>
  <c r="BU169" i="15" s="1"/>
  <c r="BV115" i="15"/>
  <c r="BV113" i="15"/>
  <c r="BP166" i="15"/>
  <c r="BU168" i="15"/>
  <c r="BR113" i="15"/>
  <c r="BR115" i="15"/>
  <c r="BH176" i="15"/>
  <c r="BH168" i="15"/>
  <c r="BH156" i="15"/>
  <c r="BH161" i="15" s="1"/>
  <c r="BH173" i="15"/>
  <c r="BH174" i="15"/>
  <c r="BH169" i="15"/>
  <c r="BN113" i="15"/>
  <c r="BN166" i="15" s="1"/>
  <c r="BN115" i="15"/>
  <c r="BM115" i="15"/>
  <c r="BM113" i="15"/>
  <c r="BM166" i="15" s="1"/>
  <c r="BL176" i="15"/>
  <c r="BL168" i="15"/>
  <c r="BL156" i="15"/>
  <c r="BL161" i="15" s="1"/>
  <c r="BL173" i="15"/>
  <c r="BL174" i="15"/>
  <c r="BL169" i="15"/>
  <c r="BQ115" i="15"/>
  <c r="BQ113" i="15"/>
  <c r="BI206" i="15"/>
  <c r="BI203" i="15" s="1"/>
  <c r="BI168" i="15"/>
  <c r="BI156" i="15"/>
  <c r="BI161" i="15" s="1"/>
  <c r="BI176" i="15"/>
  <c r="BI174" i="15"/>
  <c r="BI110" i="4" s="1"/>
  <c r="BI173" i="15"/>
  <c r="BI169" i="15"/>
  <c r="BP176" i="15"/>
  <c r="BP168" i="15"/>
  <c r="BP156" i="15"/>
  <c r="BP173" i="15"/>
  <c r="BP174" i="15"/>
  <c r="BP169" i="15"/>
  <c r="BH166" i="15"/>
  <c r="BI166" i="15"/>
  <c r="BW113" i="15" l="1"/>
  <c r="BW166" i="15" s="1"/>
  <c r="BW115" i="15"/>
  <c r="BU166" i="15"/>
  <c r="BV176" i="15"/>
  <c r="BV156" i="15"/>
  <c r="BV173" i="15"/>
  <c r="BV174" i="15"/>
  <c r="BU176" i="15"/>
  <c r="BU173" i="15"/>
  <c r="BU156" i="15"/>
  <c r="BU161" i="15" s="1"/>
  <c r="BU174" i="15"/>
  <c r="BQ166" i="15"/>
  <c r="BV166" i="15"/>
  <c r="BP161" i="15"/>
  <c r="BM176" i="15"/>
  <c r="BM168" i="15"/>
  <c r="BM156" i="15"/>
  <c r="BM161" i="15" s="1"/>
  <c r="BM173" i="15"/>
  <c r="BM174" i="15"/>
  <c r="BM169" i="15"/>
  <c r="BR176" i="15"/>
  <c r="BR168" i="15"/>
  <c r="BR156" i="15"/>
  <c r="BR173" i="15"/>
  <c r="BR174" i="15"/>
  <c r="BR169" i="15"/>
  <c r="BN206" i="15"/>
  <c r="BN203" i="15" s="1"/>
  <c r="BN168" i="15"/>
  <c r="BN156" i="15"/>
  <c r="BN176" i="15"/>
  <c r="BN173" i="15"/>
  <c r="BS206" i="15"/>
  <c r="BS203" i="15" s="1"/>
  <c r="BS169" i="15"/>
  <c r="BN169" i="15"/>
  <c r="BN174" i="15"/>
  <c r="BN110" i="4" s="1"/>
  <c r="BS168" i="15"/>
  <c r="BQ176" i="15"/>
  <c r="BQ168" i="15"/>
  <c r="BQ156" i="15"/>
  <c r="BQ173" i="15"/>
  <c r="BQ174" i="15"/>
  <c r="BQ169" i="15"/>
  <c r="BS166" i="15"/>
  <c r="BR166" i="15"/>
  <c r="BW176" i="15" l="1"/>
  <c r="BW173" i="15"/>
  <c r="BW156" i="15"/>
  <c r="BW161" i="15" s="1"/>
  <c r="BW174" i="15"/>
  <c r="BQ161" i="15"/>
  <c r="BV161" i="15"/>
  <c r="BN161" i="15"/>
  <c r="BS161" i="15"/>
  <c r="BR161" i="15"/>
  <c r="CC86" i="15" l="1"/>
  <c r="CC107" i="4" s="1"/>
  <c r="CC205" i="15" l="1"/>
  <c r="CC175" i="15"/>
  <c r="CC45" i="15"/>
  <c r="CD86" i="15"/>
  <c r="CH107" i="4" s="1"/>
  <c r="CD205" i="15" l="1"/>
  <c r="CD175" i="15"/>
  <c r="CD45" i="15"/>
  <c r="CE86" i="15"/>
  <c r="CM107" i="4" s="1"/>
  <c r="CE205" i="15" l="1"/>
  <c r="CE175" i="15"/>
  <c r="CE45" i="15"/>
  <c r="CF86" i="15"/>
  <c r="CF205" i="15" l="1"/>
  <c r="CF175" i="15"/>
  <c r="CF45" i="15"/>
  <c r="CG86" i="15"/>
  <c r="CF178" i="15" l="1"/>
  <c r="CG205" i="15"/>
  <c r="CG175" i="15"/>
  <c r="CG45" i="15"/>
  <c r="CH86" i="15" l="1"/>
  <c r="J23" i="79" s="1"/>
  <c r="CG178" i="15"/>
  <c r="CC178" i="15" l="1"/>
  <c r="CH205" i="15"/>
  <c r="CH175" i="15"/>
  <c r="CH45" i="15"/>
  <c r="CH178" i="15"/>
  <c r="CD178" i="15" l="1"/>
  <c r="CE178" i="15" l="1"/>
  <c r="BV137" i="12" l="1"/>
  <c r="BV367" i="12" s="1"/>
  <c r="BV243" i="12"/>
  <c r="BV150" i="12"/>
  <c r="BV242" i="12"/>
  <c r="BV151" i="12"/>
  <c r="BX151" i="12" l="1"/>
  <c r="BX381" i="12" s="1"/>
  <c r="CA151" i="12"/>
  <c r="BV381" i="12"/>
  <c r="CA150" i="12"/>
  <c r="BV380" i="12"/>
  <c r="BV149" i="12"/>
  <c r="BV379" i="12" s="1"/>
  <c r="BX150" i="12"/>
  <c r="BX138" i="12" s="1"/>
  <c r="BV236" i="12"/>
  <c r="BV466" i="12" s="1"/>
  <c r="BV237" i="12"/>
  <c r="BV467" i="12" s="1"/>
  <c r="BV11" i="12"/>
  <c r="BV12" i="10" s="1"/>
  <c r="BX139" i="12" l="1"/>
  <c r="CA149" i="12"/>
  <c r="CA379" i="12" s="1"/>
  <c r="CA138" i="12"/>
  <c r="CC150" i="12"/>
  <c r="CC380" i="12" s="1"/>
  <c r="CA139" i="12"/>
  <c r="CC151" i="12"/>
  <c r="CC139" i="12" s="1"/>
  <c r="BX380" i="12"/>
  <c r="BX149" i="12"/>
  <c r="BX12" i="12"/>
  <c r="BX368" i="12"/>
  <c r="BX137" i="12"/>
  <c r="BX56" i="4" s="1"/>
  <c r="BV241" i="12"/>
  <c r="BV235" i="12"/>
  <c r="BV11" i="10" s="1"/>
  <c r="BX369" i="12"/>
  <c r="BX13" i="12"/>
  <c r="BV58" i="10" l="1"/>
  <c r="BV59" i="10"/>
  <c r="BV67" i="10"/>
  <c r="BV25" i="10"/>
  <c r="BV56" i="10"/>
  <c r="CC381" i="12"/>
  <c r="CC369" i="12"/>
  <c r="CA369" i="12"/>
  <c r="CA13" i="12"/>
  <c r="CA368" i="12"/>
  <c r="CA137" i="12"/>
  <c r="CA12" i="12"/>
  <c r="CC149" i="12"/>
  <c r="CC379" i="12" s="1"/>
  <c r="CC138" i="12"/>
  <c r="BX379" i="12"/>
  <c r="BV465" i="12"/>
  <c r="BX367" i="12"/>
  <c r="BX11" i="12"/>
  <c r="BX12" i="10" s="1"/>
  <c r="BX242" i="12"/>
  <c r="BX243" i="12"/>
  <c r="BV60" i="10" l="1"/>
  <c r="BV69" i="10"/>
  <c r="BV29" i="10"/>
  <c r="BV57" i="10"/>
  <c r="CA242" i="12"/>
  <c r="CA236" i="12"/>
  <c r="CA466" i="12" s="1"/>
  <c r="CC137" i="12"/>
  <c r="CC56" i="4" s="1"/>
  <c r="CC368" i="12"/>
  <c r="CA367" i="12"/>
  <c r="CA11" i="12"/>
  <c r="CA12" i="10" s="1"/>
  <c r="CA243" i="12"/>
  <c r="CA237" i="12"/>
  <c r="CA467" i="12" s="1"/>
  <c r="BX241" i="12"/>
  <c r="BV187" i="15"/>
  <c r="BV72" i="10" l="1"/>
  <c r="BV44" i="10"/>
  <c r="BV61" i="10"/>
  <c r="BV33" i="10"/>
  <c r="CA235" i="12"/>
  <c r="CA11" i="10" s="1"/>
  <c r="CA241" i="12"/>
  <c r="CC367" i="12"/>
  <c r="BV147" i="15"/>
  <c r="BV126" i="15"/>
  <c r="BV122" i="15"/>
  <c r="BV130" i="15" s="1"/>
  <c r="BV127" i="15"/>
  <c r="BV188" i="15"/>
  <c r="BV189" i="15"/>
  <c r="BV62" i="10" l="1"/>
  <c r="BV73" i="10"/>
  <c r="BV74" i="10"/>
  <c r="BV47" i="10"/>
  <c r="BV63" i="10"/>
  <c r="BV46" i="10"/>
  <c r="CA24" i="10"/>
  <c r="CA25" i="10" s="1"/>
  <c r="CA58" i="10"/>
  <c r="CA59" i="10"/>
  <c r="CA67" i="10"/>
  <c r="BV124" i="15"/>
  <c r="BV131" i="15" s="1"/>
  <c r="BV123" i="15"/>
  <c r="BV132" i="15" s="1"/>
  <c r="CA465" i="12"/>
  <c r="BV177" i="15"/>
  <c r="BV148" i="15"/>
  <c r="BV169" i="15"/>
  <c r="CA60" i="10" l="1"/>
  <c r="BV93" i="10"/>
  <c r="BV64" i="10"/>
  <c r="BV75" i="10"/>
  <c r="BV49" i="10"/>
  <c r="BV76" i="10" s="1"/>
  <c r="CA57" i="10"/>
  <c r="CA69" i="10"/>
  <c r="CA29" i="10"/>
  <c r="CA68" i="10"/>
  <c r="CA39" i="19"/>
  <c r="CA40" i="19" s="1"/>
  <c r="BV133" i="15"/>
  <c r="CA187" i="15"/>
  <c r="BV167" i="15"/>
  <c r="BV11" i="15"/>
  <c r="CA61" i="10" l="1"/>
  <c r="CA44" i="10"/>
  <c r="CA72" i="10"/>
  <c r="CA33" i="10"/>
  <c r="CA188" i="15"/>
  <c r="CA189" i="15"/>
  <c r="BV151" i="15"/>
  <c r="BV149" i="15" s="1"/>
  <c r="BV164" i="15"/>
  <c r="BV179" i="15"/>
  <c r="BV12" i="15"/>
  <c r="BV144" i="15"/>
  <c r="CA73" i="10" l="1"/>
  <c r="CA62" i="10"/>
  <c r="CA74" i="10"/>
  <c r="CA45" i="10"/>
  <c r="CA47" i="10" s="1"/>
  <c r="CA63" i="10"/>
  <c r="BV155" i="15"/>
  <c r="BV146" i="15"/>
  <c r="BV159" i="15"/>
  <c r="BV190" i="15"/>
  <c r="CA93" i="10" l="1"/>
  <c r="CA64" i="10"/>
  <c r="CA75" i="10"/>
  <c r="CA49" i="10"/>
  <c r="CA76" i="10" s="1"/>
  <c r="BV165" i="15"/>
  <c r="BV168" i="15"/>
  <c r="CD33" i="12" l="1"/>
  <c r="CE33" i="12" s="1"/>
  <c r="CF33" i="12" s="1"/>
  <c r="CG33" i="12" s="1"/>
  <c r="CH33" i="12" s="1"/>
  <c r="CD73" i="12"/>
  <c r="CE73" i="12" s="1"/>
  <c r="CD21" i="12"/>
  <c r="CE21" i="12" s="1"/>
  <c r="CF21" i="12" s="1"/>
  <c r="CG21" i="12" s="1"/>
  <c r="CH21" i="12" s="1"/>
  <c r="CD24" i="12"/>
  <c r="CE24" i="12" s="1"/>
  <c r="CD26" i="12"/>
  <c r="CE26" i="12" s="1"/>
  <c r="CD79" i="12"/>
  <c r="CE79" i="12" s="1"/>
  <c r="CF79" i="12" s="1"/>
  <c r="CG79" i="12" s="1"/>
  <c r="CH79" i="12" s="1"/>
  <c r="CD120" i="12"/>
  <c r="CE120" i="12" s="1"/>
  <c r="CD186" i="12"/>
  <c r="CE186" i="12" s="1"/>
  <c r="CF186" i="12" s="1"/>
  <c r="CG186" i="12" s="1"/>
  <c r="CH186" i="12" s="1"/>
  <c r="CD117" i="12"/>
  <c r="CE117" i="12" s="1"/>
  <c r="CF117" i="12" s="1"/>
  <c r="CG117" i="12" s="1"/>
  <c r="CH117" i="12" s="1"/>
  <c r="CD148" i="12"/>
  <c r="CE148" i="12" s="1"/>
  <c r="CF148" i="12" s="1"/>
  <c r="CG148" i="12" s="1"/>
  <c r="CH148" i="12" s="1"/>
  <c r="CD55" i="12"/>
  <c r="CE55" i="12" s="1"/>
  <c r="CF55" i="12" s="1"/>
  <c r="CG55" i="12" s="1"/>
  <c r="CH55" i="12" s="1"/>
  <c r="CD27" i="12"/>
  <c r="CE27" i="12" s="1"/>
  <c r="CF27" i="12" s="1"/>
  <c r="CG27" i="12" s="1"/>
  <c r="CH27" i="12" s="1"/>
  <c r="CD69" i="12"/>
  <c r="CE69" i="12" s="1"/>
  <c r="CD144" i="12"/>
  <c r="CE144" i="12" s="1"/>
  <c r="CD125" i="12"/>
  <c r="CE125" i="12" s="1"/>
  <c r="CD119" i="12"/>
  <c r="CD173" i="12"/>
  <c r="CD70" i="12"/>
  <c r="CD54" i="12"/>
  <c r="CD72" i="12"/>
  <c r="CD75" i="12"/>
  <c r="CD150" i="12"/>
  <c r="CE150" i="12" s="1"/>
  <c r="CD172" i="12"/>
  <c r="CD169" i="12" s="1"/>
  <c r="CD64" i="12"/>
  <c r="CE64" i="12" s="1"/>
  <c r="CF64" i="12" s="1"/>
  <c r="CG64" i="12" s="1"/>
  <c r="CH64" i="12" s="1"/>
  <c r="CD61" i="12"/>
  <c r="CE61" i="12" s="1"/>
  <c r="CD185" i="12"/>
  <c r="CD179" i="12" s="1"/>
  <c r="CD409" i="12" s="1"/>
  <c r="CD147" i="12"/>
  <c r="CE147" i="12" s="1"/>
  <c r="CD52" i="12"/>
  <c r="CE52" i="12" s="1"/>
  <c r="CD176" i="12"/>
  <c r="CE176" i="12" s="1"/>
  <c r="CE174" i="12" s="1"/>
  <c r="CD134" i="12"/>
  <c r="CD116" i="12"/>
  <c r="CD126" i="12"/>
  <c r="CE126" i="12" s="1"/>
  <c r="CD76" i="12"/>
  <c r="CE76" i="12" s="1"/>
  <c r="CF76" i="12" s="1"/>
  <c r="CG76" i="12" s="1"/>
  <c r="CH76" i="12" s="1"/>
  <c r="CD145" i="12"/>
  <c r="CE145" i="12" s="1"/>
  <c r="CF145" i="12" s="1"/>
  <c r="CG145" i="12" s="1"/>
  <c r="CH145" i="12" s="1"/>
  <c r="CD30" i="12"/>
  <c r="CE30" i="12" s="1"/>
  <c r="CD78" i="12"/>
  <c r="CD63" i="12"/>
  <c r="CD51" i="12"/>
  <c r="CD151" i="12"/>
  <c r="CE151" i="12" s="1"/>
  <c r="CF151" i="12" s="1"/>
  <c r="CG151" i="12" s="1"/>
  <c r="CH151" i="12" s="1"/>
  <c r="CD29" i="12"/>
  <c r="CE29" i="12" s="1"/>
  <c r="CF29" i="12" s="1"/>
  <c r="CD23" i="12"/>
  <c r="CD60" i="12"/>
  <c r="CE60" i="12" s="1"/>
  <c r="CD32" i="12"/>
  <c r="CD20" i="12"/>
  <c r="CE20" i="12" s="1"/>
  <c r="CD135" i="12"/>
  <c r="CD77" i="12" l="1"/>
  <c r="CD307" i="12" s="1"/>
  <c r="CD115" i="12"/>
  <c r="CD19" i="10" s="1"/>
  <c r="CD22" i="12"/>
  <c r="CD252" i="12" s="1"/>
  <c r="CD107" i="12"/>
  <c r="CE135" i="12"/>
  <c r="CD108" i="12"/>
  <c r="CD338" i="12" s="1"/>
  <c r="CD53" i="12"/>
  <c r="CD18" i="10" s="1"/>
  <c r="CD31" i="12"/>
  <c r="CD261" i="12" s="1"/>
  <c r="CE185" i="12"/>
  <c r="CE179" i="12" s="1"/>
  <c r="CF120" i="12"/>
  <c r="CG120" i="12" s="1"/>
  <c r="CH120" i="12" s="1"/>
  <c r="CD62" i="12"/>
  <c r="CD292" i="12" s="1"/>
  <c r="CE54" i="12"/>
  <c r="CF54" i="12" s="1"/>
  <c r="CD180" i="12"/>
  <c r="CD410" i="12" s="1"/>
  <c r="CD74" i="12"/>
  <c r="CE172" i="12"/>
  <c r="CE169" i="12" s="1"/>
  <c r="CD124" i="12"/>
  <c r="CD354" i="12" s="1"/>
  <c r="CD174" i="12"/>
  <c r="CD404" i="12" s="1"/>
  <c r="CE32" i="12"/>
  <c r="CF32" i="12" s="1"/>
  <c r="CF31" i="12" s="1"/>
  <c r="CE23" i="12"/>
  <c r="CE22" i="12" s="1"/>
  <c r="CE180" i="12"/>
  <c r="CE63" i="12"/>
  <c r="CE62" i="12" s="1"/>
  <c r="CE78" i="12"/>
  <c r="CE77" i="12" s="1"/>
  <c r="CD28" i="12"/>
  <c r="CD258" i="12" s="1"/>
  <c r="CE116" i="12"/>
  <c r="CE115" i="12" s="1"/>
  <c r="CE19" i="10" s="1"/>
  <c r="CD146" i="12"/>
  <c r="CD376" i="12" s="1"/>
  <c r="CD171" i="12"/>
  <c r="CD401" i="12" s="1"/>
  <c r="CG29" i="12"/>
  <c r="CF139" i="12"/>
  <c r="CE19" i="12"/>
  <c r="CF20" i="12"/>
  <c r="CF61" i="12"/>
  <c r="CG61" i="12" s="1"/>
  <c r="CH61" i="12" s="1"/>
  <c r="CF150" i="12"/>
  <c r="CE149" i="12"/>
  <c r="CE59" i="12"/>
  <c r="CE139" i="12"/>
  <c r="CD50" i="12"/>
  <c r="CD133" i="12"/>
  <c r="CD363" i="12" s="1"/>
  <c r="CD19" i="12"/>
  <c r="CD16" i="12"/>
  <c r="CD139" i="12"/>
  <c r="CD369" i="12" s="1"/>
  <c r="CD138" i="12"/>
  <c r="CE146" i="12"/>
  <c r="CE28" i="12"/>
  <c r="CD149" i="12"/>
  <c r="CD379" i="12" s="1"/>
  <c r="CD71" i="12"/>
  <c r="CD14" i="10" s="1"/>
  <c r="CE72" i="12"/>
  <c r="CD68" i="12"/>
  <c r="CD15" i="10" s="1"/>
  <c r="CE70" i="12"/>
  <c r="CE68" i="12" s="1"/>
  <c r="CE15" i="10" s="1"/>
  <c r="CD170" i="12"/>
  <c r="CD400" i="12" s="1"/>
  <c r="CE173" i="12"/>
  <c r="CD25" i="12"/>
  <c r="CD16" i="10" s="1"/>
  <c r="CF73" i="12"/>
  <c r="CG73" i="12" s="1"/>
  <c r="CH73" i="12" s="1"/>
  <c r="CF60" i="12"/>
  <c r="CD59" i="12"/>
  <c r="CD289" i="12" s="1"/>
  <c r="CE51" i="12"/>
  <c r="CD17" i="12"/>
  <c r="CF126" i="12"/>
  <c r="CG126" i="12" s="1"/>
  <c r="CH126" i="12" s="1"/>
  <c r="CE134" i="12"/>
  <c r="CF176" i="12"/>
  <c r="CF52" i="12"/>
  <c r="CF147" i="12"/>
  <c r="CF30" i="12"/>
  <c r="CD399" i="12"/>
  <c r="CE17" i="12"/>
  <c r="CD184" i="12"/>
  <c r="CD414" i="12" s="1"/>
  <c r="CE75" i="12"/>
  <c r="CE119" i="12"/>
  <c r="CD118" i="12"/>
  <c r="CD13" i="10" s="1"/>
  <c r="CD342" i="12"/>
  <c r="CE124" i="12"/>
  <c r="CF125" i="12"/>
  <c r="CE143" i="12"/>
  <c r="CE20" i="10" s="1"/>
  <c r="CF144" i="12"/>
  <c r="CF69" i="12"/>
  <c r="CD143" i="12"/>
  <c r="CD20" i="10" s="1"/>
  <c r="CE25" i="12"/>
  <c r="CE16" i="10" s="1"/>
  <c r="CF26" i="12"/>
  <c r="CF24" i="12"/>
  <c r="CG24" i="12" s="1"/>
  <c r="CH24" i="12" s="1"/>
  <c r="CE31" i="12" l="1"/>
  <c r="CE261" i="12" s="1"/>
  <c r="CD17" i="10"/>
  <c r="CH54" i="4"/>
  <c r="CF172" i="12"/>
  <c r="CG172" i="12" s="1"/>
  <c r="CE184" i="12"/>
  <c r="CF185" i="12"/>
  <c r="CF179" i="12" s="1"/>
  <c r="CF63" i="12"/>
  <c r="CF62" i="12" s="1"/>
  <c r="CF292" i="12" s="1"/>
  <c r="CE354" i="12"/>
  <c r="CE307" i="12"/>
  <c r="CE292" i="12"/>
  <c r="CF23" i="12"/>
  <c r="CG23" i="12" s="1"/>
  <c r="CE53" i="12"/>
  <c r="CE18" i="10" s="1"/>
  <c r="CD178" i="12"/>
  <c r="CH59" i="4" s="1"/>
  <c r="CD345" i="12"/>
  <c r="CF116" i="12"/>
  <c r="CG116" i="12" s="1"/>
  <c r="CE345" i="12"/>
  <c r="CD283" i="12"/>
  <c r="CE252" i="12"/>
  <c r="CE107" i="12"/>
  <c r="CF135" i="12"/>
  <c r="CE108" i="12"/>
  <c r="CE338" i="12" s="1"/>
  <c r="CE258" i="12"/>
  <c r="CG32" i="12"/>
  <c r="CG31" i="12" s="1"/>
  <c r="CG261" i="12" s="1"/>
  <c r="CF78" i="12"/>
  <c r="CG78" i="12" s="1"/>
  <c r="CD304" i="12"/>
  <c r="CE410" i="12"/>
  <c r="CD168" i="12"/>
  <c r="CH58" i="4" s="1"/>
  <c r="CE16" i="12"/>
  <c r="CE15" i="12" s="1"/>
  <c r="CM57" i="4" s="1"/>
  <c r="CE404" i="12"/>
  <c r="CG69" i="12"/>
  <c r="CF124" i="12"/>
  <c r="CF354" i="12" s="1"/>
  <c r="CG125" i="12"/>
  <c r="CD348" i="12"/>
  <c r="CF28" i="12"/>
  <c r="CF258" i="12" s="1"/>
  <c r="CF17" i="12"/>
  <c r="CG30" i="12"/>
  <c r="CG52" i="12"/>
  <c r="CF174" i="12"/>
  <c r="CF404" i="12" s="1"/>
  <c r="CG176" i="12"/>
  <c r="CE133" i="12"/>
  <c r="CE363" i="12" s="1"/>
  <c r="CF134" i="12"/>
  <c r="CD247" i="12"/>
  <c r="CG63" i="12"/>
  <c r="CD255" i="12"/>
  <c r="CE170" i="12"/>
  <c r="CE400" i="12" s="1"/>
  <c r="CF173" i="12"/>
  <c r="CF70" i="12"/>
  <c r="CG70" i="12" s="1"/>
  <c r="CH70" i="12" s="1"/>
  <c r="CE71" i="12"/>
  <c r="CE14" i="10" s="1"/>
  <c r="CF72" i="12"/>
  <c r="CE414" i="12"/>
  <c r="CE376" i="12"/>
  <c r="CD368" i="12"/>
  <c r="CD137" i="12"/>
  <c r="CH56" i="4" s="1"/>
  <c r="CE369" i="12"/>
  <c r="CE379" i="12"/>
  <c r="CF19" i="12"/>
  <c r="CG20" i="12"/>
  <c r="CG139" i="12"/>
  <c r="CG369" i="12" s="1"/>
  <c r="CH139" i="12"/>
  <c r="CH29" i="12"/>
  <c r="CH32" i="12"/>
  <c r="CH31" i="12" s="1"/>
  <c r="CE255" i="12"/>
  <c r="CF25" i="12"/>
  <c r="CF16" i="10" s="1"/>
  <c r="CG26" i="12"/>
  <c r="CD373" i="12"/>
  <c r="CE298" i="12"/>
  <c r="CF143" i="12"/>
  <c r="CF20" i="10" s="1"/>
  <c r="CG144" i="12"/>
  <c r="CE373" i="12"/>
  <c r="CE342" i="12"/>
  <c r="CD106" i="12"/>
  <c r="CH55" i="4" s="1"/>
  <c r="CD337" i="12"/>
  <c r="CE118" i="12"/>
  <c r="CE13" i="10" s="1"/>
  <c r="CF119" i="12"/>
  <c r="CF53" i="12"/>
  <c r="CF18" i="10" s="1"/>
  <c r="CG54" i="12"/>
  <c r="CE74" i="12"/>
  <c r="CF75" i="12"/>
  <c r="CE247" i="12"/>
  <c r="CF146" i="12"/>
  <c r="CF376" i="12" s="1"/>
  <c r="CG147" i="12"/>
  <c r="CE138" i="12"/>
  <c r="CE50" i="12"/>
  <c r="CF51" i="12"/>
  <c r="CF59" i="12"/>
  <c r="CF289" i="12" s="1"/>
  <c r="CG60" i="12"/>
  <c r="CE399" i="12"/>
  <c r="CE171" i="12"/>
  <c r="CE401" i="12" s="1"/>
  <c r="CD298" i="12"/>
  <c r="CD301" i="12"/>
  <c r="CE409" i="12"/>
  <c r="CE178" i="12"/>
  <c r="CM59" i="4" s="1"/>
  <c r="CD246" i="12"/>
  <c r="CD15" i="12"/>
  <c r="CH57" i="4" s="1"/>
  <c r="CD249" i="12"/>
  <c r="CD18" i="12"/>
  <c r="CD248" i="12" s="1"/>
  <c r="CD280" i="12"/>
  <c r="CE289" i="12"/>
  <c r="CF149" i="12"/>
  <c r="CF379" i="12" s="1"/>
  <c r="CG150" i="12"/>
  <c r="CE249" i="12"/>
  <c r="CE18" i="12"/>
  <c r="CF369" i="12"/>
  <c r="CF261" i="12"/>
  <c r="CE17" i="10" l="1"/>
  <c r="CM54" i="4"/>
  <c r="CF184" i="12"/>
  <c r="CF414" i="12" s="1"/>
  <c r="CF169" i="12"/>
  <c r="CF399" i="12" s="1"/>
  <c r="CF171" i="12"/>
  <c r="CF401" i="12" s="1"/>
  <c r="CG185" i="12"/>
  <c r="CG184" i="12" s="1"/>
  <c r="CF115" i="12"/>
  <c r="CF19" i="10" s="1"/>
  <c r="CD408" i="12"/>
  <c r="CF77" i="12"/>
  <c r="CF307" i="12" s="1"/>
  <c r="CE283" i="12"/>
  <c r="CF22" i="12"/>
  <c r="CF252" i="12" s="1"/>
  <c r="CE246" i="12"/>
  <c r="CF16" i="12"/>
  <c r="CF15" i="12" s="1"/>
  <c r="CF107" i="12"/>
  <c r="CG135" i="12"/>
  <c r="CF108" i="12"/>
  <c r="CF338" i="12" s="1"/>
  <c r="CD398" i="12"/>
  <c r="CE168" i="12"/>
  <c r="CM58" i="4" s="1"/>
  <c r="CF180" i="12"/>
  <c r="CF410" i="12" s="1"/>
  <c r="CH369" i="12"/>
  <c r="CE248" i="12"/>
  <c r="CH261" i="12"/>
  <c r="CH150" i="12"/>
  <c r="CH149" i="12" s="1"/>
  <c r="CG149" i="12"/>
  <c r="CG379" i="12" s="1"/>
  <c r="CG59" i="12"/>
  <c r="CG289" i="12" s="1"/>
  <c r="CH60" i="12"/>
  <c r="CH59" i="12" s="1"/>
  <c r="CF138" i="12"/>
  <c r="CF71" i="12"/>
  <c r="CF14" i="10" s="1"/>
  <c r="CG72" i="12"/>
  <c r="CG180" i="12"/>
  <c r="CG62" i="12"/>
  <c r="CG292" i="12" s="1"/>
  <c r="CH63" i="12"/>
  <c r="CH62" i="12" s="1"/>
  <c r="CF409" i="12"/>
  <c r="CG28" i="12"/>
  <c r="CG258" i="12" s="1"/>
  <c r="CH30" i="12"/>
  <c r="CG17" i="12"/>
  <c r="CG124" i="12"/>
  <c r="CG354" i="12" s="1"/>
  <c r="CH125" i="12"/>
  <c r="CH124" i="12" s="1"/>
  <c r="CG68" i="12"/>
  <c r="CG15" i="10" s="1"/>
  <c r="CH69" i="12"/>
  <c r="CH68" i="12" s="1"/>
  <c r="CH15" i="10" s="1"/>
  <c r="CE408" i="12"/>
  <c r="CH23" i="12"/>
  <c r="CH22" i="12" s="1"/>
  <c r="CG22" i="12"/>
  <c r="CF50" i="12"/>
  <c r="CF17" i="10" s="1"/>
  <c r="CG51" i="12"/>
  <c r="CE368" i="12"/>
  <c r="CE137" i="12"/>
  <c r="CM56" i="4" s="1"/>
  <c r="CF74" i="12"/>
  <c r="CG75" i="12"/>
  <c r="CF283" i="12"/>
  <c r="CF342" i="12"/>
  <c r="CF373" i="12"/>
  <c r="CG25" i="12"/>
  <c r="CG16" i="10" s="1"/>
  <c r="CH26" i="12"/>
  <c r="CH25" i="12" s="1"/>
  <c r="CH16" i="10" s="1"/>
  <c r="CG16" i="12"/>
  <c r="CG19" i="12"/>
  <c r="CH20" i="12"/>
  <c r="CH19" i="12" s="1"/>
  <c r="CD245" i="12"/>
  <c r="CE280" i="12"/>
  <c r="CG77" i="12"/>
  <c r="CH78" i="12"/>
  <c r="CH77" i="12" s="1"/>
  <c r="CG115" i="12"/>
  <c r="CG19" i="10" s="1"/>
  <c r="CH116" i="12"/>
  <c r="CH115" i="12" s="1"/>
  <c r="CH19" i="10" s="1"/>
  <c r="CG146" i="12"/>
  <c r="CG376" i="12" s="1"/>
  <c r="CH147" i="12"/>
  <c r="CH146" i="12" s="1"/>
  <c r="CE304" i="12"/>
  <c r="CG53" i="12"/>
  <c r="CG18" i="10" s="1"/>
  <c r="CH54" i="12"/>
  <c r="CH53" i="12" s="1"/>
  <c r="CH18" i="10" s="1"/>
  <c r="CF118" i="12"/>
  <c r="CF13" i="10" s="1"/>
  <c r="CG119" i="12"/>
  <c r="CE348" i="12"/>
  <c r="CD336" i="12"/>
  <c r="CE337" i="12"/>
  <c r="CE106" i="12"/>
  <c r="CM55" i="4" s="1"/>
  <c r="CG143" i="12"/>
  <c r="CG20" i="10" s="1"/>
  <c r="CH144" i="12"/>
  <c r="CH143" i="12" s="1"/>
  <c r="CH20" i="10" s="1"/>
  <c r="CF255" i="12"/>
  <c r="CF249" i="12"/>
  <c r="CF18" i="12"/>
  <c r="CF248" i="12" s="1"/>
  <c r="CD367" i="12"/>
  <c r="CE301" i="12"/>
  <c r="CF170" i="12"/>
  <c r="CF400" i="12" s="1"/>
  <c r="CG173" i="12"/>
  <c r="CG171" i="12" s="1"/>
  <c r="CG401" i="12" s="1"/>
  <c r="CG169" i="12"/>
  <c r="CH172" i="12"/>
  <c r="CE245" i="12"/>
  <c r="CF133" i="12"/>
  <c r="CF363" i="12" s="1"/>
  <c r="CG134" i="12"/>
  <c r="CH176" i="12"/>
  <c r="CH174" i="12" s="1"/>
  <c r="CG174" i="12"/>
  <c r="CG404" i="12" s="1"/>
  <c r="CH52" i="12"/>
  <c r="CF247" i="12"/>
  <c r="CF68" i="12"/>
  <c r="CF15" i="10" s="1"/>
  <c r="CG414" i="12" l="1"/>
  <c r="CH185" i="12"/>
  <c r="CH179" i="12" s="1"/>
  <c r="CG179" i="12"/>
  <c r="CG409" i="12" s="1"/>
  <c r="CG307" i="12"/>
  <c r="CF345" i="12"/>
  <c r="CF246" i="12"/>
  <c r="CG252" i="12"/>
  <c r="CG410" i="12"/>
  <c r="CE398" i="12"/>
  <c r="CG107" i="12"/>
  <c r="CH135" i="12"/>
  <c r="CH108" i="12" s="1"/>
  <c r="CG108" i="12"/>
  <c r="CG338" i="12" s="1"/>
  <c r="CF178" i="12"/>
  <c r="CF408" i="12" s="1"/>
  <c r="CH292" i="12"/>
  <c r="CH379" i="12"/>
  <c r="CH354" i="12"/>
  <c r="CH16" i="12"/>
  <c r="CH246" i="12" s="1"/>
  <c r="CH289" i="12"/>
  <c r="CH373" i="12"/>
  <c r="CE336" i="12"/>
  <c r="CF348" i="12"/>
  <c r="CG283" i="12"/>
  <c r="CG345" i="12"/>
  <c r="CH404" i="12"/>
  <c r="CH169" i="12"/>
  <c r="CG170" i="12"/>
  <c r="CG400" i="12" s="1"/>
  <c r="CH173" i="12"/>
  <c r="CH170" i="12" s="1"/>
  <c r="CG373" i="12"/>
  <c r="CG118" i="12"/>
  <c r="CG13" i="10" s="1"/>
  <c r="CH119" i="12"/>
  <c r="CH118" i="12" s="1"/>
  <c r="CH13" i="10" s="1"/>
  <c r="CH283" i="12"/>
  <c r="CH376" i="12"/>
  <c r="CH345" i="12"/>
  <c r="CH307" i="12"/>
  <c r="CH249" i="12"/>
  <c r="CH18" i="12"/>
  <c r="CG246" i="12"/>
  <c r="CG15" i="12"/>
  <c r="CG255" i="12"/>
  <c r="CG342" i="12"/>
  <c r="CG74" i="12"/>
  <c r="CG304" i="12" s="1"/>
  <c r="CH75" i="12"/>
  <c r="CH74" i="12" s="1"/>
  <c r="CE367" i="12"/>
  <c r="CG50" i="12"/>
  <c r="CG17" i="10" s="1"/>
  <c r="CH51" i="12"/>
  <c r="CF280" i="12"/>
  <c r="CH252" i="12"/>
  <c r="CH298" i="12"/>
  <c r="CG247" i="12"/>
  <c r="CF168" i="12"/>
  <c r="CF301" i="12"/>
  <c r="CG138" i="12"/>
  <c r="CF137" i="12"/>
  <c r="CF368" i="12"/>
  <c r="CF298" i="12"/>
  <c r="CH134" i="12"/>
  <c r="CG133" i="12"/>
  <c r="CG363" i="12" s="1"/>
  <c r="CG399" i="12"/>
  <c r="CF245" i="12"/>
  <c r="CG249" i="12"/>
  <c r="CG18" i="12"/>
  <c r="CG248" i="12" s="1"/>
  <c r="CH255" i="12"/>
  <c r="CF106" i="12"/>
  <c r="CF337" i="12"/>
  <c r="CF304" i="12"/>
  <c r="CG298" i="12"/>
  <c r="CH28" i="12"/>
  <c r="CH258" i="12" s="1"/>
  <c r="CH17" i="12"/>
  <c r="CG71" i="12"/>
  <c r="CG14" i="10" s="1"/>
  <c r="CH72" i="12"/>
  <c r="CH71" i="12" s="1"/>
  <c r="CH14" i="10" s="1"/>
  <c r="CH184" i="12" l="1"/>
  <c r="CH414" i="12" s="1"/>
  <c r="CG178" i="12"/>
  <c r="CG408" i="12" s="1"/>
  <c r="CH180" i="12"/>
  <c r="CH410" i="12" s="1"/>
  <c r="CG168" i="12"/>
  <c r="CG398" i="12" s="1"/>
  <c r="CH338" i="12"/>
  <c r="CH133" i="12"/>
  <c r="CH363" i="12" s="1"/>
  <c r="CH107" i="12"/>
  <c r="CH304" i="12"/>
  <c r="CH171" i="12"/>
  <c r="CH401" i="12" s="1"/>
  <c r="CG301" i="12"/>
  <c r="CH247" i="12"/>
  <c r="CH301" i="12"/>
  <c r="CF336" i="12"/>
  <c r="CF367" i="12"/>
  <c r="CG280" i="12"/>
  <c r="CG337" i="12"/>
  <c r="CG106" i="12"/>
  <c r="CG348" i="12"/>
  <c r="CH400" i="12"/>
  <c r="CH399" i="12"/>
  <c r="CH168" i="12"/>
  <c r="CH409" i="12"/>
  <c r="CH138" i="12"/>
  <c r="CG368" i="12"/>
  <c r="CG137" i="12"/>
  <c r="CF398" i="12"/>
  <c r="CH50" i="12"/>
  <c r="CH17" i="10" s="1"/>
  <c r="CH342" i="12"/>
  <c r="CG245" i="12"/>
  <c r="CH248" i="12"/>
  <c r="CH348" i="12"/>
  <c r="CH15" i="12"/>
  <c r="CH178" i="12" l="1"/>
  <c r="CH106" i="12"/>
  <c r="CH337" i="12"/>
  <c r="CG336" i="12"/>
  <c r="CH245" i="12"/>
  <c r="CH280" i="12"/>
  <c r="CG367" i="12"/>
  <c r="CH368" i="12"/>
  <c r="CH137" i="12"/>
  <c r="CH398" i="12"/>
  <c r="CH408" i="12" l="1"/>
  <c r="CH367" i="12"/>
  <c r="CH336" i="12"/>
  <c r="CA190" i="15" l="1"/>
  <c r="BZ190" i="15"/>
  <c r="BW439" i="12" l="1"/>
  <c r="BW436" i="12"/>
  <c r="BW437" i="12"/>
  <c r="BW438" i="12"/>
  <c r="BW442" i="12"/>
  <c r="BX214" i="12"/>
  <c r="BX444" i="12" s="1"/>
  <c r="BX213" i="12"/>
  <c r="BX443" i="12" s="1"/>
  <c r="BW237" i="12"/>
  <c r="BW467" i="12" s="1"/>
  <c r="BW466" i="12"/>
  <c r="BX211" i="12"/>
  <c r="BX441" i="12" s="1"/>
  <c r="BW235" i="12"/>
  <c r="BW11" i="10" s="1"/>
  <c r="BW444" i="12"/>
  <c r="CB214" i="12"/>
  <c r="CC214" i="12" s="1"/>
  <c r="BW443" i="12"/>
  <c r="CB213" i="12"/>
  <c r="CB212" i="12" s="1"/>
  <c r="CB442" i="12" s="1"/>
  <c r="BW441" i="12"/>
  <c r="CB211" i="12"/>
  <c r="BX210" i="12"/>
  <c r="BW440" i="12"/>
  <c r="CB210" i="12"/>
  <c r="CC210" i="12" s="1"/>
  <c r="BW59" i="10" l="1"/>
  <c r="BW56" i="10"/>
  <c r="BW67" i="10"/>
  <c r="BW25" i="10"/>
  <c r="BW58" i="10"/>
  <c r="BW60" i="10" s="1"/>
  <c r="CB208" i="12"/>
  <c r="CB438" i="12" s="1"/>
  <c r="BW187" i="15"/>
  <c r="BX207" i="12"/>
  <c r="BX236" i="12" s="1"/>
  <c r="BX466" i="12" s="1"/>
  <c r="BX212" i="12"/>
  <c r="BX442" i="12" s="1"/>
  <c r="CC211" i="12"/>
  <c r="CD211" i="12" s="1"/>
  <c r="CE211" i="12" s="1"/>
  <c r="CC440" i="12"/>
  <c r="CD210" i="12"/>
  <c r="CB209" i="12"/>
  <c r="CB439" i="12" s="1"/>
  <c r="CB207" i="12"/>
  <c r="BX209" i="12"/>
  <c r="BX439" i="12" s="1"/>
  <c r="BX440" i="12"/>
  <c r="CC444" i="12"/>
  <c r="CD214" i="12"/>
  <c r="CE214" i="12" s="1"/>
  <c r="CF214" i="12" s="1"/>
  <c r="CG214" i="12" s="1"/>
  <c r="CH214" i="12" s="1"/>
  <c r="CC213" i="12"/>
  <c r="BW465" i="12"/>
  <c r="BX208" i="12"/>
  <c r="BX206" i="12" l="1"/>
  <c r="BX21" i="10" s="1"/>
  <c r="BW57" i="10"/>
  <c r="BW69" i="10"/>
  <c r="BW29" i="10"/>
  <c r="CB237" i="12"/>
  <c r="CB467" i="12" s="1"/>
  <c r="BX437" i="12"/>
  <c r="BW126" i="15"/>
  <c r="BW122" i="15"/>
  <c r="BW130" i="15" s="1"/>
  <c r="BW133" i="15" s="1"/>
  <c r="BW127" i="15"/>
  <c r="CC209" i="12"/>
  <c r="CC439" i="12" s="1"/>
  <c r="CC441" i="12"/>
  <c r="CC208" i="12"/>
  <c r="CC438" i="12" s="1"/>
  <c r="CC443" i="12"/>
  <c r="CC212" i="12"/>
  <c r="CC442" i="12" s="1"/>
  <c r="CD213" i="12"/>
  <c r="CE208" i="12"/>
  <c r="CF211" i="12"/>
  <c r="BX436" i="12"/>
  <c r="BX235" i="12"/>
  <c r="BX11" i="10" s="1"/>
  <c r="CC207" i="12"/>
  <c r="BX438" i="12"/>
  <c r="BX237" i="12"/>
  <c r="BX467" i="12" s="1"/>
  <c r="CD208" i="12"/>
  <c r="CB236" i="12"/>
  <c r="CB466" i="12" s="1"/>
  <c r="CB437" i="12"/>
  <c r="CB206" i="12"/>
  <c r="CB21" i="10" s="1"/>
  <c r="CD209" i="12"/>
  <c r="CE210" i="12"/>
  <c r="BX60" i="4" l="1"/>
  <c r="BX67" i="10"/>
  <c r="BX56" i="10"/>
  <c r="BX116" i="4" s="1"/>
  <c r="BX58" i="10"/>
  <c r="BX59" i="10"/>
  <c r="BX117" i="4" s="1"/>
  <c r="BX25" i="10"/>
  <c r="BX73" i="4"/>
  <c r="BX158" i="4"/>
  <c r="BX164" i="4" s="1"/>
  <c r="BW72" i="10"/>
  <c r="BW44" i="10"/>
  <c r="BW61" i="10"/>
  <c r="BW33" i="10"/>
  <c r="BW147" i="15"/>
  <c r="BX187" i="15"/>
  <c r="CD439" i="12"/>
  <c r="CE209" i="12"/>
  <c r="CE439" i="12" s="1"/>
  <c r="CF210" i="12"/>
  <c r="CD438" i="12"/>
  <c r="BX476" i="12"/>
  <c r="BX473" i="12"/>
  <c r="BX479" i="12"/>
  <c r="BX474" i="12"/>
  <c r="BX472" i="12"/>
  <c r="BX465" i="12"/>
  <c r="BX475" i="12"/>
  <c r="BX471" i="12"/>
  <c r="BX477" i="12"/>
  <c r="BX478" i="12"/>
  <c r="CF208" i="12"/>
  <c r="CG211" i="12"/>
  <c r="CD212" i="12"/>
  <c r="CD442" i="12" s="1"/>
  <c r="CE213" i="12"/>
  <c r="CE207" i="12" s="1"/>
  <c r="CD207" i="12"/>
  <c r="CB436" i="12"/>
  <c r="CB235" i="12"/>
  <c r="CB11" i="10" s="1"/>
  <c r="CC437" i="12"/>
  <c r="CC206" i="12"/>
  <c r="CE438" i="12"/>
  <c r="CC21" i="10" l="1"/>
  <c r="CC60" i="4"/>
  <c r="CB24" i="10"/>
  <c r="CB59" i="10"/>
  <c r="CB58" i="10"/>
  <c r="CB67" i="10"/>
  <c r="CB25" i="10"/>
  <c r="BW73" i="10"/>
  <c r="BW62" i="10"/>
  <c r="BW63" i="10"/>
  <c r="BW47" i="10"/>
  <c r="BW74" i="10"/>
  <c r="BW46" i="10"/>
  <c r="BX57" i="10"/>
  <c r="BX69" i="10"/>
  <c r="BX29" i="10"/>
  <c r="BX75" i="4"/>
  <c r="BX76" i="4" s="1"/>
  <c r="BX60" i="10"/>
  <c r="BX118" i="4"/>
  <c r="BW164" i="15"/>
  <c r="BW177" i="15"/>
  <c r="BW148" i="15"/>
  <c r="BW169" i="15"/>
  <c r="CB39" i="19"/>
  <c r="CB40" i="19" s="1"/>
  <c r="BX127" i="15"/>
  <c r="BX138" i="15"/>
  <c r="BX126" i="15"/>
  <c r="BX122" i="15"/>
  <c r="BX130" i="15" s="1"/>
  <c r="BX133" i="15" s="1"/>
  <c r="CC436" i="12"/>
  <c r="CB465" i="12"/>
  <c r="CF438" i="12"/>
  <c r="CE437" i="12"/>
  <c r="CE206" i="12"/>
  <c r="CD437" i="12"/>
  <c r="CD206" i="12"/>
  <c r="CE212" i="12"/>
  <c r="CE442" i="12" s="1"/>
  <c r="CF213" i="12"/>
  <c r="CG208" i="12"/>
  <c r="CH211" i="12"/>
  <c r="CH208" i="12" s="1"/>
  <c r="CF209" i="12"/>
  <c r="CF439" i="12" s="1"/>
  <c r="CG210" i="12"/>
  <c r="CB60" i="10" l="1"/>
  <c r="CD21" i="10"/>
  <c r="CH60" i="4"/>
  <c r="CE21" i="10"/>
  <c r="CM60" i="4"/>
  <c r="BX72" i="10"/>
  <c r="BX61" i="10"/>
  <c r="BX33" i="10"/>
  <c r="BX44" i="10"/>
  <c r="BW75" i="10"/>
  <c r="BW49" i="10"/>
  <c r="BW76" i="10" s="1"/>
  <c r="BW93" i="10"/>
  <c r="BW64" i="10"/>
  <c r="CB57" i="10"/>
  <c r="CB69" i="10"/>
  <c r="CB29" i="10"/>
  <c r="CB68" i="10"/>
  <c r="CC24" i="10"/>
  <c r="BW11" i="15"/>
  <c r="BW190" i="15"/>
  <c r="BW167" i="15"/>
  <c r="BW151" i="15"/>
  <c r="BX147" i="15"/>
  <c r="CG209" i="12"/>
  <c r="CG439" i="12" s="1"/>
  <c r="CH210" i="12"/>
  <c r="CH438" i="12"/>
  <c r="CF212" i="12"/>
  <c r="CF442" i="12" s="1"/>
  <c r="CG213" i="12"/>
  <c r="CG207" i="12" s="1"/>
  <c r="CD436" i="12"/>
  <c r="CE436" i="12"/>
  <c r="CF207" i="12"/>
  <c r="CG438" i="12"/>
  <c r="CB187" i="15"/>
  <c r="BX63" i="10" l="1"/>
  <c r="BX46" i="10"/>
  <c r="BX119" i="4" s="1"/>
  <c r="BX74" i="10"/>
  <c r="BX47" i="10"/>
  <c r="BX83" i="4"/>
  <c r="BX84" i="4" s="1"/>
  <c r="CC68" i="10"/>
  <c r="CC74" i="4"/>
  <c r="CB72" i="10"/>
  <c r="CB44" i="10"/>
  <c r="CB61" i="10"/>
  <c r="CB33" i="10"/>
  <c r="BX62" i="10"/>
  <c r="BX73" i="10"/>
  <c r="BW149" i="15"/>
  <c r="BW155" i="15"/>
  <c r="BW165" i="15"/>
  <c r="BW168" i="15"/>
  <c r="BW144" i="15"/>
  <c r="BW179" i="15"/>
  <c r="BW12" i="15"/>
  <c r="BX177" i="15"/>
  <c r="BX148" i="15"/>
  <c r="BX80" i="4" s="1"/>
  <c r="CB189" i="15"/>
  <c r="CB188" i="15"/>
  <c r="CF437" i="12"/>
  <c r="CF206" i="12"/>
  <c r="CF21" i="10" s="1"/>
  <c r="CG437" i="12"/>
  <c r="CG206" i="12"/>
  <c r="CG21" i="10" s="1"/>
  <c r="CH213" i="12"/>
  <c r="CH212" i="12" s="1"/>
  <c r="CG212" i="12"/>
  <c r="CG442" i="12" s="1"/>
  <c r="CH209" i="12"/>
  <c r="CH439" i="12" s="1"/>
  <c r="BX75" i="10" l="1"/>
  <c r="BX49" i="10"/>
  <c r="BX93" i="10"/>
  <c r="BX64" i="10"/>
  <c r="BX86" i="4"/>
  <c r="CB73" i="10"/>
  <c r="CB62" i="10"/>
  <c r="CB74" i="10"/>
  <c r="CB45" i="10"/>
  <c r="CC45" i="10" s="1"/>
  <c r="CB63" i="10"/>
  <c r="BX78" i="4"/>
  <c r="BX81" i="4"/>
  <c r="BW146" i="15"/>
  <c r="BW159" i="15"/>
  <c r="CH207" i="12"/>
  <c r="CH206" i="12" s="1"/>
  <c r="CH21" i="10" s="1"/>
  <c r="CH442" i="12"/>
  <c r="CF436" i="12"/>
  <c r="CC76" i="19"/>
  <c r="CG436" i="12"/>
  <c r="CB47" i="10" l="1"/>
  <c r="BX89" i="4"/>
  <c r="BX168" i="4"/>
  <c r="BX76" i="10"/>
  <c r="BX101" i="4"/>
  <c r="BX87" i="4"/>
  <c r="CH437" i="12"/>
  <c r="CH436" i="12"/>
  <c r="BX90" i="4" l="1"/>
  <c r="BX91" i="4"/>
  <c r="CB75" i="10"/>
  <c r="CB49" i="10"/>
  <c r="CB76" i="10" s="1"/>
  <c r="CB93" i="10"/>
  <c r="CB64" i="10"/>
  <c r="CB190" i="15" l="1"/>
  <c r="BX164" i="15" l="1"/>
  <c r="BX167" i="15" l="1"/>
  <c r="BX151" i="15"/>
  <c r="BX121" i="4" s="1"/>
  <c r="BX122" i="4" s="1"/>
  <c r="BX123" i="4" s="1"/>
  <c r="BX204" i="15"/>
  <c r="BX207" i="15" s="1"/>
  <c r="BX190" i="15"/>
  <c r="BX165" i="15" s="1"/>
  <c r="BX11" i="15"/>
  <c r="BX12" i="79"/>
  <c r="BX144" i="15" l="1"/>
  <c r="BX179" i="15"/>
  <c r="BX12" i="15"/>
  <c r="BX149" i="15"/>
  <c r="BX155" i="15"/>
  <c r="BX159" i="15" l="1"/>
  <c r="BX146" i="15"/>
  <c r="BX56" i="15" l="1"/>
  <c r="BX58" i="15" s="1"/>
  <c r="BX67" i="15" s="1"/>
  <c r="BX66" i="15" s="1"/>
  <c r="BX105" i="4" s="1"/>
  <c r="BX10" i="79"/>
  <c r="BX14" i="79" s="1"/>
  <c r="BX141" i="15" l="1"/>
  <c r="BX199" i="15"/>
  <c r="BX172" i="15"/>
  <c r="BX109" i="4" s="1"/>
  <c r="BX76" i="15"/>
  <c r="CC57" i="15"/>
  <c r="BX139" i="15" l="1"/>
  <c r="BX136" i="15"/>
  <c r="BX140" i="15"/>
  <c r="BX84" i="15"/>
  <c r="BX201" i="15"/>
  <c r="BX115" i="15" l="1"/>
  <c r="BX113" i="15"/>
  <c r="BX176" i="15" l="1"/>
  <c r="BX156" i="15"/>
  <c r="BX161" i="15" s="1"/>
  <c r="BX206" i="15"/>
  <c r="BX203" i="15" s="1"/>
  <c r="BX168" i="15"/>
  <c r="BX174" i="15"/>
  <c r="BX110" i="4" s="1"/>
  <c r="BX169" i="15"/>
  <c r="BX173" i="15"/>
  <c r="BX166" i="15"/>
  <c r="BX178" i="22" l="1"/>
  <c r="BY236" i="12" l="1"/>
  <c r="BY466" i="12" s="1"/>
  <c r="BY243" i="12"/>
  <c r="BY242" i="12" l="1"/>
  <c r="BY237" i="12"/>
  <c r="BY467" i="12" s="1"/>
  <c r="BY241" i="12" l="1"/>
  <c r="BY235" i="12"/>
  <c r="BY11" i="10" s="1"/>
  <c r="BY67" i="10" l="1"/>
  <c r="BY56" i="10"/>
  <c r="BY59" i="10"/>
  <c r="BY58" i="10"/>
  <c r="BY25" i="10"/>
  <c r="BY465" i="12"/>
  <c r="BY60" i="10" l="1"/>
  <c r="BY69" i="10"/>
  <c r="BY29" i="10"/>
  <c r="BY57" i="10"/>
  <c r="BY187" i="15"/>
  <c r="BY39" i="19"/>
  <c r="BY40" i="19" s="1"/>
  <c r="BY72" i="10" l="1"/>
  <c r="BY33" i="10"/>
  <c r="BY61" i="10"/>
  <c r="BY44" i="10"/>
  <c r="BY189" i="15"/>
  <c r="BY188" i="15"/>
  <c r="BY63" i="10" l="1"/>
  <c r="BY46" i="10"/>
  <c r="BY74" i="10"/>
  <c r="BY47" i="10"/>
  <c r="BY73" i="10"/>
  <c r="BY62" i="10"/>
  <c r="CC189" i="15"/>
  <c r="CC188" i="15"/>
  <c r="BY75" i="10" l="1"/>
  <c r="BY49" i="10"/>
  <c r="BY76" i="10" s="1"/>
  <c r="BY93" i="10"/>
  <c r="BY64" i="10"/>
  <c r="CC72" i="15"/>
  <c r="CC87" i="15"/>
  <c r="CC94" i="15" s="1"/>
  <c r="CC100" i="15" s="1"/>
  <c r="BY190" i="15" l="1"/>
  <c r="BY191" i="15" l="1"/>
  <c r="BY195" i="15" s="1"/>
  <c r="CD191" i="15" l="1"/>
  <c r="CH98" i="4" s="1"/>
  <c r="CC191" i="15"/>
  <c r="CC98" i="4" s="1"/>
  <c r="CC195" i="15" l="1"/>
  <c r="CC44" i="15"/>
  <c r="CE191" i="15"/>
  <c r="CM98" i="4" s="1"/>
  <c r="CD195" i="15"/>
  <c r="CD44" i="15"/>
  <c r="CD53" i="15" l="1"/>
  <c r="CF191" i="15"/>
  <c r="CE195" i="15"/>
  <c r="CE44" i="15"/>
  <c r="CC53" i="15"/>
  <c r="CE53" i="15" l="1"/>
  <c r="CF195" i="15"/>
  <c r="CF44" i="15"/>
  <c r="CG191" i="15"/>
  <c r="CG195" i="15" l="1"/>
  <c r="CG44" i="15"/>
  <c r="CH191" i="15"/>
  <c r="J22" i="79"/>
  <c r="CF53" i="15"/>
  <c r="J25" i="79" l="1"/>
  <c r="J24" i="79"/>
  <c r="CG53" i="15"/>
  <c r="CH195" i="15"/>
  <c r="CH44" i="15"/>
  <c r="CH53" i="15" l="1"/>
  <c r="J33" i="79"/>
  <c r="CC17" i="79" l="1"/>
  <c r="CF17" i="79"/>
  <c r="CD17" i="79"/>
  <c r="CE17" i="79"/>
  <c r="CG17" i="79"/>
  <c r="J43" i="79"/>
  <c r="BS49" i="79" s="1"/>
  <c r="CH17" i="79"/>
  <c r="BX17" i="79"/>
  <c r="BX18" i="79" s="1"/>
  <c r="BS48" i="79" l="1"/>
  <c r="BS50" i="79"/>
  <c r="BS47" i="79" l="1"/>
  <c r="BS51" i="79"/>
  <c r="BS52" i="79" l="1"/>
  <c r="BS46" i="79"/>
  <c r="BS45" i="79" l="1"/>
  <c r="BS53" i="79"/>
  <c r="BY81" i="12"/>
  <c r="BY311" i="12" l="1"/>
  <c r="CC81" i="12"/>
  <c r="CC311" i="12" l="1"/>
  <c r="CC48" i="12"/>
  <c r="CD81" i="12"/>
  <c r="CC12" i="12" l="1"/>
  <c r="CC278" i="12"/>
  <c r="CE81" i="12"/>
  <c r="CD48" i="12"/>
  <c r="CF81" i="12" l="1"/>
  <c r="CE48" i="12"/>
  <c r="CD278" i="12"/>
  <c r="CD12" i="12"/>
  <c r="CC242" i="12"/>
  <c r="CC236" i="12"/>
  <c r="CC466" i="12" s="1"/>
  <c r="CG81" i="12" l="1"/>
  <c r="CF48" i="12"/>
  <c r="CD242" i="12"/>
  <c r="CD236" i="12"/>
  <c r="CD466" i="12" s="1"/>
  <c r="CE12" i="12"/>
  <c r="CE278" i="12"/>
  <c r="CE236" i="12" l="1"/>
  <c r="CE466" i="12" s="1"/>
  <c r="CE242" i="12"/>
  <c r="CH81" i="12"/>
  <c r="CG48" i="12"/>
  <c r="CF278" i="12"/>
  <c r="CF12" i="12"/>
  <c r="CF242" i="12" l="1"/>
  <c r="CF236" i="12"/>
  <c r="CF466" i="12" s="1"/>
  <c r="CH48" i="12"/>
  <c r="CG278" i="12"/>
  <c r="CG12" i="12"/>
  <c r="CG242" i="12" l="1"/>
  <c r="CG236" i="12"/>
  <c r="CG466" i="12" s="1"/>
  <c r="CH278" i="12"/>
  <c r="CH12" i="12"/>
  <c r="CH242" i="12" l="1"/>
  <c r="CH236" i="12"/>
  <c r="CH466" i="12" s="1"/>
  <c r="BY82" i="12"/>
  <c r="BY80" i="12" l="1"/>
  <c r="BY310" i="12" s="1"/>
  <c r="BY312" i="12"/>
  <c r="CC82" i="12"/>
  <c r="CC312" i="12" l="1"/>
  <c r="CC80" i="12"/>
  <c r="CC310" i="12" s="1"/>
  <c r="CD82" i="12"/>
  <c r="CC49" i="12"/>
  <c r="CC13" i="12" l="1"/>
  <c r="CC279" i="12"/>
  <c r="CC47" i="12"/>
  <c r="CC53" i="4" s="1"/>
  <c r="CC61" i="4" s="1"/>
  <c r="CD80" i="12"/>
  <c r="CD310" i="12" s="1"/>
  <c r="CD49" i="12"/>
  <c r="CE82" i="12"/>
  <c r="CE80" i="12" l="1"/>
  <c r="CE310" i="12" s="1"/>
  <c r="CE49" i="12"/>
  <c r="CF82" i="12"/>
  <c r="CC277" i="12"/>
  <c r="CC11" i="12"/>
  <c r="CC12" i="10" s="1"/>
  <c r="CC243" i="12"/>
  <c r="CC237" i="12"/>
  <c r="CC467" i="12" s="1"/>
  <c r="CD279" i="12"/>
  <c r="CD13" i="12"/>
  <c r="CD47" i="12"/>
  <c r="CH53" i="4" s="1"/>
  <c r="CH61" i="4" s="1"/>
  <c r="CD277" i="12" l="1"/>
  <c r="CD11" i="12"/>
  <c r="CD12" i="10" s="1"/>
  <c r="CE279" i="12"/>
  <c r="CE13" i="12"/>
  <c r="CE47" i="12"/>
  <c r="CM53" i="4" s="1"/>
  <c r="CM61" i="4" s="1"/>
  <c r="CD243" i="12"/>
  <c r="CD237" i="12"/>
  <c r="CD467" i="12" s="1"/>
  <c r="CC241" i="12"/>
  <c r="CC235" i="12"/>
  <c r="CC11" i="10" s="1"/>
  <c r="CF80" i="12"/>
  <c r="CF310" i="12" s="1"/>
  <c r="CG82" i="12"/>
  <c r="CF49" i="12"/>
  <c r="CC67" i="10" l="1"/>
  <c r="CC25" i="10"/>
  <c r="CC58" i="10"/>
  <c r="CC59" i="10"/>
  <c r="CC117" i="4" s="1"/>
  <c r="CC56" i="10"/>
  <c r="CC116" i="4" s="1"/>
  <c r="CC73" i="4"/>
  <c r="CG80" i="12"/>
  <c r="CG310" i="12" s="1"/>
  <c r="CG49" i="12"/>
  <c r="CH82" i="12"/>
  <c r="CC479" i="12"/>
  <c r="CC476" i="12"/>
  <c r="CC475" i="12"/>
  <c r="CC465" i="12"/>
  <c r="CC478" i="12"/>
  <c r="CC474" i="12"/>
  <c r="CC477" i="12"/>
  <c r="CC471" i="12"/>
  <c r="CC473" i="12"/>
  <c r="CC472" i="12"/>
  <c r="CE243" i="12"/>
  <c r="CE237" i="12"/>
  <c r="CE467" i="12" s="1"/>
  <c r="CD241" i="12"/>
  <c r="CD235" i="12"/>
  <c r="CD11" i="10" s="1"/>
  <c r="CF279" i="12"/>
  <c r="CF13" i="12"/>
  <c r="CF47" i="12"/>
  <c r="CE277" i="12"/>
  <c r="CE11" i="12"/>
  <c r="CE12" i="10" s="1"/>
  <c r="CC69" i="10" l="1"/>
  <c r="CC57" i="10"/>
  <c r="CC29" i="10"/>
  <c r="CC75" i="4"/>
  <c r="CC76" i="4" s="1"/>
  <c r="CD67" i="10"/>
  <c r="CD24" i="10"/>
  <c r="CD25" i="10" s="1"/>
  <c r="CD58" i="10"/>
  <c r="CD59" i="10"/>
  <c r="CH117" i="4" s="1"/>
  <c r="CH73" i="4"/>
  <c r="CC60" i="10"/>
  <c r="CC118" i="4"/>
  <c r="CE241" i="12"/>
  <c r="CE235" i="12"/>
  <c r="CE11" i="10" s="1"/>
  <c r="CF277" i="12"/>
  <c r="CF11" i="12"/>
  <c r="CF12" i="10" s="1"/>
  <c r="CG279" i="12"/>
  <c r="CG13" i="12"/>
  <c r="CG47" i="12"/>
  <c r="CF243" i="12"/>
  <c r="CF237" i="12"/>
  <c r="CF467" i="12" s="1"/>
  <c r="CD475" i="12"/>
  <c r="CD474" i="12"/>
  <c r="CD479" i="12"/>
  <c r="CD471" i="12"/>
  <c r="CD476" i="12"/>
  <c r="CD465" i="12"/>
  <c r="CD477" i="12"/>
  <c r="CD473" i="12"/>
  <c r="CD478" i="12"/>
  <c r="CD472" i="12"/>
  <c r="CC187" i="15"/>
  <c r="CC39" i="19"/>
  <c r="CH80" i="12"/>
  <c r="CH310" i="12" s="1"/>
  <c r="CH49" i="12"/>
  <c r="CD60" i="10" l="1"/>
  <c r="CH118" i="4"/>
  <c r="CD69" i="10"/>
  <c r="CD57" i="10"/>
  <c r="CD29" i="10"/>
  <c r="CH75" i="4"/>
  <c r="CH76" i="4" s="1"/>
  <c r="CE67" i="10"/>
  <c r="CE24" i="10"/>
  <c r="CE59" i="10"/>
  <c r="CM117" i="4" s="1"/>
  <c r="CE58" i="10"/>
  <c r="K41" i="4"/>
  <c r="CM73" i="4"/>
  <c r="J41" i="4"/>
  <c r="CD68" i="10"/>
  <c r="CH74" i="4"/>
  <c r="CC72" i="10"/>
  <c r="CC61" i="10"/>
  <c r="CC33" i="10"/>
  <c r="CC44" i="10"/>
  <c r="CC126" i="15"/>
  <c r="CC127" i="15"/>
  <c r="CC69" i="15"/>
  <c r="CG243" i="12"/>
  <c r="CG237" i="12"/>
  <c r="CG467" i="12" s="1"/>
  <c r="CF241" i="12"/>
  <c r="CF235" i="12"/>
  <c r="CF11" i="10" s="1"/>
  <c r="CH279" i="12"/>
  <c r="CH13" i="12"/>
  <c r="CH47" i="12"/>
  <c r="CC40" i="19"/>
  <c r="CD39" i="19"/>
  <c r="CD187" i="15"/>
  <c r="CG277" i="12"/>
  <c r="CG11" i="12"/>
  <c r="CG12" i="10" s="1"/>
  <c r="CE474" i="12"/>
  <c r="CE475" i="12"/>
  <c r="CE471" i="12"/>
  <c r="CE476" i="12"/>
  <c r="CE478" i="12"/>
  <c r="CE465" i="12"/>
  <c r="CE473" i="12"/>
  <c r="CE477" i="12"/>
  <c r="CE479" i="12"/>
  <c r="CE472" i="12"/>
  <c r="CC74" i="10" l="1"/>
  <c r="CC63" i="10"/>
  <c r="CC47" i="10"/>
  <c r="CC83" i="4"/>
  <c r="CC84" i="4" s="1"/>
  <c r="CC46" i="10"/>
  <c r="CC119" i="4" s="1"/>
  <c r="CE68" i="10"/>
  <c r="CM74" i="4"/>
  <c r="K42" i="4"/>
  <c r="J42" i="4"/>
  <c r="CF67" i="10"/>
  <c r="CF24" i="10"/>
  <c r="CF68" i="10" s="1"/>
  <c r="CF58" i="10"/>
  <c r="CF59" i="10"/>
  <c r="CC73" i="10"/>
  <c r="CC62" i="10"/>
  <c r="CE60" i="10"/>
  <c r="CM118" i="4"/>
  <c r="CE25" i="10"/>
  <c r="CD72" i="10"/>
  <c r="CD61" i="10"/>
  <c r="CD44" i="10"/>
  <c r="CD33" i="10"/>
  <c r="CH277" i="12"/>
  <c r="CH11" i="12"/>
  <c r="CH12" i="10" s="1"/>
  <c r="CC137" i="15"/>
  <c r="CC138" i="15" s="1"/>
  <c r="CC19" i="15"/>
  <c r="CE187" i="15"/>
  <c r="CE39" i="19"/>
  <c r="CE76" i="19" s="1"/>
  <c r="CG241" i="12"/>
  <c r="CG235" i="12"/>
  <c r="CG11" i="10" s="1"/>
  <c r="CD189" i="15"/>
  <c r="CD188" i="15"/>
  <c r="CC147" i="15"/>
  <c r="CD127" i="15"/>
  <c r="CD126" i="15"/>
  <c r="CD69" i="15"/>
  <c r="CD40" i="19"/>
  <c r="CD76" i="19"/>
  <c r="CH243" i="12"/>
  <c r="CH237" i="12"/>
  <c r="CH467" i="12" s="1"/>
  <c r="CF476" i="12"/>
  <c r="CF478" i="12"/>
  <c r="CF477" i="12"/>
  <c r="CF473" i="12"/>
  <c r="CF479" i="12"/>
  <c r="CF465" i="12"/>
  <c r="CF471" i="12"/>
  <c r="CF474" i="12"/>
  <c r="CF475" i="12"/>
  <c r="CF472" i="12"/>
  <c r="CD74" i="10" l="1"/>
  <c r="CD63" i="10"/>
  <c r="CD45" i="10"/>
  <c r="CD47" i="10" s="1"/>
  <c r="CH83" i="4"/>
  <c r="CH84" i="4" s="1"/>
  <c r="CG67" i="10"/>
  <c r="CG24" i="10"/>
  <c r="CG68" i="10" s="1"/>
  <c r="CG59" i="10"/>
  <c r="CG58" i="10"/>
  <c r="CD73" i="10"/>
  <c r="CD62" i="10"/>
  <c r="CE69" i="10"/>
  <c r="CE57" i="10"/>
  <c r="CE29" i="10"/>
  <c r="K43" i="4"/>
  <c r="CM75" i="4"/>
  <c r="CM76" i="4" s="1"/>
  <c r="J43" i="4"/>
  <c r="CF60" i="10"/>
  <c r="CF25" i="10"/>
  <c r="CC75" i="10"/>
  <c r="CC64" i="10"/>
  <c r="CC49" i="10"/>
  <c r="CC86" i="4"/>
  <c r="CC87" i="4" s="1"/>
  <c r="CC177" i="15"/>
  <c r="CC148" i="15"/>
  <c r="CC80" i="4" s="1"/>
  <c r="CD72" i="15"/>
  <c r="CD87" i="15"/>
  <c r="CD94" i="15" s="1"/>
  <c r="CD100" i="15" s="1"/>
  <c r="CG474" i="12"/>
  <c r="CG471" i="12"/>
  <c r="CG479" i="12"/>
  <c r="CG476" i="12"/>
  <c r="CG478" i="12"/>
  <c r="CG465" i="12"/>
  <c r="CG477" i="12"/>
  <c r="CG473" i="12"/>
  <c r="CG475" i="12"/>
  <c r="CG472" i="12"/>
  <c r="CE40" i="19"/>
  <c r="CH241" i="12"/>
  <c r="CH235" i="12"/>
  <c r="CH11" i="10" s="1"/>
  <c r="CF39" i="19"/>
  <c r="CF76" i="19" s="1"/>
  <c r="CF187" i="15"/>
  <c r="CC164" i="15"/>
  <c r="CE189" i="15"/>
  <c r="CE188" i="15"/>
  <c r="CE127" i="15"/>
  <c r="CE126" i="15"/>
  <c r="CE69" i="15"/>
  <c r="CG60" i="10" l="1"/>
  <c r="CG25" i="10"/>
  <c r="CG57" i="10" s="1"/>
  <c r="CD75" i="10"/>
  <c r="CD64" i="10"/>
  <c r="CD49" i="10"/>
  <c r="CH86" i="4"/>
  <c r="CH87" i="4" s="1"/>
  <c r="CH67" i="10"/>
  <c r="CH24" i="10"/>
  <c r="CH68" i="10" s="1"/>
  <c r="CH58" i="10"/>
  <c r="CH59" i="10"/>
  <c r="CC78" i="4"/>
  <c r="CC81" i="4"/>
  <c r="CF69" i="10"/>
  <c r="CF57" i="10"/>
  <c r="CF29" i="10"/>
  <c r="CG69" i="10"/>
  <c r="CC76" i="10"/>
  <c r="CC89" i="4"/>
  <c r="CE72" i="10"/>
  <c r="CE61" i="10"/>
  <c r="CE33" i="10"/>
  <c r="CE44" i="10"/>
  <c r="K46" i="4"/>
  <c r="J46" i="4"/>
  <c r="CD19" i="15"/>
  <c r="CD137" i="15"/>
  <c r="CD138" i="15" s="1"/>
  <c r="CC190" i="15"/>
  <c r="CC11" i="15"/>
  <c r="CF127" i="15"/>
  <c r="CF126" i="15"/>
  <c r="CF69" i="15"/>
  <c r="CF40" i="19"/>
  <c r="CG187" i="15"/>
  <c r="CG39" i="19"/>
  <c r="CG76" i="19" s="1"/>
  <c r="CC204" i="15"/>
  <c r="CC207" i="15" s="1"/>
  <c r="CE147" i="15"/>
  <c r="CE72" i="15"/>
  <c r="CE87" i="15"/>
  <c r="CE94" i="15" s="1"/>
  <c r="CE100" i="15" s="1"/>
  <c r="CC167" i="15"/>
  <c r="CC12" i="79"/>
  <c r="CD147" i="15"/>
  <c r="CF189" i="15"/>
  <c r="CF188" i="15"/>
  <c r="CH465" i="12"/>
  <c r="CH471" i="12"/>
  <c r="CH479" i="12"/>
  <c r="CH473" i="12"/>
  <c r="CH476" i="12"/>
  <c r="CH478" i="12"/>
  <c r="CH474" i="12"/>
  <c r="CH475" i="12"/>
  <c r="CH477" i="12"/>
  <c r="CH472" i="12"/>
  <c r="CG29" i="10" l="1"/>
  <c r="CG61" i="10" s="1"/>
  <c r="CH25" i="10"/>
  <c r="CH69" i="10" s="1"/>
  <c r="CE74" i="10"/>
  <c r="CE63" i="10"/>
  <c r="CE164" i="15" s="1"/>
  <c r="CE45" i="10"/>
  <c r="CE47" i="10" s="1"/>
  <c r="CM83" i="4"/>
  <c r="CM84" i="4" s="1"/>
  <c r="K47" i="4"/>
  <c r="J47" i="4"/>
  <c r="CC90" i="4"/>
  <c r="CC91" i="4"/>
  <c r="CG72" i="10"/>
  <c r="CG33" i="10"/>
  <c r="CE73" i="10"/>
  <c r="CE62" i="10"/>
  <c r="CF72" i="10"/>
  <c r="CF61" i="10"/>
  <c r="CF44" i="10"/>
  <c r="CF33" i="10"/>
  <c r="CH60" i="10"/>
  <c r="CD76" i="10"/>
  <c r="CH89" i="4"/>
  <c r="CE19" i="15"/>
  <c r="CG40" i="19"/>
  <c r="CG126" i="15"/>
  <c r="CG127" i="15"/>
  <c r="CG69" i="15"/>
  <c r="CC144" i="15"/>
  <c r="CC159" i="15" s="1"/>
  <c r="CC165" i="15"/>
  <c r="CF147" i="15"/>
  <c r="CH187" i="15"/>
  <c r="CH39" i="19"/>
  <c r="CD164" i="15"/>
  <c r="CF72" i="15"/>
  <c r="CF87" i="15"/>
  <c r="CF94" i="15" s="1"/>
  <c r="CF100" i="15" s="1"/>
  <c r="CD177" i="15"/>
  <c r="CD204" i="15"/>
  <c r="CD207" i="15" s="1"/>
  <c r="CD148" i="15"/>
  <c r="CH80" i="4" s="1"/>
  <c r="CE137" i="15"/>
  <c r="CE138" i="15" s="1"/>
  <c r="CE177" i="15"/>
  <c r="CE204" i="15"/>
  <c r="CE148" i="15"/>
  <c r="CM80" i="4" s="1"/>
  <c r="CG189" i="15"/>
  <c r="CG188" i="15"/>
  <c r="CC179" i="15"/>
  <c r="CC15" i="15"/>
  <c r="CC94" i="10" s="1"/>
  <c r="CC93" i="10" s="1"/>
  <c r="CH57" i="10" l="1"/>
  <c r="CG44" i="10"/>
  <c r="CG63" i="10" s="1"/>
  <c r="CH29" i="10"/>
  <c r="CH61" i="10" s="1"/>
  <c r="CM78" i="4"/>
  <c r="CM81" i="4"/>
  <c r="CH78" i="4"/>
  <c r="CH81" i="4"/>
  <c r="CH40" i="19"/>
  <c r="CF73" i="10"/>
  <c r="CF62" i="10"/>
  <c r="CH72" i="10"/>
  <c r="CH44" i="10"/>
  <c r="CG73" i="10"/>
  <c r="CG62" i="10"/>
  <c r="CE75" i="10"/>
  <c r="CE64" i="10"/>
  <c r="CE49" i="10"/>
  <c r="CM86" i="4"/>
  <c r="CM87" i="4" s="1"/>
  <c r="K48" i="4"/>
  <c r="J48" i="4"/>
  <c r="CH90" i="4"/>
  <c r="CH91" i="4"/>
  <c r="CF74" i="10"/>
  <c r="CF63" i="10"/>
  <c r="CF164" i="15" s="1"/>
  <c r="CF45" i="10"/>
  <c r="CF47" i="10" s="1"/>
  <c r="CG74" i="10"/>
  <c r="CE207" i="15"/>
  <c r="CF19" i="15"/>
  <c r="CD190" i="15"/>
  <c r="CD11" i="15"/>
  <c r="CH126" i="15"/>
  <c r="CH127" i="15"/>
  <c r="CH69" i="15"/>
  <c r="CH76" i="19"/>
  <c r="CE190" i="15"/>
  <c r="CE11" i="15"/>
  <c r="CG147" i="15"/>
  <c r="CC145" i="15"/>
  <c r="CC107" i="15"/>
  <c r="CC30" i="15"/>
  <c r="CC97" i="4" s="1"/>
  <c r="CF137" i="15"/>
  <c r="CF138" i="15" s="1"/>
  <c r="CG72" i="15"/>
  <c r="CG87" i="15"/>
  <c r="CG94" i="15" s="1"/>
  <c r="CG100" i="15" s="1"/>
  <c r="CH189" i="15"/>
  <c r="CH188" i="15"/>
  <c r="CF148" i="15"/>
  <c r="CF177" i="15"/>
  <c r="CF204" i="15"/>
  <c r="CF207" i="15" s="1"/>
  <c r="CH33" i="10" l="1"/>
  <c r="CH62" i="10" s="1"/>
  <c r="CG45" i="10"/>
  <c r="CG47" i="10" s="1"/>
  <c r="CG64" i="10" s="1"/>
  <c r="CF75" i="10"/>
  <c r="CF64" i="10"/>
  <c r="CF49" i="10"/>
  <c r="CF76" i="10" s="1"/>
  <c r="CG75" i="10"/>
  <c r="CG49" i="10"/>
  <c r="CC101" i="4"/>
  <c r="CC99" i="4"/>
  <c r="CE76" i="10"/>
  <c r="CM89" i="4"/>
  <c r="K49" i="4"/>
  <c r="J49" i="4"/>
  <c r="CH74" i="10"/>
  <c r="CH63" i="10"/>
  <c r="CH45" i="10"/>
  <c r="CH47" i="10" s="1"/>
  <c r="CG137" i="15"/>
  <c r="CG138" i="15" s="1"/>
  <c r="CH147" i="15"/>
  <c r="CC197" i="15"/>
  <c r="CG148" i="15"/>
  <c r="CG177" i="15"/>
  <c r="CG204" i="15"/>
  <c r="CG207" i="15" s="1"/>
  <c r="CE179" i="15"/>
  <c r="CE15" i="15"/>
  <c r="CE94" i="10" s="1"/>
  <c r="CE93" i="10" s="1"/>
  <c r="CG19" i="15"/>
  <c r="CD179" i="15"/>
  <c r="CD15" i="15"/>
  <c r="CD94" i="10" s="1"/>
  <c r="CD93" i="10" s="1"/>
  <c r="CH72" i="15"/>
  <c r="CH87" i="15"/>
  <c r="CH94" i="15" s="1"/>
  <c r="CH100" i="15" s="1"/>
  <c r="CC56" i="15"/>
  <c r="CC58" i="15" s="1"/>
  <c r="CC151" i="15"/>
  <c r="CC121" i="4" s="1"/>
  <c r="CC122" i="4" s="1"/>
  <c r="CC123" i="4" s="1"/>
  <c r="CC152" i="15"/>
  <c r="CC10" i="79"/>
  <c r="CC14" i="79" s="1"/>
  <c r="CC160" i="15"/>
  <c r="CC146" i="15"/>
  <c r="CG164" i="15"/>
  <c r="CE144" i="15"/>
  <c r="CE165" i="15"/>
  <c r="CF190" i="15"/>
  <c r="CF11" i="15"/>
  <c r="CD144" i="15"/>
  <c r="CD159" i="15" s="1"/>
  <c r="CD165" i="15"/>
  <c r="CH73" i="10" l="1"/>
  <c r="CG76" i="10"/>
  <c r="CH75" i="10"/>
  <c r="CH64" i="10"/>
  <c r="CH49" i="10"/>
  <c r="AO92" i="4"/>
  <c r="BI92" i="4"/>
  <c r="AY92" i="4"/>
  <c r="BS92" i="4"/>
  <c r="AJ92" i="4"/>
  <c r="BD92" i="4"/>
  <c r="BX92" i="4"/>
  <c r="AT92" i="4"/>
  <c r="BN92" i="4"/>
  <c r="CC92" i="4"/>
  <c r="CH92" i="4"/>
  <c r="AJ93" i="4"/>
  <c r="BD93" i="4"/>
  <c r="BX93" i="4"/>
  <c r="AT93" i="4"/>
  <c r="BN93" i="4"/>
  <c r="AO93" i="4"/>
  <c r="BI93" i="4"/>
  <c r="AY93" i="4"/>
  <c r="BS93" i="4"/>
  <c r="CC93" i="4"/>
  <c r="CM90" i="4"/>
  <c r="CM91" i="4"/>
  <c r="CH93" i="4"/>
  <c r="CH164" i="15"/>
  <c r="CH137" i="15"/>
  <c r="CH138" i="15" s="1"/>
  <c r="CH19" i="15"/>
  <c r="CF144" i="15"/>
  <c r="CF159" i="15" s="1"/>
  <c r="CF179" i="15"/>
  <c r="CF15" i="15"/>
  <c r="CF94" i="10" s="1"/>
  <c r="CF93" i="10" s="1"/>
  <c r="CF165" i="15"/>
  <c r="CE159" i="15"/>
  <c r="CG190" i="15"/>
  <c r="CG11" i="15"/>
  <c r="CC18" i="79"/>
  <c r="CC149" i="15"/>
  <c r="CE145" i="15"/>
  <c r="CE30" i="15"/>
  <c r="CM97" i="4" s="1"/>
  <c r="CH148" i="15"/>
  <c r="CH177" i="15"/>
  <c r="CH204" i="15"/>
  <c r="CH207" i="15" s="1"/>
  <c r="CC150" i="15"/>
  <c r="CC153" i="15"/>
  <c r="CC154" i="15" s="1"/>
  <c r="CC155" i="15" s="1"/>
  <c r="CD57" i="15"/>
  <c r="CC67" i="15"/>
  <c r="CC66" i="15" s="1"/>
  <c r="CC105" i="4" s="1"/>
  <c r="CD145" i="15"/>
  <c r="CD30" i="15"/>
  <c r="CH97" i="4" s="1"/>
  <c r="CD107" i="15"/>
  <c r="CH101" i="4" l="1"/>
  <c r="CH99" i="4"/>
  <c r="CM92" i="4"/>
  <c r="CM93" i="4"/>
  <c r="CM101" i="4"/>
  <c r="CM99" i="4"/>
  <c r="CH76" i="10"/>
  <c r="CH190" i="15"/>
  <c r="CH11" i="15"/>
  <c r="CD197" i="15"/>
  <c r="CE107" i="15"/>
  <c r="CD56" i="15"/>
  <c r="CD58" i="15" s="1"/>
  <c r="CD152" i="15"/>
  <c r="CD151" i="15"/>
  <c r="CH121" i="4" s="1"/>
  <c r="CH122" i="4" s="1"/>
  <c r="CH123" i="4" s="1"/>
  <c r="CD10" i="79"/>
  <c r="CD14" i="79" s="1"/>
  <c r="CD160" i="15"/>
  <c r="CD146" i="15"/>
  <c r="CC141" i="15"/>
  <c r="CC172" i="15"/>
  <c r="CC109" i="4" s="1"/>
  <c r="CC76" i="15"/>
  <c r="CC199" i="15"/>
  <c r="CC201" i="15" s="1"/>
  <c r="CE10" i="79"/>
  <c r="CE14" i="79" s="1"/>
  <c r="CE18" i="79" s="1"/>
  <c r="CE56" i="15"/>
  <c r="CE151" i="15"/>
  <c r="CM121" i="4" s="1"/>
  <c r="CM122" i="4" s="1"/>
  <c r="CM123" i="4" s="1"/>
  <c r="CE152" i="15"/>
  <c r="CE146" i="15"/>
  <c r="CE160" i="15"/>
  <c r="CG179" i="15"/>
  <c r="CG15" i="15"/>
  <c r="CG94" i="10" s="1"/>
  <c r="CG93" i="10" s="1"/>
  <c r="CG144" i="15"/>
  <c r="CG159" i="15" s="1"/>
  <c r="CG165" i="15"/>
  <c r="CF145" i="15"/>
  <c r="CF30" i="15"/>
  <c r="CG145" i="15" l="1"/>
  <c r="CG30" i="15"/>
  <c r="CE150" i="15"/>
  <c r="CE153" i="15"/>
  <c r="CE154" i="15" s="1"/>
  <c r="CE155" i="15" s="1"/>
  <c r="CC140" i="15"/>
  <c r="CC139" i="15"/>
  <c r="CC136" i="15"/>
  <c r="CC84" i="15"/>
  <c r="CD18" i="79"/>
  <c r="BV45" i="79"/>
  <c r="BT50" i="79"/>
  <c r="BU52" i="79"/>
  <c r="BW50" i="79"/>
  <c r="BT52" i="79"/>
  <c r="BU47" i="79"/>
  <c r="BU46" i="79"/>
  <c r="BU48" i="79"/>
  <c r="BT53" i="79"/>
  <c r="BV52" i="79"/>
  <c r="BV53" i="79"/>
  <c r="BU53" i="79"/>
  <c r="BW52" i="79"/>
  <c r="BV46" i="79"/>
  <c r="BW48" i="79"/>
  <c r="BW46" i="79"/>
  <c r="BW51" i="79"/>
  <c r="BU49" i="79"/>
  <c r="BV50" i="79"/>
  <c r="BW45" i="79"/>
  <c r="BV47" i="79"/>
  <c r="BT46" i="79"/>
  <c r="BU51" i="79"/>
  <c r="BV48" i="79"/>
  <c r="BT47" i="79"/>
  <c r="BW47" i="79"/>
  <c r="BT51" i="79"/>
  <c r="BW53" i="79"/>
  <c r="BT45" i="79"/>
  <c r="BV51" i="79"/>
  <c r="BU50" i="79"/>
  <c r="BT49" i="79"/>
  <c r="BW49" i="79"/>
  <c r="BV49" i="79"/>
  <c r="BU45" i="79"/>
  <c r="BT48" i="79"/>
  <c r="CD150" i="15"/>
  <c r="CD153" i="15"/>
  <c r="CD154" i="15" s="1"/>
  <c r="CD155" i="15" s="1"/>
  <c r="CH144" i="15"/>
  <c r="CH159" i="15" s="1"/>
  <c r="CF56" i="15"/>
  <c r="CF10" i="79"/>
  <c r="CF14" i="79" s="1"/>
  <c r="CF151" i="15"/>
  <c r="CF149" i="15" s="1"/>
  <c r="CF152" i="15"/>
  <c r="CF146" i="15"/>
  <c r="CF160" i="15"/>
  <c r="CE149" i="15"/>
  <c r="CD149" i="15"/>
  <c r="CE57" i="15"/>
  <c r="CE58" i="15" s="1"/>
  <c r="CD67" i="15"/>
  <c r="CD66" i="15" s="1"/>
  <c r="CH105" i="4" s="1"/>
  <c r="CE197" i="15"/>
  <c r="CF107" i="15"/>
  <c r="CH179" i="15"/>
  <c r="CH15" i="15"/>
  <c r="CH94" i="10" s="1"/>
  <c r="CH93" i="10" s="1"/>
  <c r="CH165" i="15"/>
  <c r="CF57" i="15" l="1"/>
  <c r="CF58" i="15" s="1"/>
  <c r="CE67" i="15"/>
  <c r="CE66" i="15" s="1"/>
  <c r="CM105" i="4" s="1"/>
  <c r="CH145" i="15"/>
  <c r="CH30" i="15"/>
  <c r="CF197" i="15"/>
  <c r="CG107" i="15"/>
  <c r="CD141" i="15"/>
  <c r="CD199" i="15"/>
  <c r="CD201" i="15" s="1"/>
  <c r="CD172" i="15"/>
  <c r="CH109" i="4" s="1"/>
  <c r="CD76" i="15"/>
  <c r="CF18" i="79"/>
  <c r="CC115" i="15"/>
  <c r="CC113" i="15"/>
  <c r="CC166" i="15" s="1"/>
  <c r="CF150" i="15"/>
  <c r="CF153" i="15"/>
  <c r="CF154" i="15" s="1"/>
  <c r="CF155" i="15" s="1"/>
  <c r="CG152" i="15"/>
  <c r="CG10" i="79"/>
  <c r="CG14" i="79" s="1"/>
  <c r="CG18" i="79" s="1"/>
  <c r="CG56" i="15"/>
  <c r="CG151" i="15"/>
  <c r="CG149" i="15" s="1"/>
  <c r="CG146" i="15"/>
  <c r="CG160" i="15"/>
  <c r="CG150" i="15" l="1"/>
  <c r="CG153" i="15"/>
  <c r="CG154" i="15" s="1"/>
  <c r="CG155" i="15" s="1"/>
  <c r="CG57" i="15"/>
  <c r="CG58" i="15" s="1"/>
  <c r="CF67" i="15"/>
  <c r="CF66" i="15" s="1"/>
  <c r="CC206" i="15"/>
  <c r="CC203" i="15" s="1"/>
  <c r="CC176" i="15"/>
  <c r="CC156" i="15"/>
  <c r="CC161" i="15" s="1"/>
  <c r="CC103" i="15"/>
  <c r="CC104" i="15" s="1"/>
  <c r="CC196" i="15" s="1"/>
  <c r="CC168" i="15"/>
  <c r="CC173" i="15"/>
  <c r="CC174" i="15"/>
  <c r="CC110" i="4" s="1"/>
  <c r="CC169" i="15"/>
  <c r="CD140" i="15"/>
  <c r="CD136" i="15"/>
  <c r="CD139" i="15"/>
  <c r="CD84" i="15"/>
  <c r="CH151" i="15"/>
  <c r="CH149" i="15" s="1"/>
  <c r="CH152" i="15"/>
  <c r="CH56" i="15"/>
  <c r="CH10" i="79"/>
  <c r="CH14" i="79" s="1"/>
  <c r="CE141" i="15"/>
  <c r="CE172" i="15"/>
  <c r="CM109" i="4" s="1"/>
  <c r="CE76" i="15"/>
  <c r="CE199" i="15"/>
  <c r="CE201" i="15" s="1"/>
  <c r="CG197" i="15"/>
  <c r="CH107" i="15"/>
  <c r="CH197" i="15" s="1"/>
  <c r="CH146" i="15"/>
  <c r="CH160" i="15"/>
  <c r="BZ51" i="79" l="1"/>
  <c r="CB48" i="79"/>
  <c r="CA53" i="79"/>
  <c r="BZ47" i="79"/>
  <c r="BY49" i="79"/>
  <c r="CA51" i="79"/>
  <c r="CA50" i="79"/>
  <c r="CA52" i="79"/>
  <c r="CB52" i="79"/>
  <c r="BZ46" i="79"/>
  <c r="BY48" i="79"/>
  <c r="CA47" i="79"/>
  <c r="CB46" i="79"/>
  <c r="BZ50" i="79"/>
  <c r="BZ53" i="79"/>
  <c r="BY52" i="79"/>
  <c r="CA45" i="79"/>
  <c r="CH57" i="15"/>
  <c r="CH58" i="15" s="1"/>
  <c r="CH67" i="15" s="1"/>
  <c r="CH66" i="15" s="1"/>
  <c r="CG67" i="15"/>
  <c r="CG66" i="15" s="1"/>
  <c r="BY47" i="79"/>
  <c r="CB51" i="79"/>
  <c r="BZ45" i="79"/>
  <c r="CA48" i="79"/>
  <c r="BZ49" i="79"/>
  <c r="CB49" i="79"/>
  <c r="BY46" i="79"/>
  <c r="CB45" i="79"/>
  <c r="BZ48" i="79"/>
  <c r="BY53" i="79"/>
  <c r="CF141" i="15"/>
  <c r="CF172" i="15"/>
  <c r="CF76" i="15"/>
  <c r="CF199" i="15"/>
  <c r="CF201" i="15" s="1"/>
  <c r="CE140" i="15"/>
  <c r="CE136" i="15"/>
  <c r="CE139" i="15"/>
  <c r="CE84" i="15"/>
  <c r="CH18" i="79"/>
  <c r="CH150" i="15"/>
  <c r="CH153" i="15"/>
  <c r="CH154" i="15" s="1"/>
  <c r="CH155" i="15" s="1"/>
  <c r="CD115" i="15"/>
  <c r="CD113" i="15"/>
  <c r="CD166" i="15" s="1"/>
  <c r="BY51" i="79"/>
  <c r="CA49" i="79"/>
  <c r="BY45" i="79"/>
  <c r="CB53" i="79"/>
  <c r="CB50" i="79"/>
  <c r="BZ52" i="79"/>
  <c r="CB47" i="79"/>
  <c r="CA46" i="79"/>
  <c r="BY50" i="79"/>
  <c r="CD176" i="15" l="1"/>
  <c r="CD206" i="15"/>
  <c r="CD203" i="15" s="1"/>
  <c r="CD103" i="15"/>
  <c r="CD104" i="15" s="1"/>
  <c r="CD196" i="15" s="1"/>
  <c r="CD156" i="15"/>
  <c r="CD161" i="15" s="1"/>
  <c r="CD168" i="15"/>
  <c r="CD173" i="15"/>
  <c r="CD174" i="15"/>
  <c r="CH110" i="4" s="1"/>
  <c r="CD169" i="15"/>
  <c r="J47" i="79"/>
  <c r="CH29" i="79"/>
  <c r="CH30" i="79" s="1"/>
  <c r="CH32" i="79" s="1"/>
  <c r="CE115" i="15"/>
  <c r="CE113" i="15"/>
  <c r="CH141" i="15"/>
  <c r="CH172" i="15"/>
  <c r="CH199" i="15"/>
  <c r="CH201" i="15" s="1"/>
  <c r="CH76" i="15"/>
  <c r="CG172" i="15"/>
  <c r="CG141" i="15"/>
  <c r="CG199" i="15"/>
  <c r="CG201" i="15" s="1"/>
  <c r="CG76" i="15"/>
  <c r="CF136" i="15"/>
  <c r="CF139" i="15"/>
  <c r="CF140" i="15"/>
  <c r="CF84" i="15"/>
  <c r="CF115" i="15" l="1"/>
  <c r="CF113" i="15"/>
  <c r="CG136" i="15"/>
  <c r="CG139" i="15"/>
  <c r="CG140" i="15"/>
  <c r="CG84" i="15"/>
  <c r="CH139" i="15"/>
  <c r="CH140" i="15"/>
  <c r="CH136" i="15"/>
  <c r="CH84" i="15"/>
  <c r="J44" i="79"/>
  <c r="CH33" i="79"/>
  <c r="CE206" i="15"/>
  <c r="CE203" i="15" s="1"/>
  <c r="CE103" i="15"/>
  <c r="CE104" i="15" s="1"/>
  <c r="CE196" i="15" s="1"/>
  <c r="CE176" i="15"/>
  <c r="CE156" i="15"/>
  <c r="CE161" i="15" s="1"/>
  <c r="CE168" i="15"/>
  <c r="CE174" i="15"/>
  <c r="CM110" i="4" s="1"/>
  <c r="CE169" i="15"/>
  <c r="CE173" i="15"/>
  <c r="CE166" i="15"/>
  <c r="CE44" i="79" l="1"/>
  <c r="J48" i="79"/>
  <c r="CH115" i="15"/>
  <c r="CH113" i="15"/>
  <c r="CG115" i="15"/>
  <c r="CG113" i="15"/>
  <c r="CG166" i="15" s="1"/>
  <c r="CF176" i="15"/>
  <c r="CF206" i="15"/>
  <c r="CF203" i="15" s="1"/>
  <c r="CF156" i="15"/>
  <c r="CF161" i="15" s="1"/>
  <c r="CF103" i="15"/>
  <c r="CF104" i="15" s="1"/>
  <c r="CF196" i="15" s="1"/>
  <c r="CF168" i="15"/>
  <c r="CF173" i="15"/>
  <c r="CF174" i="15"/>
  <c r="CF169" i="15"/>
  <c r="CF166" i="15"/>
  <c r="CH166" i="15" l="1"/>
  <c r="CG176" i="15"/>
  <c r="CG206" i="15"/>
  <c r="CG203" i="15" s="1"/>
  <c r="CG156" i="15"/>
  <c r="CG161" i="15" s="1"/>
  <c r="CG103" i="15"/>
  <c r="CG104" i="15" s="1"/>
  <c r="CG196" i="15" s="1"/>
  <c r="CG168" i="15"/>
  <c r="CG173" i="15"/>
  <c r="CG169" i="15"/>
  <c r="CG174" i="15"/>
  <c r="J49" i="79"/>
  <c r="J51" i="79" s="1"/>
  <c r="J53" i="79" s="1"/>
  <c r="CH206" i="15"/>
  <c r="CH203" i="15" s="1"/>
  <c r="CH176" i="15"/>
  <c r="CH103" i="15"/>
  <c r="CH104" i="15" s="1"/>
  <c r="CH156" i="15"/>
  <c r="CH168" i="15"/>
  <c r="CH174" i="15"/>
  <c r="CH173" i="15"/>
  <c r="CH169" i="15"/>
  <c r="CF44" i="79"/>
  <c r="CD44" i="79"/>
  <c r="CE50" i="79"/>
  <c r="CE45" i="79"/>
  <c r="CE53" i="79"/>
  <c r="CE47" i="79"/>
  <c r="CE46" i="79"/>
  <c r="CE48" i="79"/>
  <c r="CE51" i="79"/>
  <c r="CE49" i="79"/>
  <c r="CE52" i="79"/>
  <c r="CH161" i="15" l="1"/>
  <c r="CH196" i="15"/>
  <c r="J50" i="79"/>
  <c r="CC44" i="79"/>
  <c r="CD50" i="79"/>
  <c r="CD49" i="79"/>
  <c r="CD52" i="79"/>
  <c r="CD46" i="79"/>
  <c r="CD53" i="79"/>
  <c r="CD48" i="79"/>
  <c r="CD47" i="79"/>
  <c r="CD45" i="79"/>
  <c r="CD51" i="79"/>
  <c r="CG44" i="79"/>
  <c r="CF52" i="79"/>
  <c r="CF45" i="79"/>
  <c r="CF53" i="79"/>
  <c r="CF48" i="79"/>
  <c r="CF51" i="79"/>
  <c r="CF47" i="79"/>
  <c r="CF49" i="79"/>
  <c r="CF46" i="79"/>
  <c r="CF50" i="79"/>
  <c r="CH44" i="79" l="1"/>
  <c r="CG53" i="79"/>
  <c r="CG45" i="79"/>
  <c r="CG47" i="79"/>
  <c r="CG51" i="79"/>
  <c r="CG49" i="79"/>
  <c r="CG52" i="79"/>
  <c r="CG46" i="79"/>
  <c r="CG50" i="79"/>
  <c r="CG48" i="79"/>
  <c r="BX44" i="79"/>
  <c r="CC50" i="79"/>
  <c r="CC48" i="79"/>
  <c r="CC49" i="79"/>
  <c r="CC46" i="79"/>
  <c r="CC51" i="79"/>
  <c r="CC53" i="79"/>
  <c r="CC45" i="79"/>
  <c r="CC47" i="79"/>
  <c r="CC52" i="79"/>
  <c r="BX46" i="79" l="1"/>
  <c r="BX47" i="79"/>
  <c r="BX51" i="79"/>
  <c r="BX49" i="79"/>
  <c r="BX48" i="79"/>
  <c r="BX53" i="79"/>
  <c r="BX52" i="79"/>
  <c r="BX50" i="79"/>
  <c r="BX45" i="79"/>
  <c r="CH45" i="79"/>
  <c r="CH48" i="79"/>
  <c r="CH49" i="79"/>
  <c r="CH47" i="79"/>
  <c r="CH53" i="79"/>
  <c r="CH52" i="79"/>
  <c r="CH46" i="79"/>
  <c r="CH51" i="79"/>
  <c r="CH50" i="79"/>
</calcChain>
</file>

<file path=xl/comments1.xml><?xml version="1.0" encoding="utf-8"?>
<comments xmlns="http://schemas.openxmlformats.org/spreadsheetml/2006/main">
  <authors>
    <author>sakeaga</author>
  </authors>
  <commentList>
    <comment ref="J24" authorId="0">
      <text>
        <r>
          <rPr>
            <b/>
            <sz val="8"/>
            <color indexed="81"/>
            <rFont val="Tahoma"/>
            <family val="2"/>
          </rPr>
          <t>sakeaga:</t>
        </r>
        <r>
          <rPr>
            <sz val="8"/>
            <color indexed="81"/>
            <rFont val="Tahoma"/>
            <family val="2"/>
          </rPr>
          <t xml:space="preserve">
12/31/11: 38,080
9/30/11: 38,380
12/31/10: 38,350; 20,700 ex U.S.
9/30/10: 40500-2700; as per 3Q10 con call.</t>
        </r>
      </text>
    </comment>
  </commentList>
</comments>
</file>

<file path=xl/comments2.xml><?xml version="1.0" encoding="utf-8"?>
<comments xmlns="http://schemas.openxmlformats.org/spreadsheetml/2006/main">
  <authors>
    <author>sakeaga</author>
    <author>chthoma</author>
    <author>Agarwal, Saket (Research)</author>
    <author>Ng, Zhu Shen (Research)</author>
    <author>tchiu</author>
    <author>nascamar</author>
    <author>Chiu, Thomas (Research)</author>
  </authors>
  <commentList>
    <comment ref="AY11" authorId="0">
      <text>
        <r>
          <rPr>
            <b/>
            <sz val="8"/>
            <color indexed="81"/>
            <rFont val="Tahoma"/>
            <family val="2"/>
          </rPr>
          <t>sakeaga:</t>
        </r>
        <r>
          <rPr>
            <sz val="8"/>
            <color indexed="81"/>
            <rFont val="Tahoma"/>
            <family val="2"/>
          </rPr>
          <t xml:space="preserve">
10/24/12, 7/25/12, 4/25/12, 1/31/12, 1/5/12: $21.8B-$22.8B</t>
        </r>
      </text>
    </comment>
    <comment ref="BD11" authorId="1">
      <text>
        <r>
          <rPr>
            <b/>
            <sz val="8"/>
            <color indexed="81"/>
            <rFont val="Tahoma"/>
            <family val="2"/>
          </rPr>
          <t>chthoma:</t>
        </r>
        <r>
          <rPr>
            <sz val="8"/>
            <color indexed="81"/>
            <rFont val="Tahoma"/>
            <family val="2"/>
          </rPr>
          <t xml:space="preserve">
10/23/13, 7/24/31, 4/24/13, 1/29/13, 1/4/13: $22.6–23.4B
1/4/13, 1/5/12: at least $20B</t>
        </r>
      </text>
    </comment>
    <comment ref="BI11" authorId="1">
      <text>
        <r>
          <rPr>
            <b/>
            <sz val="8"/>
            <color indexed="81"/>
            <rFont val="Tahoma"/>
            <family val="2"/>
          </rPr>
          <t>chthoma:</t>
        </r>
        <r>
          <rPr>
            <sz val="8"/>
            <color indexed="81"/>
            <rFont val="Tahoma"/>
            <family val="2"/>
          </rPr>
          <t xml:space="preserve">
10/23/14: $19.4B-$19.8B
7/24/14, 4/24/14: $19.4B-$20.0B
1/30/14, 1/7/14: $19.2B-$19.8B
7/24/13, 1/4/13, 1/5/12: at least $20B</t>
        </r>
      </text>
    </comment>
    <comment ref="BN11" authorId="2">
      <text>
        <r>
          <rPr>
            <b/>
            <sz val="9"/>
            <color indexed="81"/>
            <rFont val="Tahoma"/>
            <family val="2"/>
          </rPr>
          <t>Agarwal, Saket (Research):</t>
        </r>
        <r>
          <rPr>
            <sz val="9"/>
            <color indexed="81"/>
            <rFont val="Tahoma"/>
            <family val="2"/>
          </rPr>
          <t xml:space="preserve">
10/22/15, 7/23/15: $19.7-$20.0B; 
4/23/15: $19.5-$20.0B; includes FX: -$1.4B to -$1.5B
1/30/15: $19.5-$20.0B; includes FX: -$1.3B
1/7/15: $20.3-$20.8B, includes FX: -$500M, Novartis animal health $1.0-1.2B</t>
        </r>
      </text>
    </comment>
    <comment ref="BS11" authorId="2">
      <text>
        <r>
          <rPr>
            <b/>
            <sz val="9"/>
            <color indexed="81"/>
            <rFont val="Tahoma"/>
            <family val="2"/>
          </rPr>
          <t>Agarwal, Saket (Research):</t>
        </r>
        <r>
          <rPr>
            <sz val="9"/>
            <color indexed="81"/>
            <rFont val="Tahoma"/>
            <family val="2"/>
          </rPr>
          <t xml:space="preserve">
10/25/16: $20.8-$21.2B
7/26/16, 4/6/16: $20.6-$21.1B
1/5/16: $20.2-$20.7B</t>
        </r>
      </text>
    </comment>
    <comment ref="BX11" authorId="2">
      <text>
        <r>
          <rPr>
            <b/>
            <sz val="9"/>
            <color indexed="81"/>
            <rFont val="Tahoma"/>
            <family val="2"/>
          </rPr>
          <t>Agarwal, Saket (Research):</t>
        </r>
        <r>
          <rPr>
            <sz val="9"/>
            <color indexed="81"/>
            <rFont val="Tahoma"/>
            <family val="2"/>
          </rPr>
          <t xml:space="preserve">
10/24/17: $22.4–22.7B
7/25/17: $22.0-$22.5B
4/25/17, 1/31/17, 12/15/16: $21.8-$22.3B</t>
        </r>
      </text>
    </comment>
    <comment ref="CC11" authorId="2">
      <text>
        <r>
          <rPr>
            <b/>
            <sz val="9"/>
            <color indexed="81"/>
            <rFont val="Tahoma"/>
            <family val="2"/>
          </rPr>
          <t>Agarwal, Saket (Research):</t>
        </r>
        <r>
          <rPr>
            <sz val="9"/>
            <color indexed="81"/>
            <rFont val="Tahoma"/>
            <family val="2"/>
          </rPr>
          <t xml:space="preserve">
4/24/18: $23.7-$24.2B
1/31/18, 12/13/17: $23.0-$23.5B</t>
        </r>
      </text>
    </comment>
    <comment ref="CE11" authorId="2">
      <text>
        <r>
          <rPr>
            <b/>
            <sz val="9"/>
            <color indexed="81"/>
            <rFont val="Tahoma"/>
            <family val="2"/>
          </rPr>
          <t>Agarwal, Saket (Research):</t>
        </r>
        <r>
          <rPr>
            <sz val="9"/>
            <color indexed="81"/>
            <rFont val="Tahoma"/>
            <family val="2"/>
          </rPr>
          <t xml:space="preserve">
Mgmt. guided 5% CAGR from 2015-20 which implies revenue of $25.5B</t>
        </r>
      </text>
    </comment>
    <comment ref="AT26" authorId="1">
      <text>
        <r>
          <rPr>
            <b/>
            <sz val="8"/>
            <color indexed="81"/>
            <rFont val="Tahoma"/>
            <family val="2"/>
          </rPr>
          <t>chthoma:</t>
        </r>
        <r>
          <rPr>
            <sz val="8"/>
            <color indexed="81"/>
            <rFont val="Tahoma"/>
            <family val="2"/>
          </rPr>
          <t xml:space="preserve">
7/21/11: higher due to FX, linagliptin launch
1/27/11: would be essentially flat vs. 2010 excluding $150-200M US HC reform and BI alliance; thus implies minimum $7.2B.
</t>
        </r>
      </text>
    </comment>
    <comment ref="AY26" authorId="0">
      <text>
        <r>
          <rPr>
            <b/>
            <sz val="8"/>
            <color indexed="81"/>
            <rFont val="Tahoma"/>
            <family val="2"/>
          </rPr>
          <t>sakeaga:</t>
        </r>
        <r>
          <rPr>
            <sz val="8"/>
            <color indexed="81"/>
            <rFont val="Tahoma"/>
            <family val="2"/>
          </rPr>
          <t xml:space="preserve">
10/24/12, 7/25/12: $7.3B-$7.7B
4/25/12, 1/31/12, 1/5/12: $7.4B-$7.8B</t>
        </r>
      </text>
    </comment>
    <comment ref="BD26" authorId="0">
      <text>
        <r>
          <rPr>
            <b/>
            <sz val="8"/>
            <color indexed="81"/>
            <rFont val="Tahoma"/>
            <family val="2"/>
          </rPr>
          <t>sakeaga:</t>
        </r>
        <r>
          <rPr>
            <sz val="8"/>
            <color indexed="81"/>
            <rFont val="Tahoma"/>
            <family val="2"/>
          </rPr>
          <t xml:space="preserve">
10/23/13, 7/24/13: $7.0B-$7.2B
4/24/13, 1/29/13, 1/4/13: $7.1B-$7.4B
US HC reform industry fee reduction from Zyprexa patent to occur in 2013 due to one year lag in calculation of exposure.</t>
        </r>
      </text>
    </comment>
    <comment ref="BG26" authorId="2">
      <text>
        <r>
          <rPr>
            <b/>
            <sz val="9"/>
            <color indexed="81"/>
            <rFont val="Tahoma"/>
            <family val="2"/>
          </rPr>
          <t>Agarwal, Saket (Research):</t>
        </r>
        <r>
          <rPr>
            <sz val="9"/>
            <color indexed="81"/>
            <rFont val="Tahoma"/>
            <family val="2"/>
          </rPr>
          <t xml:space="preserve">
10/23/14: Excludes $119M charges associated with the Branded Prescription Drug Fee</t>
        </r>
      </text>
    </comment>
    <comment ref="BI26" authorId="1">
      <text>
        <r>
          <rPr>
            <b/>
            <sz val="8"/>
            <color indexed="81"/>
            <rFont val="Tahoma"/>
            <family val="2"/>
          </rPr>
          <t>chthoma:</t>
        </r>
        <r>
          <rPr>
            <sz val="8"/>
            <color indexed="81"/>
            <rFont val="Tahoma"/>
            <family val="2"/>
          </rPr>
          <t xml:space="preserve">
10/23/14: $6.3B-$6.5B
7/24/14, 4/24/14: $6.3B-$6.6B
1/30/14, 1/7/14: $6.2B-$6.5B
10/23/13: decline vs. '13</t>
        </r>
      </text>
    </comment>
    <comment ref="BN26" authorId="2">
      <text>
        <r>
          <rPr>
            <b/>
            <sz val="9"/>
            <color indexed="81"/>
            <rFont val="Tahoma"/>
            <family val="2"/>
          </rPr>
          <t>Agarwal, Saket (Research):</t>
        </r>
        <r>
          <rPr>
            <sz val="9"/>
            <color indexed="81"/>
            <rFont val="Tahoma"/>
            <family val="2"/>
          </rPr>
          <t xml:space="preserve">
10/22/15: $6.4-$6.6B
7/23/15, 4/23/15, 1/30/15: $6.3-6.6B
1/7/15: $6.5-$6.8B, excludes $110M amort</t>
        </r>
      </text>
    </comment>
    <comment ref="BS26" authorId="2">
      <text>
        <r>
          <rPr>
            <b/>
            <sz val="9"/>
            <color indexed="81"/>
            <rFont val="Tahoma"/>
            <family val="2"/>
          </rPr>
          <t>Agarwal, Saket (Research):</t>
        </r>
        <r>
          <rPr>
            <sz val="9"/>
            <color indexed="81"/>
            <rFont val="Tahoma"/>
            <family val="2"/>
          </rPr>
          <t xml:space="preserve">
10/25/16: $6.2-$6.4B
7/26/16, 4/26/16: $6.1-$6.3B
1/5/16: $6.0-$6.2B</t>
        </r>
      </text>
    </comment>
    <comment ref="BX26" authorId="2">
      <text>
        <r>
          <rPr>
            <b/>
            <sz val="9"/>
            <color indexed="81"/>
            <rFont val="Tahoma"/>
            <family val="2"/>
          </rPr>
          <t>Agarwal, Saket (Research):</t>
        </r>
        <r>
          <rPr>
            <sz val="9"/>
            <color indexed="81"/>
            <rFont val="Tahoma"/>
            <family val="2"/>
          </rPr>
          <t xml:space="preserve">
10/24/17, 7/25/17, 4/25/17, 1/31/17, 12/15/16: $6.4-$6.6B</t>
        </r>
      </text>
    </comment>
    <comment ref="CC26" authorId="2">
      <text>
        <r>
          <rPr>
            <b/>
            <sz val="9"/>
            <color indexed="81"/>
            <rFont val="Tahoma"/>
            <family val="2"/>
          </rPr>
          <t>Agarwal, Saket (Research):</t>
        </r>
        <r>
          <rPr>
            <sz val="9"/>
            <color indexed="81"/>
            <rFont val="Tahoma"/>
            <family val="2"/>
          </rPr>
          <t xml:space="preserve">
4/24/18: $6.2-$6.5B
1/31/18, 12/13/17: $6.1-$6.4B</t>
        </r>
      </text>
    </comment>
    <comment ref="AX28" authorId="0">
      <text>
        <r>
          <rPr>
            <b/>
            <sz val="8"/>
            <color indexed="81"/>
            <rFont val="Tahoma"/>
            <family val="2"/>
          </rPr>
          <t>sakeaga:</t>
        </r>
        <r>
          <rPr>
            <sz val="8"/>
            <color indexed="81"/>
            <rFont val="Tahoma"/>
            <family val="2"/>
          </rPr>
          <t xml:space="preserve">
Includes $50M of milestone payment to Incyte on initiation of Ph III of baricitinib and $30M charge related to termination of tabalumab in RA.</t>
        </r>
      </text>
    </comment>
    <comment ref="AY28" authorId="0">
      <text>
        <r>
          <rPr>
            <b/>
            <sz val="8"/>
            <color indexed="81"/>
            <rFont val="Tahoma"/>
            <family val="2"/>
          </rPr>
          <t>sakeaga:</t>
        </r>
        <r>
          <rPr>
            <sz val="8"/>
            <color indexed="81"/>
            <rFont val="Tahoma"/>
            <family val="2"/>
          </rPr>
          <t xml:space="preserve">
10/24/12, 7/25/12, 4/25/12, 1/31/12, 1/5/12: $5.0B-$5.3B</t>
        </r>
      </text>
    </comment>
    <comment ref="AZ28" authorId="0">
      <text>
        <r>
          <rPr>
            <b/>
            <sz val="8"/>
            <color indexed="81"/>
            <rFont val="Tahoma"/>
            <family val="2"/>
          </rPr>
          <t>sakeaga:</t>
        </r>
        <r>
          <rPr>
            <sz val="8"/>
            <color indexed="81"/>
            <rFont val="Tahoma"/>
            <family val="2"/>
          </rPr>
          <t xml:space="preserve">
Includes $90M of milestone payment to BI and $60M charge related to termination of tabalumab in RA.</t>
        </r>
      </text>
    </comment>
    <comment ref="BD28" authorId="0">
      <text>
        <r>
          <rPr>
            <b/>
            <sz val="8"/>
            <color indexed="81"/>
            <rFont val="Tahoma"/>
            <family val="2"/>
          </rPr>
          <t>sakeaga:</t>
        </r>
        <r>
          <rPr>
            <sz val="8"/>
            <color indexed="81"/>
            <rFont val="Tahoma"/>
            <family val="2"/>
          </rPr>
          <t xml:space="preserve">
10/23/13, 7/24/13: $5.3B-$5.5B
4/24/13: $5.3B-$5.6B
1/29/13, 1/4/13: $5.2B-$5.5B</t>
        </r>
      </text>
    </comment>
    <comment ref="BG28" authorId="2">
      <text>
        <r>
          <rPr>
            <b/>
            <sz val="9"/>
            <color indexed="81"/>
            <rFont val="Tahoma"/>
            <family val="2"/>
          </rPr>
          <t>Agarwal, Saket (Research):</t>
        </r>
        <r>
          <rPr>
            <sz val="9"/>
            <color indexed="81"/>
            <rFont val="Tahoma"/>
            <family val="2"/>
          </rPr>
          <t xml:space="preserve">
10/2/14: Includes $75M pretax charge related to discontinuation of tabalumab for Lupus.</t>
        </r>
      </text>
    </comment>
    <comment ref="BI28" authorId="1">
      <text>
        <r>
          <rPr>
            <b/>
            <sz val="8"/>
            <color indexed="81"/>
            <rFont val="Tahoma"/>
            <family val="2"/>
          </rPr>
          <t>chthoma:</t>
        </r>
        <r>
          <rPr>
            <sz val="8"/>
            <color indexed="81"/>
            <rFont val="Tahoma"/>
            <family val="2"/>
          </rPr>
          <t xml:space="preserve">
10/23/14: $4.6B-$4.8B
7/24/14, 4/24/14, 1/30/14, 1/7/14: $4.4B-$4.7B
10/23/13: decline vs. '13</t>
        </r>
      </text>
    </comment>
    <comment ref="BM28" authorId="2">
      <text>
        <r>
          <rPr>
            <b/>
            <sz val="9"/>
            <color indexed="81"/>
            <rFont val="Tahoma"/>
            <family val="2"/>
          </rPr>
          <t>Agarwal, Saket (Research):</t>
        </r>
        <r>
          <rPr>
            <sz val="9"/>
            <color indexed="81"/>
            <rFont val="Tahoma"/>
            <family val="2"/>
          </rPr>
          <t xml:space="preserve">
12/4/15: includes $55M pre-tax charge related to discontinuation of basal insulin trials.
10/22/15: includes $90M charge related to discontinuation 
of evacetrapib trials.</t>
        </r>
      </text>
    </comment>
    <comment ref="BN28" authorId="2">
      <text>
        <r>
          <rPr>
            <b/>
            <sz val="9"/>
            <color indexed="81"/>
            <rFont val="Tahoma"/>
            <family val="2"/>
          </rPr>
          <t>Agarwal, Saket (Research):</t>
        </r>
        <r>
          <rPr>
            <sz val="9"/>
            <color indexed="81"/>
            <rFont val="Tahoma"/>
            <family val="2"/>
          </rPr>
          <t xml:space="preserve">
10/22/15: $4.6-$4.8B
7/23/15, 4/23/15, 1/30/15: $4.7-$4.9B
1/7/15: $4.8-$5.0B</t>
        </r>
      </text>
    </comment>
    <comment ref="BR28" authorId="2">
      <text>
        <r>
          <rPr>
            <b/>
            <sz val="9"/>
            <color indexed="81"/>
            <rFont val="Tahoma"/>
            <family val="2"/>
          </rPr>
          <t>Agarwal, Saket (Research):</t>
        </r>
        <r>
          <rPr>
            <sz val="9"/>
            <color indexed="81"/>
            <rFont val="Tahoma"/>
            <family val="2"/>
          </rPr>
          <t xml:space="preserve">
1/31/17: Includes $75M termination charges related to Expedition 3</t>
        </r>
      </text>
    </comment>
    <comment ref="BS28" authorId="2">
      <text>
        <r>
          <rPr>
            <b/>
            <sz val="9"/>
            <color indexed="81"/>
            <rFont val="Tahoma"/>
            <family val="2"/>
          </rPr>
          <t>Agarwal, Saket (Research):</t>
        </r>
        <r>
          <rPr>
            <sz val="9"/>
            <color indexed="81"/>
            <rFont val="Tahoma"/>
            <family val="2"/>
          </rPr>
          <t xml:space="preserve">
12/15/16: $5.0-$5.2B
10/25/16, 7/26/16, 4/26/16: $4.9-$5.1B
1/5/16: $4.8-$5.0B</t>
        </r>
      </text>
    </comment>
    <comment ref="BU28" authorId="3">
      <text>
        <r>
          <rPr>
            <b/>
            <sz val="9"/>
            <color indexed="81"/>
            <rFont val="Tahoma"/>
            <family val="2"/>
          </rPr>
          <t>Ng, Zhu Shen (Research):</t>
        </r>
        <r>
          <rPr>
            <sz val="9"/>
            <color indexed="81"/>
            <rFont val="Tahoma"/>
            <family val="2"/>
          </rPr>
          <t xml:space="preserve">
7/25/17: decrease driven by $100M charge in 2Q16, related to development with AZN as a potential treatment for early Alzheimer's disease.</t>
        </r>
      </text>
    </comment>
    <comment ref="BV28" authorId="2">
      <text>
        <r>
          <rPr>
            <b/>
            <sz val="9"/>
            <color indexed="81"/>
            <rFont val="Tahoma"/>
            <family val="2"/>
          </rPr>
          <t>Agarwal, Saket (Research):</t>
        </r>
        <r>
          <rPr>
            <sz val="9"/>
            <color indexed="81"/>
            <rFont val="Tahoma"/>
            <family val="2"/>
          </rPr>
          <t xml:space="preserve">
10/24/17: Increased due to milestone payment to AZN related to BACE inhibitor </t>
        </r>
      </text>
    </comment>
    <comment ref="BX28" authorId="2">
      <text>
        <r>
          <rPr>
            <b/>
            <sz val="9"/>
            <color indexed="81"/>
            <rFont val="Tahoma"/>
            <family val="2"/>
          </rPr>
          <t>Agarwal, Saket (Research):</t>
        </r>
        <r>
          <rPr>
            <sz val="9"/>
            <color indexed="81"/>
            <rFont val="Tahoma"/>
            <family val="2"/>
          </rPr>
          <t xml:space="preserve">
10/24/17: $5.1-$5.2B
7/25/17: $5.0-$5.2B
4/25/17, 1/31/17, 12/16/15: $4.9-$5.1B</t>
        </r>
      </text>
    </comment>
    <comment ref="CC28" authorId="2">
      <text>
        <r>
          <rPr>
            <b/>
            <sz val="9"/>
            <color indexed="81"/>
            <rFont val="Tahoma"/>
            <family val="2"/>
          </rPr>
          <t>Agarwal, Saket (Research):</t>
        </r>
        <r>
          <rPr>
            <sz val="9"/>
            <color indexed="81"/>
            <rFont val="Tahoma"/>
            <family val="2"/>
          </rPr>
          <t xml:space="preserve">
4/24/18: $5.2-$5.4B
1/31/18, 12/13/17: $5.0-$5.2B</t>
        </r>
      </text>
    </comment>
    <comment ref="AO34" authorId="4">
      <text>
        <r>
          <rPr>
            <b/>
            <sz val="8"/>
            <color indexed="81"/>
            <rFont val="Tahoma"/>
            <family val="2"/>
          </rPr>
          <t>tchiu:</t>
        </r>
        <r>
          <rPr>
            <sz val="8"/>
            <color indexed="81"/>
            <rFont val="Tahoma"/>
            <family val="2"/>
          </rPr>
          <t xml:space="preserve">
1/28/10: ($150M) to ($200M).
4/19/10, 7/22/10: ($50M) to ($100M).
10/21/10: ($0M) to ($50M).
</t>
        </r>
      </text>
    </comment>
    <comment ref="AT34" authorId="0">
      <text>
        <r>
          <rPr>
            <b/>
            <sz val="8"/>
            <color indexed="81"/>
            <rFont val="Tahoma"/>
            <family val="2"/>
          </rPr>
          <t>sakeaga:</t>
        </r>
        <r>
          <rPr>
            <sz val="8"/>
            <color indexed="81"/>
            <rFont val="Tahoma"/>
            <family val="2"/>
          </rPr>
          <t xml:space="preserve">
10/20/11: ($175)-($225)
7/21/11: ($100)-($175)
4/18/11,1/27/11: ($50)-($150)
</t>
        </r>
      </text>
    </comment>
    <comment ref="AY34" authorId="0">
      <text>
        <r>
          <rPr>
            <b/>
            <sz val="8"/>
            <color indexed="81"/>
            <rFont val="Tahoma"/>
            <family val="2"/>
          </rPr>
          <t>sakeaga:</t>
        </r>
        <r>
          <rPr>
            <sz val="8"/>
            <color indexed="81"/>
            <rFont val="Tahoma"/>
            <family val="2"/>
          </rPr>
          <t xml:space="preserve">
10/24/12: $150M expense to $75M expense
7/25/12: $75M expense to $50M income
4/25/12, 1/5/12: $50M expense to $100M income</t>
        </r>
      </text>
    </comment>
    <comment ref="BD34" authorId="0">
      <text>
        <r>
          <rPr>
            <b/>
            <sz val="8"/>
            <color indexed="81"/>
            <rFont val="Tahoma"/>
            <family val="2"/>
          </rPr>
          <t>sakeaga:</t>
        </r>
        <r>
          <rPr>
            <sz val="8"/>
            <color indexed="81"/>
            <rFont val="Tahoma"/>
            <family val="2"/>
          </rPr>
          <t xml:space="preserve">
10/23/13, 7/24/13, 4/24/13: (50M)-$100M income
1/29/13, 1/4/13: $0–150M expense</t>
        </r>
      </text>
    </comment>
    <comment ref="BI34" authorId="0">
      <text>
        <r>
          <rPr>
            <b/>
            <sz val="8"/>
            <color indexed="81"/>
            <rFont val="Tahoma"/>
            <family val="2"/>
          </rPr>
          <t>sakeaga:</t>
        </r>
        <r>
          <rPr>
            <sz val="8"/>
            <color indexed="81"/>
            <rFont val="Tahoma"/>
            <family val="2"/>
          </rPr>
          <t xml:space="preserve">
10/23/14: $200M-$250M
7/24/14, 4/24/14, 1/30/14, 1/7/14: $100M-$200M</t>
        </r>
      </text>
    </comment>
    <comment ref="BN34" authorId="2">
      <text>
        <r>
          <rPr>
            <b/>
            <sz val="9"/>
            <color indexed="81"/>
            <rFont val="Tahoma"/>
            <family val="2"/>
          </rPr>
          <t>Agarwal, Saket (Research):</t>
        </r>
        <r>
          <rPr>
            <sz val="9"/>
            <color indexed="81"/>
            <rFont val="Tahoma"/>
            <family val="2"/>
          </rPr>
          <t xml:space="preserve">
10/22/15: $200M-$225M
7/23/15: $100M-$150M
4/23/15, 1/30/15: $75M-$125M
1/7/15: $75M-$125M</t>
        </r>
      </text>
    </comment>
    <comment ref="BS34" authorId="2">
      <text>
        <r>
          <rPr>
            <b/>
            <sz val="9"/>
            <color indexed="81"/>
            <rFont val="Tahoma"/>
            <family val="2"/>
          </rPr>
          <t>Agarwal, Saket (Research):</t>
        </r>
        <r>
          <rPr>
            <sz val="9"/>
            <color indexed="81"/>
            <rFont val="Tahoma"/>
            <family val="2"/>
          </rPr>
          <t xml:space="preserve">
10/25/16: $50M-$100M
7/26/16, 4/26/16, 1/5/16: $0M-$75M</t>
        </r>
      </text>
    </comment>
    <comment ref="BX34" authorId="2">
      <text>
        <r>
          <rPr>
            <b/>
            <sz val="9"/>
            <color indexed="81"/>
            <rFont val="Tahoma"/>
            <family val="2"/>
          </rPr>
          <t>Agarwal, Saket (Research):</t>
        </r>
        <r>
          <rPr>
            <sz val="9"/>
            <color indexed="81"/>
            <rFont val="Tahoma"/>
            <family val="2"/>
          </rPr>
          <t xml:space="preserve">
10/24/17, 7/25/17, 4/25/17, 1/31/17, 12/15/16: $0M-$100M income</t>
        </r>
      </text>
    </comment>
    <comment ref="CC34" authorId="2">
      <text>
        <r>
          <rPr>
            <b/>
            <sz val="9"/>
            <color indexed="81"/>
            <rFont val="Tahoma"/>
            <family val="2"/>
          </rPr>
          <t>Agarwal, Saket (Research):</t>
        </r>
        <r>
          <rPr>
            <sz val="9"/>
            <color indexed="81"/>
            <rFont val="Tahoma"/>
            <family val="2"/>
          </rPr>
          <t xml:space="preserve">
4/24/18: $75M-$200M
1/31/18, 12/13/17: $75M-$175M</t>
        </r>
      </text>
    </comment>
    <comment ref="AP37" authorId="1">
      <text>
        <r>
          <rPr>
            <b/>
            <sz val="8"/>
            <color indexed="81"/>
            <rFont val="Tahoma"/>
            <family val="2"/>
          </rPr>
          <t>chthoma:</t>
        </r>
        <r>
          <rPr>
            <sz val="8"/>
            <color indexed="81"/>
            <rFont val="Tahoma"/>
            <family val="2"/>
          </rPr>
          <t xml:space="preserve">
FX (10.4)
Equity investments 35.4
Misc (5.9)</t>
        </r>
      </text>
    </comment>
    <comment ref="AQ37" authorId="1">
      <text>
        <r>
          <rPr>
            <b/>
            <sz val="8"/>
            <color indexed="81"/>
            <rFont val="Tahoma"/>
            <family val="2"/>
          </rPr>
          <t>sakeaga:</t>
        </r>
        <r>
          <rPr>
            <sz val="8"/>
            <color indexed="81"/>
            <rFont val="Tahoma"/>
            <family val="2"/>
          </rPr>
          <t xml:space="preserve">
FX (0.9)
Equity investments 40.4
Misc (69.8)</t>
        </r>
      </text>
    </comment>
    <comment ref="AR37" authorId="1">
      <text>
        <r>
          <rPr>
            <b/>
            <sz val="8"/>
            <color indexed="81"/>
            <rFont val="Tahoma"/>
            <family val="2"/>
          </rPr>
          <t>sakeaga:</t>
        </r>
        <r>
          <rPr>
            <sz val="8"/>
            <color indexed="81"/>
            <rFont val="Tahoma"/>
            <family val="2"/>
          </rPr>
          <t xml:space="preserve">
FX $9.8M
Equity investments $11.6M
Misc ($82.0)M</t>
        </r>
      </text>
    </comment>
    <comment ref="AS37" authorId="1">
      <text>
        <r>
          <rPr>
            <b/>
            <sz val="8"/>
            <color indexed="81"/>
            <rFont val="Tahoma"/>
            <family val="2"/>
          </rPr>
          <t>sakeaga:</t>
        </r>
        <r>
          <rPr>
            <sz val="8"/>
            <color indexed="81"/>
            <rFont val="Tahoma"/>
            <family val="2"/>
          </rPr>
          <t xml:space="preserve">
FX -$4.7M
Equity investments $10.8M
Misc -$7.3M</t>
        </r>
      </text>
    </comment>
    <comment ref="AU37" authorId="1">
      <text>
        <r>
          <rPr>
            <b/>
            <sz val="8"/>
            <color indexed="81"/>
            <rFont val="Tahoma"/>
            <family val="2"/>
          </rPr>
          <t>sakeaga:</t>
        </r>
        <r>
          <rPr>
            <sz val="8"/>
            <color indexed="81"/>
            <rFont val="Tahoma"/>
            <family val="2"/>
          </rPr>
          <t xml:space="preserve">
FX -($10.7M)
Equity investments $5.7M
Misc -($21.8M)</t>
        </r>
      </text>
    </comment>
    <comment ref="AV37" authorId="1">
      <text>
        <r>
          <rPr>
            <b/>
            <sz val="8"/>
            <color indexed="81"/>
            <rFont val="Tahoma"/>
            <family val="2"/>
          </rPr>
          <t>sakeaga:</t>
        </r>
        <r>
          <rPr>
            <sz val="8"/>
            <color indexed="81"/>
            <rFont val="Tahoma"/>
            <family val="2"/>
          </rPr>
          <t xml:space="preserve">
FX -($8.2M)
Equity investments $2.3M
Misc $5.2M</t>
        </r>
      </text>
    </comment>
    <comment ref="AW37" authorId="1">
      <text>
        <r>
          <rPr>
            <b/>
            <sz val="8"/>
            <color indexed="81"/>
            <rFont val="Tahoma"/>
            <family val="2"/>
          </rPr>
          <t>sakeaga:</t>
        </r>
        <r>
          <rPr>
            <sz val="8"/>
            <color indexed="81"/>
            <rFont val="Tahoma"/>
            <family val="2"/>
          </rPr>
          <t xml:space="preserve">
FX -($7.2M)
Equity investments $35.3M
Misc ($6.1M)</t>
        </r>
      </text>
    </comment>
    <comment ref="AX37" authorId="5">
      <text>
        <r>
          <rPr>
            <b/>
            <sz val="8"/>
            <color indexed="81"/>
            <rFont val="Tahoma"/>
            <family val="2"/>
          </rPr>
          <t>nascamar:</t>
        </r>
        <r>
          <rPr>
            <sz val="8"/>
            <color indexed="81"/>
            <rFont val="Tahoma"/>
            <family val="2"/>
          </rPr>
          <t xml:space="preserve">
FX $0.1M
Equity investments $2.2M
Misc ($37.8M)</t>
        </r>
      </text>
    </comment>
    <comment ref="BI37" authorId="1">
      <text>
        <r>
          <rPr>
            <b/>
            <sz val="8"/>
            <color indexed="81"/>
            <rFont val="Tahoma"/>
            <family val="2"/>
          </rPr>
          <t>chthoma:</t>
        </r>
        <r>
          <rPr>
            <sz val="8"/>
            <color indexed="81"/>
            <rFont val="Tahoma"/>
            <family val="2"/>
          </rPr>
          <t xml:space="preserve">
7/24/14, 4/24/14: gains of $150 million to $200 million on the sale of equity investments acquired as part of past business development transactions</t>
        </r>
      </text>
    </comment>
    <comment ref="AK45" authorId="4">
      <text>
        <r>
          <rPr>
            <b/>
            <sz val="8"/>
            <color indexed="81"/>
            <rFont val="Tahoma"/>
            <family val="2"/>
          </rPr>
          <t>tchiu:</t>
        </r>
        <r>
          <rPr>
            <sz val="8"/>
            <color indexed="81"/>
            <rFont val="Tahoma"/>
            <family val="2"/>
          </rPr>
          <t xml:space="preserve">
4/19/10: includes </t>
        </r>
        <r>
          <rPr>
            <b/>
            <sz val="8"/>
            <color indexed="81"/>
            <rFont val="Tahoma"/>
            <family val="2"/>
          </rPr>
          <t>one-time</t>
        </r>
        <r>
          <rPr>
            <sz val="8"/>
            <color indexed="81"/>
            <rFont val="Tahoma"/>
            <family val="2"/>
          </rPr>
          <t xml:space="preserve"> charge of $85.1M associated with the imposition of tax on the prescription drug subsidy of the company’s retiree health plan as part of U.S. health care reform.</t>
        </r>
      </text>
    </comment>
    <comment ref="BM45" authorId="2">
      <text>
        <r>
          <rPr>
            <b/>
            <sz val="9"/>
            <color indexed="81"/>
            <rFont val="Tahoma"/>
            <family val="2"/>
          </rPr>
          <t>Agarwal, Saket (Research):</t>
        </r>
        <r>
          <rPr>
            <sz val="9"/>
            <color indexed="81"/>
            <rFont val="Tahoma"/>
            <family val="2"/>
          </rPr>
          <t xml:space="preserve">
1/28/16: $17M of discrete tax benefit</t>
        </r>
      </text>
    </comment>
    <comment ref="BR45" authorId="2">
      <text>
        <r>
          <rPr>
            <b/>
            <sz val="9"/>
            <color indexed="81"/>
            <rFont val="Tahoma"/>
            <family val="2"/>
          </rPr>
          <t>Agarwal, Saket (Research):</t>
        </r>
        <r>
          <rPr>
            <sz val="9"/>
            <color indexed="81"/>
            <rFont val="Tahoma"/>
            <family val="2"/>
          </rPr>
          <t xml:space="preserve">
1/31/17: $40M discrete tax benefit from early adoption of standard related to stock-based compensation</t>
        </r>
      </text>
    </comment>
    <comment ref="AO46" authorId="4">
      <text>
        <r>
          <rPr>
            <b/>
            <sz val="8"/>
            <color indexed="81"/>
            <rFont val="Tahoma"/>
            <family val="2"/>
          </rPr>
          <t>tchiu:</t>
        </r>
        <r>
          <rPr>
            <sz val="8"/>
            <color indexed="81"/>
            <rFont val="Tahoma"/>
            <family val="2"/>
          </rPr>
          <t xml:space="preserve">
1/28/10: ~22%.
4/19/10: ~23%, including one-time $85.1M charge in 1Q:10 related to HC reform.
7/22/10, 10/21/10: ~23%</t>
        </r>
      </text>
    </comment>
    <comment ref="AT46" authorId="0">
      <text>
        <r>
          <rPr>
            <b/>
            <sz val="8"/>
            <color indexed="81"/>
            <rFont val="Tahoma"/>
            <family val="2"/>
          </rPr>
          <t>sakeaga:</t>
        </r>
        <r>
          <rPr>
            <sz val="8"/>
            <color indexed="81"/>
            <rFont val="Tahoma"/>
            <family val="2"/>
          </rPr>
          <t xml:space="preserve">
10/20/11: ~20%
7/21/11,4/18/11: ~21%
1/27/11: ~21.5%
</t>
        </r>
      </text>
    </comment>
    <comment ref="AY46" authorId="0">
      <text>
        <r>
          <rPr>
            <b/>
            <sz val="8"/>
            <color indexed="81"/>
            <rFont val="Tahoma"/>
            <family val="2"/>
          </rPr>
          <t>sakeaga:</t>
        </r>
        <r>
          <rPr>
            <sz val="8"/>
            <color indexed="81"/>
            <rFont val="Tahoma"/>
            <family val="2"/>
          </rPr>
          <t xml:space="preserve">
10/24/12, 7/25/12, 4/25/12, 1/31/12, 1/5/12: ~21%</t>
        </r>
      </text>
    </comment>
    <comment ref="BB46" authorId="0">
      <text>
        <r>
          <rPr>
            <b/>
            <sz val="8"/>
            <color indexed="81"/>
            <rFont val="Tahoma"/>
            <family val="2"/>
          </rPr>
          <t>sakeaga:</t>
        </r>
        <r>
          <rPr>
            <sz val="8"/>
            <color indexed="81"/>
            <rFont val="Tahoma"/>
            <family val="2"/>
          </rPr>
          <t xml:space="preserve">
10/23/13: Tax decreased due to reinstatement of tax credit.</t>
        </r>
      </text>
    </comment>
    <comment ref="BC46" authorId="0">
      <text>
        <r>
          <rPr>
            <b/>
            <sz val="8"/>
            <color indexed="81"/>
            <rFont val="Tahoma"/>
            <family val="2"/>
          </rPr>
          <t>sakeaga:</t>
        </r>
        <r>
          <rPr>
            <sz val="8"/>
            <color indexed="81"/>
            <rFont val="Tahoma"/>
            <family val="2"/>
          </rPr>
          <t xml:space="preserve">
Decrease in tax due to Puerto Rico excise tax impact from 7/1/13 and R&amp;D tax credit.</t>
        </r>
      </text>
    </comment>
    <comment ref="BD46" authorId="0">
      <text>
        <r>
          <rPr>
            <b/>
            <sz val="8"/>
            <color indexed="81"/>
            <rFont val="Tahoma"/>
            <family val="2"/>
          </rPr>
          <t>sakeaga:</t>
        </r>
        <r>
          <rPr>
            <sz val="8"/>
            <color indexed="81"/>
            <rFont val="Tahoma"/>
            <family val="2"/>
          </rPr>
          <t xml:space="preserve">
10/23/13, 7/24/13, 4/24/13: ~19%
1/29/13: ~19.5%
1/4/13: ~21%</t>
        </r>
      </text>
    </comment>
    <comment ref="BI46" authorId="0">
      <text>
        <r>
          <rPr>
            <b/>
            <sz val="8"/>
            <color indexed="81"/>
            <rFont val="Tahoma"/>
            <family val="2"/>
          </rPr>
          <t>sakeaga:</t>
        </r>
        <r>
          <rPr>
            <sz val="8"/>
            <color indexed="81"/>
            <rFont val="Tahoma"/>
            <family val="2"/>
          </rPr>
          <t xml:space="preserve">
10/23/14, 7/24/14, 4/24/14: ~19%
1/30/14, 1/7/14: ~20% (excl. R&amp;D tax credit rate is ~22%</t>
        </r>
      </text>
    </comment>
    <comment ref="BK46" authorId="2">
      <text>
        <r>
          <rPr>
            <b/>
            <sz val="9"/>
            <color indexed="81"/>
            <rFont val="Tahoma"/>
            <family val="2"/>
          </rPr>
          <t>Agarwal, Saket (Research):</t>
        </r>
        <r>
          <rPr>
            <sz val="9"/>
            <color indexed="81"/>
            <rFont val="Tahoma"/>
            <family val="2"/>
          </rPr>
          <t xml:space="preserve">
7/23/15: Lower due to $24M discrete tax benefit </t>
        </r>
      </text>
    </comment>
    <comment ref="BM46" authorId="6">
      <text>
        <r>
          <rPr>
            <b/>
            <sz val="9"/>
            <color indexed="81"/>
            <rFont val="Tahoma"/>
            <family val="2"/>
          </rPr>
          <t>Chiu, Thomas (Research):</t>
        </r>
        <r>
          <rPr>
            <sz val="9"/>
            <color indexed="81"/>
            <rFont val="Tahoma"/>
            <family val="2"/>
          </rPr>
          <t xml:space="preserve">
1/31/17: benefits include R&amp;D tax credit</t>
        </r>
      </text>
    </comment>
    <comment ref="BN46" authorId="2">
      <text>
        <r>
          <rPr>
            <b/>
            <sz val="9"/>
            <color indexed="81"/>
            <rFont val="Tahoma"/>
            <family val="2"/>
          </rPr>
          <t>Agarwal, Saket (Research):</t>
        </r>
        <r>
          <rPr>
            <sz val="9"/>
            <color indexed="81"/>
            <rFont val="Tahoma"/>
            <family val="2"/>
          </rPr>
          <t xml:space="preserve">
10/22/15: ~21.5%
7/23/15: ~21.0%
4/23/15, 1/30/15, 1/7/14: ~21.5% (Non extension of R&amp;D tax benefits will increase tax rate 1.5%).</t>
        </r>
      </text>
    </comment>
    <comment ref="BO46" authorId="2">
      <text>
        <r>
          <rPr>
            <b/>
            <sz val="9"/>
            <color indexed="81"/>
            <rFont val="Tahoma"/>
            <family val="2"/>
          </rPr>
          <t>Agarwal, Saket (Research):</t>
        </r>
        <r>
          <rPr>
            <sz val="9"/>
            <color indexed="81"/>
            <rFont val="Tahoma"/>
            <family val="2"/>
          </rPr>
          <t xml:space="preserve">
4/26/16: Includes discrete tax benefit of $50M</t>
        </r>
      </text>
    </comment>
    <comment ref="BS46" authorId="2">
      <text>
        <r>
          <rPr>
            <b/>
            <sz val="9"/>
            <color indexed="81"/>
            <rFont val="Tahoma"/>
            <family val="2"/>
          </rPr>
          <t>Agarwal, Saket (Research):</t>
        </r>
        <r>
          <rPr>
            <sz val="9"/>
            <color indexed="81"/>
            <rFont val="Tahoma"/>
            <family val="2"/>
          </rPr>
          <t xml:space="preserve">
10/25/16, 7/26/16, 4/26/16: ~21.0%
1/5/16: ~22.5%</t>
        </r>
      </text>
    </comment>
    <comment ref="BV46" authorId="2">
      <text>
        <r>
          <rPr>
            <b/>
            <sz val="9"/>
            <color indexed="81"/>
            <rFont val="Tahoma"/>
            <family val="2"/>
          </rPr>
          <t>Agarwal, Saket (Research):</t>
        </r>
        <r>
          <rPr>
            <sz val="9"/>
            <color indexed="81"/>
            <rFont val="Tahoma"/>
            <family val="2"/>
          </rPr>
          <t xml:space="preserve">
10/24/17: Lower due to discrete tax benefit of $30M.</t>
        </r>
      </text>
    </comment>
    <comment ref="BW46" authorId="2">
      <text>
        <r>
          <rPr>
            <b/>
            <sz val="9"/>
            <color indexed="81"/>
            <rFont val="Tahoma"/>
            <family val="2"/>
          </rPr>
          <t>Agarwal, Saket (Research):</t>
        </r>
        <r>
          <rPr>
            <sz val="9"/>
            <color indexed="81"/>
            <rFont val="Tahoma"/>
            <family val="2"/>
          </rPr>
          <t xml:space="preserve">
1/31/18: Lower due to discrete tax benefit</t>
        </r>
      </text>
    </comment>
    <comment ref="BX46" authorId="2">
      <text>
        <r>
          <rPr>
            <b/>
            <sz val="9"/>
            <color indexed="81"/>
            <rFont val="Tahoma"/>
            <family val="2"/>
          </rPr>
          <t>Agarwal, Saket (Research):</t>
        </r>
        <r>
          <rPr>
            <sz val="9"/>
            <color indexed="81"/>
            <rFont val="Tahoma"/>
            <family val="2"/>
          </rPr>
          <t xml:space="preserve">
10/24/17: ~21.0%
7/25/17, 4/25/17, 1/31/17, 12/15/16: ~22.0%</t>
        </r>
      </text>
    </comment>
    <comment ref="CC46" authorId="2">
      <text>
        <r>
          <rPr>
            <b/>
            <sz val="9"/>
            <color indexed="81"/>
            <rFont val="Tahoma"/>
            <family val="2"/>
          </rPr>
          <t>Agarwal, Saket (Research):</t>
        </r>
        <r>
          <rPr>
            <sz val="9"/>
            <color indexed="81"/>
            <rFont val="Tahoma"/>
            <family val="2"/>
          </rPr>
          <t xml:space="preserve">
4/24/18: ~17%
1/31/18: ~18%
12/13/17: ~21.5%</t>
        </r>
      </text>
    </comment>
    <comment ref="BD47" authorId="1">
      <text>
        <r>
          <rPr>
            <b/>
            <sz val="8"/>
            <color indexed="81"/>
            <rFont val="Tahoma"/>
            <family val="2"/>
          </rPr>
          <t>chthoma:</t>
        </r>
        <r>
          <rPr>
            <sz val="8"/>
            <color indexed="81"/>
            <rFont val="Tahoma"/>
            <family val="2"/>
          </rPr>
          <t xml:space="preserve">
1/4/13, 1/5/12: at least $3B</t>
        </r>
      </text>
    </comment>
    <comment ref="BI47" authorId="1">
      <text>
        <r>
          <rPr>
            <b/>
            <sz val="8"/>
            <color indexed="81"/>
            <rFont val="Tahoma"/>
            <family val="2"/>
          </rPr>
          <t>chthoma:</t>
        </r>
        <r>
          <rPr>
            <sz val="8"/>
            <color indexed="81"/>
            <rFont val="Tahoma"/>
            <family val="2"/>
          </rPr>
          <t xml:space="preserve">
10/23/14, 7/24/14, 4/24/14: at least $2.9B
1/30/14, 1/7/14: ~$3B
7/24/13, 1/4/13, 1/5/12: at least $3B</t>
        </r>
      </text>
    </comment>
    <comment ref="AK49" authorId="4">
      <text>
        <r>
          <rPr>
            <b/>
            <sz val="8"/>
            <color indexed="81"/>
            <rFont val="Tahoma"/>
            <family val="2"/>
          </rPr>
          <t>tchiu:</t>
        </r>
        <r>
          <rPr>
            <sz val="8"/>
            <color indexed="81"/>
            <rFont val="Tahoma"/>
            <family val="2"/>
          </rPr>
          <t xml:space="preserve">
4/19/10: includes </t>
        </r>
        <r>
          <rPr>
            <b/>
            <sz val="8"/>
            <color indexed="81"/>
            <rFont val="Tahoma"/>
            <family val="2"/>
          </rPr>
          <t>one-time</t>
        </r>
        <r>
          <rPr>
            <sz val="8"/>
            <color indexed="81"/>
            <rFont val="Tahoma"/>
            <family val="2"/>
          </rPr>
          <t xml:space="preserve"> charge of $0.08 associated with the imposition of tax on the prescription drug subsidy of the company’s retiree health plan as part of U.S. health care reform.</t>
        </r>
      </text>
    </comment>
    <comment ref="AO49" authorId="4">
      <text>
        <r>
          <rPr>
            <b/>
            <sz val="8"/>
            <color indexed="81"/>
            <rFont val="Tahoma"/>
            <family val="2"/>
          </rPr>
          <t>tchiu:</t>
        </r>
        <r>
          <rPr>
            <sz val="8"/>
            <color indexed="81"/>
            <rFont val="Tahoma"/>
            <family val="2"/>
          </rPr>
          <t xml:space="preserve">
1/28/10: $4.65-$4.85.
4/19/10: $4.40-$4.55.
7/22/10: $4.50-$4.65.
10/21/10: $4.65-$4.75.</t>
        </r>
      </text>
    </comment>
    <comment ref="AT49" authorId="0">
      <text>
        <r>
          <rPr>
            <b/>
            <sz val="8"/>
            <color indexed="81"/>
            <rFont val="Tahoma"/>
            <family val="2"/>
          </rPr>
          <t>sakeaga:</t>
        </r>
        <r>
          <rPr>
            <sz val="8"/>
            <color indexed="81"/>
            <rFont val="Tahoma"/>
            <family val="2"/>
          </rPr>
          <t xml:space="preserve">
10/20/11: $4.30-$4.35
7/21/11: $4.25-$4.35
4/18/11,1/27/11: $4.15-$4.30
</t>
        </r>
      </text>
    </comment>
    <comment ref="AY49" authorId="0">
      <text>
        <r>
          <rPr>
            <b/>
            <sz val="8"/>
            <color indexed="81"/>
            <rFont val="Tahoma"/>
            <family val="2"/>
          </rPr>
          <t>sakeaga:</t>
        </r>
        <r>
          <rPr>
            <sz val="8"/>
            <color indexed="81"/>
            <rFont val="Tahoma"/>
            <family val="2"/>
          </rPr>
          <t xml:space="preserve">
10/24/12, 7/25/12: $3.30-$3.40
4/25/12: $3.15-$3.30
1/31/12, 1/5/12: $3.10-$3.20</t>
        </r>
      </text>
    </comment>
    <comment ref="BD49" authorId="1">
      <text>
        <r>
          <rPr>
            <b/>
            <sz val="8"/>
            <color indexed="81"/>
            <rFont val="Tahoma"/>
            <family val="2"/>
          </rPr>
          <t>chthoma:</t>
        </r>
        <r>
          <rPr>
            <sz val="8"/>
            <color indexed="81"/>
            <rFont val="Tahoma"/>
            <family val="2"/>
          </rPr>
          <t xml:space="preserve">
10/23/13: $4.10-$4.15
7/24/13: $4.05-$4.15
4/24/13, 1/29/13: $3.82-$3.97 incl. $0.07 for 2012 R&amp;D tax credit
1/4/13: $3.75-3.90 excl. 1x impact from delayed enactment of Amer Taxpayer Relief Act of 2012</t>
        </r>
      </text>
    </comment>
    <comment ref="BI49" authorId="0">
      <text>
        <r>
          <rPr>
            <b/>
            <sz val="8"/>
            <color indexed="81"/>
            <rFont val="Tahoma"/>
            <family val="2"/>
          </rPr>
          <t>sakeaga:</t>
        </r>
        <r>
          <rPr>
            <sz val="8"/>
            <color indexed="81"/>
            <rFont val="Tahoma"/>
            <family val="2"/>
          </rPr>
          <t xml:space="preserve">
1/7/15, 10/23/14, 7/24/14, 4/24/14, 2/24/14: $2.72–2.80
1/30/14, 1/7/14: $2.77-$2.85</t>
        </r>
      </text>
    </comment>
    <comment ref="BN49" authorId="2">
      <text>
        <r>
          <rPr>
            <b/>
            <sz val="9"/>
            <color indexed="81"/>
            <rFont val="Tahoma"/>
            <family val="2"/>
          </rPr>
          <t>Agarwal, Saket (Research):</t>
        </r>
        <r>
          <rPr>
            <sz val="9"/>
            <color indexed="81"/>
            <rFont val="Tahoma"/>
            <family val="2"/>
          </rPr>
          <t xml:space="preserve">
10/22/15: $3.40-$3.45
7/23/15, 1/30/15: $3.20-$3.30
4/23/15, 1/30/15: $3.10-$3.20
1/7/15: $3.10-$3.20 (FX impact: ~$0.03)</t>
        </r>
      </text>
    </comment>
    <comment ref="BS49" authorId="2">
      <text>
        <r>
          <rPr>
            <b/>
            <sz val="9"/>
            <color indexed="81"/>
            <rFont val="Tahoma"/>
            <family val="2"/>
          </rPr>
          <t>Agarwal, Saket (Research):</t>
        </r>
        <r>
          <rPr>
            <sz val="9"/>
            <color indexed="81"/>
            <rFont val="Tahoma"/>
            <family val="2"/>
          </rPr>
          <t xml:space="preserve">
10/25/16, 7/26/16, 4/26/16: $3.50-$3.60
1/5/16: $3.45-$3.55 </t>
        </r>
      </text>
    </comment>
    <comment ref="BX49" authorId="2">
      <text>
        <r>
          <rPr>
            <b/>
            <sz val="9"/>
            <color indexed="81"/>
            <rFont val="Tahoma"/>
            <family val="2"/>
          </rPr>
          <t>Agarwal, Saket (Research):</t>
        </r>
        <r>
          <rPr>
            <sz val="9"/>
            <color indexed="81"/>
            <rFont val="Tahoma"/>
            <family val="2"/>
          </rPr>
          <t xml:space="preserve">
10/24/17: $4.15-$4.25
7/25/17: $4.10-$4.20
4/25/17, 1/31/7, 12/15/16: $4.05-$4.15</t>
        </r>
      </text>
    </comment>
    <comment ref="CC49" authorId="2">
      <text>
        <r>
          <rPr>
            <b/>
            <sz val="9"/>
            <color indexed="81"/>
            <rFont val="Tahoma"/>
            <family val="2"/>
          </rPr>
          <t>Agarwal, Saket (Research):</t>
        </r>
        <r>
          <rPr>
            <sz val="9"/>
            <color indexed="81"/>
            <rFont val="Tahoma"/>
            <family val="2"/>
          </rPr>
          <t xml:space="preserve">
4/24/18: $5.10-$5.20
1/31/18: $4.81-$4.91
12/13/17: $4.60-$4.70</t>
        </r>
      </text>
    </comment>
    <comment ref="BD50" authorId="1">
      <text>
        <r>
          <rPr>
            <b/>
            <sz val="8"/>
            <color indexed="81"/>
            <rFont val="Tahoma"/>
            <family val="2"/>
          </rPr>
          <t>chthoma:</t>
        </r>
        <r>
          <rPr>
            <sz val="8"/>
            <color indexed="81"/>
            <rFont val="Tahoma"/>
            <family val="2"/>
          </rPr>
          <t xml:space="preserve">
7/24/13: Repurchase program has completed as of 2Q announcement
1/29/13: $1.5B share repurchase expected</t>
        </r>
      </text>
    </comment>
    <comment ref="BB56" authorId="0">
      <text>
        <r>
          <rPr>
            <b/>
            <sz val="8"/>
            <color indexed="81"/>
            <rFont val="Tahoma"/>
            <family val="2"/>
          </rPr>
          <t>sakeaga:</t>
        </r>
        <r>
          <rPr>
            <sz val="8"/>
            <color indexed="81"/>
            <rFont val="Tahoma"/>
            <family val="2"/>
          </rPr>
          <t xml:space="preserve">
Increase in COGS due to Puerto Rico excise tax impact from 7/1/13.</t>
        </r>
      </text>
    </comment>
    <comment ref="AO57" authorId="4">
      <text>
        <r>
          <rPr>
            <b/>
            <sz val="8"/>
            <color indexed="81"/>
            <rFont val="Tahoma"/>
            <family val="2"/>
          </rPr>
          <t>tchiu:</t>
        </r>
        <r>
          <rPr>
            <sz val="8"/>
            <color indexed="81"/>
            <rFont val="Tahoma"/>
            <family val="2"/>
          </rPr>
          <t xml:space="preserve">
1/28/10, 4/19/10: flat to declining (increase excl FX).
7/22/10, 10/21/10: Flat to increasing (increase excl FX).</t>
        </r>
      </text>
    </comment>
    <comment ref="AT57" authorId="0">
      <text>
        <r>
          <rPr>
            <b/>
            <sz val="8"/>
            <color indexed="81"/>
            <rFont val="Tahoma"/>
            <family val="2"/>
          </rPr>
          <t>sakeaga:</t>
        </r>
        <r>
          <rPr>
            <sz val="8"/>
            <color indexed="81"/>
            <rFont val="Tahoma"/>
            <family val="2"/>
          </rPr>
          <t xml:space="preserve">
10/20/11,7/21/11: decline 2-3%
4/18/11: decline 3%
1/27/11: decline 2%</t>
        </r>
      </text>
    </comment>
    <comment ref="AY57" authorId="0">
      <text>
        <r>
          <rPr>
            <b/>
            <sz val="8"/>
            <color indexed="81"/>
            <rFont val="Tahoma"/>
            <family val="2"/>
          </rPr>
          <t>sakeaga:</t>
        </r>
        <r>
          <rPr>
            <sz val="8"/>
            <color indexed="81"/>
            <rFont val="Tahoma"/>
            <family val="2"/>
          </rPr>
          <t xml:space="preserve">
10/24/12, 7/25/12: ~78%
4/25/12, 1/31/12, 1/5/12: ~77.0%</t>
        </r>
      </text>
    </comment>
    <comment ref="BD57" authorId="0">
      <text>
        <r>
          <rPr>
            <b/>
            <sz val="8"/>
            <color indexed="81"/>
            <rFont val="Tahoma"/>
            <family val="2"/>
          </rPr>
          <t>sakeaga:</t>
        </r>
        <r>
          <rPr>
            <sz val="8"/>
            <color indexed="81"/>
            <rFont val="Tahoma"/>
            <family val="2"/>
          </rPr>
          <t xml:space="preserve">
7/24/13: ~79%
4/24/13, 1/29/13, 1/4/13: ~78%</t>
        </r>
      </text>
    </comment>
    <comment ref="BI57" authorId="0">
      <text>
        <r>
          <rPr>
            <b/>
            <sz val="8"/>
            <color indexed="81"/>
            <rFont val="Tahoma"/>
            <family val="2"/>
          </rPr>
          <t>sakeaga:</t>
        </r>
        <r>
          <rPr>
            <sz val="8"/>
            <color indexed="81"/>
            <rFont val="Tahoma"/>
            <family val="2"/>
          </rPr>
          <t xml:space="preserve">
10/23/14: ~74.5%
7/24/14, 4/24/14: ~73%
1/30/14, 1/7/14: ~74%</t>
        </r>
      </text>
    </comment>
    <comment ref="BK57" authorId="2">
      <text>
        <r>
          <rPr>
            <b/>
            <sz val="9"/>
            <color indexed="81"/>
            <rFont val="Tahoma"/>
            <family val="2"/>
          </rPr>
          <t>Agarwal, Saket (Research):</t>
        </r>
        <r>
          <rPr>
            <sz val="9"/>
            <color indexed="81"/>
            <rFont val="Tahoma"/>
            <family val="2"/>
          </rPr>
          <t xml:space="preserve">
7/23/15: Benefitted from impact of foreign exchnage on international inventories sold and increased volume.</t>
        </r>
      </text>
    </comment>
    <comment ref="BN57" authorId="2">
      <text>
        <r>
          <rPr>
            <b/>
            <sz val="9"/>
            <color indexed="81"/>
            <rFont val="Tahoma"/>
            <family val="2"/>
          </rPr>
          <t>Agarwal, Saket (Research):</t>
        </r>
        <r>
          <rPr>
            <sz val="9"/>
            <color indexed="81"/>
            <rFont val="Tahoma"/>
            <family val="2"/>
          </rPr>
          <t xml:space="preserve">
11/17/17: 75.5% excl FX
7/23/15, 4/23/15: ~78%
1/30/15: ~78% (additional 1.5% benefit from FX)
1/7/15: ~76.5%, base biz 75%, includes $310M benefit from FX, $360M benefit from amort, and NVS animal health GM 56-58%</t>
        </r>
      </text>
    </comment>
    <comment ref="BS57" authorId="2">
      <text>
        <r>
          <rPr>
            <b/>
            <sz val="9"/>
            <color indexed="81"/>
            <rFont val="Tahoma"/>
            <family val="2"/>
          </rPr>
          <t>Agarwal, Saket (Research):</t>
        </r>
        <r>
          <rPr>
            <sz val="9"/>
            <color indexed="81"/>
            <rFont val="Tahoma"/>
            <family val="2"/>
          </rPr>
          <t xml:space="preserve">
12/15/16: 76.5%
10/25/16, 7/26/16, 4/26/16: ~76.0%
1/5/16: ~77.0%</t>
        </r>
      </text>
    </comment>
    <comment ref="BU57" authorId="3">
      <text>
        <r>
          <rPr>
            <b/>
            <sz val="9"/>
            <color indexed="81"/>
            <rFont val="Tahoma"/>
            <family val="2"/>
          </rPr>
          <t>Ng, Zhu Shen (Research):</t>
        </r>
        <r>
          <rPr>
            <sz val="9"/>
            <color indexed="81"/>
            <rFont val="Tahoma"/>
            <family val="2"/>
          </rPr>
          <t xml:space="preserve">
7/25/17: increase in GM % was primarily due to higher realized prices and manufacturing efficiencies, partially offset by negative product mix and higher expenses to support new pharmaceutical products.</t>
        </r>
      </text>
    </comment>
    <comment ref="BX57" authorId="2">
      <text>
        <r>
          <rPr>
            <b/>
            <sz val="9"/>
            <color indexed="81"/>
            <rFont val="Tahoma"/>
            <family val="2"/>
          </rPr>
          <t>Agarwal, Saket (Research):</t>
        </r>
        <r>
          <rPr>
            <sz val="9"/>
            <color indexed="81"/>
            <rFont val="Tahoma"/>
            <family val="2"/>
          </rPr>
          <t xml:space="preserve">
10/24/17, 7/25/17: ~76.0%
4/25/17, 1/31/17, 12/15/16: ~77.0%</t>
        </r>
      </text>
    </comment>
    <comment ref="CC57" authorId="2">
      <text>
        <r>
          <rPr>
            <b/>
            <sz val="9"/>
            <color indexed="81"/>
            <rFont val="Tahoma"/>
            <family val="2"/>
          </rPr>
          <t>Agarwal, Saket (Research):</t>
        </r>
        <r>
          <rPr>
            <sz val="9"/>
            <color indexed="81"/>
            <rFont val="Tahoma"/>
            <family val="2"/>
          </rPr>
          <t xml:space="preserve">
4/24/18, 1/31/18, 12/13/17: ~75.0%</t>
        </r>
      </text>
    </comment>
    <comment ref="CE57" authorId="6">
      <text>
        <r>
          <rPr>
            <b/>
            <sz val="9"/>
            <color indexed="81"/>
            <rFont val="Tahoma"/>
            <family val="2"/>
          </rPr>
          <t>Chiu, Thomas (Research):</t>
        </r>
        <r>
          <rPr>
            <sz val="9"/>
            <color indexed="81"/>
            <rFont val="Tahoma"/>
            <family val="2"/>
          </rPr>
          <t xml:space="preserve">
12/15/16: Higher than 2015 on const currency basis (75.5% excl FX)
7/26/16: increase as a % of revenue through remainder of decade, constant currency</t>
        </r>
      </text>
    </comment>
    <comment ref="CC59" authorId="2">
      <text>
        <r>
          <rPr>
            <b/>
            <sz val="9"/>
            <color indexed="81"/>
            <rFont val="Tahoma"/>
            <family val="2"/>
          </rPr>
          <t>Agarwal, Saket (Research):</t>
        </r>
        <r>
          <rPr>
            <sz val="9"/>
            <color indexed="81"/>
            <rFont val="Tahoma"/>
            <family val="2"/>
          </rPr>
          <t xml:space="preserve">
7/26/16, 1/7/15: Mgmt. expects to reduce total operating expense (sum of R&amp;D &amp; SG&amp;A as a % of revenue) to 50% or less by end of 2018.</t>
        </r>
      </text>
    </comment>
    <comment ref="CC60" authorId="2">
      <text>
        <r>
          <rPr>
            <b/>
            <sz val="9"/>
            <color indexed="81"/>
            <rFont val="Tahoma"/>
            <family val="2"/>
          </rPr>
          <t>Agarwal, Saket (Research):</t>
        </r>
        <r>
          <rPr>
            <sz val="9"/>
            <color indexed="81"/>
            <rFont val="Tahoma"/>
            <family val="2"/>
          </rPr>
          <t xml:space="preserve">
12/13/17: Decline by 3%
10/24/17 PR: target of 49% or less</t>
        </r>
      </text>
    </comment>
    <comment ref="CE61" authorId="2">
      <text>
        <r>
          <rPr>
            <b/>
            <sz val="9"/>
            <color indexed="81"/>
            <rFont val="Tahoma"/>
            <family val="2"/>
          </rPr>
          <t>Agarwal, Saket (Research):</t>
        </r>
        <r>
          <rPr>
            <sz val="9"/>
            <color indexed="81"/>
            <rFont val="Tahoma"/>
            <family val="2"/>
          </rPr>
          <t xml:space="preserve">
12/31/17: At least 30%</t>
        </r>
      </text>
    </comment>
    <comment ref="AO67" authorId="4">
      <text>
        <r>
          <rPr>
            <b/>
            <sz val="8"/>
            <color indexed="81"/>
            <rFont val="Tahoma"/>
            <family val="2"/>
          </rPr>
          <t>tchiu:</t>
        </r>
        <r>
          <rPr>
            <sz val="8"/>
            <color indexed="81"/>
            <rFont val="Tahoma"/>
            <family val="2"/>
          </rPr>
          <t xml:space="preserve">
1/28/10: increase high single digit.
4/19/10, 7/22/10, 10/21/10: increase mid-single digit.
</t>
        </r>
      </text>
    </comment>
    <comment ref="AT67" authorId="0">
      <text>
        <r>
          <rPr>
            <b/>
            <sz val="8"/>
            <color indexed="81"/>
            <rFont val="Tahoma"/>
            <family val="2"/>
          </rPr>
          <t>sakeaga:</t>
        </r>
        <r>
          <rPr>
            <sz val="8"/>
            <color indexed="81"/>
            <rFont val="Tahoma"/>
            <family val="2"/>
          </rPr>
          <t xml:space="preserve">
10/20/11,7/21/11: grow mid-single digits
4/18/11: low-single digit growth
1/27/11: flat to slightly increasing
</t>
        </r>
      </text>
    </comment>
    <comment ref="CE67" authorId="6">
      <text>
        <r>
          <rPr>
            <b/>
            <sz val="9"/>
            <color indexed="81"/>
            <rFont val="Tahoma"/>
            <family val="2"/>
          </rPr>
          <t>Chiu, Thomas (Research):</t>
        </r>
        <r>
          <rPr>
            <sz val="9"/>
            <color indexed="81"/>
            <rFont val="Tahoma"/>
            <family val="2"/>
          </rPr>
          <t xml:space="preserve">
7/26/16: at least 5% average annual growth through remainder of decade, driven by volume, constant currency</t>
        </r>
      </text>
    </comment>
    <comment ref="AO70" authorId="4">
      <text>
        <r>
          <rPr>
            <b/>
            <sz val="8"/>
            <color indexed="81"/>
            <rFont val="Tahoma"/>
            <family val="2"/>
          </rPr>
          <t>tchiu:</t>
        </r>
        <r>
          <rPr>
            <sz val="8"/>
            <color indexed="81"/>
            <rFont val="Tahoma"/>
            <family val="2"/>
          </rPr>
          <t xml:space="preserve">
1/28/10, 4/19/10: increase low to mid-single digit.
7/22/10, 10/21/10: low-single digit</t>
        </r>
      </text>
    </comment>
    <comment ref="AT70" authorId="0">
      <text>
        <r>
          <rPr>
            <b/>
            <sz val="8"/>
            <color indexed="81"/>
            <rFont val="Tahoma"/>
            <family val="2"/>
          </rPr>
          <t>sakeaga:</t>
        </r>
        <r>
          <rPr>
            <sz val="8"/>
            <color indexed="81"/>
            <rFont val="Tahoma"/>
            <family val="2"/>
          </rPr>
          <t xml:space="preserve">
10/20/11,7/21/11: increase high-single digits
4/18/11: increase low-to mid-single digit
</t>
        </r>
      </text>
    </comment>
    <comment ref="AO71" authorId="4">
      <text>
        <r>
          <rPr>
            <b/>
            <sz val="8"/>
            <color indexed="81"/>
            <rFont val="Tahoma"/>
            <family val="2"/>
          </rPr>
          <t>tchiu:</t>
        </r>
        <r>
          <rPr>
            <sz val="8"/>
            <color indexed="81"/>
            <rFont val="Tahoma"/>
            <family val="2"/>
          </rPr>
          <t xml:space="preserve">
1/28/10, 4/19/10, 7/22/10, 10/21/10: increase low-double digit.</t>
        </r>
      </text>
    </comment>
    <comment ref="AT71" authorId="0">
      <text>
        <r>
          <rPr>
            <b/>
            <sz val="8"/>
            <color indexed="81"/>
            <rFont val="Tahoma"/>
            <family val="2"/>
          </rPr>
          <t>sakeaga:</t>
        </r>
        <r>
          <rPr>
            <sz val="8"/>
            <color indexed="81"/>
            <rFont val="Tahoma"/>
            <family val="2"/>
          </rPr>
          <t xml:space="preserve">
10/20/11,7/21/11: grow in low-single digits
4/18/11,1/27/11: flat
</t>
        </r>
      </text>
    </comment>
  </commentList>
</comments>
</file>

<file path=xl/comments3.xml><?xml version="1.0" encoding="utf-8"?>
<comments xmlns="http://schemas.openxmlformats.org/spreadsheetml/2006/main">
  <authors>
    <author>sakeaga</author>
    <author>tchiu</author>
    <author>Chiu, Thomas (Research)</author>
    <author>chthoma</author>
    <author>Agarwal, Saket (Research)</author>
    <author>Ng, Zhu Shen (Research)</author>
    <author>nascamar</author>
    <author>Chen, Emil (Research)</author>
    <author>risidavi</author>
  </authors>
  <commentList>
    <comment ref="AY19" authorId="0">
      <text>
        <r>
          <rPr>
            <b/>
            <sz val="8"/>
            <color indexed="81"/>
            <rFont val="Tahoma"/>
            <family val="2"/>
          </rPr>
          <t>sakeaga:</t>
        </r>
        <r>
          <rPr>
            <sz val="8"/>
            <color indexed="81"/>
            <rFont val="Tahoma"/>
            <family val="2"/>
          </rPr>
          <t xml:space="preserve">
4/25/11, 1/5/11: Expect decline of over $3B.</t>
        </r>
      </text>
    </comment>
    <comment ref="AO23" authorId="1">
      <text>
        <r>
          <rPr>
            <b/>
            <sz val="8"/>
            <color indexed="81"/>
            <rFont val="Tahoma"/>
            <family val="2"/>
          </rPr>
          <t>tchiu:</t>
        </r>
        <r>
          <rPr>
            <sz val="8"/>
            <color indexed="81"/>
            <rFont val="Tahoma"/>
            <family val="2"/>
          </rPr>
          <t xml:space="preserve">
10/21/10: CAFC hearing on method of use patent litigation scheduled on 12/9/10.
9/1/10: Appeals Court grants injunction barring generic Strattera, pending appeal.
8/12/10: US District Court ruled '590 patent invalid.</t>
        </r>
      </text>
    </comment>
    <comment ref="AT26" authorId="1">
      <text>
        <r>
          <rPr>
            <b/>
            <sz val="8"/>
            <color indexed="81"/>
            <rFont val="Tahoma"/>
            <family val="2"/>
          </rPr>
          <t>tchiu:</t>
        </r>
        <r>
          <rPr>
            <sz val="8"/>
            <color indexed="81"/>
            <rFont val="Tahoma"/>
            <family val="2"/>
          </rPr>
          <t xml:space="preserve">
10/21/10: compound patent trial starts 6/6/11 at US District Court in Indiana.</t>
        </r>
      </text>
    </comment>
    <comment ref="BC26" authorId="0">
      <text>
        <r>
          <rPr>
            <b/>
            <sz val="8"/>
            <color indexed="81"/>
            <rFont val="Tahoma"/>
            <family val="2"/>
          </rPr>
          <t>sakeaga:</t>
        </r>
        <r>
          <rPr>
            <sz val="8"/>
            <color indexed="81"/>
            <rFont val="Tahoma"/>
            <family val="2"/>
          </rPr>
          <t xml:space="preserve">
10/23/13: ~$500M</t>
        </r>
      </text>
    </comment>
    <comment ref="BQ26" authorId="2">
      <text>
        <r>
          <rPr>
            <b/>
            <sz val="9"/>
            <color indexed="81"/>
            <rFont val="Tahoma"/>
            <family val="2"/>
          </rPr>
          <t>Chiu, Thomas (Research):</t>
        </r>
        <r>
          <rPr>
            <sz val="9"/>
            <color indexed="81"/>
            <rFont val="Tahoma"/>
            <family val="2"/>
          </rPr>
          <t xml:space="preserve">
10/25/16: $145M benefit from return reserve adjustment (lower-than-expected return volume)</t>
        </r>
      </text>
    </comment>
    <comment ref="BI27" authorId="3">
      <text>
        <r>
          <rPr>
            <b/>
            <sz val="8"/>
            <color indexed="81"/>
            <rFont val="Tahoma"/>
            <family val="2"/>
          </rPr>
          <t>chthoma:</t>
        </r>
        <r>
          <rPr>
            <sz val="8"/>
            <color indexed="81"/>
            <rFont val="Tahoma"/>
            <family val="2"/>
          </rPr>
          <t xml:space="preserve">
1/30/14: mgmt does not expect generics in Europe until 2015 even though data exclusivity expires in mid '14</t>
        </r>
      </text>
    </comment>
    <comment ref="BS27" authorId="4">
      <text>
        <r>
          <rPr>
            <b/>
            <sz val="9"/>
            <color indexed="81"/>
            <rFont val="Tahoma"/>
            <family val="2"/>
          </rPr>
          <t>Agarwal, Saket (Research):</t>
        </r>
        <r>
          <rPr>
            <sz val="9"/>
            <color indexed="81"/>
            <rFont val="Tahoma"/>
            <family val="2"/>
          </rPr>
          <t xml:space="preserve">
Japan $314M</t>
        </r>
      </text>
    </comment>
    <comment ref="AP33" authorId="0">
      <text>
        <r>
          <rPr>
            <b/>
            <sz val="8"/>
            <color indexed="81"/>
            <rFont val="Tahoma"/>
            <family val="2"/>
          </rPr>
          <t>sakeaga:</t>
        </r>
        <r>
          <rPr>
            <sz val="8"/>
            <color indexed="81"/>
            <rFont val="Tahoma"/>
            <family val="2"/>
          </rPr>
          <t xml:space="preserve">
Includes Yentreve and Permax revenue</t>
        </r>
      </text>
    </comment>
    <comment ref="AP42" authorId="0">
      <text>
        <r>
          <rPr>
            <b/>
            <sz val="8"/>
            <color indexed="81"/>
            <rFont val="Tahoma"/>
            <family val="2"/>
          </rPr>
          <t>sakeaga:</t>
        </r>
        <r>
          <rPr>
            <sz val="8"/>
            <color indexed="81"/>
            <rFont val="Tahoma"/>
            <family val="2"/>
          </rPr>
          <t xml:space="preserve">
LLY stopped breaking out.</t>
        </r>
      </text>
    </comment>
    <comment ref="AP45" authorId="0">
      <text>
        <r>
          <rPr>
            <b/>
            <sz val="8"/>
            <color indexed="81"/>
            <rFont val="Tahoma"/>
            <family val="2"/>
          </rPr>
          <t>sakeaga:</t>
        </r>
        <r>
          <rPr>
            <sz val="8"/>
            <color indexed="81"/>
            <rFont val="Tahoma"/>
            <family val="2"/>
          </rPr>
          <t xml:space="preserve">
LLY stopped breaking out.</t>
        </r>
      </text>
    </comment>
    <comment ref="BE51" authorId="3">
      <text>
        <r>
          <rPr>
            <b/>
            <sz val="8"/>
            <color indexed="81"/>
            <rFont val="Tahoma"/>
            <family val="2"/>
          </rPr>
          <t>chthoma:</t>
        </r>
        <r>
          <rPr>
            <sz val="8"/>
            <color indexed="81"/>
            <rFont val="Tahoma"/>
            <family val="2"/>
          </rPr>
          <t xml:space="preserve">
1/1/14: preferred on ESRX national formulary over Novolin</t>
        </r>
      </text>
    </comment>
    <comment ref="BU53" authorId="5">
      <text>
        <r>
          <rPr>
            <b/>
            <sz val="9"/>
            <color indexed="81"/>
            <rFont val="Tahoma"/>
            <family val="2"/>
          </rPr>
          <t>Ng, Zhu Shen (Research):</t>
        </r>
        <r>
          <rPr>
            <sz val="9"/>
            <color indexed="81"/>
            <rFont val="Tahoma"/>
            <family val="2"/>
          </rPr>
          <t xml:space="preserve">
7/25/17: When we normalize Humalog, Humalog sales are declining about 5%. There is growth in the low single digits when it comes to volume but pricing increasingly declining on the mid-to-high single digits. As we continue to see pressure when it comes to increased rebates and also we basically see a continued shift towards a mix of the segments where the higher rebated segments are basically growing faster</t>
        </r>
      </text>
    </comment>
    <comment ref="BE54" authorId="3">
      <text>
        <r>
          <rPr>
            <b/>
            <sz val="8"/>
            <color indexed="81"/>
            <rFont val="Tahoma"/>
            <family val="2"/>
          </rPr>
          <t>chthoma:</t>
        </r>
        <r>
          <rPr>
            <sz val="8"/>
            <color indexed="81"/>
            <rFont val="Tahoma"/>
            <family val="2"/>
          </rPr>
          <t xml:space="preserve">
1/1/14: preferred on ESRX national formulary over Novolog</t>
        </r>
      </text>
    </comment>
    <comment ref="BM54" authorId="4">
      <text>
        <r>
          <rPr>
            <b/>
            <sz val="9"/>
            <color indexed="81"/>
            <rFont val="Tahoma"/>
            <family val="2"/>
          </rPr>
          <t>Agarwal, Saket (Research):</t>
        </r>
        <r>
          <rPr>
            <sz val="9"/>
            <color indexed="81"/>
            <rFont val="Tahoma"/>
            <family val="2"/>
          </rPr>
          <t xml:space="preserve">
1/28/15: Sales benefitted due to negative adjustment of -10% last year.</t>
        </r>
      </text>
    </comment>
    <comment ref="BQ54" authorId="4">
      <text>
        <r>
          <rPr>
            <b/>
            <sz val="9"/>
            <color indexed="81"/>
            <rFont val="Tahoma"/>
            <family val="2"/>
          </rPr>
          <t>Agarwal, Saket (Research):</t>
        </r>
        <r>
          <rPr>
            <sz val="9"/>
            <color indexed="81"/>
            <rFont val="Tahoma"/>
            <family val="2"/>
          </rPr>
          <t xml:space="preserve">
10/25/16: Volume was more than offset by lower realized prices. Net realized price was negatively affected by changes in estimates for rebates and discounts.</t>
        </r>
      </text>
    </comment>
    <comment ref="BR54" authorId="4">
      <text>
        <r>
          <rPr>
            <b/>
            <sz val="9"/>
            <color indexed="81"/>
            <rFont val="Tahoma"/>
            <family val="2"/>
          </rPr>
          <t>Agarwal, Saket (Research):</t>
        </r>
        <r>
          <rPr>
            <sz val="9"/>
            <color indexed="81"/>
            <rFont val="Tahoma"/>
            <family val="2"/>
          </rPr>
          <t xml:space="preserve">
1/31/17: &lt; $130M benefit from changes in estimates for rebates and discounts.</t>
        </r>
      </text>
    </comment>
    <comment ref="BY54" authorId="4">
      <text>
        <r>
          <rPr>
            <b/>
            <sz val="9"/>
            <color indexed="81"/>
            <rFont val="Tahoma"/>
            <family val="2"/>
          </rPr>
          <t>Agarwal, Saket (Research):</t>
        </r>
        <r>
          <rPr>
            <sz val="9"/>
            <color indexed="81"/>
            <rFont val="Tahoma"/>
            <family val="2"/>
          </rPr>
          <t xml:space="preserve">
4/24/18: Increased due to changes in estimates to rebates and discounts ($50M per quarter expected for the year) and changes in payer segment mix, and, to a lesser extent, increased volume</t>
        </r>
      </text>
    </comment>
    <comment ref="CC54" authorId="2">
      <text>
        <r>
          <rPr>
            <b/>
            <sz val="9"/>
            <color indexed="81"/>
            <rFont val="Tahoma"/>
            <family val="2"/>
          </rPr>
          <t>Chiu, Thomas (Research):</t>
        </r>
        <r>
          <rPr>
            <sz val="9"/>
            <color indexed="81"/>
            <rFont val="Tahoma"/>
            <family val="2"/>
          </rPr>
          <t xml:space="preserve">
4/24/18: Admelog launched in Apr.</t>
        </r>
      </text>
    </comment>
    <comment ref="CC55" authorId="2">
      <text>
        <r>
          <rPr>
            <b/>
            <sz val="9"/>
            <color indexed="81"/>
            <rFont val="Tahoma"/>
            <family val="2"/>
          </rPr>
          <t>Chiu, Thomas (Research):</t>
        </r>
        <r>
          <rPr>
            <sz val="9"/>
            <color indexed="81"/>
            <rFont val="Tahoma"/>
            <family val="2"/>
          </rPr>
          <t xml:space="preserve">
1/31/17: SNY biosimilar SAR342434 accepted for review in EU in Sept. '16</t>
        </r>
      </text>
    </comment>
    <comment ref="AM57" authorId="1">
      <text>
        <r>
          <rPr>
            <b/>
            <sz val="8"/>
            <color indexed="81"/>
            <rFont val="Tahoma"/>
            <family val="2"/>
          </rPr>
          <t>tchiu:</t>
        </r>
        <r>
          <rPr>
            <sz val="8"/>
            <color indexed="81"/>
            <rFont val="Tahoma"/>
            <family val="2"/>
          </rPr>
          <t xml:space="preserve">
9/1/10: Appeals Court upheld method of use patents but invalidated 2017 particle size patents.</t>
        </r>
      </text>
    </comment>
    <comment ref="BW60" authorId="4">
      <text>
        <r>
          <rPr>
            <b/>
            <sz val="9"/>
            <color indexed="81"/>
            <rFont val="Tahoma"/>
            <family val="2"/>
          </rPr>
          <t>Agarwal, Saket (Research):</t>
        </r>
        <r>
          <rPr>
            <sz val="9"/>
            <color indexed="81"/>
            <rFont val="Tahoma"/>
            <family val="2"/>
          </rPr>
          <t xml:space="preserve">
1/31/18: Sales benefitted from net price adjustments, rebates and discounts related to medicaid and also because of wholesaler buy-in</t>
        </r>
      </text>
    </comment>
    <comment ref="BY60" authorId="4">
      <text>
        <r>
          <rPr>
            <b/>
            <sz val="9"/>
            <color indexed="81"/>
            <rFont val="Tahoma"/>
            <family val="2"/>
          </rPr>
          <t>Agarwal, Saket (Research):</t>
        </r>
        <r>
          <rPr>
            <sz val="9"/>
            <color indexed="81"/>
            <rFont val="Tahoma"/>
            <family val="2"/>
          </rPr>
          <t xml:space="preserve">
4/24/18: Lower due to decreased volume from wholesale and retail buying patterns, and, to a lesser extent, lower realized prices</t>
        </r>
      </text>
    </comment>
    <comment ref="CD60" authorId="4">
      <text>
        <r>
          <rPr>
            <b/>
            <sz val="9"/>
            <color indexed="81"/>
            <rFont val="Tahoma"/>
            <family val="2"/>
          </rPr>
          <t>Agarwal, Saket (Research):</t>
        </r>
        <r>
          <rPr>
            <sz val="9"/>
            <color indexed="81"/>
            <rFont val="Tahoma"/>
            <family val="2"/>
          </rPr>
          <t xml:space="preserve">
10/24/17: Gx in 2019</t>
        </r>
      </text>
    </comment>
    <comment ref="CD61" authorId="4">
      <text>
        <r>
          <rPr>
            <b/>
            <sz val="9"/>
            <color indexed="81"/>
            <rFont val="Tahoma"/>
            <family val="2"/>
          </rPr>
          <t>Agarwal, Saket (Research):</t>
        </r>
        <r>
          <rPr>
            <sz val="9"/>
            <color indexed="81"/>
            <rFont val="Tahoma"/>
            <family val="2"/>
          </rPr>
          <t xml:space="preserve">
10/24/17: Gx in 2019</t>
        </r>
      </text>
    </comment>
    <comment ref="BR69" authorId="2">
      <text>
        <r>
          <rPr>
            <b/>
            <sz val="9"/>
            <color indexed="81"/>
            <rFont val="Tahoma"/>
            <family val="2"/>
          </rPr>
          <t>Chiu, Thomas (Research):</t>
        </r>
        <r>
          <rPr>
            <sz val="9"/>
            <color indexed="81"/>
            <rFont val="Tahoma"/>
            <family val="2"/>
          </rPr>
          <t xml:space="preserve">
1/31/17: negative impact from rebates and discounts ~$20M</t>
        </r>
      </text>
    </comment>
    <comment ref="BW69" authorId="4">
      <text>
        <r>
          <rPr>
            <b/>
            <sz val="9"/>
            <color indexed="81"/>
            <rFont val="Tahoma"/>
            <family val="2"/>
          </rPr>
          <t>Agarwal, Saket (Research):</t>
        </r>
        <r>
          <rPr>
            <sz val="9"/>
            <color indexed="81"/>
            <rFont val="Tahoma"/>
            <family val="2"/>
          </rPr>
          <t xml:space="preserve">
1/31/18: $10M unfavorable impact from rebates and discounts</t>
        </r>
      </text>
    </comment>
    <comment ref="BR72" authorId="2">
      <text>
        <r>
          <rPr>
            <b/>
            <sz val="9"/>
            <color indexed="81"/>
            <rFont val="Tahoma"/>
            <family val="2"/>
          </rPr>
          <t>Chiu, Thomas (Research):</t>
        </r>
        <r>
          <rPr>
            <sz val="9"/>
            <color indexed="81"/>
            <rFont val="Tahoma"/>
            <family val="2"/>
          </rPr>
          <t xml:space="preserve">
12/2/16: CV indication approved</t>
        </r>
      </text>
    </comment>
    <comment ref="BW75" authorId="4">
      <text>
        <r>
          <rPr>
            <b/>
            <sz val="9"/>
            <color indexed="81"/>
            <rFont val="Tahoma"/>
            <family val="2"/>
          </rPr>
          <t>Agarwal, Saket (Research):</t>
        </r>
        <r>
          <rPr>
            <sz val="9"/>
            <color indexed="81"/>
            <rFont val="Tahoma"/>
            <family val="2"/>
          </rPr>
          <t xml:space="preserve">
1/31/18: $25M buy-in</t>
        </r>
      </text>
    </comment>
    <comment ref="BR78" authorId="2">
      <text>
        <r>
          <rPr>
            <b/>
            <sz val="9"/>
            <color indexed="81"/>
            <rFont val="Tahoma"/>
            <family val="2"/>
          </rPr>
          <t>Chiu, Thomas (Research):</t>
        </r>
        <r>
          <rPr>
            <sz val="9"/>
            <color indexed="81"/>
            <rFont val="Tahoma"/>
            <family val="2"/>
          </rPr>
          <t xml:space="preserve">
1/31/17: mostly stocking</t>
        </r>
      </text>
    </comment>
    <comment ref="BS78" authorId="3">
      <text>
        <r>
          <rPr>
            <b/>
            <sz val="9"/>
            <color indexed="81"/>
            <rFont val="Tahoma"/>
            <family val="2"/>
          </rPr>
          <t>chthoma:</t>
        </r>
        <r>
          <rPr>
            <sz val="9"/>
            <color indexed="81"/>
            <rFont val="Tahoma"/>
            <family val="2"/>
          </rPr>
          <t xml:space="preserve">
9/28/15: Settlement with Sanofi to allow launch on Dec. 15, 2016. Sanofi granted Lilly a royalty-bearing license.</t>
        </r>
      </text>
    </comment>
    <comment ref="BV78" authorId="2">
      <text>
        <r>
          <rPr>
            <b/>
            <sz val="9"/>
            <color indexed="81"/>
            <rFont val="Tahoma"/>
            <family val="2"/>
          </rPr>
          <t>Chiu, Thomas (Research):</t>
        </r>
        <r>
          <rPr>
            <sz val="9"/>
            <color indexed="81"/>
            <rFont val="Tahoma"/>
            <family val="2"/>
          </rPr>
          <t xml:space="preserve">
10/24/17: $12 million worth of benefit related to changes in rebates, and of the estimates of rebates and discounts for prior periods</t>
        </r>
      </text>
    </comment>
    <comment ref="BL79" authorId="3">
      <text>
        <r>
          <rPr>
            <b/>
            <sz val="9"/>
            <color indexed="81"/>
            <rFont val="Tahoma"/>
            <family val="2"/>
          </rPr>
          <t>chthoma:</t>
        </r>
        <r>
          <rPr>
            <sz val="9"/>
            <color indexed="81"/>
            <rFont val="Tahoma"/>
            <family val="2"/>
          </rPr>
          <t xml:space="preserve">
10/22/15: launched in Japan, Czech Republic, and Slovakia</t>
        </r>
      </text>
    </comment>
    <comment ref="AT91" authorId="1">
      <text>
        <r>
          <rPr>
            <b/>
            <sz val="8"/>
            <color indexed="81"/>
            <rFont val="Tahoma"/>
            <family val="2"/>
          </rPr>
          <t>tchiu:</t>
        </r>
        <r>
          <rPr>
            <sz val="8"/>
            <color indexed="81"/>
            <rFont val="Tahoma"/>
            <family val="2"/>
          </rPr>
          <t xml:space="preserve">
see footnotes.</t>
        </r>
      </text>
    </comment>
    <comment ref="AO95" authorId="1">
      <text>
        <r>
          <rPr>
            <b/>
            <sz val="8"/>
            <color indexed="81"/>
            <rFont val="Tahoma"/>
            <family val="2"/>
          </rPr>
          <t>tchiu:</t>
        </r>
        <r>
          <rPr>
            <sz val="8"/>
            <color indexed="81"/>
            <rFont val="Tahoma"/>
            <family val="2"/>
          </rPr>
          <t xml:space="preserve">
see footnotes.</t>
        </r>
      </text>
    </comment>
    <comment ref="AS103" authorId="0">
      <text>
        <r>
          <rPr>
            <b/>
            <sz val="8"/>
            <color indexed="81"/>
            <rFont val="Tahoma"/>
            <family val="2"/>
          </rPr>
          <t>sakeaga:</t>
        </r>
        <r>
          <rPr>
            <sz val="8"/>
            <color indexed="81"/>
            <rFont val="Tahoma"/>
            <family val="2"/>
          </rPr>
          <t xml:space="preserve">
Bydureon $3.6M</t>
        </r>
      </text>
    </comment>
    <comment ref="AU103" authorId="0">
      <text>
        <r>
          <rPr>
            <b/>
            <sz val="8"/>
            <color indexed="81"/>
            <rFont val="Tahoma"/>
            <family val="2"/>
          </rPr>
          <t>sakeaga:</t>
        </r>
        <r>
          <rPr>
            <sz val="8"/>
            <color indexed="81"/>
            <rFont val="Tahoma"/>
            <family val="2"/>
          </rPr>
          <t xml:space="preserve">
Bydureon $5.4M</t>
        </r>
      </text>
    </comment>
    <comment ref="AV103" authorId="0">
      <text>
        <r>
          <rPr>
            <b/>
            <sz val="8"/>
            <color indexed="81"/>
            <rFont val="Tahoma"/>
            <family val="2"/>
          </rPr>
          <t>sakeaga:</t>
        </r>
        <r>
          <rPr>
            <sz val="8"/>
            <color indexed="81"/>
            <rFont val="Tahoma"/>
            <family val="2"/>
          </rPr>
          <t xml:space="preserve">
Bydureon $6.9M</t>
        </r>
      </text>
    </comment>
    <comment ref="AW103" authorId="6">
      <text>
        <r>
          <rPr>
            <b/>
            <sz val="8"/>
            <color indexed="81"/>
            <rFont val="Tahoma"/>
            <family val="2"/>
          </rPr>
          <t>nascamar:</t>
        </r>
        <r>
          <rPr>
            <sz val="8"/>
            <color indexed="81"/>
            <rFont val="Tahoma"/>
            <family val="2"/>
          </rPr>
          <t xml:space="preserve">
Bydureon $7.3M</t>
        </r>
      </text>
    </comment>
    <comment ref="AX103" authorId="6">
      <text>
        <r>
          <rPr>
            <b/>
            <sz val="8"/>
            <color indexed="81"/>
            <rFont val="Tahoma"/>
            <family val="2"/>
          </rPr>
          <t>nascamar:</t>
        </r>
        <r>
          <rPr>
            <sz val="8"/>
            <color indexed="81"/>
            <rFont val="Tahoma"/>
            <family val="2"/>
          </rPr>
          <t xml:space="preserve">
Bydureon $9.9M
</t>
        </r>
      </text>
    </comment>
    <comment ref="AN113" authorId="1">
      <text>
        <r>
          <rPr>
            <b/>
            <sz val="8"/>
            <color indexed="81"/>
            <rFont val="Tahoma"/>
            <family val="2"/>
          </rPr>
          <t>tchiu:</t>
        </r>
        <r>
          <rPr>
            <sz val="8"/>
            <color indexed="81"/>
            <rFont val="Tahoma"/>
            <family val="2"/>
          </rPr>
          <t xml:space="preserve">
10/21/10: assume Lilly loses appeal on use patent in 4Q:10 and Gemzar goes generic 11/15/10.</t>
        </r>
      </text>
    </comment>
    <comment ref="AO113" authorId="1">
      <text>
        <r>
          <rPr>
            <b/>
            <sz val="8"/>
            <color indexed="81"/>
            <rFont val="Tahoma"/>
            <family val="2"/>
          </rPr>
          <t>tchiu:</t>
        </r>
        <r>
          <rPr>
            <sz val="8"/>
            <color indexed="81"/>
            <rFont val="Tahoma"/>
            <family val="2"/>
          </rPr>
          <t xml:space="preserve">
7/28/10: Court of Appeals upheld ruling that 2013 patent is invalid.</t>
        </r>
      </text>
    </comment>
    <comment ref="AN116" authorId="1">
      <text>
        <r>
          <rPr>
            <b/>
            <sz val="8"/>
            <color indexed="81"/>
            <rFont val="Tahoma"/>
            <family val="2"/>
          </rPr>
          <t>tchiu:</t>
        </r>
        <r>
          <rPr>
            <sz val="8"/>
            <color indexed="81"/>
            <rFont val="Tahoma"/>
            <family val="2"/>
          </rPr>
          <t xml:space="preserve">
10/21/10: compound patent trial starts 11/8/10 at US District Court in Delaware.</t>
        </r>
      </text>
    </comment>
    <comment ref="BM116" authorId="4">
      <text>
        <r>
          <rPr>
            <b/>
            <sz val="9"/>
            <color indexed="81"/>
            <rFont val="Tahoma"/>
            <family val="2"/>
          </rPr>
          <t>Agarwal, Saket (Research):</t>
        </r>
        <r>
          <rPr>
            <sz val="9"/>
            <color indexed="81"/>
            <rFont val="Tahoma"/>
            <family val="2"/>
          </rPr>
          <t xml:space="preserve">
1/28/15: Weak due to increase in competitive intensity esp. in 2L setting</t>
        </r>
      </text>
    </comment>
    <comment ref="BK117" authorId="3">
      <text>
        <r>
          <rPr>
            <b/>
            <sz val="9"/>
            <color indexed="81"/>
            <rFont val="Tahoma"/>
            <family val="2"/>
          </rPr>
          <t>chthoma:</t>
        </r>
        <r>
          <rPr>
            <sz val="9"/>
            <color indexed="81"/>
            <rFont val="Tahoma"/>
            <family val="2"/>
          </rPr>
          <t xml:space="preserve">
7/23/15: Europe sales ~$880M, of which $80M subject to LOE in markets w/o compound patent. Of remaining $800M in order France,Germany ($175M), Italy, Spain, UK.  JPN sales in 2Q:15 ~$67M and $57M in 1Q:15. EM $63M in 2Q and 1Q each.</t>
        </r>
      </text>
    </comment>
    <comment ref="BN117" authorId="2">
      <text>
        <r>
          <rPr>
            <b/>
            <sz val="9"/>
            <color indexed="81"/>
            <rFont val="Tahoma"/>
            <family val="2"/>
          </rPr>
          <t>Chiu, Thomas (Research):</t>
        </r>
        <r>
          <rPr>
            <sz val="9"/>
            <color indexed="81"/>
            <rFont val="Tahoma"/>
            <family val="2"/>
          </rPr>
          <t xml:space="preserve">
10/22/15: Japan patent office expected to uphold vitamin patent soon. Another decision is pending. If patent is upheld through appeals, Alimta protected until June 2021 in Japan
6/29/15: UK appeals court rules in favor of Lilly; decision may apply in France, Italy, and Spain.
3/6/15: German appeals court rules against Lilly. Lilly asking German Supreme Court for appeal.
1/30/15: German and UK appeal hearings set for March 
1/7/15: lose patent exclusivity in some small European countries in 2Q:15
7/24/14: LLY appealing English High Court decision that vitamin dosage regimen would not be infringed by alt salt forms in UK, France, Italy, and Spain.</t>
        </r>
      </text>
    </comment>
    <comment ref="BS117" authorId="2">
      <text>
        <r>
          <rPr>
            <b/>
            <sz val="9"/>
            <color indexed="81"/>
            <rFont val="Tahoma"/>
            <family val="2"/>
          </rPr>
          <t>Chiu, Thomas (Research):</t>
        </r>
        <r>
          <rPr>
            <sz val="9"/>
            <color indexed="81"/>
            <rFont val="Tahoma"/>
            <family val="2"/>
          </rPr>
          <t xml:space="preserve">
1/5/16: guidance assumes at least one generic competitor with alternative salt form and deliverance in multiple EU countries and one or more generic competitor with alternative salt form in Germany, starting at end of 1Q spread over the rest of the year</t>
        </r>
      </text>
    </comment>
    <comment ref="AN119" authorId="1">
      <text>
        <r>
          <rPr>
            <b/>
            <sz val="8"/>
            <color indexed="81"/>
            <rFont val="Tahoma"/>
            <family val="2"/>
          </rPr>
          <t>tchiu:</t>
        </r>
        <r>
          <rPr>
            <sz val="8"/>
            <color indexed="81"/>
            <rFont val="Tahoma"/>
            <family val="2"/>
          </rPr>
          <t xml:space="preserve">
10/21/10: compound patent trial starts 11/8/10 at US District Court in Delaware.</t>
        </r>
      </text>
    </comment>
    <comment ref="BH119" authorId="2">
      <text>
        <r>
          <rPr>
            <b/>
            <sz val="9"/>
            <color indexed="81"/>
            <rFont val="Tahoma"/>
            <family val="2"/>
          </rPr>
          <t>Chiu, Thomas (Research):</t>
        </r>
        <r>
          <rPr>
            <sz val="9"/>
            <color indexed="81"/>
            <rFont val="Tahoma"/>
            <family val="2"/>
          </rPr>
          <t xml:space="preserve">
12/12/14: approved for 2L NSCLC in combo with docetaxel
11/5/14: approved in combination with paclitaxel for gastric cancer</t>
        </r>
      </text>
    </comment>
    <comment ref="BN119" authorId="2">
      <text>
        <r>
          <rPr>
            <b/>
            <sz val="9"/>
            <color indexed="81"/>
            <rFont val="Tahoma"/>
            <family val="2"/>
          </rPr>
          <t>Chiu, Thomas (Research):</t>
        </r>
        <r>
          <rPr>
            <sz val="9"/>
            <color indexed="81"/>
            <rFont val="Tahoma"/>
            <family val="2"/>
          </rPr>
          <t xml:space="preserve">
10/23/14: FDA action on 2L NSCLC (REVEL) by YE14 and launch in early '15;
FDA reg action on 2L gastric with chemo (RAINBOW) in 1Q:15; Filing in 2L CRC (RAISE) in 1H:15
</t>
        </r>
      </text>
    </comment>
    <comment ref="BK120" authorId="3">
      <text>
        <r>
          <rPr>
            <b/>
            <sz val="9"/>
            <color indexed="81"/>
            <rFont val="Tahoma"/>
            <family val="2"/>
          </rPr>
          <t>chthoma:</t>
        </r>
        <r>
          <rPr>
            <sz val="9"/>
            <color indexed="81"/>
            <rFont val="Tahoma"/>
            <family val="2"/>
          </rPr>
          <t xml:space="preserve">
7/23/15: launched in JPN on 6/22</t>
        </r>
      </text>
    </comment>
    <comment ref="BN120" authorId="2">
      <text>
        <r>
          <rPr>
            <b/>
            <sz val="9"/>
            <color indexed="81"/>
            <rFont val="Tahoma"/>
            <family val="2"/>
          </rPr>
          <t>Chiu, Thomas (Research):</t>
        </r>
        <r>
          <rPr>
            <sz val="9"/>
            <color indexed="81"/>
            <rFont val="Tahoma"/>
            <family val="2"/>
          </rPr>
          <t xml:space="preserve">
10/23/14: launch in EU in early '15; Japan reg action in 1H:15</t>
        </r>
      </text>
    </comment>
    <comment ref="BR120" authorId="2">
      <text>
        <r>
          <rPr>
            <b/>
            <sz val="9"/>
            <color indexed="81"/>
            <rFont val="Tahoma"/>
            <family val="2"/>
          </rPr>
          <t>Chiu, Thomas (Research):</t>
        </r>
        <r>
          <rPr>
            <sz val="9"/>
            <color indexed="81"/>
            <rFont val="Tahoma"/>
            <family val="2"/>
          </rPr>
          <t xml:space="preserve">
1/31/17: driven by gastric in JPN</t>
        </r>
      </text>
    </comment>
    <comment ref="BN122" authorId="3">
      <text>
        <r>
          <rPr>
            <b/>
            <sz val="8"/>
            <color indexed="81"/>
            <rFont val="Tahoma"/>
            <family val="2"/>
          </rPr>
          <t>chthoma:</t>
        </r>
        <r>
          <rPr>
            <sz val="8"/>
            <color indexed="81"/>
            <rFont val="Tahoma"/>
            <family val="2"/>
          </rPr>
          <t xml:space="preserve">
4/16/15: North America Erbitux rights revert from BMY back to LLY at end of 2015.  </t>
        </r>
      </text>
    </comment>
    <comment ref="BN125" authorId="4">
      <text>
        <r>
          <rPr>
            <b/>
            <sz val="9"/>
            <color indexed="81"/>
            <rFont val="Tahoma"/>
            <family val="2"/>
          </rPr>
          <t>Agarwal, Saket (Research):</t>
        </r>
        <r>
          <rPr>
            <sz val="9"/>
            <color indexed="81"/>
            <rFont val="Tahoma"/>
            <family val="2"/>
          </rPr>
          <t xml:space="preserve">
4/16/15: Erbitux North America rights revert back to LLY by end of 2015.</t>
        </r>
      </text>
    </comment>
    <comment ref="H129" authorId="7">
      <text>
        <r>
          <rPr>
            <b/>
            <sz val="9"/>
            <color indexed="81"/>
            <rFont val="Tahoma"/>
            <family val="2"/>
          </rPr>
          <t>Chen, Emil (Research):</t>
        </r>
        <r>
          <rPr>
            <sz val="9"/>
            <color indexed="81"/>
            <rFont val="Tahoma"/>
            <family val="2"/>
          </rPr>
          <t xml:space="preserve">
12/18/15: CHMP positive opinion
1/30/15: Announced submission with European regulators on 4Q:14 call</t>
        </r>
      </text>
    </comment>
    <comment ref="AY144" authorId="8">
      <text>
        <r>
          <rPr>
            <b/>
            <sz val="8"/>
            <color indexed="81"/>
            <rFont val="Tahoma"/>
            <family val="2"/>
          </rPr>
          <t>risidavi:</t>
        </r>
        <r>
          <rPr>
            <sz val="8"/>
            <color indexed="81"/>
            <rFont val="Tahoma"/>
            <family val="2"/>
          </rPr>
          <t xml:space="preserve">
see footnotes.</t>
        </r>
      </text>
    </comment>
    <comment ref="AT145" authorId="8">
      <text>
        <r>
          <rPr>
            <b/>
            <sz val="8"/>
            <color indexed="81"/>
            <rFont val="Tahoma"/>
            <family val="2"/>
          </rPr>
          <t>risidavi:</t>
        </r>
        <r>
          <rPr>
            <sz val="8"/>
            <color indexed="81"/>
            <rFont val="Tahoma"/>
            <family val="2"/>
          </rPr>
          <t xml:space="preserve">
see footnotes.</t>
        </r>
      </text>
    </comment>
    <comment ref="AY145" authorId="8">
      <text>
        <r>
          <rPr>
            <b/>
            <sz val="8"/>
            <color indexed="81"/>
            <rFont val="Tahoma"/>
            <family val="2"/>
          </rPr>
          <t>risidavi:</t>
        </r>
        <r>
          <rPr>
            <sz val="8"/>
            <color indexed="81"/>
            <rFont val="Tahoma"/>
            <family val="2"/>
          </rPr>
          <t xml:space="preserve">
see footnotes.</t>
        </r>
      </text>
    </comment>
    <comment ref="BD145" authorId="8">
      <text>
        <r>
          <rPr>
            <b/>
            <sz val="8"/>
            <color indexed="81"/>
            <rFont val="Tahoma"/>
            <family val="2"/>
          </rPr>
          <t>risidavi:</t>
        </r>
        <r>
          <rPr>
            <sz val="8"/>
            <color indexed="81"/>
            <rFont val="Tahoma"/>
            <family val="2"/>
          </rPr>
          <t xml:space="preserve">
see footnotes.</t>
        </r>
      </text>
    </comment>
    <comment ref="AY146" authorId="3">
      <text>
        <r>
          <rPr>
            <b/>
            <sz val="8"/>
            <color indexed="81"/>
            <rFont val="Tahoma"/>
            <family val="2"/>
          </rPr>
          <t>chthoma:</t>
        </r>
        <r>
          <rPr>
            <sz val="8"/>
            <color indexed="81"/>
            <rFont val="Tahoma"/>
            <family val="2"/>
          </rPr>
          <t xml:space="preserve">
8/26/12: TRILOGY ACS fails.</t>
        </r>
      </text>
    </comment>
    <comment ref="AT158" authorId="3">
      <text>
        <r>
          <rPr>
            <b/>
            <sz val="8"/>
            <color indexed="81"/>
            <rFont val="Tahoma"/>
            <family val="2"/>
          </rPr>
          <t>chthoma:</t>
        </r>
        <r>
          <rPr>
            <sz val="8"/>
            <color indexed="81"/>
            <rFont val="Tahoma"/>
            <family val="2"/>
          </rPr>
          <t xml:space="preserve">
withdrawn from market on 10/25/11 due to failure to show efficacy.</t>
        </r>
      </text>
    </comment>
    <comment ref="BY172" authorId="2">
      <text>
        <r>
          <rPr>
            <b/>
            <sz val="9"/>
            <color indexed="81"/>
            <rFont val="Tahoma"/>
            <family val="2"/>
          </rPr>
          <t>Chiu, Thomas (Research):</t>
        </r>
        <r>
          <rPr>
            <sz val="9"/>
            <color indexed="81"/>
            <rFont val="Tahoma"/>
            <family val="2"/>
          </rPr>
          <t xml:space="preserve">
4/24/18: $32M inventory workdown</t>
        </r>
      </text>
    </comment>
    <comment ref="BU176" authorId="5">
      <text>
        <r>
          <rPr>
            <b/>
            <sz val="9"/>
            <color indexed="81"/>
            <rFont val="Tahoma"/>
            <family val="2"/>
          </rPr>
          <t>Ng, Zhu Shen (Research):</t>
        </r>
        <r>
          <rPr>
            <sz val="9"/>
            <color indexed="81"/>
            <rFont val="Tahoma"/>
            <family val="2"/>
          </rPr>
          <t xml:space="preserve">
7/25/17: Q2 sales driven by initial launch in Germany</t>
        </r>
      </text>
    </comment>
    <comment ref="BW176" authorId="4">
      <text>
        <r>
          <rPr>
            <b/>
            <sz val="9"/>
            <color indexed="81"/>
            <rFont val="Tahoma"/>
            <family val="2"/>
          </rPr>
          <t>Agarwal, Saket (Research):</t>
        </r>
        <r>
          <rPr>
            <sz val="9"/>
            <color indexed="81"/>
            <rFont val="Tahoma"/>
            <family val="2"/>
          </rPr>
          <t xml:space="preserve">
1/31/18: Driven by quick uptake in Germany</t>
        </r>
      </text>
    </comment>
    <comment ref="AW206" authorId="3">
      <text>
        <r>
          <rPr>
            <b/>
            <sz val="8"/>
            <color indexed="81"/>
            <rFont val="Tahoma"/>
            <family val="2"/>
          </rPr>
          <t>chthoma:</t>
        </r>
        <r>
          <rPr>
            <sz val="8"/>
            <color indexed="81"/>
            <rFont val="Tahoma"/>
            <family val="2"/>
          </rPr>
          <t xml:space="preserve">
10/24/12: Animal Health 6% sales growth smaller than prior due to annualization of acquisitions, Trifexis stocking in prior quarters, and weak Sept. food animal sales.</t>
        </r>
      </text>
    </comment>
    <comment ref="AY206" authorId="0">
      <text>
        <r>
          <rPr>
            <b/>
            <sz val="8"/>
            <color indexed="81"/>
            <rFont val="Tahoma"/>
            <family val="2"/>
          </rPr>
          <t>sakeaga:</t>
        </r>
        <r>
          <rPr>
            <sz val="8"/>
            <color indexed="81"/>
            <rFont val="Tahoma"/>
            <family val="2"/>
          </rPr>
          <t xml:space="preserve">
10/24/12, 4/25/12: Double-digit growth</t>
        </r>
      </text>
    </comment>
    <comment ref="BN206" authorId="4">
      <text>
        <r>
          <rPr>
            <b/>
            <sz val="9"/>
            <color indexed="81"/>
            <rFont val="Tahoma"/>
            <family val="2"/>
          </rPr>
          <t>Agarwal, Saket (Research):</t>
        </r>
        <r>
          <rPr>
            <sz val="9"/>
            <color indexed="81"/>
            <rFont val="Tahoma"/>
            <family val="2"/>
          </rPr>
          <t xml:space="preserve">
1/7/15: NVS business to add revenues of $1.0B-$1.2B
10/23/14: We assume NVS animal health acq closes in mid 1Q:15. NVS animal health 2013 annual sales is $1.1B, of which we estimate ~20% is in U.S. 
Note NVS reports combined revenue of consumer and animal health. ~21.5% of consumer health business revenues is from U.S.</t>
        </r>
      </text>
    </comment>
    <comment ref="BQ206" authorId="4">
      <text>
        <r>
          <rPr>
            <b/>
            <sz val="9"/>
            <color indexed="81"/>
            <rFont val="Tahoma"/>
            <family val="2"/>
          </rPr>
          <t>Agarwal, Saket (Research):</t>
        </r>
        <r>
          <rPr>
            <sz val="9"/>
            <color indexed="81"/>
            <rFont val="Tahoma"/>
            <family val="2"/>
          </rPr>
          <t xml:space="preserve">
10/25/16: Impacted by distributor destocking following a changeover to SAP at the end of 2Q.</t>
        </r>
      </text>
    </comment>
    <comment ref="BT206" authorId="2">
      <text>
        <r>
          <rPr>
            <b/>
            <sz val="9"/>
            <color indexed="81"/>
            <rFont val="Tahoma"/>
            <family val="2"/>
          </rPr>
          <t>Chiu, Thomas (Research):</t>
        </r>
        <r>
          <rPr>
            <sz val="9"/>
            <color indexed="81"/>
            <rFont val="Tahoma"/>
            <family val="2"/>
          </rPr>
          <t xml:space="preserve">
4/25/17: benefited from inclusion of $40.8M in revenue from the acquisition of Boehringer Ingelheim Vetmedica’s U.S. feline, canine and rabies </t>
        </r>
      </text>
    </comment>
    <comment ref="BU206" authorId="5">
      <text>
        <r>
          <rPr>
            <b/>
            <sz val="9"/>
            <color indexed="81"/>
            <rFont val="Tahoma"/>
            <family val="2"/>
          </rPr>
          <t>Ng, Zhu Shen (Research):</t>
        </r>
        <r>
          <rPr>
            <sz val="9"/>
            <color indexed="81"/>
            <rFont val="Tahoma"/>
            <family val="2"/>
          </rPr>
          <t xml:space="preserve">
7/25/17: Decreased 9% yoy as worldwide food animal revenue decreased 14%, driven by market access pressure and competitive pressure in cattle and swine. </t>
        </r>
      </text>
    </comment>
    <comment ref="BV206" authorId="5">
      <text>
        <r>
          <rPr>
            <b/>
            <sz val="9"/>
            <color indexed="81"/>
            <rFont val="Tahoma"/>
            <family val="2"/>
          </rPr>
          <t>Ng, Zhu Shen (Research):</t>
        </r>
        <r>
          <rPr>
            <sz val="9"/>
            <color indexed="81"/>
            <rFont val="Tahoma"/>
            <family val="2"/>
          </rPr>
          <t xml:space="preserve">
10/24/17: benefited from the inclusion of $61.2M in revenue from the acquisition of Boehringer Ingelheim Vetmedica’s U.S. feline, canine and rabies vaccine portfolio and wholesaler buying patterns in the U.S. in the third quarter of 2016. The increase in revenue was partially offset by competitive pressure and lower realized prices. The company expects these pressures to continue for the balance of 2017.</t>
        </r>
      </text>
    </comment>
    <comment ref="BW206" authorId="4">
      <text>
        <r>
          <rPr>
            <b/>
            <sz val="9"/>
            <color indexed="81"/>
            <rFont val="Tahoma"/>
            <family val="2"/>
          </rPr>
          <t>Agarwal, Saket (Research):</t>
        </r>
        <r>
          <rPr>
            <sz val="9"/>
            <color indexed="81"/>
            <rFont val="Tahoma"/>
            <family val="2"/>
          </rPr>
          <t xml:space="preserve">
1/31/18: $40M from new product launches</t>
        </r>
      </text>
    </comment>
    <comment ref="BX206" authorId="4">
      <text>
        <r>
          <rPr>
            <b/>
            <sz val="9"/>
            <color indexed="81"/>
            <rFont val="Tahoma"/>
            <family val="2"/>
          </rPr>
          <t>Agarwal, Saket (Research):</t>
        </r>
        <r>
          <rPr>
            <sz val="9"/>
            <color indexed="81"/>
            <rFont val="Tahoma"/>
            <family val="2"/>
          </rPr>
          <t xml:space="preserve">
1/31/18: $144M form new product launches</t>
        </r>
      </text>
    </comment>
    <comment ref="BY206" authorId="4">
      <text>
        <r>
          <rPr>
            <b/>
            <sz val="9"/>
            <color indexed="81"/>
            <rFont val="Tahoma"/>
            <family val="2"/>
          </rPr>
          <t>Agarwal, Saket (Research):</t>
        </r>
        <r>
          <rPr>
            <sz val="9"/>
            <color indexed="81"/>
            <rFont val="Tahoma"/>
            <family val="2"/>
          </rPr>
          <t xml:space="preserve">
4/24/18: $62M from new product launches</t>
        </r>
      </text>
    </comment>
    <comment ref="CC206" authorId="4">
      <text>
        <r>
          <rPr>
            <b/>
            <sz val="9"/>
            <color indexed="81"/>
            <rFont val="Tahoma"/>
            <family val="2"/>
          </rPr>
          <t>Agarwal, Saket (Research):</t>
        </r>
        <r>
          <rPr>
            <sz val="9"/>
            <color indexed="81"/>
            <rFont val="Tahoma"/>
            <family val="2"/>
          </rPr>
          <t xml:space="preserve">
12/13/17: Flat to slightly up</t>
        </r>
      </text>
    </comment>
    <comment ref="AO207" authorId="1">
      <text>
        <r>
          <rPr>
            <b/>
            <sz val="8"/>
            <color indexed="81"/>
            <rFont val="Tahoma"/>
            <family val="2"/>
          </rPr>
          <t>tchiu:</t>
        </r>
        <r>
          <rPr>
            <sz val="8"/>
            <color indexed="81"/>
            <rFont val="Tahoma"/>
            <family val="2"/>
          </rPr>
          <t xml:space="preserve">
see Footnotes.</t>
        </r>
      </text>
    </comment>
    <comment ref="AQ208" authorId="3">
      <text>
        <r>
          <rPr>
            <b/>
            <sz val="8"/>
            <color indexed="81"/>
            <rFont val="Tahoma"/>
            <family val="2"/>
          </rPr>
          <t>chthoma:</t>
        </r>
        <r>
          <rPr>
            <sz val="8"/>
            <color indexed="81"/>
            <rFont val="Tahoma"/>
            <family val="2"/>
          </rPr>
          <t xml:space="preserve">
7/21/11: Janssen deal neutral to bottom line; Janssen sales less than $200M annually.</t>
        </r>
      </text>
    </comment>
    <comment ref="AZ208" authorId="3">
      <text>
        <r>
          <rPr>
            <b/>
            <sz val="8"/>
            <color indexed="81"/>
            <rFont val="Tahoma"/>
            <family val="2"/>
          </rPr>
          <t>chthoma:</t>
        </r>
        <r>
          <rPr>
            <sz val="8"/>
            <color indexed="81"/>
            <rFont val="Tahoma"/>
            <family val="2"/>
          </rPr>
          <t xml:space="preserve">
4/24/13: biz is cyclical relative to demand; meat supply is exceeding demand in certain parts of the world, occurs every 3–5 years</t>
        </r>
      </text>
    </comment>
    <comment ref="BF208" authorId="4">
      <text>
        <r>
          <rPr>
            <b/>
            <sz val="9"/>
            <color indexed="81"/>
            <rFont val="Tahoma"/>
            <family val="2"/>
          </rPr>
          <t>Agarwal, Saket (Research):</t>
        </r>
        <r>
          <rPr>
            <sz val="9"/>
            <color indexed="81"/>
            <rFont val="Tahoma"/>
            <family val="2"/>
          </rPr>
          <t xml:space="preserve">
7/24/14: ~$25M from Lohman</t>
        </r>
      </text>
    </comment>
    <comment ref="BU212" authorId="5">
      <text>
        <r>
          <rPr>
            <b/>
            <sz val="9"/>
            <color indexed="81"/>
            <rFont val="Tahoma"/>
            <family val="2"/>
          </rPr>
          <t>Ng, Zhu Shen (Research):</t>
        </r>
        <r>
          <rPr>
            <sz val="9"/>
            <color indexed="81"/>
            <rFont val="Tahoma"/>
            <family val="2"/>
          </rPr>
          <t xml:space="preserve">
7/25/17: Worldwide companion animal revenue increased 1%, driven by the inclusion of $78.3m in revenue from the acquisition of Boehringer Ingelheim Vetmedica’s U.S. feline, canine and rabies vaccine portfolio, largely offset by wholesaler buying patterns in the 2Q16 and worldwide competitive pressure. The company expects these pressures to continue, to a lesser extent, for the balance of 2017.</t>
        </r>
      </text>
    </comment>
    <comment ref="BT213" authorId="2">
      <text>
        <r>
          <rPr>
            <b/>
            <sz val="9"/>
            <color indexed="81"/>
            <rFont val="Tahoma"/>
            <family val="2"/>
          </rPr>
          <t>Chiu, Thomas (Research):</t>
        </r>
        <r>
          <rPr>
            <sz val="9"/>
            <color indexed="81"/>
            <rFont val="Tahoma"/>
            <family val="2"/>
          </rPr>
          <t xml:space="preserve">
4/25/17: benefited from inclusion of $40.8M in revenue from the acquisition of Boehringer Ingelheim Vetmedica’s U.S. feline, canine and rabies </t>
        </r>
      </text>
    </comment>
    <comment ref="BU213" authorId="5">
      <text>
        <r>
          <rPr>
            <b/>
            <sz val="9"/>
            <color indexed="81"/>
            <rFont val="Tahoma"/>
            <family val="2"/>
          </rPr>
          <t>Ng, Zhu Shen (Research):</t>
        </r>
        <r>
          <rPr>
            <sz val="9"/>
            <color indexed="81"/>
            <rFont val="Tahoma"/>
            <family val="2"/>
          </rPr>
          <t xml:space="preserve">
7/25/17: benefited from the inclusion of $78.3m in revenue from the acquisition of Boehringer Ingelheim Vetmedica’s U.S. feline, canine and rabies vaccine portfolio</t>
        </r>
      </text>
    </comment>
    <comment ref="BV213" authorId="5">
      <text>
        <r>
          <rPr>
            <b/>
            <sz val="9"/>
            <color indexed="81"/>
            <rFont val="Tahoma"/>
            <family val="2"/>
          </rPr>
          <t>Ng, Zhu Shen (Research):</t>
        </r>
        <r>
          <rPr>
            <sz val="9"/>
            <color indexed="81"/>
            <rFont val="Tahoma"/>
            <family val="2"/>
          </rPr>
          <t xml:space="preserve">
10/24/17: benefited from the inclusion of $61.2M in revenue from the acquisition of Boehringer Ingelheim Vetmedica’s U.S. feline, canine and rabies vaccine portfolio</t>
        </r>
      </text>
    </comment>
    <comment ref="AP229" authorId="0">
      <text>
        <r>
          <rPr>
            <b/>
            <sz val="8"/>
            <color indexed="81"/>
            <rFont val="Tahoma"/>
            <family val="2"/>
          </rPr>
          <t>sakeaga:</t>
        </r>
        <r>
          <rPr>
            <sz val="8"/>
            <color indexed="81"/>
            <rFont val="Tahoma"/>
            <family val="2"/>
          </rPr>
          <t xml:space="preserve">
We assume "Other U.S.  Collaboration revenue" of $3.9M as Livalo revenue.</t>
        </r>
      </text>
    </comment>
    <comment ref="AQ229" authorId="0">
      <text>
        <r>
          <rPr>
            <b/>
            <sz val="8"/>
            <color indexed="81"/>
            <rFont val="Tahoma"/>
            <family val="2"/>
          </rPr>
          <t>sakeaga:</t>
        </r>
        <r>
          <rPr>
            <sz val="8"/>
            <color indexed="81"/>
            <rFont val="Tahoma"/>
            <family val="2"/>
          </rPr>
          <t xml:space="preserve">
We assume "Other U.S.  Collaboration revenue" of $4.5M as Livalo revenue.</t>
        </r>
      </text>
    </comment>
    <comment ref="BS229" authorId="3">
      <text>
        <r>
          <rPr>
            <b/>
            <sz val="8"/>
            <color indexed="81"/>
            <rFont val="Tahoma"/>
            <family val="2"/>
          </rPr>
          <t>chthoma:</t>
        </r>
        <r>
          <rPr>
            <sz val="8"/>
            <color indexed="81"/>
            <rFont val="Tahoma"/>
            <family val="2"/>
          </rPr>
          <t xml:space="preserve">
7/21/11: US agreement ends with patent expiration</t>
        </r>
      </text>
    </comment>
    <comment ref="AP231" authorId="0">
      <text>
        <r>
          <rPr>
            <b/>
            <sz val="8"/>
            <color indexed="81"/>
            <rFont val="Tahoma"/>
            <family val="2"/>
          </rPr>
          <t>sakeaga:</t>
        </r>
        <r>
          <rPr>
            <sz val="8"/>
            <color indexed="81"/>
            <rFont val="Tahoma"/>
            <family val="2"/>
          </rPr>
          <t xml:space="preserve">
Excl. Livalo.</t>
        </r>
      </text>
    </comment>
    <comment ref="AQ231" authorId="0">
      <text>
        <r>
          <rPr>
            <b/>
            <sz val="8"/>
            <color indexed="81"/>
            <rFont val="Tahoma"/>
            <family val="2"/>
          </rPr>
          <t>sakeaga:</t>
        </r>
        <r>
          <rPr>
            <sz val="8"/>
            <color indexed="81"/>
            <rFont val="Tahoma"/>
            <family val="2"/>
          </rPr>
          <t xml:space="preserve">
Excl. Livalo.</t>
        </r>
      </text>
    </comment>
    <comment ref="AP232" authorId="3">
      <text>
        <r>
          <rPr>
            <b/>
            <sz val="8"/>
            <color indexed="81"/>
            <rFont val="Tahoma"/>
            <family val="2"/>
          </rPr>
          <t>chthoma:</t>
        </r>
        <r>
          <rPr>
            <sz val="8"/>
            <color indexed="81"/>
            <rFont val="Tahoma"/>
            <family val="2"/>
          </rPr>
          <t xml:space="preserve">
LLY reported $3.9M, which we assume to be all Livalo.</t>
        </r>
      </text>
    </comment>
    <comment ref="AQ232" authorId="3">
      <text>
        <r>
          <rPr>
            <b/>
            <sz val="8"/>
            <color indexed="81"/>
            <rFont val="Tahoma"/>
            <family val="2"/>
          </rPr>
          <t>chthoma:</t>
        </r>
        <r>
          <rPr>
            <sz val="8"/>
            <color indexed="81"/>
            <rFont val="Tahoma"/>
            <family val="2"/>
          </rPr>
          <t xml:space="preserve">
LLY reported $4.5M, which we assume to be all Livalo.</t>
        </r>
      </text>
    </comment>
    <comment ref="AM233" authorId="1">
      <text>
        <r>
          <rPr>
            <b/>
            <sz val="8"/>
            <color indexed="81"/>
            <rFont val="Tahoma"/>
            <family val="2"/>
          </rPr>
          <t>tchiu:</t>
        </r>
        <r>
          <rPr>
            <sz val="8"/>
            <color indexed="81"/>
            <rFont val="Tahoma"/>
            <family val="2"/>
          </rPr>
          <t xml:space="preserve">
10/21/10: includes $19.2M from reacquisition of Cymbalta rights from Boehringer Ingelheim.</t>
        </r>
      </text>
    </comment>
    <comment ref="AN233" authorId="1">
      <text>
        <r>
          <rPr>
            <b/>
            <sz val="8"/>
            <color indexed="81"/>
            <rFont val="Tahoma"/>
            <family val="2"/>
          </rPr>
          <t>sakeaga:</t>
        </r>
        <r>
          <rPr>
            <sz val="8"/>
            <color indexed="81"/>
            <rFont val="Tahoma"/>
            <family val="2"/>
          </rPr>
          <t xml:space="preserve">
01/27/11: includes $2.3M from reacquisition of Cymbalta rights from Boehringer Ingelheim.</t>
        </r>
      </text>
    </comment>
    <comment ref="BN235" authorId="4">
      <text>
        <r>
          <rPr>
            <b/>
            <sz val="9"/>
            <color indexed="81"/>
            <rFont val="Tahoma"/>
            <family val="2"/>
          </rPr>
          <t>Agarwal, Saket (Research):</t>
        </r>
        <r>
          <rPr>
            <sz val="9"/>
            <color indexed="81"/>
            <rFont val="Tahoma"/>
            <family val="2"/>
          </rPr>
          <t xml:space="preserve">
7/23/15: $19.7-$20.0B
4/23/15, 1/30/15: $19.5-$20.0B
1/7/15: $20.3-$20.8B, includes FX: -$500M, Novartis animal health $1.0-1.2B</t>
        </r>
      </text>
    </comment>
    <comment ref="BX235" authorId="4">
      <text>
        <r>
          <rPr>
            <b/>
            <sz val="9"/>
            <color indexed="81"/>
            <rFont val="Tahoma"/>
            <family val="2"/>
          </rPr>
          <t>Agarwal, Saket (Research):</t>
        </r>
        <r>
          <rPr>
            <sz val="9"/>
            <color indexed="81"/>
            <rFont val="Tahoma"/>
            <family val="2"/>
          </rPr>
          <t xml:space="preserve">
7/25/17: $22.0-22.5B
4/25/17, 1/31/17, 12/15/16: $21.8-$22.3B</t>
        </r>
      </text>
    </comment>
    <comment ref="AT256" authorId="1">
      <text>
        <r>
          <rPr>
            <b/>
            <sz val="8"/>
            <color indexed="81"/>
            <rFont val="Tahoma"/>
            <family val="2"/>
          </rPr>
          <t>tchiu:</t>
        </r>
        <r>
          <rPr>
            <sz val="8"/>
            <color indexed="81"/>
            <rFont val="Tahoma"/>
            <family val="2"/>
          </rPr>
          <t xml:space="preserve">
assume chronic pain indication helps sales and offsets Effexor XR going generic</t>
        </r>
      </text>
    </comment>
    <comment ref="BM284" authorId="4">
      <text>
        <r>
          <rPr>
            <b/>
            <sz val="9"/>
            <color indexed="81"/>
            <rFont val="Tahoma"/>
            <family val="2"/>
          </rPr>
          <t>Agarwal, Saket (Research):</t>
        </r>
        <r>
          <rPr>
            <sz val="9"/>
            <color indexed="81"/>
            <rFont val="Tahoma"/>
            <family val="2"/>
          </rPr>
          <t xml:space="preserve">
1/28/15: Sales benefitted due to negative adjustment of -10% last year.</t>
        </r>
      </text>
    </comment>
    <comment ref="BT284" authorId="2">
      <text>
        <r>
          <rPr>
            <b/>
            <sz val="9"/>
            <color indexed="81"/>
            <rFont val="Tahoma"/>
            <family val="2"/>
          </rPr>
          <t>Chiu, Thomas (Research):</t>
        </r>
        <r>
          <rPr>
            <sz val="9"/>
            <color indexed="81"/>
            <rFont val="Tahoma"/>
            <family val="2"/>
          </rPr>
          <t xml:space="preserve">
4/25/17: Humalog had significant unfavorable changes to rebates and discounts in the first quarter of 2016 that did not recur in the first quarter of 2017</t>
        </r>
      </text>
    </comment>
    <comment ref="CC285" authorId="2">
      <text>
        <r>
          <rPr>
            <b/>
            <sz val="9"/>
            <color indexed="81"/>
            <rFont val="Tahoma"/>
            <family val="2"/>
          </rPr>
          <t>Chiu, Thomas (Research):</t>
        </r>
        <r>
          <rPr>
            <sz val="9"/>
            <color indexed="81"/>
            <rFont val="Tahoma"/>
            <family val="2"/>
          </rPr>
          <t xml:space="preserve">
1/31/17: assume SNY biosim entry</t>
        </r>
      </text>
    </comment>
    <comment ref="AQ333" authorId="3">
      <text>
        <r>
          <rPr>
            <b/>
            <sz val="8"/>
            <color indexed="81"/>
            <rFont val="Tahoma"/>
            <family val="2"/>
          </rPr>
          <t>chthoma:</t>
        </r>
        <r>
          <rPr>
            <sz val="8"/>
            <color indexed="81"/>
            <rFont val="Tahoma"/>
            <family val="2"/>
          </rPr>
          <t xml:space="preserve">
CHMP recommended Bydureon approval in Apr.</t>
        </r>
      </text>
    </comment>
    <comment ref="AR333" authorId="3">
      <text>
        <r>
          <rPr>
            <b/>
            <sz val="8"/>
            <color indexed="81"/>
            <rFont val="Tahoma"/>
            <family val="2"/>
          </rPr>
          <t>chthoma:</t>
        </r>
        <r>
          <rPr>
            <sz val="8"/>
            <color indexed="81"/>
            <rFont val="Tahoma"/>
            <family val="2"/>
          </rPr>
          <t xml:space="preserve">
7/21/11: Bydureon launched in UK in July.</t>
        </r>
      </text>
    </comment>
    <comment ref="CE348" authorId="2">
      <text>
        <r>
          <rPr>
            <b/>
            <sz val="9"/>
            <color indexed="81"/>
            <rFont val="Tahoma"/>
            <family val="2"/>
          </rPr>
          <t>Chiu, Thomas (Research):</t>
        </r>
        <r>
          <rPr>
            <sz val="9"/>
            <color indexed="81"/>
            <rFont val="Tahoma"/>
            <family val="2"/>
          </rPr>
          <t xml:space="preserve">
4/25/17: assume 1L gastric uptake; RAINFALL OS expected in 2018</t>
        </r>
      </text>
    </comment>
    <comment ref="AR436" authorId="0">
      <text>
        <r>
          <rPr>
            <b/>
            <sz val="8"/>
            <color indexed="81"/>
            <rFont val="Tahoma"/>
            <family val="2"/>
          </rPr>
          <t>sakeaga:</t>
        </r>
        <r>
          <rPr>
            <sz val="8"/>
            <color indexed="81"/>
            <rFont val="Tahoma"/>
            <family val="2"/>
          </rPr>
          <t xml:space="preserve">
18% Organic growth</t>
        </r>
      </text>
    </comment>
    <comment ref="AY436" authorId="0">
      <text>
        <r>
          <rPr>
            <b/>
            <sz val="8"/>
            <color indexed="81"/>
            <rFont val="Tahoma"/>
            <family val="2"/>
          </rPr>
          <t>sakeaga:</t>
        </r>
        <r>
          <rPr>
            <sz val="8"/>
            <color indexed="81"/>
            <rFont val="Tahoma"/>
            <family val="2"/>
          </rPr>
          <t xml:space="preserve">
10/24/12, 4/25/12: Double-digit growth</t>
        </r>
      </text>
    </comment>
    <comment ref="BO436" authorId="2">
      <text>
        <r>
          <rPr>
            <b/>
            <sz val="9"/>
            <color indexed="81"/>
            <rFont val="Tahoma"/>
            <family val="2"/>
          </rPr>
          <t>Chiu, Thomas (Research):</t>
        </r>
        <r>
          <rPr>
            <sz val="9"/>
            <color indexed="81"/>
            <rFont val="Tahoma"/>
            <family val="2"/>
          </rPr>
          <t xml:space="preserve">
4/26/16: +5% YOY excl FX</t>
        </r>
      </text>
    </comment>
    <comment ref="CC436" authorId="4">
      <text>
        <r>
          <rPr>
            <b/>
            <sz val="9"/>
            <color indexed="81"/>
            <rFont val="Tahoma"/>
            <family val="2"/>
          </rPr>
          <t>Agarwal, Saket (Research):</t>
        </r>
        <r>
          <rPr>
            <sz val="9"/>
            <color indexed="81"/>
            <rFont val="Tahoma"/>
            <family val="2"/>
          </rPr>
          <t xml:space="preserve">
12/13/17: Flat to slightly up</t>
        </r>
      </text>
    </comment>
    <comment ref="AR438" authorId="3">
      <text>
        <r>
          <rPr>
            <b/>
            <sz val="8"/>
            <color indexed="81"/>
            <rFont val="Tahoma"/>
            <family val="2"/>
          </rPr>
          <t>chthoma:</t>
        </r>
        <r>
          <rPr>
            <sz val="8"/>
            <color indexed="81"/>
            <rFont val="Tahoma"/>
            <family val="2"/>
          </rPr>
          <t xml:space="preserve">
10/20/11: driven by acquisition of Janssen and Pfizer assets in Europe and, to a lesser extent, by FX and increased demand.</t>
        </r>
      </text>
    </comment>
    <comment ref="BR438" authorId="2">
      <text>
        <r>
          <rPr>
            <b/>
            <sz val="9"/>
            <color indexed="81"/>
            <rFont val="Tahoma"/>
            <family val="2"/>
          </rPr>
          <t>Chiu, Thomas (Research):</t>
        </r>
        <r>
          <rPr>
            <sz val="9"/>
            <color indexed="81"/>
            <rFont val="Tahoma"/>
            <family val="2"/>
          </rPr>
          <t xml:space="preserve">
1/31/17: 5% ex-FX</t>
        </r>
      </text>
    </comment>
    <comment ref="CC439" authorId="4">
      <text>
        <r>
          <rPr>
            <b/>
            <sz val="9"/>
            <color indexed="81"/>
            <rFont val="Tahoma"/>
            <family val="2"/>
          </rPr>
          <t>Agarwal, Saket (Research):</t>
        </r>
        <r>
          <rPr>
            <sz val="9"/>
            <color indexed="81"/>
            <rFont val="Tahoma"/>
            <family val="2"/>
          </rPr>
          <t xml:space="preserve">
1/31/18: Low to single digit decline</t>
        </r>
      </text>
    </comment>
    <comment ref="BB440" authorId="3">
      <text>
        <r>
          <rPr>
            <b/>
            <sz val="8"/>
            <color indexed="81"/>
            <rFont val="Tahoma"/>
            <family val="2"/>
          </rPr>
          <t>chthoma:</t>
        </r>
        <r>
          <rPr>
            <sz val="8"/>
            <color indexed="81"/>
            <rFont val="Tahoma"/>
            <family val="2"/>
          </rPr>
          <t xml:space="preserve">
10/23/13: half of growth from Merck withdrawing Zilmax</t>
        </r>
      </text>
    </comment>
    <comment ref="CC442" authorId="4">
      <text>
        <r>
          <rPr>
            <b/>
            <sz val="9"/>
            <color indexed="81"/>
            <rFont val="Tahoma"/>
            <family val="2"/>
          </rPr>
          <t>Agarwal, Saket (Research):</t>
        </r>
        <r>
          <rPr>
            <sz val="9"/>
            <color indexed="81"/>
            <rFont val="Tahoma"/>
            <family val="2"/>
          </rPr>
          <t xml:space="preserve">
1/31/18: Low to mid-single digit growth</t>
        </r>
      </text>
    </comment>
    <comment ref="BR443" authorId="2">
      <text>
        <r>
          <rPr>
            <b/>
            <sz val="9"/>
            <color indexed="81"/>
            <rFont val="Tahoma"/>
            <family val="2"/>
          </rPr>
          <t>Chiu, Thomas (Research):</t>
        </r>
        <r>
          <rPr>
            <sz val="9"/>
            <color indexed="81"/>
            <rFont val="Tahoma"/>
            <family val="2"/>
          </rPr>
          <t xml:space="preserve">
1/31/17: new launches</t>
        </r>
      </text>
    </comment>
  </commentList>
</comments>
</file>

<file path=xl/comments4.xml><?xml version="1.0" encoding="utf-8"?>
<comments xmlns="http://schemas.openxmlformats.org/spreadsheetml/2006/main">
  <authors>
    <author>Chen, Emil (Research)</author>
    <author>Agarwal, Saket (Research)</author>
    <author>Chiu, Thomas (Research)</author>
  </authors>
  <commentList>
    <comment ref="H11" authorId="0">
      <text>
        <r>
          <rPr>
            <b/>
            <sz val="9"/>
            <color indexed="81"/>
            <rFont val="Tahoma"/>
            <family val="2"/>
          </rPr>
          <t>Chen, Emil (Research):</t>
        </r>
        <r>
          <rPr>
            <sz val="9"/>
            <color indexed="81"/>
            <rFont val="Tahoma"/>
            <family val="2"/>
          </rPr>
          <t xml:space="preserve">
12/18/14: Phase 2 in magraine has study completion date of June '15. Phase 2 in osteoarthritis knee pain has completion date of April '16</t>
        </r>
      </text>
    </comment>
    <comment ref="J15" authorId="1">
      <text>
        <r>
          <rPr>
            <b/>
            <sz val="9"/>
            <color indexed="81"/>
            <rFont val="Tahoma"/>
            <family val="2"/>
          </rPr>
          <t>Agarwal, Saket (Research):</t>
        </r>
        <r>
          <rPr>
            <sz val="9"/>
            <color indexed="81"/>
            <rFont val="Tahoma"/>
            <family val="2"/>
          </rPr>
          <t xml:space="preserve">
8/4/17: filing in 2H18
1/18/17: Will be filed in 2018</t>
        </r>
      </text>
    </comment>
    <comment ref="J21" authorId="2">
      <text>
        <r>
          <rPr>
            <b/>
            <sz val="9"/>
            <color indexed="81"/>
            <rFont val="Tahoma"/>
            <family val="2"/>
          </rPr>
          <t>Chiu, Thomas (Research):</t>
        </r>
        <r>
          <rPr>
            <sz val="9"/>
            <color indexed="81"/>
            <rFont val="Tahoma"/>
            <family val="2"/>
          </rPr>
          <t xml:space="preserve">
7/25/17: Resubmission delayed by minimum 18 months
4/13/17: CRL issued by FDA
PDUFA extended by 3 months. New PDUFA date 4/19/17
4/26/16: expect approval in early '17</t>
        </r>
      </text>
    </comment>
    <comment ref="BN24" authorId="1">
      <text>
        <r>
          <rPr>
            <b/>
            <sz val="9"/>
            <color indexed="81"/>
            <rFont val="Tahoma"/>
            <family val="2"/>
          </rPr>
          <t>Agarwal, Saket (Research):</t>
        </r>
        <r>
          <rPr>
            <sz val="9"/>
            <color indexed="81"/>
            <rFont val="Tahoma"/>
            <family val="2"/>
          </rPr>
          <t xml:space="preserve">
We assume 10% as COGS</t>
        </r>
      </text>
    </comment>
  </commentList>
</comments>
</file>

<file path=xl/comments5.xml><?xml version="1.0" encoding="utf-8"?>
<comments xmlns="http://schemas.openxmlformats.org/spreadsheetml/2006/main">
  <authors>
    <author>tchiu</author>
    <author>sakeaga</author>
    <author>nascamar</author>
    <author>chthoma</author>
    <author>Agarwal, Saket (Research)</author>
    <author>Rajan, Rohit (Research)</author>
  </authors>
  <commentList>
    <comment ref="U16" authorId="0">
      <text>
        <r>
          <rPr>
            <b/>
            <sz val="8"/>
            <color indexed="81"/>
            <rFont val="Tahoma"/>
            <family val="2"/>
          </rPr>
          <t>tchiu:</t>
        </r>
        <r>
          <rPr>
            <sz val="8"/>
            <color indexed="81"/>
            <rFont val="Tahoma"/>
            <family val="2"/>
          </rPr>
          <t xml:space="preserve">
amortization $7.6M before tax.</t>
        </r>
      </text>
    </comment>
    <comment ref="Z16" authorId="0">
      <text>
        <r>
          <rPr>
            <b/>
            <sz val="8"/>
            <color indexed="81"/>
            <rFont val="Tahoma"/>
            <family val="2"/>
          </rPr>
          <t>tchiu:</t>
        </r>
        <r>
          <rPr>
            <sz val="8"/>
            <color indexed="81"/>
            <rFont val="Tahoma"/>
            <family val="2"/>
          </rPr>
          <t xml:space="preserve">
amortization $172.8M before tax.</t>
        </r>
      </text>
    </comment>
    <comment ref="AE16" authorId="0">
      <text>
        <r>
          <rPr>
            <b/>
            <sz val="8"/>
            <color indexed="81"/>
            <rFont val="Tahoma"/>
            <family val="2"/>
          </rPr>
          <t>tchiu:</t>
        </r>
        <r>
          <rPr>
            <sz val="8"/>
            <color indexed="81"/>
            <rFont val="Tahoma"/>
            <family val="2"/>
          </rPr>
          <t xml:space="preserve">
amortization $193.4M before tax.</t>
        </r>
      </text>
    </comment>
    <comment ref="AJ16" authorId="0">
      <text>
        <r>
          <rPr>
            <b/>
            <sz val="8"/>
            <color indexed="81"/>
            <rFont val="Tahoma"/>
            <family val="2"/>
          </rPr>
          <t>tchiu:</t>
        </r>
        <r>
          <rPr>
            <sz val="8"/>
            <color indexed="81"/>
            <rFont val="Tahoma"/>
            <family val="2"/>
          </rPr>
          <t xml:space="preserve">
amortization $277.0M before tax.</t>
        </r>
      </text>
    </comment>
    <comment ref="AO16" authorId="1">
      <text>
        <r>
          <rPr>
            <b/>
            <sz val="8"/>
            <color indexed="81"/>
            <rFont val="Tahoma"/>
            <family val="2"/>
          </rPr>
          <t>sakeaga:</t>
        </r>
        <r>
          <rPr>
            <sz val="8"/>
            <color indexed="81"/>
            <rFont val="Tahoma"/>
            <family val="2"/>
          </rPr>
          <t xml:space="preserve">
amortization $385.7M before tax.</t>
        </r>
      </text>
    </comment>
    <comment ref="AL29" authorId="1">
      <text>
        <r>
          <rPr>
            <b/>
            <sz val="8"/>
            <color indexed="81"/>
            <rFont val="Tahoma"/>
            <family val="2"/>
          </rPr>
          <t>sakeaga:</t>
        </r>
        <r>
          <rPr>
            <sz val="8"/>
            <color indexed="81"/>
            <rFont val="Tahoma"/>
            <family val="2"/>
          </rPr>
          <t xml:space="preserve">
Includes net amrketing investigation charges paid $80.5M</t>
        </r>
      </text>
    </comment>
    <comment ref="AM29" authorId="1">
      <text>
        <r>
          <rPr>
            <b/>
            <sz val="8"/>
            <color indexed="81"/>
            <rFont val="Tahoma"/>
            <family val="2"/>
          </rPr>
          <t>sakeaga:</t>
        </r>
        <r>
          <rPr>
            <sz val="8"/>
            <color indexed="81"/>
            <rFont val="Tahoma"/>
            <family val="2"/>
          </rPr>
          <t xml:space="preserve">
Includes net amrketing investigation charges paid $80.5M</t>
        </r>
      </text>
    </comment>
    <comment ref="AW29" authorId="2">
      <text>
        <r>
          <rPr>
            <b/>
            <sz val="8"/>
            <color indexed="81"/>
            <rFont val="Tahoma"/>
            <family val="2"/>
          </rPr>
          <t>nascamar:</t>
        </r>
        <r>
          <rPr>
            <sz val="8"/>
            <color indexed="81"/>
            <rFont val="Tahoma"/>
            <family val="2"/>
          </rPr>
          <t xml:space="preserve">
Includes $787.8M income related to prepayment of rev-sharing obligation to Amylin</t>
        </r>
      </text>
    </comment>
    <comment ref="AY29" authorId="2">
      <text>
        <r>
          <rPr>
            <b/>
            <sz val="8"/>
            <color indexed="81"/>
            <rFont val="Tahoma"/>
            <family val="2"/>
          </rPr>
          <t>nascamar:</t>
        </r>
        <r>
          <rPr>
            <sz val="8"/>
            <color indexed="81"/>
            <rFont val="Tahoma"/>
            <family val="2"/>
          </rPr>
          <t xml:space="preserve">
Includes $787.8M income related to prepayment of rev-sharing obligation to Amylin</t>
        </r>
      </text>
    </comment>
    <comment ref="AZ29" authorId="1">
      <text>
        <r>
          <rPr>
            <b/>
            <sz val="8"/>
            <color indexed="81"/>
            <rFont val="Tahoma"/>
            <family val="2"/>
          </rPr>
          <t>sakeaga:</t>
        </r>
        <r>
          <rPr>
            <sz val="8"/>
            <color indexed="81"/>
            <rFont val="Tahoma"/>
            <family val="2"/>
          </rPr>
          <t xml:space="preserve">
Income related to transfer of exenatide rights $495.4M</t>
        </r>
      </text>
    </comment>
    <comment ref="BD29" authorId="2">
      <text>
        <r>
          <rPr>
            <b/>
            <sz val="8"/>
            <color indexed="81"/>
            <rFont val="Tahoma"/>
            <family val="2"/>
          </rPr>
          <t>nascamar:</t>
        </r>
        <r>
          <rPr>
            <sz val="8"/>
            <color indexed="81"/>
            <rFont val="Tahoma"/>
            <family val="2"/>
          </rPr>
          <t xml:space="preserve">
Includes $787.8M income related to prepayment of rev-sharing obligation to Amylin</t>
        </r>
      </text>
    </comment>
    <comment ref="BI30" authorId="3">
      <text>
        <r>
          <rPr>
            <b/>
            <sz val="8"/>
            <color indexed="81"/>
            <rFont val="Tahoma"/>
            <family val="2"/>
          </rPr>
          <t>chthoma:</t>
        </r>
        <r>
          <rPr>
            <sz val="8"/>
            <color indexed="81"/>
            <rFont val="Tahoma"/>
            <family val="2"/>
          </rPr>
          <t xml:space="preserve">
1/30/14, 1/7/14: ~$4B
1/4/13, 1/5/12: at least $4B</t>
        </r>
      </text>
    </comment>
    <comment ref="BI32" authorId="1">
      <text>
        <r>
          <rPr>
            <b/>
            <sz val="8"/>
            <color indexed="81"/>
            <rFont val="Tahoma"/>
            <family val="2"/>
          </rPr>
          <t>sakeaga:</t>
        </r>
        <r>
          <rPr>
            <sz val="8"/>
            <color indexed="81"/>
            <rFont val="Tahoma"/>
            <family val="2"/>
          </rPr>
          <t xml:space="preserve">
1/30/14, 1/7/14: ~$1.3B; expected to be high for 1-2 yrs and then reduce</t>
        </r>
      </text>
    </comment>
    <comment ref="BN32" authorId="4">
      <text>
        <r>
          <rPr>
            <b/>
            <sz val="9"/>
            <color indexed="81"/>
            <rFont val="Tahoma"/>
            <family val="2"/>
          </rPr>
          <t>Agarwal, Saket (Research):</t>
        </r>
        <r>
          <rPr>
            <sz val="9"/>
            <color indexed="81"/>
            <rFont val="Tahoma"/>
            <family val="2"/>
          </rPr>
          <t xml:space="preserve">
4/23/15, 1/30/15, 1/7/15: ~$1.3B</t>
        </r>
      </text>
    </comment>
    <comment ref="BS32" authorId="4">
      <text>
        <r>
          <rPr>
            <b/>
            <sz val="9"/>
            <color indexed="81"/>
            <rFont val="Tahoma"/>
            <family val="2"/>
          </rPr>
          <t>Agarwal, Saket (Research):</t>
        </r>
        <r>
          <rPr>
            <sz val="9"/>
            <color indexed="81"/>
            <rFont val="Tahoma"/>
            <family val="2"/>
          </rPr>
          <t xml:space="preserve">
10/25/16: $1.0B
4/26/16, 1/5/16: $1.1B</t>
        </r>
      </text>
    </comment>
    <comment ref="CC32" authorId="4">
      <text>
        <r>
          <rPr>
            <b/>
            <sz val="9"/>
            <color indexed="81"/>
            <rFont val="Tahoma"/>
            <family val="2"/>
          </rPr>
          <t>Agarwal, Saket (Research):</t>
        </r>
        <r>
          <rPr>
            <sz val="9"/>
            <color indexed="81"/>
            <rFont val="Tahoma"/>
            <family val="2"/>
          </rPr>
          <t xml:space="preserve">
12/13/17: $1.2B</t>
        </r>
      </text>
    </comment>
    <comment ref="AW41" authorId="2">
      <text>
        <r>
          <rPr>
            <b/>
            <sz val="8"/>
            <color indexed="81"/>
            <rFont val="Tahoma"/>
            <family val="2"/>
          </rPr>
          <t>nascamar:</t>
        </r>
        <r>
          <rPr>
            <sz val="8"/>
            <color indexed="81"/>
            <rFont val="Tahoma"/>
            <family val="2"/>
          </rPr>
          <t xml:space="preserve">
includes $1,212.1M from proceeds of prepayment of rev-sharing obligation; From 10-Q: "Amylin issued a secured note in the amount of $1.20 billion to us under which any revenue-sharing payments made to us would reduce amounts outstanding under the note."</t>
        </r>
      </text>
    </comment>
    <comment ref="BI41" authorId="5">
      <text>
        <r>
          <rPr>
            <b/>
            <sz val="8"/>
            <color indexed="81"/>
            <rFont val="Tahoma"/>
            <family val="2"/>
          </rPr>
          <t>Sakeaga:</t>
        </r>
        <r>
          <rPr>
            <sz val="8"/>
            <color indexed="81"/>
            <rFont val="Tahoma"/>
            <family val="2"/>
          </rPr>
          <t xml:space="preserve">
Incl. $5.4B restricted cash held in escrow for NVS acquisition</t>
        </r>
      </text>
    </comment>
    <comment ref="BI44" authorId="1">
      <text>
        <r>
          <rPr>
            <b/>
            <sz val="8"/>
            <color indexed="81"/>
            <rFont val="Tahoma"/>
            <family val="2"/>
          </rPr>
          <t>sakeaga:</t>
        </r>
        <r>
          <rPr>
            <sz val="8"/>
            <color indexed="81"/>
            <rFont val="Tahoma"/>
            <family val="2"/>
          </rPr>
          <t xml:space="preserve">
1/7/14: ~$2.1B</t>
        </r>
      </text>
    </comment>
    <comment ref="BH82" authorId="5">
      <text>
        <r>
          <rPr>
            <b/>
            <sz val="8"/>
            <color indexed="81"/>
            <rFont val="Tahoma"/>
            <family val="2"/>
          </rPr>
          <t>Sakeaga:</t>
        </r>
        <r>
          <rPr>
            <sz val="8"/>
            <color indexed="81"/>
            <rFont val="Tahoma"/>
            <family val="2"/>
          </rPr>
          <t xml:space="preserve">
Incl. $5.4B restricted cash held in escrow for NVS acquisition</t>
        </r>
      </text>
    </comment>
    <comment ref="CC180" authorId="4">
      <text>
        <r>
          <rPr>
            <b/>
            <sz val="9"/>
            <color indexed="81"/>
            <rFont val="Tahoma"/>
            <family val="2"/>
          </rPr>
          <t>Agarwal, Saket (Research):</t>
        </r>
        <r>
          <rPr>
            <sz val="9"/>
            <color indexed="81"/>
            <rFont val="Tahoma"/>
            <family val="2"/>
          </rPr>
          <t xml:space="preserve">
12/11/17: $0.5625/sh</t>
        </r>
      </text>
    </comment>
  </commentList>
</comments>
</file>

<file path=xl/comments6.xml><?xml version="1.0" encoding="utf-8"?>
<comments xmlns="http://schemas.openxmlformats.org/spreadsheetml/2006/main">
  <authors>
    <author>sakeaga</author>
    <author>tchiu</author>
  </authors>
  <commentList>
    <comment ref="BN14" authorId="0">
      <text>
        <r>
          <rPr>
            <b/>
            <sz val="8"/>
            <color indexed="81"/>
            <rFont val="Tahoma"/>
            <family val="2"/>
          </rPr>
          <t>sakeaga:</t>
        </r>
        <r>
          <rPr>
            <sz val="8"/>
            <color indexed="81"/>
            <rFont val="Tahoma"/>
            <family val="2"/>
          </rPr>
          <t xml:space="preserve">
We assume 1%</t>
        </r>
      </text>
    </comment>
    <comment ref="AE165" authorId="0">
      <text>
        <r>
          <rPr>
            <b/>
            <sz val="8"/>
            <color indexed="81"/>
            <rFont val="Tahoma"/>
            <family val="2"/>
          </rPr>
          <t>tchiu:</t>
        </r>
        <r>
          <rPr>
            <sz val="8"/>
            <color indexed="81"/>
            <rFont val="Tahoma"/>
            <family val="2"/>
          </rPr>
          <t xml:space="preserve">
2008 10-K: Classified as current at 12/31/08 because company expects to refinance in 2009.</t>
        </r>
      </text>
    </comment>
    <comment ref="AJ166" authorId="1">
      <text>
        <r>
          <rPr>
            <b/>
            <sz val="8"/>
            <color indexed="81"/>
            <rFont val="Tahoma"/>
            <family val="2"/>
          </rPr>
          <t>tchiu:</t>
        </r>
        <r>
          <rPr>
            <sz val="8"/>
            <color indexed="81"/>
            <rFont val="Tahoma"/>
            <family val="2"/>
          </rPr>
          <t xml:space="preserve">
4.1% at 12/31/08.</t>
        </r>
      </text>
    </comment>
    <comment ref="AU171" authorId="0">
      <text>
        <r>
          <rPr>
            <b/>
            <sz val="8"/>
            <color indexed="81"/>
            <rFont val="Tahoma"/>
            <family val="2"/>
          </rPr>
          <t>sakeaga:</t>
        </r>
        <r>
          <rPr>
            <sz val="8"/>
            <color indexed="81"/>
            <rFont val="Tahoma"/>
            <family val="2"/>
          </rPr>
          <t xml:space="preserve">
Per 10-K FY08</t>
        </r>
      </text>
    </comment>
    <comment ref="AV171" authorId="0">
      <text>
        <r>
          <rPr>
            <b/>
            <sz val="8"/>
            <color indexed="81"/>
            <rFont val="Tahoma"/>
            <family val="2"/>
          </rPr>
          <t>sakeaga:</t>
        </r>
        <r>
          <rPr>
            <sz val="8"/>
            <color indexed="81"/>
            <rFont val="Tahoma"/>
            <family val="2"/>
          </rPr>
          <t xml:space="preserve">
Per 10-K FY08</t>
        </r>
      </text>
    </comment>
    <comment ref="AW171" authorId="0">
      <text>
        <r>
          <rPr>
            <b/>
            <sz val="8"/>
            <color indexed="81"/>
            <rFont val="Tahoma"/>
            <family val="2"/>
          </rPr>
          <t>sakeaga:</t>
        </r>
        <r>
          <rPr>
            <sz val="8"/>
            <color indexed="81"/>
            <rFont val="Tahoma"/>
            <family val="2"/>
          </rPr>
          <t xml:space="preserve">
Per 10-K FY08</t>
        </r>
      </text>
    </comment>
    <comment ref="AX171" authorId="0">
      <text>
        <r>
          <rPr>
            <b/>
            <sz val="8"/>
            <color indexed="81"/>
            <rFont val="Tahoma"/>
            <family val="2"/>
          </rPr>
          <t>sakeaga:</t>
        </r>
        <r>
          <rPr>
            <sz val="8"/>
            <color indexed="81"/>
            <rFont val="Tahoma"/>
            <family val="2"/>
          </rPr>
          <t xml:space="preserve">
Per 10-K FY08</t>
        </r>
      </text>
    </comment>
    <comment ref="AY171" authorId="0">
      <text>
        <r>
          <rPr>
            <b/>
            <sz val="8"/>
            <color indexed="81"/>
            <rFont val="Tahoma"/>
            <family val="2"/>
          </rPr>
          <t>sakeaga:</t>
        </r>
        <r>
          <rPr>
            <sz val="8"/>
            <color indexed="81"/>
            <rFont val="Tahoma"/>
            <family val="2"/>
          </rPr>
          <t xml:space="preserve">
Per 10-K FY10</t>
        </r>
      </text>
    </comment>
    <comment ref="AZ171" authorId="0">
      <text>
        <r>
          <rPr>
            <b/>
            <sz val="8"/>
            <color indexed="81"/>
            <rFont val="Tahoma"/>
            <family val="2"/>
          </rPr>
          <t>sakeaga:</t>
        </r>
        <r>
          <rPr>
            <sz val="8"/>
            <color indexed="81"/>
            <rFont val="Tahoma"/>
            <family val="2"/>
          </rPr>
          <t xml:space="preserve">
Per 10-K FY08</t>
        </r>
      </text>
    </comment>
    <comment ref="BA171" authorId="0">
      <text>
        <r>
          <rPr>
            <b/>
            <sz val="8"/>
            <color indexed="81"/>
            <rFont val="Tahoma"/>
            <family val="2"/>
          </rPr>
          <t>sakeaga:</t>
        </r>
        <r>
          <rPr>
            <sz val="8"/>
            <color indexed="81"/>
            <rFont val="Tahoma"/>
            <family val="2"/>
          </rPr>
          <t xml:space="preserve">
Per 10-K FY08</t>
        </r>
      </text>
    </comment>
    <comment ref="BB171" authorId="0">
      <text>
        <r>
          <rPr>
            <b/>
            <sz val="8"/>
            <color indexed="81"/>
            <rFont val="Tahoma"/>
            <family val="2"/>
          </rPr>
          <t>sakeaga:</t>
        </r>
        <r>
          <rPr>
            <sz val="8"/>
            <color indexed="81"/>
            <rFont val="Tahoma"/>
            <family val="2"/>
          </rPr>
          <t xml:space="preserve">
Per 10-K FY08</t>
        </r>
      </text>
    </comment>
    <comment ref="BC171" authorId="0">
      <text>
        <r>
          <rPr>
            <b/>
            <sz val="8"/>
            <color indexed="81"/>
            <rFont val="Tahoma"/>
            <family val="2"/>
          </rPr>
          <t>sakeaga:</t>
        </r>
        <r>
          <rPr>
            <sz val="8"/>
            <color indexed="81"/>
            <rFont val="Tahoma"/>
            <family val="2"/>
          </rPr>
          <t xml:space="preserve">
Per 10-K FY08</t>
        </r>
      </text>
    </comment>
    <comment ref="BD171" authorId="0">
      <text>
        <r>
          <rPr>
            <b/>
            <sz val="8"/>
            <color indexed="81"/>
            <rFont val="Tahoma"/>
            <family val="2"/>
          </rPr>
          <t>sakeaga:</t>
        </r>
        <r>
          <rPr>
            <sz val="8"/>
            <color indexed="81"/>
            <rFont val="Tahoma"/>
            <family val="2"/>
          </rPr>
          <t xml:space="preserve">
Per 10-K FY10</t>
        </r>
      </text>
    </comment>
    <comment ref="BN171" authorId="0">
      <text>
        <r>
          <rPr>
            <b/>
            <sz val="8"/>
            <color indexed="81"/>
            <rFont val="Tahoma"/>
            <family val="2"/>
          </rPr>
          <t>sakeaga:</t>
        </r>
        <r>
          <rPr>
            <sz val="8"/>
            <color indexed="81"/>
            <rFont val="Tahoma"/>
            <family val="2"/>
          </rPr>
          <t xml:space="preserve">
Per 10-K FY10</t>
        </r>
      </text>
    </comment>
    <comment ref="AE172" authorId="0">
      <text>
        <r>
          <rPr>
            <b/>
            <sz val="8"/>
            <color indexed="81"/>
            <rFont val="Tahoma"/>
            <family val="2"/>
          </rPr>
          <t>sakeaga:</t>
        </r>
        <r>
          <rPr>
            <sz val="8"/>
            <color indexed="81"/>
            <rFont val="Tahoma"/>
            <family val="2"/>
          </rPr>
          <t xml:space="preserve">
Current portion has been included in short term debt</t>
        </r>
      </text>
    </comment>
    <comment ref="AJ172" authorId="0">
      <text>
        <r>
          <rPr>
            <b/>
            <sz val="8"/>
            <color indexed="81"/>
            <rFont val="Tahoma"/>
            <family val="2"/>
          </rPr>
          <t>sakeaga:</t>
        </r>
        <r>
          <rPr>
            <sz val="8"/>
            <color indexed="81"/>
            <rFont val="Tahoma"/>
            <family val="2"/>
          </rPr>
          <t xml:space="preserve">
Current portion has been included in short term debt</t>
        </r>
      </text>
    </comment>
    <comment ref="AO172" authorId="0">
      <text>
        <r>
          <rPr>
            <b/>
            <sz val="8"/>
            <color indexed="81"/>
            <rFont val="Tahoma"/>
            <family val="2"/>
          </rPr>
          <t>sakeaga:</t>
        </r>
        <r>
          <rPr>
            <sz val="8"/>
            <color indexed="81"/>
            <rFont val="Tahoma"/>
            <family val="2"/>
          </rPr>
          <t xml:space="preserve">
Current portion has been included in short term debt</t>
        </r>
      </text>
    </comment>
    <comment ref="AT172" authorId="0">
      <text>
        <r>
          <rPr>
            <b/>
            <sz val="8"/>
            <color indexed="81"/>
            <rFont val="Tahoma"/>
            <family val="2"/>
          </rPr>
          <t>sakeaga:</t>
        </r>
        <r>
          <rPr>
            <sz val="8"/>
            <color indexed="81"/>
            <rFont val="Tahoma"/>
            <family val="2"/>
          </rPr>
          <t xml:space="preserve">
Current portion has been included in short term debt</t>
        </r>
      </text>
    </comment>
    <comment ref="AY173" authorId="1">
      <text>
        <r>
          <rPr>
            <b/>
            <sz val="8"/>
            <color indexed="81"/>
            <rFont val="Tahoma"/>
            <family val="2"/>
          </rPr>
          <t>sakeaga:</t>
        </r>
        <r>
          <rPr>
            <sz val="8"/>
            <color indexed="81"/>
            <rFont val="Tahoma"/>
            <family val="2"/>
          </rPr>
          <t xml:space="preserve">
we assume 1%.</t>
        </r>
      </text>
    </comment>
  </commentList>
</comments>
</file>

<file path=xl/comments7.xml><?xml version="1.0" encoding="utf-8"?>
<comments xmlns="http://schemas.openxmlformats.org/spreadsheetml/2006/main">
  <authors>
    <author>Agarwal, Saket (Research)</author>
  </authors>
  <commentList>
    <comment ref="H31" authorId="0">
      <text>
        <r>
          <rPr>
            <b/>
            <sz val="9"/>
            <color indexed="81"/>
            <rFont val="Tahoma"/>
            <family val="2"/>
          </rPr>
          <t>Agarwal, Saket (Research):</t>
        </r>
        <r>
          <rPr>
            <sz val="9"/>
            <color indexed="81"/>
            <rFont val="Tahoma"/>
            <family val="2"/>
          </rPr>
          <t xml:space="preserve">
YTW-Yield to worst</t>
        </r>
      </text>
    </comment>
  </commentList>
</comments>
</file>

<file path=xl/sharedStrings.xml><?xml version="1.0" encoding="utf-8"?>
<sst xmlns="http://schemas.openxmlformats.org/spreadsheetml/2006/main" count="2265" uniqueCount="1554">
  <si>
    <t>Animal Health U.S. sales grew 32%, due to inclusion of sales from Posilac acquisition completed in Oct-08.</t>
  </si>
  <si>
    <t>LLY recognized $19.2M of revenue as collaboration revenue associated with the acquisition of Cymbalta rights from Boehringer Ingelheim.</t>
  </si>
  <si>
    <t>Fully diluted shares outstanding</t>
  </si>
  <si>
    <t>Cons rev.</t>
  </si>
  <si>
    <t>Cons EPS</t>
  </si>
  <si>
    <t>MW ticker</t>
  </si>
  <si>
    <t>LLY.N,mstag:revenueNet,2012FY,,FYR</t>
  </si>
  <si>
    <t>2012FY</t>
  </si>
  <si>
    <t>2013FY</t>
  </si>
  <si>
    <t>2014FY</t>
  </si>
  <si>
    <t>** Theoretical pipeline products calculation = percentage of R&amp;D expenses from five years prior (see next page for calculation).</t>
  </si>
  <si>
    <t>FX: rev -2%, GM -4%, Op Exp +2%, Op Inc -11%, EPS +10%</t>
  </si>
  <si>
    <t>Excl. FX, YOY growth rates are revenue -14% (-6% price and -8% vol), COGS -1%, GM -18%, Op Exp -12%, Op Inc -29%, EPS -29%.</t>
  </si>
  <si>
    <t>Price growth: U.S. -11%, ACE -2%, Japan -4%, EM +2%. Vol. U.S. -26%; ACE +1%; Japan +37%; EM +13%.</t>
  </si>
  <si>
    <t>NOVOb.CO,mstag:revenueNet,2011FY,,FYR</t>
  </si>
  <si>
    <t>66,345.7</t>
  </si>
  <si>
    <t>NOVOb.CO,mstag:revenueNet,2016FY,,FYR</t>
  </si>
  <si>
    <t>NOVOb.CO,mstag:revenueNet,2015FY,,FYR</t>
  </si>
  <si>
    <t>NOVOb.CO,mstag:revenueNet,2012FY,,FYR</t>
  </si>
  <si>
    <t>NOVOb.CO,mstag:revenueNet,2013FY,,FYR</t>
  </si>
  <si>
    <t>NOVOb.CO,mstag:revenueNet,2014FY,,FYR</t>
  </si>
  <si>
    <t>105,840.518468098</t>
  </si>
  <si>
    <t>100,088.46242012</t>
  </si>
  <si>
    <t>75,419.8735286691</t>
  </si>
  <si>
    <t>83,789.2855310202</t>
  </si>
  <si>
    <t>91,763.306526585</t>
  </si>
  <si>
    <t>Outlicense of mkt. prod.</t>
  </si>
  <si>
    <t>Outlicense of dev. stage prod.</t>
  </si>
  <si>
    <t>Partnered prod. in dev.</t>
  </si>
  <si>
    <t>LLY net price up 0% YOY for U.S. portfolio because of 1) Incremental HC reform rebates/donut hole impact, 2) Price vs. mix effect of Gemzar. In the context of Gemzar, LLY looks</t>
  </si>
  <si>
    <t>ii) Collaboration Revenue - revenues from Amylin (50% of gross profits); Amylin books all US sales.</t>
  </si>
  <si>
    <t xml:space="preserve">d) LLY is responsible for all ex-US Byetta development costs, but splits the development costs of exenatide once weekly ex-US 80-20. </t>
  </si>
  <si>
    <t>MS curr rev.</t>
  </si>
  <si>
    <t>MS prior rev.</t>
  </si>
  <si>
    <t>MS curr SG&amp;A/R&amp;D</t>
  </si>
  <si>
    <t>MS curr comb margin</t>
  </si>
  <si>
    <t>MS prior SG&amp;A/R&amp;D</t>
  </si>
  <si>
    <t>MS prior comb margin</t>
  </si>
  <si>
    <t>MS curr EPS</t>
  </si>
  <si>
    <t>MS prior EPS</t>
  </si>
  <si>
    <t>Excl. FX, YOY growth rates are revenue +4% (0% price and 4% vol), COGS +8%, GM +3%, Op Exp +7%, Op Inc -2%, EPS -1%.</t>
  </si>
  <si>
    <t>Retained earnings</t>
  </si>
  <si>
    <t>Higher Other Expense was due to a write down in the value of the liprotamase related to the response we received in April in which the agency requested additional clinical data.</t>
  </si>
  <si>
    <t>Leverage (assets/equity)</t>
  </si>
  <si>
    <t>Tax effect</t>
  </si>
  <si>
    <t>ROE</t>
  </si>
  <si>
    <t>ROCE (return on capital employed)</t>
  </si>
  <si>
    <t>Capital structure</t>
  </si>
  <si>
    <t xml:space="preserve">Net cash from investing activities </t>
  </si>
  <si>
    <t>Net property, plant and equipment</t>
  </si>
  <si>
    <t>Other assets</t>
  </si>
  <si>
    <t>Prepaid pension</t>
  </si>
  <si>
    <t>Investments</t>
  </si>
  <si>
    <t>Total Assets</t>
  </si>
  <si>
    <t>Short-term debt</t>
  </si>
  <si>
    <t>EM revenue grew 2% ex-FX and declined -3% overall. FX impact on EM sales was -5%.</t>
  </si>
  <si>
    <t>Collaboration revenue declined 13% due to tranfer of U.S. rights of Bydureon to Amylin.</t>
  </si>
  <si>
    <t>FX impact: revenue +1%, COGS +0%, GM +2%, Op Exp +1%, Op Inc +3%, EPS +3%.</t>
  </si>
  <si>
    <t>Marketing, selling &amp; Admin</t>
  </si>
  <si>
    <t>Amortization expense for 2010, 2009, 2008, 2007, and 2006 was $385.7M, $277.0M $193.4M, $172.8M and $7.6M before tax, respectively.</t>
  </si>
  <si>
    <t>A $30M tax benefit lowered non-GAAP tax rate by 3.3%</t>
  </si>
  <si>
    <t>Tax rate was low due to recognition of $45.4M discrete benefit from resolution of IRS audit of the company's 2007 income tax return.</t>
  </si>
  <si>
    <t>Japan revenue grew 27% for the quarter, driven by recent product launches.</t>
  </si>
  <si>
    <t>Excluding generic Zyprexa in Canada &amp; Germany and generic Actos in Canada, volume growth would have been 8%.</t>
  </si>
  <si>
    <t>Livalo agreement with Kowa (announced 12/23/09)</t>
  </si>
  <si>
    <t>Non-Gaap EPS</t>
  </si>
  <si>
    <t>Net debt</t>
  </si>
  <si>
    <t>Net debt-to-equity</t>
  </si>
  <si>
    <t>Net Debt to Capital</t>
  </si>
  <si>
    <t>Total Debt</t>
  </si>
  <si>
    <t>Total debt</t>
  </si>
  <si>
    <t>CapEx</t>
  </si>
  <si>
    <t>Theoretical Pipeline Calculation</t>
  </si>
  <si>
    <t>($) millions</t>
  </si>
  <si>
    <t>Year</t>
  </si>
  <si>
    <t>2007E</t>
  </si>
  <si>
    <t>2008E</t>
  </si>
  <si>
    <t>Excl. U.S. Cymbalta and Evista, gloabl rev grew +1%. Excl. U.S. wholesale inventory buy-out, rev grew +4%.</t>
  </si>
  <si>
    <t>Excl. U.S. Cymbalta and Evista, U.S. vol. grew +6%. Excl. U.S. wholesale inventory buy-out, vol. grew +2%.</t>
  </si>
  <si>
    <t>Japan: Revenue was boosted by ~$70M/+15%, due to increase in consumption tax in effect from April 1,2014. However, FX trimmed revenue growth by 17%.</t>
  </si>
  <si>
    <t>EM revenue grew 15% ex-FX. FX impact on EM sales was -6%. Vol. in China grew by 15%.</t>
  </si>
  <si>
    <t xml:space="preserve">     U.S.</t>
  </si>
  <si>
    <t>Current liabilities</t>
  </si>
  <si>
    <t>Long-term debt</t>
  </si>
  <si>
    <t>Other liabilities</t>
  </si>
  <si>
    <t>Total Liabilities</t>
  </si>
  <si>
    <t>Deferred costs -ESOP</t>
  </si>
  <si>
    <t>No. of Employees</t>
  </si>
  <si>
    <t>Dividend yield</t>
  </si>
  <si>
    <t>FCF yield</t>
  </si>
  <si>
    <t>Cash dividends paid</t>
  </si>
  <si>
    <t>US</t>
  </si>
  <si>
    <t>Gross Margin</t>
  </si>
  <si>
    <t>Other Income/(Expense)</t>
  </si>
  <si>
    <t>Cap Ex</t>
  </si>
  <si>
    <t>4Q:13A</t>
  </si>
  <si>
    <t>Preferred stock</t>
  </si>
  <si>
    <t>Common Equity</t>
  </si>
  <si>
    <t>c) AMLN starts to receive royalties after a cumulative gross margin threshold amount has been met. This threshold was met ex-US in mid-2011.</t>
  </si>
  <si>
    <t>Dividend per share</t>
  </si>
  <si>
    <t>Dividend growth</t>
  </si>
  <si>
    <t>2009A</t>
  </si>
  <si>
    <t>could exceed $600M if Lilly pursues additional indications.</t>
  </si>
  <si>
    <t>Effient Agreement with Daiichi Sankyo</t>
  </si>
  <si>
    <t>b) LLY paid BI $400M upfront (amortized through 2015 in SG&amp;A) and will pay royalty on sales through the end of 2012 (SG&amp;A).</t>
  </si>
  <si>
    <t>N. America agreement expires Sep-2018 and rights revert back to LLY.</t>
  </si>
  <si>
    <t>Miscellaneous income/(expense)</t>
  </si>
  <si>
    <t>Current Stock Price</t>
  </si>
  <si>
    <t>Other current liabilities</t>
  </si>
  <si>
    <t>Employee compensation</t>
  </si>
  <si>
    <t>Growth rates</t>
  </si>
  <si>
    <t>Return on asset/equity</t>
  </si>
  <si>
    <t>EBT margin</t>
  </si>
  <si>
    <t>ROA</t>
  </si>
  <si>
    <t>Lilly pays all marketing costs. Incyte is eligible to receive up to $665M milestones. Lilly paid $90M upfront to Incyte. Lilly cannot develop other JAKs outside the deal.</t>
  </si>
  <si>
    <t>Incyte is eligible to receive tiered, double-digit up to high-20% royalties on global sales. Incyte has exercised the (reversible) co-development option</t>
  </si>
  <si>
    <t>maturity date of $165M line of credit AMLN drew from LLY extended from 2Q:14 to 2Q:16.</t>
  </si>
  <si>
    <t>LLY.N,mscalc:targetPrice,,,,USD</t>
  </si>
  <si>
    <t>Shares Outstanding (Qtr)</t>
  </si>
  <si>
    <t>U.S. HC reform impact on total revenue was $410M or $0.45 on EPS. Mandatory pharma manufacturers fee increased SG&amp;A by $180M.</t>
  </si>
  <si>
    <t>HC reform impact in 4Q was $70M or $0.05 on EPS.</t>
  </si>
  <si>
    <t>Excl. FX, YOY growth rates are revenue -4% (+4% price and -7% vol), COGS +10%, GM -7%, Op Exp +3%, Op Inc -24%, EPS -30%.</t>
  </si>
  <si>
    <t>TV as % of firm value</t>
  </si>
  <si>
    <t>Debt</t>
  </si>
  <si>
    <t>WACC</t>
  </si>
  <si>
    <t>Cash</t>
  </si>
  <si>
    <t>Equity Value</t>
  </si>
  <si>
    <t>Shares</t>
  </si>
  <si>
    <t>4.20% notes due 2014</t>
  </si>
  <si>
    <t>FX drove approximately half of EPS improvement YOY.</t>
  </si>
  <si>
    <t>Zyprexa YOY sales grew 10% in US (on 6.5% PI and wholesaler stocking, offset by lower demand) and 28% ex-US (on favorable FX and return to brand in Germany in early 2009).</t>
  </si>
  <si>
    <t>MW</t>
  </si>
  <si>
    <t>TR</t>
  </si>
  <si>
    <t>MS vs. cons rev.</t>
  </si>
  <si>
    <t>MS vs. cons EPS</t>
  </si>
  <si>
    <t>FX impact: revenue +3%, COGS +36%, GM -4%, Op Exp +2%, Op Inc -12%, EPS -12%.</t>
  </si>
  <si>
    <t>a) LLY reacquired exclusive rights to develop and market duloxetine for all indications in all countries outside US and Japan (disclosed 4/19/10).</t>
  </si>
  <si>
    <t>Total share capital</t>
  </si>
  <si>
    <t>Other investing activities</t>
  </si>
  <si>
    <t>Net change in short-term investments</t>
  </si>
  <si>
    <t>Sale of non-current investments</t>
  </si>
  <si>
    <t>b) Manufacturing in Product Revenues</t>
  </si>
  <si>
    <t>2)</t>
  </si>
  <si>
    <t>3)</t>
  </si>
  <si>
    <t>Pipeline</t>
  </si>
  <si>
    <t>Net product sales</t>
  </si>
  <si>
    <t>Total collaboration &amp; other revenue</t>
  </si>
  <si>
    <t>R&amp;D expense included $50M of milestone payment to Incyte on initiation of Ph III of baricitinib and $30M charge related to termination of tabalumab in RA.</t>
  </si>
  <si>
    <t>Excl. FX, YOY growth rates are revenue +5% (0% price and 5% vol), COGS +5%, GM +5%, Op Exp +9%, Op Inc -3%, EPS -4%.</t>
  </si>
  <si>
    <t>CAGR number of yrs</t>
  </si>
  <si>
    <t>($M)</t>
  </si>
  <si>
    <t>Total revenues</t>
  </si>
  <si>
    <t>Gross Profit</t>
  </si>
  <si>
    <t>Margin</t>
  </si>
  <si>
    <t xml:space="preserve">Implied gross margin  </t>
  </si>
  <si>
    <t>Implied Byetta gross profit</t>
  </si>
  <si>
    <t>AMLN assumes WW development and commercialization starting in U.S. on 11/30/11 progressing to all markets by end of 2013 (market-by-market basis in 2012 and 2013).</t>
  </si>
  <si>
    <t>Prior terms of agreement:</t>
  </si>
  <si>
    <t>Count</t>
  </si>
  <si>
    <t>Depreciation &amp; amortization</t>
  </si>
  <si>
    <t>Excl. FX, YOY growth rates are revenue -5% (+2% price and -7% vol), COGS +7%, GM -8%, Op Exp 0%, Op Inc -26%, EPS -29%.</t>
  </si>
  <si>
    <t>EM revenue declined -2% ex-FX and declined -5% overall. FX impact on EM sales was -3%.</t>
  </si>
  <si>
    <t xml:space="preserve">Net increase in cash </t>
  </si>
  <si>
    <t>Semagacestat and solanezumab agreement with TPG-AXON Capital &amp; NovaQuest</t>
  </si>
  <si>
    <t>FX: rev +2%, GM-no impact, Op Exp +3%, Op Inc -6%, EPS -6%. EM rev +10% (volume +12%) YOY.</t>
  </si>
  <si>
    <t xml:space="preserve">‡We model 50% of sales for simplicity but in reality LLY will record sales of LY2963016 and pay BI 50% of GM in COGS. In return, LLY receives Collaboration Revenues for 50% of GM of </t>
  </si>
  <si>
    <t>FX: rev -2%, GM -4%, Op Exp +1%, Op Inc -7%, EPS -11%</t>
  </si>
  <si>
    <t>Excl. FX, YOY growth rates are revenue +8% (+5% price and +3% vol), COGS -4%, GM +12%, Op Exp -1%, Op Inc +47%, EPS +52%.</t>
  </si>
  <si>
    <t>Price growth: U.S. +12%; ACE -2%, Japan -2%; EM -2%. Vol. U.S. -1%; ACE +4%; Japan +11%; EM +5%.</t>
  </si>
  <si>
    <t>Gross margin was higher due to higher prices and lower manufacturing costs, partially offset by a smaller benefit from the effect of FX on international inventories sold.</t>
  </si>
  <si>
    <t>Weaker Yen impacted Japan revenue by -21%.</t>
  </si>
  <si>
    <t>EM revenue grew 3% ex-FX. FX impact on EM sales was -4%. China grew +11% overall, driven by +10% volume growth.</t>
  </si>
  <si>
    <t>Cash conversion cycle (days)</t>
  </si>
  <si>
    <t>Liquidity</t>
  </si>
  <si>
    <t>Animal Health sales grew 18% (+16% ex Janseen ChemGen acquisition)</t>
  </si>
  <si>
    <t>R&amp;D includes $80M charge due to the termination of the development of semagacestat.</t>
  </si>
  <si>
    <t>Go to Footnotes</t>
  </si>
  <si>
    <t>Go to Agreements</t>
  </si>
  <si>
    <t>LLY.N</t>
  </si>
  <si>
    <t>LLY can invest up to $10M in a MacroGenics IPO or next financing round.</t>
  </si>
  <si>
    <t>Fixed asset turnover</t>
  </si>
  <si>
    <t>Depreciation to fixed assets ratio</t>
  </si>
  <si>
    <t>Accounts payable turnover</t>
  </si>
  <si>
    <t>Days sales outstanding</t>
  </si>
  <si>
    <t>Days payables outstanding</t>
  </si>
  <si>
    <t>Days inventory held</t>
  </si>
  <si>
    <t xml:space="preserve">Under the original agreement, LLY booked sales and paid Amylin 20% of operating profit in LLY's COGS line. </t>
  </si>
  <si>
    <t>Book Value per share (Qtr)</t>
  </si>
  <si>
    <t xml:space="preserve">LT Debt/Total Capital </t>
  </si>
  <si>
    <t>IBES Growth Rate</t>
  </si>
  <si>
    <t>Beginning year</t>
  </si>
  <si>
    <t>FX: rev +1%, GM +1%, Op Exp +1%, Op Inc +1%, EPS +2%. Ex-U.S. sales +13% YOY due to increased vol. and FX, offset by lower prices. EM rev +14% YOY.</t>
  </si>
  <si>
    <t>There were $30-35M in precautionary orders from Japan in 1Q (~$0.02 per share after-tax).</t>
  </si>
  <si>
    <t>INPUTS</t>
  </si>
  <si>
    <t>Operating expenses (COGS+SG&amp;A+R&amp;D)</t>
  </si>
  <si>
    <t>Net change in long-term debt</t>
  </si>
  <si>
    <t>Annual Income Statement</t>
  </si>
  <si>
    <t>Pharmaceuticals</t>
  </si>
  <si>
    <t xml:space="preserve">Ex-US partnership continues until patent expiry in 2011. </t>
  </si>
  <si>
    <t>4)</t>
  </si>
  <si>
    <t>Accounting Policy on One-Time R&amp;D Charges</t>
  </si>
  <si>
    <t>Non-cash WC as % of revenues</t>
  </si>
  <si>
    <t>Lilly has exclusive license in Latin America (Mexico, Central/South America). Filing expected in 2H:10; launch planned by mid-2011. Agreement lasts 10 years from launch.</t>
  </si>
  <si>
    <t>Acquired in-process R&amp;D</t>
  </si>
  <si>
    <t>Other, net</t>
  </si>
  <si>
    <t>Purchase of in-process research</t>
  </si>
  <si>
    <t>Acquisition (Cash paid net of cash)</t>
  </si>
  <si>
    <t>-</t>
  </si>
  <si>
    <t>BI collaboration will have 2011 EPS impact of $0.18-$0.23 (or 4.5-5.5% of 2011 non-GAAP EPS growth)</t>
  </si>
  <si>
    <t>Strattera</t>
  </si>
  <si>
    <t>Cymbalta</t>
  </si>
  <si>
    <t>U.S. HC reform impact on total revenue in 3Q was $130M or $0.13 on EPS. Mandatory pharma manufacturers fee increased SG&amp;A by $45M.</t>
  </si>
  <si>
    <t>Floating rate (LIBOR+six-month credit spread) bonds due 2037</t>
  </si>
  <si>
    <t>HC reform impact for full year was $230M or $0.24 on EPS. Tax expenses increased by $85.1M due to imposition of tax on drug subsidy of company's retiree health plan.</t>
  </si>
  <si>
    <t>Excl. FX, YOY growth rates are revenue -3% (-11% price and 8% vol), COGS +7%, GM -5%, Op Exp +1%, Op Inc -20%, EPS -23%.</t>
  </si>
  <si>
    <t>FX: rev -2%, GM +2%, Op Exp -2%, Op Inc +7%, EPS +7%.</t>
  </si>
  <si>
    <t>YOY Growth</t>
  </si>
  <si>
    <t>P/E</t>
  </si>
  <si>
    <t>OCF (Oper. Cash Flow)</t>
  </si>
  <si>
    <t>LLY is eligible for $650M regulatory milestone payments on its basal insulin analogues; BI is eligible for 625M Euro regulatory milestone payments. LLY paid BI 300M Euro up-front.</t>
  </si>
  <si>
    <t>BMY has exclusive rights to Erbitux in US and Canada, and co-exclusive rights with Merck KGaA in Japan</t>
  </si>
  <si>
    <t>Interest income</t>
  </si>
  <si>
    <t>One time non recurring and extraordinary items</t>
  </si>
  <si>
    <t>GAAP NI</t>
  </si>
  <si>
    <t>FX impact: sales +4%. Excl. FX, sales + 9% (3% price and 6% vol).</t>
  </si>
  <si>
    <t>Agreement with Shionogi to co-develop and co-market in Japan.</t>
  </si>
  <si>
    <t>Go to Cash Flow/Balance Sheet</t>
  </si>
  <si>
    <t>(Incyte pays 30% of development costs going forward) and would receive incremental royalty rate increase across all tiers (ex-option max is 20%).</t>
  </si>
  <si>
    <t>2Q:13A</t>
  </si>
  <si>
    <t>REV-ANNUAL</t>
  </si>
  <si>
    <t>Annual Revenues</t>
  </si>
  <si>
    <t>U.S.</t>
  </si>
  <si>
    <t>ex-US</t>
  </si>
  <si>
    <t>Neuroscience</t>
  </si>
  <si>
    <t>Total Zyprexa Franchise</t>
  </si>
  <si>
    <t>Symbyax</t>
  </si>
  <si>
    <t>Amyvid</t>
  </si>
  <si>
    <t>Glucagon</t>
  </si>
  <si>
    <t>Adcirca</t>
  </si>
  <si>
    <t>Ex-U.S. and Canada, LLY receives royalties as collaboration revenue form Merck KGaA until 2018; Merck retains rights worlwide except U.S., Canada,and Japan.</t>
  </si>
  <si>
    <t>empagliflozin (and Tradjenta). See Agreements tab.</t>
  </si>
  <si>
    <t>Capex as % sales</t>
  </si>
  <si>
    <t>NOVOb.CO,mscalc:currentDilutedSharesOutstandingCalc</t>
  </si>
  <si>
    <t>944.5</t>
  </si>
  <si>
    <t>Perpetuity</t>
  </si>
  <si>
    <t>CF value</t>
  </si>
  <si>
    <t>TV</t>
  </si>
  <si>
    <t>Interest rate earned</t>
  </si>
  <si>
    <t>Marcardia Biotech</t>
  </si>
  <si>
    <t xml:space="preserve">LLY receives a declining residual payment through 2009 from US partnership that ended in September 2006. </t>
  </si>
  <si>
    <t>Imclone Acquisition (announced November 2008)</t>
  </si>
  <si>
    <t xml:space="preserve">FX impact: revenue -3%, COGS -11%, GM -1%, Op Exp -1%, Op Inc +1%. </t>
  </si>
  <si>
    <t>Balance Sheet</t>
  </si>
  <si>
    <t>U.S. Alimta 44% growth suffered slightly due to YOY change in inventory levels.</t>
  </si>
  <si>
    <t xml:space="preserve">Xigris </t>
  </si>
  <si>
    <t>Effient</t>
  </si>
  <si>
    <t>Probability Adj. Pipeline Est.</t>
  </si>
  <si>
    <t>PIPELINE</t>
  </si>
  <si>
    <t>Phase</t>
  </si>
  <si>
    <t>Launch prob</t>
  </si>
  <si>
    <t>MacroGenics would receive escalating royalties on sales and has the option to co-promote for certain indications in the US.</t>
  </si>
  <si>
    <t>Byetta/Bydureon</t>
  </si>
  <si>
    <t>Net income</t>
  </si>
  <si>
    <t>LLY receives $150M milestone from AMLN when FDA approves once monthly exenatide (in Phase II as of Nov. 2011).</t>
  </si>
  <si>
    <t>Ex-U.S., LLY continues to book sales and pay AMLN 50% of gross margin until AMLN finds new ex-U.S. partner, at which time AMLN begings paying 15% of sales to LLY.</t>
  </si>
  <si>
    <t>Excl. FX, revenue +8% (3% price and 5% vol), COGS +6%, GM +9%, Op Exp +6%, Op Inc +14%.</t>
  </si>
  <si>
    <t>FX: rev -3%, GM +1%, Op Exp -2%, Op Inc +8%, EPS +7%.</t>
  </si>
  <si>
    <t>Excl. FX, YOY growth rates are revenue -8% (+1% price and -9% vol), COGS +8%, GM -13%, Op Exp -1%, Op Inc -37%, EPS -37%.</t>
  </si>
  <si>
    <t>EM revenue was flat ex-FX and declined -6% overall. FX impact on EM sales was -6%.</t>
  </si>
  <si>
    <t>TRSL ticker</t>
  </si>
  <si>
    <t>Lilly retains global rights for all regulatory, development, intellectual property, and manufacturing aspects. Lilly purchased $150M of UTHR common stock.</t>
  </si>
  <si>
    <t>IMCL collab agreemt reimbursemt</t>
  </si>
  <si>
    <t xml:space="preserve">b) Additional milestones are possible with the approval of additional neurologic sNDAs. </t>
  </si>
  <si>
    <t xml:space="preserve">Prepaid expenses </t>
  </si>
  <si>
    <t>Current assets</t>
  </si>
  <si>
    <t>US Animal Health sales should normalize from Posilac acquisition in Oct-08.</t>
  </si>
  <si>
    <t>2Q:09A</t>
  </si>
  <si>
    <t>Footnotes</t>
  </si>
  <si>
    <t>Agreements</t>
  </si>
  <si>
    <t>Excl. FX, revenue +6% (1% price and 4% vol), COGS +1%, GM +7%, Op Exp +5%, Op Inc +9% (+12% ex-HC reform impact), EPS +10%.</t>
  </si>
  <si>
    <t>OCF / Share</t>
  </si>
  <si>
    <t>OCF/Net Income</t>
  </si>
  <si>
    <t>Net Debt/(cash)</t>
  </si>
  <si>
    <t>Net Debt/Total Capital</t>
  </si>
  <si>
    <t>Dividend/share</t>
  </si>
  <si>
    <t>Other Pharmaceuticals</t>
  </si>
  <si>
    <t>Food and Other</t>
  </si>
  <si>
    <t>Companion</t>
  </si>
  <si>
    <t>Short-term investments</t>
  </si>
  <si>
    <t>Kowa records all US sales and pays Lilly an escalating co-promotion fee based on level of annual sales. Kowa manufactures and Lilly distributes.</t>
  </si>
  <si>
    <t>Gross profit</t>
  </si>
  <si>
    <t>Amortization of intangible assets</t>
  </si>
  <si>
    <t>Amortization of intangible assets are included in pro forma expenses. Company views these as ongoing expenses.</t>
  </si>
  <si>
    <t>Other, Including capitalized leases</t>
  </si>
  <si>
    <t>b) In  remaining countries, LLY has &gt; 50% of the economics and pays a royalty to Daiichi.</t>
  </si>
  <si>
    <t>Yentreve</t>
  </si>
  <si>
    <t>Prozac Family</t>
  </si>
  <si>
    <t>Permax</t>
  </si>
  <si>
    <t>Other</t>
  </si>
  <si>
    <t>Endocrine</t>
  </si>
  <si>
    <t>Humulin</t>
  </si>
  <si>
    <t>Humalog</t>
  </si>
  <si>
    <t>Actos</t>
  </si>
  <si>
    <t>WW sales</t>
  </si>
  <si>
    <t>LLY share (declines after '05)</t>
  </si>
  <si>
    <t>1Q:11A</t>
  </si>
  <si>
    <t>2Q:11A</t>
  </si>
  <si>
    <t>Zyprexa sales benefited from positive "gross to net" adjustments for prior periods' rebate reserves.  Hence the net price increase reflected in 2QA was in the low double digits YOY.</t>
  </si>
  <si>
    <t>a) YOY comps should be flat throughout amortization period.  The deal provides stable income and allows LLY to focus on key growth products in the EU.</t>
  </si>
  <si>
    <t>3Q:11A</t>
  </si>
  <si>
    <t xml:space="preserve">As of Dec 2010, head count was reduced by 3,450, 2/3 of the goal of 5,500. LLY is on track to meet the goal of reducing 2011 costs by $1B. </t>
  </si>
  <si>
    <t>4,578.898118105</t>
  </si>
  <si>
    <t>22,829.187</t>
  </si>
  <si>
    <t>4,819.8927559</t>
  </si>
  <si>
    <t>4,349.95321219975</t>
  </si>
  <si>
    <t>2.73980739540057</t>
  </si>
  <si>
    <t>4.0229705476243</t>
  </si>
  <si>
    <t>3.42075776568533</t>
  </si>
  <si>
    <t>FX: rev +4%, GM +1%, Op Exp +3%, Op Inc-no impact, EPS -1%. Ex-U.S. sales +17% YOY due to increased vol. and FX, slightly offset by lower prices. EM rev +13% (volume +11%) YOY.</t>
  </si>
  <si>
    <t xml:space="preserve">Net cash from operating activities </t>
  </si>
  <si>
    <t>Noncontrolling interests</t>
  </si>
  <si>
    <t>Cash Flow Statement</t>
  </si>
  <si>
    <t xml:space="preserve">MacroGenics received $41M upfront and is eligible to received up to $200M in development milestones and $250M in sales milestones. Additional milestone payments </t>
  </si>
  <si>
    <t>i) Product Sales - US pen sales</t>
  </si>
  <si>
    <t>Reductions of long-term debt</t>
  </si>
  <si>
    <t>2011E</t>
  </si>
  <si>
    <t>INCB28050 (oral JAK 1/2 inhibitor) agreement with Incyte (announced 12/21/09)</t>
  </si>
  <si>
    <t>interest rate swap adjustments on interest expense</t>
  </si>
  <si>
    <t>Cash at beginning of period</t>
  </si>
  <si>
    <t>Cash at end of period</t>
  </si>
  <si>
    <t>The Zyprexa generic impacted EM sales by -13%.</t>
  </si>
  <si>
    <t>Net sales</t>
  </si>
  <si>
    <t>EBITDA</t>
  </si>
  <si>
    <t>NA</t>
  </si>
  <si>
    <t>EBIT</t>
  </si>
  <si>
    <t>NM</t>
  </si>
  <si>
    <t>Cialis JV</t>
  </si>
  <si>
    <t>IMCL lic fees and milestones</t>
  </si>
  <si>
    <t>Taxes</t>
  </si>
  <si>
    <t>Proceeds from issuance of long-term debt</t>
  </si>
  <si>
    <t>EU prices were +1% from accrual adjustments. Excl. these adjustments price would have been -2%. Japan prices were -10% from biannual price decrease.</t>
  </si>
  <si>
    <t>FX: rev -1%, GM +1%, Op Exp 0%, Op Inc +4%, EPS +4%, Animal Health sales -1%.</t>
  </si>
  <si>
    <t>EM revenues declined 1% overall. There was no FX impact on EM sales for 4Q:12.</t>
  </si>
  <si>
    <t>LLY and BI share equally on-going and future development expenses, and commercialization expenses.</t>
  </si>
  <si>
    <t>at Gemzar and authorized generic gemcitabine as one molecule. It is now selling a significant amount of product to Sandoz at a lower price than the branded, hence the negative mix effect.</t>
  </si>
  <si>
    <t>35</t>
  </si>
  <si>
    <t>FX impact: revenue +3%, COGS +51%, GM -7%, Op Exp +3%, Op Inc -25%, EPS -27%.</t>
  </si>
  <si>
    <t>Total interest expense</t>
  </si>
  <si>
    <r>
      <t>Explanation:</t>
    </r>
    <r>
      <rPr>
        <sz val="8"/>
        <rFont val="Arial Narrow"/>
        <family val="2"/>
      </rPr>
      <t xml:space="preserve"> We calculate theoretical pipeline sales as a percentage of R&amp;D expenses from five years prior,</t>
    </r>
  </si>
  <si>
    <t>Unadjusted Pipeline Estimates</t>
  </si>
  <si>
    <t>LLY.N,mstag:revenueNet,2015FY,,FYR</t>
  </si>
  <si>
    <t>LLY.N,mstag:revenueNet,2014FY,,FYR</t>
  </si>
  <si>
    <t>LLY.N,mstag:revenueNet,2016FY,,FYR</t>
  </si>
  <si>
    <t>LLY.N,mstag:sellingGeneralAndAdministrativeExpenses,2012FY,,FYR</t>
  </si>
  <si>
    <t>LLY has exclusive rights.</t>
  </si>
  <si>
    <t>and third year sales after launch.</t>
  </si>
  <si>
    <t>LLY.N,mscalc:epsForConsensusForThomsonFeed,2017FY,,FYR</t>
  </si>
  <si>
    <t>LLY.N,mstag:researchAndDevelopment,2014FY,,FYR</t>
  </si>
  <si>
    <t>LLY.N,mscalc:epsForConsensusForThomsonFeed,2015FY,,FYR</t>
  </si>
  <si>
    <t>LLY.N,mscalc:epsForConsensusForThomsonFeed,2014FY,,FYR</t>
  </si>
  <si>
    <t>LLY.N,mscalc:epsForConsensusForThomsonFeed,2013FY,,FYR</t>
  </si>
  <si>
    <t>LLY.N,mstag:researchAndDevelopment,2015FY,,FYR</t>
  </si>
  <si>
    <t>LLY.N,mscalc:epsForConsensusForThomsonFeed,2012FY,,FYR</t>
  </si>
  <si>
    <t>LLY.N,mstag:researchAndDevelopment,2013FY,,FYR</t>
  </si>
  <si>
    <t>LLY.N,mstag:sellingGeneralAndAdministrativeExpenses,2017FY,,FYR</t>
  </si>
  <si>
    <t>Currency</t>
  </si>
  <si>
    <t>4Q:09A</t>
  </si>
  <si>
    <t>Keflex/Keftab</t>
  </si>
  <si>
    <t>Other Pharma</t>
  </si>
  <si>
    <t>R&amp;D expenses</t>
  </si>
  <si>
    <t>Theoretical Percentage</t>
  </si>
  <si>
    <t>LLY.N,mscalc:sedolCodeCalc</t>
  </si>
  <si>
    <t>2516152</t>
  </si>
  <si>
    <t>EM growth was 10% on local currency basis.</t>
  </si>
  <si>
    <t>summary page</t>
  </si>
  <si>
    <t>Company name</t>
  </si>
  <si>
    <t>Eli Lilly &amp; Co.</t>
  </si>
  <si>
    <t>Ticker</t>
  </si>
  <si>
    <t>LLY</t>
  </si>
  <si>
    <t>Unrecorded goodwill</t>
  </si>
  <si>
    <t>Common dividends total</t>
  </si>
  <si>
    <t>Amortization</t>
  </si>
  <si>
    <t>Net issuance (repurchase) of common stock</t>
  </si>
  <si>
    <t xml:space="preserve">FX: rev +4%, GM-no impact, Op Exp +3%, Op Inc -6%, EPS -6%. </t>
  </si>
  <si>
    <t>EM revenue grew +3% ex-FX (vol. 7%, price -4%) and +5% overall.</t>
  </si>
  <si>
    <t>2020E</t>
  </si>
  <si>
    <t>Change in AOCI</t>
  </si>
  <si>
    <t>ROC</t>
  </si>
  <si>
    <t>Excl. FX, revenue +10% (3% price and 6% vol), COGS +3%, GM +11%, Op Exp +9%, Op Inc +15%, EPS +16%.</t>
  </si>
  <si>
    <t>Pipeline % of net sales</t>
  </si>
  <si>
    <t>d) License fees and milestone in Other Income and Deductions (miscellaneous).  A significant portion includes $900M received from BMY related to Erbitux commercial agreement,</t>
  </si>
  <si>
    <t>FX impact: sales -5%, COGS -36%, GM +4%, Op Exp -3%, Op Inc +19%. Excl. FX, sales +8% (3% price and 5% vol), COGS +7%, GM +9%, Op Exp +3%, Op Inc +19%.</t>
  </si>
  <si>
    <t>FX: rev -2%, GM -4%, Op Exp -2%, Op Inc -11%, EPS -12%</t>
  </si>
  <si>
    <t>Excl. FX, YOY growth rates are revenue +8% (+6% price and +2% vol), COGS -2%, GM +11%, Op Exp 0%, Op Inc +41%, EPS +52%.</t>
  </si>
  <si>
    <t>EM revenue grew 7% ex-FX. FX impact on EM sales was -2%.</t>
  </si>
  <si>
    <t>Excl. FX, YOY growth rates are revenue -8% (+1% price and -9% vol), COGS +10%, GM -13%, Op Exp nil, Op Inc -37%, EPS -37%.</t>
  </si>
  <si>
    <t xml:space="preserve">U.S. and EU volume decline of 20% and 12% respectivley in revenue was entirely due to Zyprexa patent expiration. </t>
  </si>
  <si>
    <t>Ending balance</t>
  </si>
  <si>
    <t>Interest rate</t>
  </si>
  <si>
    <t>Long term debt</t>
  </si>
  <si>
    <t>Balance at period end</t>
  </si>
  <si>
    <t>LLY.N,mstag:sellingGeneralAndAdministrativeExpenses,2014FY,,FYR</t>
  </si>
  <si>
    <t>LLY.N,mstag:researchAndDevelopment,2017FY,,FYR</t>
  </si>
  <si>
    <t>6.77% notes due 2036</t>
  </si>
  <si>
    <t>5.55% notes due 2037</t>
  </si>
  <si>
    <t>Volume decreased 6% YOY, but 4% was due to increase in inventory levels in 3Q:09 that was due to two wholesalers (McKesson is one) setting up redistribuiton centers.</t>
  </si>
  <si>
    <t>Each company is eligible for performance payments tied to sales of products it originated.</t>
  </si>
  <si>
    <t xml:space="preserve">b) Merck KGaA may establish its own manufacturing agreements for supply or purchase bulk Erbitux from LLY at cost. </t>
  </si>
  <si>
    <t>2005A</t>
  </si>
  <si>
    <t>2006A</t>
  </si>
  <si>
    <t>Book value per share</t>
  </si>
  <si>
    <t>Lorabid</t>
  </si>
  <si>
    <t>AMLN issues $1.2B secured note to LLY the amount of which outstanding is reduced by the revenue sharing payments.</t>
  </si>
  <si>
    <t>Go to Selected Franchises</t>
  </si>
  <si>
    <t>Go to Annual Revenues</t>
  </si>
  <si>
    <t>Go to Management Projections</t>
  </si>
  <si>
    <t>3Q:12A</t>
  </si>
  <si>
    <t xml:space="preserve">   of which $704.818M was recognized as of end of 3Q:08; LLY recognized all $900M as of 1Q:09.</t>
  </si>
  <si>
    <t>Animal Health sales were favorably impacted by increase in milk/dairy prices (milk producers used more additives/enhancements).</t>
  </si>
  <si>
    <t>Total</t>
  </si>
  <si>
    <t>(e.g., Cialis, Cymbalta, Byetta, and Forteo).</t>
  </si>
  <si>
    <t>LLY records a one-time IPR&amp;D charge when it acquires products. Upon approval, milestone payments are amortized over the remaining life of the product (i.e., patent expiry).</t>
  </si>
  <si>
    <t>EM revenue was $2.5B. EM revenue grew +9% ex-FX (vol. 12%, price -3%) and grew 10% overall. Zyprexa was the major product facing generic competition apart from Gemzar, Actos and Alimta.</t>
  </si>
  <si>
    <t>Zyprexa saw reduction in wholesaler purchases due to pending patent expiration (10/23). Returns for Zyprexa were ~$50M.</t>
  </si>
  <si>
    <t>WW sales (from PR)</t>
  </si>
  <si>
    <t>U.S. HC reform impact on total revenue in 2Q was $110M or $0.12 on EPS. Mandatory pharma manufacturers fee increased SG&amp;A by $45M.</t>
  </si>
  <si>
    <t>U.S. HC reform impact on total revenue in 1Q was $90M or $0.10 on EPS. Mandatory pharma manufacturers fee increased SG&amp;A by $45M.</t>
  </si>
  <si>
    <t>Treasury stock</t>
  </si>
  <si>
    <t>Shareholders' Equity</t>
  </si>
  <si>
    <t xml:space="preserve">e) LLY pays all commercialization costs for ex-US Byetta and exenatide once weekly. </t>
  </si>
  <si>
    <t>Working capital</t>
  </si>
  <si>
    <t>Current ratio</t>
  </si>
  <si>
    <t>LLY has exclusive worldwide rights to Axiron. LLY paid $50M upfront and $3M for manufacturing assets.</t>
  </si>
  <si>
    <t>Acrux is eligible for $87M upon FDA approval and up to $195M for commercialization milestones, and royalties on global sales.</t>
  </si>
  <si>
    <t>Axiron agreement with Acrux (announced 3/15/10)</t>
  </si>
  <si>
    <t>Total Debt to Capital</t>
  </si>
  <si>
    <t xml:space="preserve">LLY is entitled to royalties of approx. 5% (up to 7% under certain conditions) on sales. Telaprevir was co-discovered by Lilly and Vertex. </t>
  </si>
  <si>
    <t>LLY records R&amp;D cost reimbursement from TPG as a reduction to R&amp;D expense (expected to be immaterial).</t>
  </si>
  <si>
    <t>Price/share</t>
  </si>
  <si>
    <t>Debt structure</t>
  </si>
  <si>
    <t>Short term debt</t>
  </si>
  <si>
    <t>Beginning balance</t>
  </si>
  <si>
    <t>Issue (Repayment)</t>
  </si>
  <si>
    <t>Employee benefit trust</t>
  </si>
  <si>
    <t>2Q:10A</t>
  </si>
  <si>
    <t>Adcirca for PAH was approved in US on 5/26/09 and in EU in Oct-09.</t>
  </si>
  <si>
    <t>Agreement with Quintiles:</t>
  </si>
  <si>
    <t>David R. Risinger, CFA</t>
  </si>
  <si>
    <t>AMLN pays LLY $250M upfront and 15% of global net sales of Byetta/Bydureon until total of $1.2B + accrued interest.</t>
  </si>
  <si>
    <t>2017FY</t>
  </si>
  <si>
    <t>LLY.N,mstag:revenueNet,2017FY,,FYR</t>
  </si>
  <si>
    <t>LLY.N,mstag:revenueNet,2013FY,,FYR</t>
  </si>
  <si>
    <t>Cash ratio</t>
  </si>
  <si>
    <t>Profitability</t>
  </si>
  <si>
    <t>Adjusted EPS</t>
  </si>
  <si>
    <t>GAAP EPS</t>
  </si>
  <si>
    <t>GAAP vs adjusted</t>
  </si>
  <si>
    <t>EM revenue grew 6% ex-FX. FX impact on EM sales was -3%.</t>
  </si>
  <si>
    <t>Cialis JV Income</t>
  </si>
  <si>
    <t>Adjusted EBITDA</t>
  </si>
  <si>
    <t>Net capital expenditures</t>
  </si>
  <si>
    <t>Purchase of PP&amp;E</t>
  </si>
  <si>
    <t>4Q:10A</t>
  </si>
  <si>
    <t>2010A</t>
  </si>
  <si>
    <t>Actos Agreement with Takeda</t>
  </si>
  <si>
    <t>4Q:12A</t>
  </si>
  <si>
    <t>NOVOb.CO,mscalc:marketCapitalizationCurrent</t>
  </si>
  <si>
    <t>Price growth: U.S. +10%, ACE -5%, EM -1%. Vol. U.S. -17%; ACE +2%; Japan +17%; EM +13%.</t>
  </si>
  <si>
    <t>FX: rev -2%, GM +4%, Op Exp +1%, Op Inc +13%, EPS +14%</t>
  </si>
  <si>
    <t>Excl. FX, YOY growth rates are revenue -1% (+4% price and -5% vol), COGS +6%, GM -2%, Op Exp +1%, Op Inc -9%, EPS +1%.</t>
  </si>
  <si>
    <t>ex-US (Latin America; ends 10 yrs from launch)</t>
  </si>
  <si>
    <t>Cash and short-term investments</t>
  </si>
  <si>
    <t>Cash and equivalents</t>
  </si>
  <si>
    <t>1Q:14A</t>
  </si>
  <si>
    <t>b) BMY pays LLY a distribution fee equal to 39% of net North American sales.</t>
  </si>
  <si>
    <t>Gemzar generic came on market in EU on March 9. Gemzar 2008 EU sales were $600M, $1B internationally.</t>
  </si>
  <si>
    <t>Price Target</t>
  </si>
  <si>
    <t>Date Last Updated</t>
  </si>
  <si>
    <t>Price</t>
  </si>
  <si>
    <t>Market Cap</t>
  </si>
  <si>
    <t>YOY % Chg</t>
  </si>
  <si>
    <t>Go to Quarterly Revenues</t>
  </si>
  <si>
    <t>FX impact: revenue -3%, COGS -21%, GM +2%, Op Exp -2%, Op Income +9%. Excl. FX, revenue +8% (2% price and 6% vol), COGS +9%, GM +8%, Op Exp +8%, Op Inc +8%, EPS +11%.</t>
  </si>
  <si>
    <t>Total Liabilities and SE</t>
  </si>
  <si>
    <t xml:space="preserve">ELI LILLY AND COMPANY </t>
  </si>
  <si>
    <t>1Q:09A</t>
  </si>
  <si>
    <t>LLY.N,mscalc:closePriceCurrencyCalc</t>
  </si>
  <si>
    <t>USD</t>
  </si>
  <si>
    <t>Quick ratio</t>
  </si>
  <si>
    <t>Animal Health sales grew 23% excl. FX. FX impact was -2%. Excl Janseen and ChemGen acquisition growth was +16%.</t>
  </si>
  <si>
    <t>Collaboration revenue declined -7% due to transfer of U.S. rights of Bydureon to Amylin.</t>
  </si>
  <si>
    <t>Change in accounts payable/other liab.</t>
  </si>
  <si>
    <t>Other operating activities</t>
  </si>
  <si>
    <t xml:space="preserve">EM revenue grew 12% ex-FX. FX impact on EM sales was -4%. </t>
  </si>
  <si>
    <t xml:space="preserve">a) In the US and most other countries, LLY pays Daiichi roughly 50% of profits in the SG&amp;A line (following a true-up assessment to ensure that support costs are split properly). </t>
  </si>
  <si>
    <t>Daiichi has its own expenses (marketing and sales).</t>
  </si>
  <si>
    <t>LLY.N,mstag:researchAndDevelopment,2012FY,,FYR</t>
  </si>
  <si>
    <t>LLY.N,mstag:sellingGeneralAndAdministrativeExpenses,2013FY,,FYR</t>
  </si>
  <si>
    <t>LLY.N,mstag:sellingGeneralAndAdministrativeExpenses,2016FY,,FYR</t>
  </si>
  <si>
    <t>Evista European Outlicensing to Daiichi Sankyo (disclosed during 2Q:09 earnings call)</t>
  </si>
  <si>
    <t>LLY books Imclone revenues as follows:</t>
  </si>
  <si>
    <t xml:space="preserve">     ex-U.S.</t>
  </si>
  <si>
    <t>Cynt</t>
  </si>
  <si>
    <t>Ceclor</t>
  </si>
  <si>
    <t>Vancocin</t>
  </si>
  <si>
    <t>Period-end basic shares outstanding</t>
  </si>
  <si>
    <t>Margin Analysis</t>
  </si>
  <si>
    <t>Gross margin</t>
  </si>
  <si>
    <t>Pretax margin</t>
  </si>
  <si>
    <t>Net margin</t>
  </si>
  <si>
    <t>YOY % Change</t>
  </si>
  <si>
    <t>Other financing activities</t>
  </si>
  <si>
    <t>Common shares repurchased</t>
  </si>
  <si>
    <t>Issuances under stock plans</t>
  </si>
  <si>
    <t xml:space="preserve">Net cash from financing activities </t>
  </si>
  <si>
    <t>Effect of exchange rates</t>
  </si>
  <si>
    <r>
      <t xml:space="preserve">EPS of $1.18 includes $0.12 per share reduction due to impact of U.S. health care reform—$60M in higher rebates ($0.04 per share) and </t>
    </r>
    <r>
      <rPr>
        <b/>
        <sz val="8"/>
        <rFont val="Arial Narrow"/>
        <family val="2"/>
      </rPr>
      <t>$85.1M one-time charge</t>
    </r>
    <r>
      <rPr>
        <sz val="8"/>
        <rFont val="Arial Narrow"/>
        <family val="2"/>
      </rPr>
      <t xml:space="preserve"> ($0.08 per share).</t>
    </r>
  </si>
  <si>
    <t>LLY can pursue several indications in addition to type I diabetes for teplizumab or other next-generation anti-CD3 molecules.</t>
  </si>
  <si>
    <t>Ending year</t>
  </si>
  <si>
    <t>2015E</t>
  </si>
  <si>
    <t>,mscalc:closePriceCurrencyCalc</t>
  </si>
  <si>
    <t>PFE.N,mscalc:epsForConsensusForThomsonFeed,2012FY,,FYR,USD</t>
  </si>
  <si>
    <t>,mscalc:sedolCodeCalc</t>
  </si>
  <si>
    <t>LLY.N,mscalc:factsetIdCalc</t>
  </si>
  <si>
    <t>2.30043255392233</t>
  </si>
  <si>
    <t>LLY.N,mscalc:targetPrice</t>
  </si>
  <si>
    <t>Non-cash working capital</t>
  </si>
  <si>
    <t>EBITDA margin</t>
  </si>
  <si>
    <t>2014E</t>
  </si>
  <si>
    <t>Net change in deferred taxes</t>
  </si>
  <si>
    <t>Asset impairment/restructuring &amp; other special charge, net of tax</t>
  </si>
  <si>
    <t>Lilly paid undisclosed upfront fee that will be amortized over the patent life.</t>
  </si>
  <si>
    <t>Purchase of non-current investments</t>
  </si>
  <si>
    <t>Management Projections</t>
  </si>
  <si>
    <t>For period</t>
  </si>
  <si>
    <t>Date provided</t>
  </si>
  <si>
    <t xml:space="preserve">Milestone payments are expensed in R&amp;D prior to approval.  </t>
  </si>
  <si>
    <t>Lilly and Kowa co-promote Livalo in US; both companies provide sales force resources and share development and marketing costs. US agreement expires with patent.</t>
  </si>
  <si>
    <t>Accounts Payable</t>
  </si>
  <si>
    <t>c) LLY records payments in SG&amp;A line.</t>
  </si>
  <si>
    <t>2Q:12A</t>
  </si>
  <si>
    <t>532,335.205932404</t>
  </si>
  <si>
    <t>NOVOb.CO,mscalc:priceToSales,2012FY,,FYR</t>
  </si>
  <si>
    <t>7.05828823393677</t>
  </si>
  <si>
    <t>LLY.N,mscalc:marketCapitalizationCurrent</t>
  </si>
  <si>
    <t>47,366.05438</t>
  </si>
  <si>
    <t>LLY.N,mscalc:priceToSales,2012FY,,FYR</t>
  </si>
  <si>
    <t>2.07480250523157</t>
  </si>
  <si>
    <t>NOVOb.CO,mscalc:sharePriceCurrent</t>
  </si>
  <si>
    <t xml:space="preserve">Development and exclusive license agreement covers Marcadia's short-acting glucagon program, including MAR531, currently in preclinical. </t>
  </si>
  <si>
    <t xml:space="preserve">Restructuring charge of $27.3M was recognized in 2Q. </t>
  </si>
  <si>
    <t>3Q:10A</t>
  </si>
  <si>
    <t>a) Royalties in Collaboration Revenues (see details below).</t>
  </si>
  <si>
    <t>c) BMY pays 100% of development costs up to a threshold value, BMY and LLY share development costs above the threshold according to a predetermined ratio.</t>
  </si>
  <si>
    <t>Disposal of PP&amp;E</t>
  </si>
  <si>
    <t>Tax rate was lower due to R&amp;D tax credit.</t>
  </si>
  <si>
    <t>The precautionary binding in 1Q (~$30-$35M) largely reversed (~$25M) reducing Japan's volume growth by about 6%.</t>
  </si>
  <si>
    <t>Stock-based compensation expense</t>
  </si>
  <si>
    <t>There are co-marketing deals in Spain, France, Portugal, and Italy (marketed as Optruma) that are outside the DSI deal.</t>
  </si>
  <si>
    <t>Accounts receivable turnover</t>
  </si>
  <si>
    <t>Inventory turnover</t>
  </si>
  <si>
    <t>Change in operating assets and liabilities</t>
  </si>
  <si>
    <t>Receivables</t>
  </si>
  <si>
    <t>Inventories</t>
  </si>
  <si>
    <t>Other current assets</t>
  </si>
  <si>
    <t>Excl. FX, YOY growth rates are revenue +5% (2% price and 3% vol), COGS -0%, GM +7%, Op Exp +6%, Op Inc +7%, EPS +8%.</t>
  </si>
  <si>
    <t>Original agreement: LLY and BMY share development and commercialization costs in U.S., Canada, and Japan. Lilly has full rights in rest of world.</t>
  </si>
  <si>
    <t>2015FY</t>
  </si>
  <si>
    <t>2016FY</t>
  </si>
  <si>
    <t>Financial Metrics / Ratios</t>
  </si>
  <si>
    <t>Operating efficiency</t>
  </si>
  <si>
    <t>R&amp;D</t>
  </si>
  <si>
    <t>SG&amp;A</t>
  </si>
  <si>
    <t>Tax Rate</t>
  </si>
  <si>
    <t>Free Cash Flow</t>
  </si>
  <si>
    <t>Goodwill and other intangibles</t>
  </si>
  <si>
    <t>Sundry</t>
  </si>
  <si>
    <t>Net Debt (Qtr)</t>
  </si>
  <si>
    <t xml:space="preserve">Evista </t>
  </si>
  <si>
    <t>Top line growth are driven by Alimta, Cymbalta, Humalog, Cialis and Effient.</t>
  </si>
  <si>
    <t>Tax rate was lower due to recognition of the R&amp;D tax credit.</t>
  </si>
  <si>
    <t>Merck KGaA has exclusive rights outside US and Canada, and co-exclusive rights in Japan.</t>
  </si>
  <si>
    <t>Excl. FX, YOY growth rates are revenue +5% (2% price and 3% vol), COGS -2%, GM +7%, Op Exp +9%, Op Inc +2%, EPS +10%.</t>
  </si>
  <si>
    <t>YOY % CHANGE</t>
  </si>
  <si>
    <t>Agreement with Boehringer Ingelheim (BI) was terminated:</t>
  </si>
  <si>
    <t>Accounts receivable</t>
  </si>
  <si>
    <t>Other receivables</t>
  </si>
  <si>
    <t>Deferred income taxes</t>
  </si>
  <si>
    <t>On 1/29/13, it was announced that BMY terminated the agreement and returned rights of necitumumab to LLY.</t>
  </si>
  <si>
    <t>Net change in short-term debt</t>
  </si>
  <si>
    <t>,mscalc:targetPrice,,,,USD</t>
  </si>
  <si>
    <t>TPG-Axon and NovaQuest fund 1/2 of Alzheimer's clinical studies. TPG funding will not exceed $325M and may extend into 2014.</t>
  </si>
  <si>
    <t>Gross margin reduced primarily due to Zyprexa patent expiry.</t>
  </si>
  <si>
    <t>Emerging markets (Focus Six) include China, Russia, Turkey, Korea, Brazil and Mexico.</t>
  </si>
  <si>
    <t>FX impact: revenue -1%, COGS +12%, GM +3%, Op Exp -1%, Op Inc +12%, EPS +12%.</t>
  </si>
  <si>
    <t>Excl. FX, YOY growth rates are revenue -1% (+2% price and -3% vol), COGS +1%, GM -1%, Op Exp -1%, Op Inc -1%, EPS -6%.</t>
  </si>
  <si>
    <t>Necitumumab (IMC-11F8, Erbitux follow-on) agreement with Bristol-Myers (announced 1/28/10; terminated by BMY 1/29/13)</t>
  </si>
  <si>
    <t>3Q:08A</t>
  </si>
  <si>
    <t>4Q:08A</t>
  </si>
  <si>
    <t>Animal Health grew +18% organically. Ex-U.S. 37% growth driven by acquisition of Janssen and Pfizer assets in Europe and, to a lesser extent, by FX and increased demand.</t>
  </si>
  <si>
    <t>1Q:10A</t>
  </si>
  <si>
    <t>EM revenue was $0.6B. EM revenue grew +11% ex-FX (vol. 16%, price -5%) and +7% overall.</t>
  </si>
  <si>
    <t>FX: rev +1%, GM-no impact, Op Exp +1%, Op Inc +1%, EPS +1%.</t>
  </si>
  <si>
    <t>Pens as % of U.S. sales</t>
  </si>
  <si>
    <t>Dobutrex</t>
  </si>
  <si>
    <t>c) BI co-promoted Cymbalta ex-US and ex-Japan and co-promoted duloxetine for stress urinary incontinence (SUI) worldwide (ex-Japan). LLY recorded payments to BI in SG&amp;A.</t>
  </si>
  <si>
    <t>Repayment</t>
  </si>
  <si>
    <t>assuming 70% of total sales are US and 30% ex-US.  We increase the percentage YOY to account for second</t>
  </si>
  <si>
    <t xml:space="preserve">LLY books 100% of worldwide sales (excl. Japan where LLY has no rights or royalties). COGS includes bulk supply payments plus a small royalty to Ube.  Daiichi has </t>
  </si>
  <si>
    <t>its own expenses (marketing and sales).  Fill-finish is done by Lilly.</t>
  </si>
  <si>
    <t>Excl. FX, YOY growth rates are revenue +3% (-3% price and 6% vol), COGS +6%, GM +2%, Op Exp +6%, Op Inc -6%, EPS -6%.</t>
  </si>
  <si>
    <t>LLY-N</t>
  </si>
  <si>
    <t>HC reform impact in 3Q was $25M (Total $157M in 9M:10). U.S. sales benefitted $40M as reduction of prior accrual with the timing of the 340B expansion.</t>
  </si>
  <si>
    <t>3Q:09A</t>
  </si>
  <si>
    <t>d) In Japan, LLY and BMY each bear 25% of development expenses and receive 25% of profit/loss</t>
  </si>
  <si>
    <t>a) BMY purchases bulk Erbitux at cost +10%.</t>
  </si>
  <si>
    <t>6.57% notes due 2016</t>
  </si>
  <si>
    <t>5.20% notes due 2017</t>
  </si>
  <si>
    <t>4.50% notes due 2018</t>
  </si>
  <si>
    <t>FX impact: revenue -6%, COGS +23%, GM -2%, Op Exp -4%, Op Inc +4%. Excl. FX, revenue +7% (3% price and 4% vol), COGS +3%, GM +9%, Op Exp +5%, Op Inc +16%, EPS +16%.</t>
  </si>
  <si>
    <t xml:space="preserve">FX: rev nil, GM +2%, Op Exp nil, Op Inc +4%, EPS +4%. </t>
  </si>
  <si>
    <t>Other Margins</t>
  </si>
  <si>
    <t>COGS</t>
  </si>
  <si>
    <t>Excl. FX, YOY growth rates are revenue +5% (0% price and 5% vol), COGS +5%, GM +6%, Op Exp +9%, Op Inc +1%, EPS +3%.</t>
  </si>
  <si>
    <t>FCF/share</t>
  </si>
  <si>
    <t>Yellow Shaded Portions indicate source cells are in highly moveable columns.  Please double check quarterly.</t>
  </si>
  <si>
    <t>1)</t>
  </si>
  <si>
    <t xml:space="preserve">GM +6.9% substantially due to the rapid decline in the Euro.  </t>
  </si>
  <si>
    <t>Notes</t>
  </si>
  <si>
    <t>Net income (GAAP)</t>
  </si>
  <si>
    <t>U.S. sales to LLY</t>
  </si>
  <si>
    <t>LLY share</t>
  </si>
  <si>
    <t>Gross margin reduced primarily due to FX impact on inventories sold.</t>
  </si>
  <si>
    <t>Telaprevir with Vertex</t>
  </si>
  <si>
    <t>Go to Annual Income Statement</t>
  </si>
  <si>
    <t>Evista ex-US sales decreased 18% driven by out licensing in most European markets to Daiichi-Sankyo (see Agreements).</t>
  </si>
  <si>
    <t>Livalo</t>
  </si>
  <si>
    <t>4Q:11A</t>
  </si>
  <si>
    <t>Lilly has exclusive worldwide rights to INCB28050 and certain follow-ons for inflammatory and autoimmune diseases (covers rheum, GI, and derm).</t>
  </si>
  <si>
    <t>Non-cash expenses</t>
  </si>
  <si>
    <t>Non-GAAP net income (incl. amort)</t>
  </si>
  <si>
    <t>Net cash from operating activities</t>
  </si>
  <si>
    <t>includes after-tax one-time cash charges*</t>
  </si>
  <si>
    <t>+ after-tax interest expense</t>
  </si>
  <si>
    <t>- capital expenditure</t>
  </si>
  <si>
    <t>*We assume one-time cash charge expense in out years for one-time items, government penalties, and litigation outflows that are part of doing business as a pharmaceutical company.</t>
  </si>
  <si>
    <t>Paid-in capital</t>
  </si>
  <si>
    <t>Accumulated other comprehensive loss</t>
  </si>
  <si>
    <t>UTHR paid $150M upfront for exclusive US commercialization rights to Adcirca for PAH. Lilly manufactures &amp; supplies tadalafil to UTHR and retains all ex-US commercial rights.</t>
  </si>
  <si>
    <t>One-time net cash expenses excl from non-GAAP net income*</t>
  </si>
  <si>
    <t>GAAP adjustments*</t>
  </si>
  <si>
    <t>Milestones up to approval are expensed. Milestones from approval and beyond  are amortized over the life of the product.</t>
  </si>
  <si>
    <t>c) Collaborative agreement reimbursements as R&amp;D expenses offset (included in R&amp;D expense line)</t>
  </si>
  <si>
    <t>FX: rev -1%, GM -1%, Op Exp -1%, Op Inc -2%, EPS -3%</t>
  </si>
  <si>
    <t>Excl. FX, YOY growth rates are revenue +1% (+4% price and -3% vol), COGS -3%, GM +2%, Op Exp +1%, Op Inc +5%, EPS +27%.</t>
  </si>
  <si>
    <t>2013E</t>
  </si>
  <si>
    <t>Cymbalta Co-promotion Agreements</t>
  </si>
  <si>
    <t>EM revenue was $588M. EM revenue declined -5% ex-FX and declined -7% overall.</t>
  </si>
  <si>
    <t>LLY.N,mscalc:epsForConsensusForThomsonFeed,2016FY,,FYR</t>
  </si>
  <si>
    <t>FX impact: revenue +1%, COGS -3%, GM -1%, Op Exp flat, Op Inc -1%, EPS -1%.</t>
  </si>
  <si>
    <t>PFE.N,mstag:revenueNet,2012FY,,FYR,USD</t>
  </si>
  <si>
    <t>62,880.57093596</t>
  </si>
  <si>
    <t>2011A</t>
  </si>
  <si>
    <t>Animal health</t>
  </si>
  <si>
    <t>Senior US Major Pharmaceuticals Analyst</t>
  </si>
  <si>
    <t>(212) 761-6494</t>
  </si>
  <si>
    <t>david.risinger@morganstanley.com</t>
  </si>
  <si>
    <t>EBIT(1-t)</t>
  </si>
  <si>
    <t>BV of debt</t>
  </si>
  <si>
    <t>BV of equity</t>
  </si>
  <si>
    <t>YOY</t>
  </si>
  <si>
    <t>Adcirca agreement with United Therapeutics (announced 11/17/08)</t>
  </si>
  <si>
    <t>TPG-AXON and NovaQuest eligible to receive milestone payments totaling $300M and mid-to-high single-digit royalties for approx. eight years following commercialization.</t>
  </si>
  <si>
    <t>ANOMALIES</t>
  </si>
  <si>
    <t>U.S. HC reform impact on total revenue in 4Q was $80M or $0.10 on EPS. Mandatory pharma manufacturers fee increased SG&amp;A by $45M.</t>
  </si>
  <si>
    <t>$1B of expenses was removed from projected 2011 expenses and headcount was reduced by ~5,600 (since mid-09).</t>
  </si>
  <si>
    <t>Axiron</t>
  </si>
  <si>
    <t>Go to Pipeline</t>
  </si>
  <si>
    <t>Go to DCF</t>
  </si>
  <si>
    <t>Undisclosed proceeds from Evista rights are amortized straightline over the multi-years that LLY supplies product to D-S (does not include Greece).</t>
  </si>
  <si>
    <t>Erbitux Agreement with BMY and Merck KGaA</t>
  </si>
  <si>
    <t>In N. America, BMY books all sales and pays LLY 39% of sales plus reimbursement of certain royalties paid by LLY (product COGS + 10%).</t>
  </si>
  <si>
    <t>In Japan, LLY and BMY equally share 50% of pre-tax profit from Merck KGaA sales. Japan agreement expires in 2032, but LLY can terminate agreement after 2018.</t>
  </si>
  <si>
    <t>Pretax Income</t>
  </si>
  <si>
    <t>Net Income</t>
  </si>
  <si>
    <t>Interest coverage ratio</t>
  </si>
  <si>
    <t>Interest expense</t>
  </si>
  <si>
    <t>Dividend payout ratio</t>
  </si>
  <si>
    <t>Common stock</t>
  </si>
  <si>
    <t>5.950% notes due 2037</t>
  </si>
  <si>
    <t>6.0% notes due 2012</t>
  </si>
  <si>
    <t>Other income increased due to recovery from related to theft of product from the Enfield distribution center and lower interest expense.</t>
  </si>
  <si>
    <t>FX impact: revenue -1%, COGS +1%, GM -2%, Op Exp -1%, Op Inc -3%, EPS -4%.</t>
  </si>
  <si>
    <t>Unadjusted EBITDA</t>
  </si>
  <si>
    <t>Excl. FX, YOY growth rates are revenue +3% (3% price and 0% vol), COGS -7%, GM +5%, Op Exp +4%, Op Inc +7%, EPS +5%.</t>
  </si>
  <si>
    <t>HC reform impact in 2Q was $70M (Total $132M in 1H:10). LLY reiterated its previous guidance on HC reform for 2010 and 2011.</t>
  </si>
  <si>
    <t>1Q:12A</t>
  </si>
  <si>
    <t>Animal Health ex-US -8% because meat supply is exceeding demand in parts of the world - a cycle every 3–5 years</t>
  </si>
  <si>
    <t>Lilly acquired EU rights to portfolio of Pfizer Animal Health products (announced 3/8/10).</t>
  </si>
  <si>
    <t>Adjustments</t>
  </si>
  <si>
    <t>SFAS 133 adj. for hedged debt</t>
  </si>
  <si>
    <t>a) Merck KGaA pays a 9.5% royalty on net revenues.</t>
  </si>
  <si>
    <t>U.S. (15% of net sales 2012 and beyond)</t>
  </si>
  <si>
    <t>Cash and short-term investments (from BS)</t>
  </si>
  <si>
    <t>Interest (income)</t>
  </si>
  <si>
    <t>EPS (inc-Options Expense)</t>
  </si>
  <si>
    <t>Animal Health</t>
  </si>
  <si>
    <t>Collaboration revenue declined 19% due to tranfer of U.S. rights of Bydureon to Amylin.</t>
  </si>
  <si>
    <t>3-year forward EPS growth</t>
  </si>
  <si>
    <t>Sales</t>
  </si>
  <si>
    <t>Byetta/Bydureon agreement with Amylin (announced 4/29/09, termination announced 11/8/11)</t>
  </si>
  <si>
    <t>LLY eligible for up to $525M in opt-in and regulatory milestone payments if BI exercises anti-TGF-beta option.</t>
  </si>
  <si>
    <t>Tax rate increase by 500 b.p. YOY due to expiration of R&amp;D tax credit at YE09.</t>
  </si>
  <si>
    <t>1Q:13A</t>
  </si>
  <si>
    <t>Tax rate increase by 530 b.p. YOY due to $85.1M one-time charge for tax on prescription drug subsidy to retiree (US health reform) and expiration of R&amp;D tax credit.</t>
  </si>
  <si>
    <t xml:space="preserve">c) In Japan, Merck KGaA pays LLY a 4.75% royalty of total net sales, receives 50% of profit/losses, and bears 50% of development expenses. </t>
  </si>
  <si>
    <t>7.125% notes due 2025</t>
  </si>
  <si>
    <t>5.50% notes due 2027</t>
  </si>
  <si>
    <t>7,708.264</t>
  </si>
  <si>
    <t>6,937.4376</t>
  </si>
  <si>
    <t>5,073.571322</t>
  </si>
  <si>
    <t>5,240.21</t>
  </si>
  <si>
    <t>5,397.4163</t>
  </si>
  <si>
    <t>20,706.8357451</t>
  </si>
  <si>
    <t>24,132.15242</t>
  </si>
  <si>
    <t>6,590.56572</t>
  </si>
  <si>
    <t>Equity value per share</t>
  </si>
  <si>
    <t>b) Ex-US, LLY pays (we assume) high single-digit royalties to AMLN based on the gross margin for all ex-US exenatide product sales under a revised agreement in Nov-2006.</t>
  </si>
  <si>
    <t>Theoretical early stage compounds**</t>
  </si>
  <si>
    <t>Total pipeline</t>
  </si>
  <si>
    <t>Go to Quarterly Income Statement</t>
  </si>
  <si>
    <t>3Q:13A</t>
  </si>
  <si>
    <t>Animal Health 6% sales growth smaller than prior due to annualization of acquisitions, Trifexis stocking in prior quarters, and weak Sept. food animal sales.</t>
  </si>
  <si>
    <t>Historical reported U.S. sales to LLY</t>
  </si>
  <si>
    <t>Forteo</t>
  </si>
  <si>
    <t>Humatrope</t>
  </si>
  <si>
    <t>Oncology</t>
  </si>
  <si>
    <t>Gemzar</t>
  </si>
  <si>
    <t>Alimta</t>
  </si>
  <si>
    <t>Cardiovascular</t>
  </si>
  <si>
    <t>Reopro</t>
  </si>
  <si>
    <t>2009E</t>
  </si>
  <si>
    <t>Cialis</t>
  </si>
  <si>
    <t>LLY.N,mstag:sellingGeneralAndAdministrativeExpenses,2015FY,,FYR</t>
  </si>
  <si>
    <t>LLY.N,mstag:researchAndDevelopment,2016FY,,FYR</t>
  </si>
  <si>
    <t>Excl. FX, YOY growth rates are revenue +7% (2% price and 5% vol), COGS +8%, GM +7%, Op Exp +6%, Op Inc +9%, EPS +8%.</t>
  </si>
  <si>
    <t>a) US (US revenue booked by LLY will have a 100% GM since LLY has no associated COGS/royalties for Byetta)</t>
  </si>
  <si>
    <t>Latest reported quarter</t>
  </si>
  <si>
    <t>Latest filed quarter</t>
  </si>
  <si>
    <t>Rating</t>
  </si>
  <si>
    <t>Total Enterprise Value</t>
  </si>
  <si>
    <t>ex-US (9.5%)</t>
  </si>
  <si>
    <t>Sales rebates and discounts</t>
  </si>
  <si>
    <t>Dividends payable</t>
  </si>
  <si>
    <t>Income taxes payable</t>
  </si>
  <si>
    <t>Teplizumab (anti-CD3) Agreement with MacroGenics (announced 10/18/07)</t>
  </si>
  <si>
    <t>FX impact: sales -3%. Excl. FX, sales +3% (2% price and 1% vol).</t>
  </si>
  <si>
    <t xml:space="preserve">a) After 3Q:09, LLY pays Quintiles a 3% royalty over three years for US Cymbalta sales for depression and other neurologic indications (For the first 5 years following </t>
  </si>
  <si>
    <t>launch (3Q:04-3Q:09), LLY paid Quintiles 8.25% of US sales.</t>
  </si>
  <si>
    <t>Current Quarter EPS</t>
  </si>
  <si>
    <t>Date</t>
  </si>
  <si>
    <t>Last Year's Quarter EPS</t>
  </si>
  <si>
    <t>Stockholder's Equity (Yr)</t>
  </si>
  <si>
    <t>Animal health benefitted (~half of 10%) from withdrawal of MRK's Zilmax in U.S.</t>
  </si>
  <si>
    <t>2012A</t>
  </si>
  <si>
    <t>FX: rev -2%, GM +1%, Op Exp -1%, Op Inc +4%, EPS +6%.</t>
  </si>
  <si>
    <t>2Q:14A</t>
  </si>
  <si>
    <t>Dil. shares outstanding</t>
  </si>
  <si>
    <t>Basic shares outstanding</t>
  </si>
  <si>
    <t>Erbitux mfg revenue</t>
  </si>
  <si>
    <t>Cyramza</t>
  </si>
  <si>
    <t>Depreciation (from 10-Q/K)</t>
  </si>
  <si>
    <t>Amortization (from 10-Q/K)</t>
  </si>
  <si>
    <t>Excl. FX, YOY growth rates are revenue -17% (+1% price and -17% vol), COGS -2%, GM --20%, Op Exp -10%, Op Inc -40%, EPS -39%.</t>
  </si>
  <si>
    <t>FX: rev 0%, GM -1%, Op Exp 0%, Op Inc -3%, EPS -2%</t>
  </si>
  <si>
    <t>Price growth: U.S. +2%, ACE -3%, Japan -1%, EM +1%. Vol. U.S. -36%; ACE +2%; Japan -10%; EM +7%.</t>
  </si>
  <si>
    <t xml:space="preserve">Excl. U.S. Cymbalta and Evista, gloabl rev grew +6%. </t>
  </si>
  <si>
    <t>Japan sales grew +5% excluding timing and advance customer purchanse impact.</t>
  </si>
  <si>
    <t>EM revenue grew 8% ex-FX. FX impact on EM sales was -4%. Vol. in China grew by 15%.</t>
  </si>
  <si>
    <t>Excl. U.S. Cymbalta and Evista, U.S. rev. grew +13% (5% from vol., +8% from price). Price benefit includes +2%/$60M from managed Medicaid adjustment.</t>
  </si>
  <si>
    <t>3Q:14A</t>
  </si>
  <si>
    <t>Price growth: U.S. +2%, ACE -2%, Japan -1%, EM +3%. Vol. U.S. -38%; ACE +3%; Japan +10%; EM +16%.</t>
  </si>
  <si>
    <t>EM revenue grew 19% ex-FX. FX impact on EM sales was -1%.</t>
  </si>
  <si>
    <t>Excl. FX, YOY growth rates are revenue -15% (+1% price and -16% vol), COGS +4%, GM --20%, Op Exp -8%, Op Inc -46%, EPS -39%.</t>
  </si>
  <si>
    <t>FX: rev 0%, GM -1%, Op Exp 0%, Op Inc -1%, EPS -2%</t>
  </si>
  <si>
    <t>R&amp;D includes $75M pretax charge related to discontinuation of tabalumab for Lupus.</t>
  </si>
  <si>
    <t>SG&amp;A excludes $119M related to non tax deductible Branded Prescription Drug Fee.</t>
  </si>
  <si>
    <t>EBITA (est.)</t>
  </si>
  <si>
    <t>Zyprexa (incl. depot)</t>
  </si>
  <si>
    <t>Operating margin</t>
  </si>
  <si>
    <t>Animal Health rev growth of 10% consisted of 6% from Lohmann acq and 4% from base biz (competitive pressures and slow mkt growth in US)</t>
  </si>
  <si>
    <t>Alzheimer's (LY3314814/AZD3293) alliance with AZN (announced Sept. 16, 2014)</t>
  </si>
  <si>
    <t>Lilly and AZN take joint responsibility for commercialization and share equally global revenues and commercialization costs</t>
  </si>
  <si>
    <t>Lilly pays AZN up to $500M in development and regulatory milestone payments ($50m pretax was recognized in #Q:14).</t>
  </si>
  <si>
    <t>LLY expects to reduce operating expense (R&amp;D + SG&amp;A) as a % of rev to 50% or less.</t>
  </si>
  <si>
    <t>4Q:14A</t>
  </si>
  <si>
    <t>Trulicity</t>
  </si>
  <si>
    <t>FX: rev -4%, GM -1%, Op Exp -2%, Op Inc +4%, EPS +5%</t>
  </si>
  <si>
    <t>Excl. FX, YOY growth rates are revenue -8% (+1% price and -9% vol), COGS +5%, GM -12%, Op Exp -11%, Op Inc -15%, EPS -4%.</t>
  </si>
  <si>
    <t>Price growth: U.S. +2%, ACE 0%, Japan -3%, EM +1%. Vol. U.S. -24%; ACE +3%; Japan +5%; EM +7%.</t>
  </si>
  <si>
    <t>EM revenue grew 6% ex-FX. FX impact on EM sales was -9%.</t>
  </si>
  <si>
    <t>At current rates, FX headwind will be ~6-7% to revenue, $0.07 impact to EPS. This is comprised of a $0.57 unfavorable operational FX effect, offset by favorable</t>
  </si>
  <si>
    <t>FX effect on international inventory sold of about $0.50. This cost of sales benefit will go away as existing inventory is sold, and will be nil in 2016.</t>
  </si>
  <si>
    <t>Decrease in tax rate includes recognition of full year US R&amp;D tax credit</t>
  </si>
  <si>
    <t>1.95% notes due 2019</t>
  </si>
  <si>
    <t>4.65% notes due 2044</t>
  </si>
  <si>
    <t>1Q:15A</t>
  </si>
  <si>
    <t>FX: rev -6%, GM 0%, Op Exp -4%, Op Inc +11%, EPS +11%</t>
  </si>
  <si>
    <t>Excl. FX, YOY growth rates are revenue -5% (+3% price and +3% vol), COGS +6%, GM -1%, Op Exp -3%, Op Inc +4%, EPS +7%.</t>
  </si>
  <si>
    <t>Price growth: U.S. +10%, ACE -3%, Japan 0%, EM -2%. Vol. U.S. -5%; ACE 0%; Japan -11%; EM +7%.</t>
  </si>
  <si>
    <t>Excluding the wholesale buying, Cymbalta and Evista, the U.S. revenue grew 14% (3% from volume).</t>
  </si>
  <si>
    <t>Excluding the FX and Cymbalta and Evista in the US, the worldwide revenue grew 5%.</t>
  </si>
  <si>
    <t>EM revenue grew 5% ex-FX. FX impact on EM sales was -8%.</t>
  </si>
  <si>
    <t>At current rates, FX headwind will be ~7.5% or $1.4B-$1.5B to revenue, $0.13 impact to EPS. This is comprised of a $0.60 unfavorable operational FX effect,</t>
  </si>
  <si>
    <t xml:space="preserve"> offset by favorable FX effect on international inventory sold of about $0.50. This cost of sales benefit will go away as existing inventory is sold, and will be nil in 2016.</t>
  </si>
  <si>
    <t>On 4/14/15 LLY announced that BMY will transfer NA rights of Erbitux to LLY and the deal is expected to close by end of 2015.</t>
  </si>
  <si>
    <t>Erbitux (39% royalty on sales pre-2016)</t>
  </si>
  <si>
    <t>2Q:15A</t>
  </si>
  <si>
    <t>Depreciation</t>
  </si>
  <si>
    <t>Price growth: U.S. +5%, ACE -3%, Japan -1%, EM 0%. Vol. U.S. -1%; ACE +2%; Japan +38%; EM -4%.</t>
  </si>
  <si>
    <t>EM revenue grew -4% ex-FX. FX impact on EM sales was -12%.</t>
  </si>
  <si>
    <t>FX: rev -8%, GM -3%, Op Exp -4%, Op Inc -1%, EPS +0%</t>
  </si>
  <si>
    <t>Excl. FX, YOY growth rates are revenue +4% (+1% price and +3% vol), COGS +10%, GM +2%, Op Exp -3%, Op Inc +16%, EPS +22%.</t>
  </si>
  <si>
    <t>Tax rate benefitted from $24M of discrete tax benefit.</t>
  </si>
  <si>
    <t>Humalog had some destocking and year ago quarter benefitted from positive adj related to managed Medicaid (~5 points).</t>
  </si>
  <si>
    <t>Tradjenta net sales growth &gt;15% if adjusted for accrurals (see transcript).</t>
  </si>
  <si>
    <t>3Q:15A</t>
  </si>
  <si>
    <t>2020e</t>
  </si>
  <si>
    <t>LLY.N,mstag:revenueNet,2020FY,,FYR</t>
  </si>
  <si>
    <t>LLY.N,mscalc:epsForConsensusForThomsonFeed,2020FY,,FYR</t>
  </si>
  <si>
    <t>LLY.N,mscalc:epsForConsensusForThomsonFeed,2019FY,,FYR</t>
  </si>
  <si>
    <t>LLY.N,mstag:revenueNet,2018FY,,FYR</t>
  </si>
  <si>
    <t>LLY.N,mstag:revenueNet,2019FY,,FYR</t>
  </si>
  <si>
    <t>LLY.N,mscalc:epsForConsensusForThomsonFeed,2018FY,,FYR</t>
  </si>
  <si>
    <t>Excl. FX, YOY growth rates are revenue +5% (-2% price and +7% vol), COGS +5%, GM +4%, Op Exp -3%, Op Inc +27%, EPS +25%.</t>
  </si>
  <si>
    <t>FX: rev -9%, GM -4%, Op Exp -4%, Op Inc -4%, EPS -3%</t>
  </si>
  <si>
    <t>Lilly and BI settled with Sanofi that allows Basaglar to launch in the U.S. on 12/15/2016. Sanofi granted Lilly a royalty-bearing license so Lilly can manufacture and sell Basaglar in the Kwikpen device globally.</t>
  </si>
  <si>
    <t xml:space="preserve">Deal originally involved BI's Tradjenta (DPP4) and Jardiance (SGLT2) and LLY's PEG-lispro (novel insulin analogue) and Basaglar (insulin galrgine). BI may opt-in on LLY's anti-TGF-beta mAb. </t>
  </si>
  <si>
    <t>1/7/13: BI returned PEG-lispro rights to LLY "given independent strategic portfolio considerations." LLY continues sole dev and commericialization of PEG-lispro.</t>
  </si>
  <si>
    <t>Diabetes (Tradjenta, Jardiance, and Basaglar) alliance with Boehringer Ingelheim (announced 1/11/11 and revised 1/7/13)</t>
  </si>
  <si>
    <t>EM revenue grew -4% ex-FX. FX impact on EM sales was -14%. Australia and NZ were moved to EM.</t>
  </si>
  <si>
    <t xml:space="preserve">LLY &amp; BI co-promote in US, Germany, Italy, Spain, France, UK, Ireland, Portugal, Canada, Japan, China, Australia, New Zealand, South Korea, Taiwan, Brazil, and Mexico. Companies record sales of their </t>
  </si>
  <si>
    <t>respective products (BI for Trajenta and Jardiance; Lilly for insulin glargine) and share gross margin equally (increases COGS). LLY records GM share from BI for Tradjenta and Jardiance as sales.</t>
  </si>
  <si>
    <t xml:space="preserve">For Basaglar LLY books 100% sales, actual cost of goods sold as "cost of sales" and the payment to BI (50% of gross profit) as "cost of sales". </t>
  </si>
  <si>
    <t>GM +300 bps YOY driven by FX on international inventories sold (COGS increased in 3Q:14, decreased in 3Q:15)</t>
  </si>
  <si>
    <t>Tax rate increased YOY due to catch up for first 9 months of 2015 to reflect increased % of forecasted earnings in higher tax jurisdictions</t>
  </si>
  <si>
    <t>Excluding Evista and Cymbalta, US revenue +17%—price +9%, volume +8%</t>
  </si>
  <si>
    <t>Animal Health pro forma for NVS revenues -9%—price +1%, vol -3%, FX -8%—due to ex-US companion animal products partially offset by US food animal products growth</t>
  </si>
  <si>
    <t>Animal health pro forma rev. -4%—price +2%, vol +1%, FX -7%</t>
  </si>
  <si>
    <t>Both may terminate the agreement under certain conditions.</t>
  </si>
  <si>
    <t>Tanezumab agreement with PFE (announced 10/29/13)</t>
  </si>
  <si>
    <t>PFE and LLY jointly develop and globally commercialize tanezumab. PFE and LLY equally share product development expenses, potential revenues, and certain product-related costs.</t>
  </si>
  <si>
    <t>Alimta had a tougher comp due to buy-in in 3Q:14 that didn't occur in 3Q:15</t>
  </si>
  <si>
    <t>Price -4% for the Q, but +3% YTD due to shipment of Evista authorized generic to the partner. Shipments are periodic.</t>
  </si>
  <si>
    <t>R&amp;D includes $90M charge related to discontinuation of evacetrpib trials, $55M related to discontinuation of basal insulin trials.</t>
  </si>
  <si>
    <t>DCF Valuation</t>
  </si>
  <si>
    <t>Periods to Discount</t>
  </si>
  <si>
    <t>Discount Factor</t>
  </si>
  <si>
    <t>Discounted Cash Flows</t>
  </si>
  <si>
    <t>WACC Build</t>
  </si>
  <si>
    <t>Equity</t>
  </si>
  <si>
    <t>% Equity</t>
  </si>
  <si>
    <t>% Debt</t>
  </si>
  <si>
    <t>Risk Free Rate (10-yr. Treasury)</t>
  </si>
  <si>
    <t>Beta (via Bloomberg)</t>
  </si>
  <si>
    <t>Equity Risk Premium (via Bloomberg)</t>
  </si>
  <si>
    <t>Cost of Equity</t>
  </si>
  <si>
    <t>Cost of Debt (10-yr. YTW)</t>
  </si>
  <si>
    <t>Tax Rate (2020E)</t>
  </si>
  <si>
    <t>DCF Valuation - Input your own assumptions</t>
  </si>
  <si>
    <t>We do not use DCF to value our coverage universe because it is our view that there is no steady state FCF year to</t>
  </si>
  <si>
    <t>which one can model in this industry.</t>
  </si>
  <si>
    <t>Nonetheless, we provide our DCF framework for those who wish to use their own assumptions.</t>
  </si>
  <si>
    <t>The default setting is the implied terminal growth and WACC assumptions as calculated above.</t>
  </si>
  <si>
    <t>What's in the Price - Implied Terminal Growth</t>
  </si>
  <si>
    <t>Enterprise Value</t>
  </si>
  <si>
    <t>CF Value</t>
  </si>
  <si>
    <t>Terminal Value</t>
  </si>
  <si>
    <t>Implied Terminal Growth Rate</t>
  </si>
  <si>
    <t>Check</t>
  </si>
  <si>
    <t>Terminal Growth Rate</t>
  </si>
  <si>
    <t>(default is implied terminal growth rate)</t>
  </si>
  <si>
    <t>Discounted Cash Flow "What's in the Price" Analysis</t>
  </si>
  <si>
    <t>4Q:15A</t>
  </si>
  <si>
    <t>LLY.N,mstag:revenueNet,2016Q3,,FYR</t>
  </si>
  <si>
    <t>LLY.N,mstag:revenueNet,2016Q1,,FYR</t>
  </si>
  <si>
    <t>LLY.N,mstag:revenueNet,2016Q4,,FYR</t>
  </si>
  <si>
    <t>LLY.N,mstag:revenueNet,2016Q2,,FYR</t>
  </si>
  <si>
    <t>LLY.N,mscalc:epsForConsensusForThomsonFeed,2016Q1,,FYR</t>
  </si>
  <si>
    <t>LLY.N,mscalc:epsForConsensusForThomsonFeed,2016Q3,,FYR</t>
  </si>
  <si>
    <t>LLY.N,mscalc:epsForConsensusForThomsonFeed,2016Q2,,FYR</t>
  </si>
  <si>
    <t>LLY.N,mscalc:epsForConsensusForThomsonFeed,2016Q4,,FYR</t>
  </si>
  <si>
    <t>FX: rev -6%, GM -5%, Op Exp -3%, Op Inc -10%, EPS -10%</t>
  </si>
  <si>
    <t>Excl. FX, YOY growth rates are revenue +5% (+3% price and +2% vol), COGS +4%, GM +6%, Op Exp +8%, Op Inc -2%, EPS +5%.</t>
  </si>
  <si>
    <t>Price growth: U.S. +10%, EUCan -5%, Japan +1%, EM +1%. Vol. U.S. +4%; EUCan +0%; Japan +16%; EM 0%.</t>
  </si>
  <si>
    <t>Price growth: U.S. -4%, EUCan -5%, Japan -1%, EM +1%. Vol. U.S. +16%; EUCan +2%; Japan +15%; EM -5%.</t>
  </si>
  <si>
    <t>EM revenue grew +1% ex-FX. FX impact on EM sales was -13%.</t>
  </si>
  <si>
    <t>Tax includes $17M of discrete tax benefit.</t>
  </si>
  <si>
    <t>Jardiance revenue was impacted due to one-time adjustments for the accrual of channel inventory.</t>
  </si>
  <si>
    <t>Alimta revenues were impacted due to competitive intensity in the 2L (second line) setting</t>
  </si>
  <si>
    <t>Humalog sales benefitted from U100 and U200 KwikPen launches. US sales benefitted due to easy comp YOY.</t>
  </si>
  <si>
    <t>Portrazza</t>
  </si>
  <si>
    <t>1.25% notes due 2018</t>
  </si>
  <si>
    <t>2.75% notes due 2025</t>
  </si>
  <si>
    <t>3.70% notes due 2045</t>
  </si>
  <si>
    <t>1.00% notes due 2022</t>
  </si>
  <si>
    <t>1.625% notes due 2026</t>
  </si>
  <si>
    <t>2.125% notes due 2030</t>
  </si>
  <si>
    <r>
      <t>$/</t>
    </r>
    <r>
      <rPr>
        <sz val="10"/>
        <rFont val="Calibri"/>
        <family val="2"/>
      </rPr>
      <t>€</t>
    </r>
    <r>
      <rPr>
        <sz val="10"/>
        <rFont val="Arial Narrow"/>
        <family val="2"/>
      </rPr>
      <t xml:space="preserve"> as of May 26, 2015</t>
    </r>
  </si>
  <si>
    <t>FCFF</t>
  </si>
  <si>
    <t>FCFE</t>
  </si>
  <si>
    <t>FCFF per share</t>
  </si>
  <si>
    <t>FCFE per share</t>
  </si>
  <si>
    <t>FCFE less dividends</t>
  </si>
  <si>
    <t>FCFE less dividends/share buybacks</t>
  </si>
  <si>
    <t>% FCFE returned to shareholders</t>
  </si>
  <si>
    <t>3.40650183734521</t>
  </si>
  <si>
    <t>19,958.7</t>
  </si>
  <si>
    <t>PFE may receive payments for clinical, regulatory, and commercial milestones, which are amortized in COGS (GAAP).</t>
  </si>
  <si>
    <t>1Q:16A</t>
  </si>
  <si>
    <t>FX rates</t>
  </si>
  <si>
    <t>FX: rev -3%, GM -5%, Op Exp -2%, Op Inc -9%, EPS -10%</t>
  </si>
  <si>
    <t>Excl. FX, YOY growth rates are revenue +8% (+1% price and +7% vol), COGS +12%, GM +7%, Op Exp +9%, Op Inc +1%, EPS +5%.</t>
  </si>
  <si>
    <t>Price growth: U.S. +4%, EUCan -3%, Japan +4%, EM 0%. Vol. U.S. +13%; EUCan +5%; Japan +18%; EM -8%.</t>
  </si>
  <si>
    <t>EM revenue declined 7% ex-FX. FX impact on EM sales was -10%.</t>
  </si>
  <si>
    <t>Tax includes $50M of discrete tax benefit.</t>
  </si>
  <si>
    <t>R&amp;D includes $55M milestone payment to Incyte for regulatory submissions of bari in US and EU.</t>
  </si>
  <si>
    <t>EM sales were impacted by genericisation of key products like Lyrica, Alimta, and stocking pattern in Russia and China.</t>
  </si>
  <si>
    <t>Humalog US -14% due to lower realized prices related to changes in estimates for rebates and discounts, which is not expected to continue throughout the year</t>
  </si>
  <si>
    <t>Decrease in net price was partially offset by increased demand. Humulin US +34% due to higher prices from a change in estimate of a government rebate, while</t>
  </si>
  <si>
    <t>ex-US -15% due to loss of Brazil government contract and FX.</t>
  </si>
  <si>
    <t>3</t>
  </si>
  <si>
    <t>Operating income, EBITA</t>
  </si>
  <si>
    <t>Pretax income</t>
  </si>
  <si>
    <t>Adj. Dil. EPS</t>
  </si>
  <si>
    <t>galcanezumab (CGRP: cluster, migraine headache; LY2951742)</t>
  </si>
  <si>
    <t>Other pipeline candidates:</t>
  </si>
  <si>
    <t>Nasal Glucagon (Ph 3, hypoglycemia)</t>
  </si>
  <si>
    <t>Ultra rapid insulin (Ph 2)</t>
  </si>
  <si>
    <t>PCSK9 mAb (Ph 2)</t>
  </si>
  <si>
    <t>Tau imaging agent (Ph 3)</t>
  </si>
  <si>
    <t>Galunisertib (Ph 2, TGFβR1 Kinase Inhibitor, HCC)</t>
  </si>
  <si>
    <t>CXCR4 peptide (Ph 2, solid tumors)</t>
  </si>
  <si>
    <t>PI3K/mTOR inhibitor (Ph2, cancer)</t>
  </si>
  <si>
    <t>IL-23 mAb (Ph 2,Ulcerative colitis)</t>
  </si>
  <si>
    <t>PD-L1 mAb (preclinic, cancer)</t>
  </si>
  <si>
    <t>Taltz</t>
  </si>
  <si>
    <t>0.829950850128166</t>
  </si>
  <si>
    <t>4,865.1</t>
  </si>
  <si>
    <t>2Q:16A</t>
  </si>
  <si>
    <t>Immunology</t>
  </si>
  <si>
    <t>Tanezumab (Ph 3, NGF, OA pain, PFE books sales)</t>
  </si>
  <si>
    <t>Other income (expense), net</t>
  </si>
  <si>
    <t>Other income (expense)</t>
  </si>
  <si>
    <t>FX: rev +1%, GM -3%, Op Exp 0%, Op Inc -9%, EPS -8%</t>
  </si>
  <si>
    <t>Excl. FX, YOY growth rates are revenue +8% (0% price and +8% vol), COGS +12%, GM +7%, Op Exp +7%, Op Inc +7%, EPS +4%.</t>
  </si>
  <si>
    <t>Price growth: U.S. +3%, EUCan -6%, Japan -7%, EM 0%. Vol. U.S. +12%; EUCan +4%; Japan +16%; EM +5%.</t>
  </si>
  <si>
    <t>0.857291363034781</t>
  </si>
  <si>
    <t>5,404.8</t>
  </si>
  <si>
    <t>3Q:16A</t>
  </si>
  <si>
    <t>Price growth: U.S. +2%, EUCan -4%, Japan -6%, EM 0%. Vol. U.S. +15%; EUCan -2%; Japan +2%; EM -3%.</t>
  </si>
  <si>
    <t>FX: rev +1%, GM -1%, Op Exp -1%, Op Inc -3%, EPS -2%</t>
  </si>
  <si>
    <t>Excl. FX, YOY growth rates are revenue +4% (-1% price and +4% vol), COGS +4%, GM +4%, Op Exp +5%, Op Inc +2%, EPS +1%.</t>
  </si>
  <si>
    <t>EM revenue grew -2% ex-FX. FX impact on EM sales was -7%.</t>
  </si>
  <si>
    <t>Humalog US sales volume was more than offset by lower realized prices. Net realized price was negatively affected by changes in estimates for rebates and discounts.</t>
  </si>
  <si>
    <t>Cymblata US sales benefitted by $145M from return reserve adjustment (lower-than-expected return volume)</t>
  </si>
  <si>
    <t>5,191.7</t>
  </si>
  <si>
    <t>0.877651100221911</t>
  </si>
  <si>
    <t>% of total</t>
  </si>
  <si>
    <t>Endocrinology-non Diabetes</t>
  </si>
  <si>
    <t>Endocrinology- Diabetes</t>
  </si>
  <si>
    <t>~$1.2B</t>
  </si>
  <si>
    <t>$5.0-$5.2B</t>
  </si>
  <si>
    <t>Bear</t>
  </si>
  <si>
    <t>Base</t>
  </si>
  <si>
    <t>Bull</t>
  </si>
  <si>
    <t>M&amp;A</t>
  </si>
  <si>
    <t>Diabetes</t>
  </si>
  <si>
    <t>Non Diabetes Endocrine</t>
  </si>
  <si>
    <t>Rev
disapointment</t>
  </si>
  <si>
    <t>4Q:16A</t>
  </si>
  <si>
    <t>Lartruvo</t>
  </si>
  <si>
    <t>FX: rev 0%, GM +1%, Op Exp 0%, Op Inc +3%, EPS +3%</t>
  </si>
  <si>
    <t>Excl. FX, YOY growth rates are revenue +7% (-1% price and +8% vol), COGS +8%, GM +6%, Op Exp 0%, Op Inc +30%, EPS +19%.</t>
  </si>
  <si>
    <t>Price growth: U.S. +1%, EUCan -6%, Japan -7%, EM 0%. Vol. U.S. +15%; EUCan -2%; Japan +3%; EM +3%.</t>
  </si>
  <si>
    <t>EM revenue grew +3% ex-FX. FX impact on EM sales was -3%.</t>
  </si>
  <si>
    <t>5)</t>
  </si>
  <si>
    <t>Tax rate +440 bps YOY due to benefit in 4Q:15 partially offset by $40m benefit in 4Q:16 from new accounting std for stock-based comp</t>
  </si>
  <si>
    <t>R&amp;D expense: $75M termination charges related to sola EXP-3 vs. $135M for evacetrapib and basal insulin; excl. these charges, R&amp;D expense grew 5%</t>
  </si>
  <si>
    <t>Humalog US sales volume benefitted by &lt; $130M from changes in estimates for rebates and discounts.</t>
  </si>
  <si>
    <t>LLY.N,mstag:revenueNet,2017Q3,,FYR</t>
  </si>
  <si>
    <t>LLY.N,mscalc:epsForConsensusForThomsonFeed,2017Q3,,FYR</t>
  </si>
  <si>
    <t>LLY.N,mstag:revenueNet,2017Q4,,FYR</t>
  </si>
  <si>
    <t>LLY.N,mscalc:epsForConsensusForThomsonFeed,2017Q2,,FYR</t>
  </si>
  <si>
    <t>LLY.N,mstag:revenueNet,2017Q2,,FYR</t>
  </si>
  <si>
    <t>LLY.N,mstag:revenueNet,2017Q1,,FYR</t>
  </si>
  <si>
    <t>LLY.N,mscalc:epsForConsensusForThomsonFeed,2017Q4,,FYR</t>
  </si>
  <si>
    <t>LLY.N,mscalc:epsForConsensusForThomsonFeed,2017Q1,,FYR</t>
  </si>
  <si>
    <t>0.954688562766958</t>
  </si>
  <si>
    <t>21,210.2</t>
  </si>
  <si>
    <t>5,760.5</t>
  </si>
  <si>
    <t>Short-term commercial borrowing</t>
  </si>
  <si>
    <t>CRL</t>
  </si>
  <si>
    <t>2016a</t>
  </si>
  <si>
    <t>Equal-weight</t>
  </si>
  <si>
    <t>1Q:17A</t>
  </si>
  <si>
    <t>Animal health benefited from inclusion of $40.8M in revenue from the acquisition of Boehringer Ingelheim Vetmedica’s U.S. feline, canine and rabies vaccine portfolio</t>
  </si>
  <si>
    <t>See Rev-Annual tab</t>
  </si>
  <si>
    <t>Price growth: U.S. +4%, EU -4%, Japan -4%, ROW -3%. Vol. U.S. +12%; EU +3%; Japan +6%; ROW +7%.</t>
  </si>
  <si>
    <t>Excl. FX, YOY growth rates are revenue +8% (0% price and +8% vol), COGS 0%, GM +11%, Op Exp +4%, Op Inc +32%, EPS +22%.</t>
  </si>
  <si>
    <t>FX: rev -1%, GM -1%, Op Exp +1%, Op Inc -4%, EPS -4%</t>
  </si>
  <si>
    <t>lasmiditan (5-HT1F: acute migraine)</t>
  </si>
  <si>
    <t>Launched</t>
  </si>
  <si>
    <t>lanabecestat (BACE: Alzheimer's; LLY3314814 / AZD3293)</t>
  </si>
  <si>
    <t>US Humalog +24% YOY; there were significant unfavorable changes to rebates and discounts in the first quarter of 2016 that did not recur in the first quarter of 2017</t>
  </si>
  <si>
    <t>2017e</t>
  </si>
  <si>
    <t>PE expan</t>
  </si>
  <si>
    <t>EPS upside</t>
  </si>
  <si>
    <t>0.98427917667797</t>
  </si>
  <si>
    <t>5,228.4</t>
  </si>
  <si>
    <t>BTK inihibitor (HM71224) agreement with Hanmi (announced Mar 19, 2015)</t>
  </si>
  <si>
    <t>Lilly receives ww rights to all indications except China, Hong Kong, Taiwan, and Korea. Lilly assumes dev, reg, manu, and comm leadership in LLY territories.</t>
  </si>
  <si>
    <t>Lilly pays Hanmi tiered double digit royalties on sales and $50m initially and up to $640m potentially in dev, reg, and sales milestones.</t>
  </si>
  <si>
    <t>Non-controlling Interest</t>
  </si>
  <si>
    <t>Optimal Capital Structure (using 2023E as a proxy)</t>
  </si>
  <si>
    <t>prexasertib (CHK1: Ovarian cancer)</t>
  </si>
  <si>
    <t>solanezumab (anti-amyloid Ab: Alzheimer's)</t>
  </si>
  <si>
    <t>LLY books 50% of gross profit as revenues (no COGS) and half of R&amp;D and SG&amp;A. PFE books end sales.</t>
  </si>
  <si>
    <t>‡We model 50% of sales for simplicity but in reality PFE will record sales of tanezumab and LLY books 50% of gross profit as revenues (no COGS) and half of R&amp;D and SG&amp;A.</t>
  </si>
  <si>
    <t>Profit spli adj‡</t>
  </si>
  <si>
    <t>Profit spli adj</t>
  </si>
  <si>
    <t>U.S. (MOU exp 5/24/22)</t>
  </si>
  <si>
    <t>1.11379137459678</t>
  </si>
  <si>
    <t>5,824.3</t>
  </si>
  <si>
    <t>LLY.N,mscalc:epsForConsensusForThomsonFeed,2023FY,,FYR</t>
  </si>
  <si>
    <t>LLY.N,mstag:revenueNet,2023FY,,FYR</t>
  </si>
  <si>
    <t>LLY.N,mscalc:epsForConsensusForThomsonFeed,2022FY,,FYR</t>
  </si>
  <si>
    <t>LLY.N,mscalc:epsForConsensusForThomsonFeed,2021FY,,FYR</t>
  </si>
  <si>
    <t>LLY.N,mstag:revenueNet,2022FY,,FYR</t>
  </si>
  <si>
    <t>LLY.N,mstag:revenueNet,2021FY,,FYR</t>
  </si>
  <si>
    <t>3.50832728370803</t>
  </si>
  <si>
    <t>3Q:17A</t>
  </si>
  <si>
    <t>Animal health was impacted due to destocking following a changeover to SAP at the end of 2Q.</t>
  </si>
  <si>
    <t>Animal health benefited from inclusion of $61.2M in revenue from the acquisition of Boehringer Ingelheim Vetmedica’s U.S. feline, canine and rabies vaccine portfolio</t>
  </si>
  <si>
    <t>FX: rev 0%, GM -3%, Op Exp 0%, Op Inc -9%, EPS -11%</t>
  </si>
  <si>
    <t>Excl. FX, YOY growth rates are revenue +9% (+2% price and +7% vol), COGS +6%, GM +10%, Op Exp +0%, Op Inc +29%, EPS +30%.</t>
  </si>
  <si>
    <t>Price growth: U.S. +4%, EU 0%, Japan -0%, ROW +1%. Vol. U.S. +6%; EU +6%; Japan +13%; ROW +9%.</t>
  </si>
  <si>
    <t>Tax rate was lower due to discrete tax benefit of $30M.</t>
  </si>
  <si>
    <t>Excluding BI vaccine acquisition, Animal health declined 4% in 3Q and 9% YTD.</t>
  </si>
  <si>
    <t>Opex total</t>
  </si>
  <si>
    <t>5,658.1</t>
  </si>
  <si>
    <t>1.04808124807651</t>
  </si>
  <si>
    <t>Olumiant (bari; up to high 20% royalties to INCY)</t>
  </si>
  <si>
    <t>Jardiance/Glyxambi (100% GM, receive 50% GP from BI)</t>
  </si>
  <si>
    <t>Tradjenta/Jenta (100% GM, receive 50% GP from BI)</t>
  </si>
  <si>
    <t>Basaglar (est mid-40s GM, LLY shares 50% of GP with BI in COGS)</t>
  </si>
  <si>
    <t>LLY expects to reduce operating expense (R&amp;D + SG&amp;A) as a % of rev to 49% or less.</t>
  </si>
  <si>
    <t>$23.0-$23.5B</t>
  </si>
  <si>
    <t>$4.60-$4.70</t>
  </si>
  <si>
    <t>~75.0%</t>
  </si>
  <si>
    <t>$6.1-$6.4B</t>
  </si>
  <si>
    <t>$75M-$175M</t>
  </si>
  <si>
    <t>~21.5%</t>
  </si>
  <si>
    <t>EURO: 1.18; Yen: 113; POUND: 1.34</t>
  </si>
  <si>
    <t>Operating Margin</t>
  </si>
  <si>
    <t>Atleast 30% of revenue</t>
  </si>
  <si>
    <t>at least 5% average annual growth from 2015-2020</t>
  </si>
  <si>
    <t>Higher than 2015 on const currency basis</t>
  </si>
  <si>
    <t>22,659.922</t>
  </si>
  <si>
    <t>4.22949843436989</t>
  </si>
  <si>
    <t>4Q:17A</t>
  </si>
  <si>
    <t>$4.81-$4.91</t>
  </si>
  <si>
    <t>Verzenio</t>
  </si>
  <si>
    <t>1/31/201</t>
  </si>
  <si>
    <t>~18%</t>
  </si>
  <si>
    <t>Filed</t>
  </si>
  <si>
    <t>Price growth: U.S. +5%, EU -1%, Japan 0%, ROW -1%. Vol. U.S. +4%; EU +9%; Japan +10%; ROW +6%.</t>
  </si>
  <si>
    <t>FX: rev +1%, GM -2%, Op Exp 0%, Op Inc -13%, EPS -12%</t>
  </si>
  <si>
    <t>Excl. FX, YOY growth rates are revenue +6% (+2% price and +4% vol), COGS 0%, GM +8%, Op Exp 0%, Op Inc +33%, EPS +32%.</t>
  </si>
  <si>
    <t>2018E</t>
  </si>
  <si>
    <t>Sanofi is expected to launch biosimilar Humalog in 1Q:18.</t>
  </si>
  <si>
    <t>Animal health had $40M from new product launches.</t>
  </si>
  <si>
    <t>Non GAAP tax rate was lower due to discrete tax benefit. GAAP tax rate had $1.9B impact from US tax reforms.</t>
  </si>
  <si>
    <t>Excluding BI vaccine acquisition, Animal health declined 11% with companion animal declined by 16% driven primarily by lower distributor inventory levels.</t>
  </si>
  <si>
    <t>Trulicity US sales benefitted by $25M due to inventory buy-in.</t>
  </si>
  <si>
    <t>Forteo US sales benefitted from net price adjustments, rebates and discounts related to medicaid and also because of wholesaler buy-in</t>
  </si>
  <si>
    <t xml:space="preserve">ex-US </t>
  </si>
  <si>
    <t>93</t>
  </si>
  <si>
    <t>Tradjenta had $10M of unfavorable impact from rebates and discounts</t>
  </si>
  <si>
    <t>Tanezumab (NGF for pain; LLY will book 50% of GP as revenue)</t>
  </si>
  <si>
    <t>4.90238940806421</t>
  </si>
  <si>
    <t>8.23734103140301</t>
  </si>
  <si>
    <t>6.87922774344024</t>
  </si>
  <si>
    <t>29,907.3390228689</t>
  </si>
  <si>
    <t>23,524.735</t>
  </si>
  <si>
    <t>27,006.288050128</t>
  </si>
  <si>
    <t>1.14175642025113</t>
  </si>
  <si>
    <t>6,160.8</t>
  </si>
  <si>
    <t>7.59880083712444</t>
  </si>
  <si>
    <t>28,570.8276999715</t>
  </si>
  <si>
    <t>25,383.6853101</t>
  </si>
  <si>
    <t>6.13264701376174</t>
  </si>
  <si>
    <t>5.42559190656427</t>
  </si>
  <si>
    <t>24,130.36493</t>
  </si>
  <si>
    <t>LLY.N,mscalc:epsForConsensusForThomsonFeed,2018Q3,,FYR</t>
  </si>
  <si>
    <t>LLY.N,mstag:revenueNet,2018Q2,,FYR</t>
  </si>
  <si>
    <t>LLY.N,mscalc:epsForConsensusForThomsonFeed,2018Q4,,FYR</t>
  </si>
  <si>
    <t>LLY.N,mscalc:epsForConsensusForThomsonFeed,2018Q1,,FYR</t>
  </si>
  <si>
    <t>LLY.N,mstag:revenueNet,2018Q3,,FYR</t>
  </si>
  <si>
    <t>LLY.N,mstag:revenueNet,2018Q1,,FYR</t>
  </si>
  <si>
    <t>LLY.N,mscalc:epsForConsensusForThomsonFeed,2018Q2,,FYR</t>
  </si>
  <si>
    <t>LLY.N,mstag:revenueNet,2018Q4,,FYR</t>
  </si>
  <si>
    <t>1.29745235543281</t>
  </si>
  <si>
    <t>5,919.644</t>
  </si>
  <si>
    <t>1.18354579796166</t>
  </si>
  <si>
    <t>1.17060883235996</t>
  </si>
  <si>
    <t>5,896.886</t>
  </si>
  <si>
    <t>5,539.322</t>
  </si>
  <si>
    <t>1.25080870206138</t>
  </si>
  <si>
    <t>6,168.883</t>
  </si>
  <si>
    <t>Section Header</t>
  </si>
  <si>
    <t>GAAP P&amp;L</t>
  </si>
  <si>
    <t>Non-GAAP P&amp;L</t>
  </si>
  <si>
    <t>Non-GAAP Other Income/(Deductions)</t>
  </si>
  <si>
    <t>Other Oncology</t>
  </si>
  <si>
    <t>Other Neuro</t>
  </si>
  <si>
    <t>Other Endocrine</t>
  </si>
  <si>
    <t>Erbitux mfg</t>
  </si>
  <si>
    <t>Other Cardio</t>
  </si>
  <si>
    <t>Food &amp; Other</t>
  </si>
  <si>
    <t>1Q:18A</t>
  </si>
  <si>
    <t>$23.7-$24.2B</t>
  </si>
  <si>
    <t>$6.2-$6.5B</t>
  </si>
  <si>
    <t>$5.2-$5.4B</t>
  </si>
  <si>
    <t>$75M-$200M</t>
  </si>
  <si>
    <t>~17%</t>
  </si>
  <si>
    <t>$5.10-$5.20</t>
  </si>
  <si>
    <t>EURO: 1.23; Yen: 106.5; POUND: 1.41</t>
  </si>
  <si>
    <t>Price growth: U.S. +8%, EU -5%, Japan -3%, ROW 0%. Vol. U.S. +2%; EU +7%; Japan +5%; ROW +5%.</t>
  </si>
  <si>
    <t>Animal health had $62M from new product launches.</t>
  </si>
  <si>
    <t>Excl. FX, YOY growth rates are revenue +5% (+3% price and +2% vol), COGS +2%, GM +6%, Op Exp -8%, Op Inc +40%, EPS +47%.</t>
  </si>
  <si>
    <t>Humalog: Benefit due to change in estimates to rebates and discounts ($50M per quarter expected for the year)</t>
  </si>
  <si>
    <t>Taltz: Negatively impacted by $32M due to invenotry workdown.</t>
  </si>
  <si>
    <t>Forteo: Negatively impacted by destocking and formulary loss.</t>
  </si>
  <si>
    <t>$FZ$2</t>
  </si>
  <si>
    <t>U.S. (10/23/11*)</t>
  </si>
  <si>
    <t>ex-U.S. (EU Sep-11, Japan Jun-16)</t>
  </si>
  <si>
    <t>U.S. (5/26/17*)</t>
  </si>
  <si>
    <t>ex-US (EU May-19)</t>
  </si>
  <si>
    <t>U.S. (12/11/13*)</t>
  </si>
  <si>
    <t>ex-US (EU Aug-14, Japan mid-21)</t>
  </si>
  <si>
    <t>U.S. (3/24/17)</t>
  </si>
  <si>
    <t>U.S. (5/7/2013)</t>
  </si>
  <si>
    <t>ex-US (EU Nov-10, hex. Jun-15, Japan Sep-14, hex. Sep-15)</t>
  </si>
  <si>
    <t>U.S. (3/2/14)</t>
  </si>
  <si>
    <t>ex-US (EU Aug-13, Japan Jul-18)</t>
  </si>
  <si>
    <t>U.S. (assume limited gx in Aug  '19)</t>
  </si>
  <si>
    <t>ex-US (EU 2019; JPN Aug '19)</t>
  </si>
  <si>
    <t>U.S. (Dec-14 process patent)</t>
  </si>
  <si>
    <t>U.S. (2/19/2017)</t>
  </si>
  <si>
    <t>U.S. (5/2/2025)</t>
  </si>
  <si>
    <t>U.S. (4/15/2027)</t>
  </si>
  <si>
    <t>U.S. (2026)</t>
  </si>
  <si>
    <t>U.S. (1/17/11)</t>
  </si>
  <si>
    <t>ex-US (Spain-Oct-10, Canada-2008 Japan 2011)</t>
  </si>
  <si>
    <t>U.S. ()</t>
  </si>
  <si>
    <t>U.S. (pen sales only; major rev in Collab Rev)</t>
  </si>
  <si>
    <t>U.S. (Byetta, 12/1/2016)</t>
  </si>
  <si>
    <t>ex-US (EU Nov-16)</t>
  </si>
  <si>
    <t>U.S. (11/15/10*)</t>
  </si>
  <si>
    <t>ex-US (Major EU-Mar-09, Japan 2010)</t>
  </si>
  <si>
    <t>U.S. (Data excl Feb-16; MOU 4/17/2018)</t>
  </si>
  <si>
    <t>U.S. (2025)</t>
  </si>
  <si>
    <t>U.S. (6/23/15)</t>
  </si>
  <si>
    <t>U.S. (9/27/2018 per settlement)</t>
  </si>
  <si>
    <t>ex-US (EU Nov-17, Japan Jan-15)</t>
  </si>
  <si>
    <t>U.S. (08/2017 earliest entry per settlement)</t>
  </si>
  <si>
    <t>ex-US (EU 2017)</t>
  </si>
  <si>
    <t>ex-US ()</t>
  </si>
  <si>
    <t>U.S. (2015)</t>
  </si>
  <si>
    <t>ex-US (2026)</t>
  </si>
  <si>
    <t>U.S. (2030)</t>
  </si>
  <si>
    <t>ex-US (2029)</t>
  </si>
  <si>
    <t>U.S. co-promotion fee (1/5/2016)</t>
  </si>
  <si>
    <t>Research</t>
  </si>
  <si>
    <t>MSA10056</t>
  </si>
  <si>
    <t>e = Morgan Stanley Research estimates unless otherwise noted</t>
  </si>
  <si>
    <t>Source: Morgan Stanley Research unless otherwise noted</t>
  </si>
  <si>
    <t>Stocks ratings are relative to the analyst's industry coverage universe.</t>
  </si>
  <si>
    <t>1585 Broadway</t>
  </si>
  <si>
    <t>New York, NY  10036-8293</t>
  </si>
  <si>
    <t>United States</t>
  </si>
  <si>
    <t>Tel: +1 (1)212 761 4000</t>
  </si>
  <si>
    <t>Authors: David Risinger</t>
  </si>
  <si>
    <t>Date: 25 Apr 2018</t>
  </si>
  <si>
    <t>Ticker: LLY.N</t>
  </si>
  <si>
    <t>Stock Rating: Equal-Weight</t>
  </si>
  <si>
    <t>Industry: Major Pharmaceuticals</t>
  </si>
  <si>
    <t>Industry View: In-Line</t>
  </si>
  <si>
    <t>Price as of 25 Apr 2018: 80.09</t>
  </si>
  <si>
    <t>Target Price: 93</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</si>
  <si>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</si>
  <si>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</si>
  <si>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</si>
  <si>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</si>
  <si>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Eli Lilly &amp; Co..</t>
  </si>
  <si>
    <t>STOCK RATINGS</t>
  </si>
  <si>
    <t>Global Stock Ratings Distribution</t>
  </si>
  <si>
    <t>(as of March 31, 2018)</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</si>
  <si>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</si>
  <si>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</si>
  <si>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</si>
  <si>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</si>
  <si>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</si>
  <si>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</si>
  <si>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</si>
  <si>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</si>
  <si>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</si>
  <si>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</si>
  <si>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</si>
  <si>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</si>
  <si>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</si>
  <si>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</si>
  <si>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</si>
  <si>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</si>
  <si>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</si>
  <si>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</si>
  <si>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</si>
  <si>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</si>
  <si>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</si>
  <si>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</si>
  <si>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</si>
  <si>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</si>
  <si>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</si>
  <si>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</si>
  <si>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</si>
  <si>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</si>
  <si>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</si>
  <si>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</si>
  <si>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</si>
  <si>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</si>
  <si>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</si>
  <si>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</si>
  <si>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</si>
  <si>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</si>
  <si>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</si>
  <si>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</si>
  <si>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</si>
  <si>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</si>
  <si>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</si>
  <si>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</si>
  <si>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</si>
  <si>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</si>
  <si>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</si>
  <si>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</si>
  <si>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</si>
  <si>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</si>
  <si>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</si>
  <si>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</si>
  <si>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</si>
  <si>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</si>
  <si>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</si>
  <si>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</si>
  <si>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</si>
  <si>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</si>
  <si>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</si>
  <si>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</si>
  <si>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</si>
  <si>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</si>
  <si>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</si>
  <si>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</si>
  <si>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</si>
  <si>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</si>
  <si>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</si>
  <si>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</si>
  <si>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</si>
  <si>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</si>
  <si>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</si>
  <si>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</si>
  <si>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</si>
  <si>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</si>
  <si>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</si>
  <si>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</si>
  <si>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</si>
  <si>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</si>
  <si>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</si>
  <si>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</si>
  <si>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</si>
  <si>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</si>
  <si>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</si>
  <si>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</si>
  <si>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</si>
  <si>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</si>
  <si>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</si>
  <si>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</si>
  <si>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</si>
  <si>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</si>
  <si>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</si>
  <si>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</si>
  <si>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</si>
  <si>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</si>
  <si>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</si>
  <si>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</si>
  <si>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</si>
  <si>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</si>
  <si>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</si>
  <si>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</si>
  <si>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</si>
  <si>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</si>
  <si>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</si>
  <si>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</si>
  <si>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</si>
  <si>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</si>
  <si>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</si>
  <si>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</si>
  <si>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</si>
  <si>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</si>
  <si>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</si>
  <si>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</si>
  <si>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</si>
  <si>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</si>
  <si>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</si>
  <si>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</si>
  <si>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</si>
  <si>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</si>
  <si>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</si>
  <si>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</si>
  <si>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</si>
  <si>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</si>
  <si>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</si>
  <si>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</si>
  <si>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</si>
  <si>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</si>
  <si>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</si>
  <si>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</si>
  <si>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</si>
  <si>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</si>
  <si>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</si>
  <si>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</si>
  <si>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</si>
  <si>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</si>
  <si>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</si>
  <si>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</si>
  <si>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</si>
  <si>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</si>
  <si>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</si>
  <si>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</si>
  <si>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</si>
  <si>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</si>
  <si>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</si>
  <si>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</si>
  <si>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</si>
  <si>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</si>
  <si>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</si>
  <si>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</si>
  <si>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</si>
  <si>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</si>
  <si>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</si>
  <si>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</si>
  <si>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</si>
  <si>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</si>
  <si>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</si>
  <si>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</si>
  <si>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</si>
  <si>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</si>
  <si>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</si>
  <si>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</si>
  <si>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</si>
  <si>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</si>
  <si>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</si>
  <si>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</si>
  <si>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</si>
  <si>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</si>
  <si>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</si>
  <si>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</si>
  <si>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</si>
  <si>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</si>
  <si>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</si>
  <si>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</si>
  <si>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</si>
  <si>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</si>
  <si>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</si>
  <si>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Eli Lilly &amp; Co..</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</si>
  <si>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</si>
  <si>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</si>
  <si>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</si>
  <si>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</si>
  <si>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</si>
  <si>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</si>
  <si>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</si>
  <si>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</si>
  <si>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</si>
  <si>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</si>
  <si>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</si>
  <si>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</si>
  <si>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</si>
  <si>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</si>
  <si>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</si>
  <si>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</si>
  <si>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</si>
  <si>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</si>
  <si>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</si>
  <si>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</si>
  <si>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</si>
  <si>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</si>
  <si>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</si>
  <si>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</si>
  <si>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</si>
  <si>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</si>
  <si>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</si>
  <si>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</si>
  <si>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</si>
  <si>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</si>
  <si>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</si>
  <si>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</si>
  <si>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</si>
  <si>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</si>
  <si>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</si>
  <si>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</si>
  <si>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</si>
  <si>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</si>
  <si>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</si>
  <si>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</si>
  <si>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</si>
  <si>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</si>
  <si>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</si>
  <si>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</si>
  <si>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</si>
  <si>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</si>
  <si>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</si>
  <si>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</si>
  <si>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</si>
  <si>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</si>
  <si>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</si>
  <si>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</si>
  <si>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</si>
  <si>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</si>
  <si>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</si>
  <si>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</si>
  <si>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</si>
  <si>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</si>
  <si>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</si>
  <si>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</si>
  <si>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</si>
  <si>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</si>
  <si>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</si>
  <si>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</si>
  <si>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</si>
  <si>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</si>
  <si>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either provided or is providing non-investment banking,</t>
  </si>
  <si>
    <t>securities-related services to and/or in the past has entered into an agreement to provide services or</t>
  </si>
  <si>
    <t>has a client relationship with the following company: Eli Lilly &amp; Co..</t>
  </si>
  <si>
    <t>Within the last 12 months, Morgan Stanley has provided or is providing investment banking services to,</t>
  </si>
  <si>
    <t>or has an investment banking client relationship with, the following company: Eli Lilly &amp; Co..</t>
  </si>
  <si>
    <t>Within the last 12 months, Morgan Stanley has received compensation for products and services other than</t>
  </si>
  <si>
    <t>investment banking services from Eli Lilly &amp; Co..</t>
  </si>
  <si>
    <t>In the next 3 months, Morgan Stanley expects to receive or intends to seek compensation for investment</t>
  </si>
  <si>
    <t>banking services from Eli Lilly &amp; Co..</t>
  </si>
  <si>
    <t>Within the last 12 months, Morgan Stanley has received compensation for investment banking services from</t>
  </si>
  <si>
    <t>Eli Lilly &amp; Co..</t>
  </si>
  <si>
    <t>Within the last 12 months, Morgan Stanley managed or co-managed a public offering (or 144A offering) of</t>
  </si>
  <si>
    <t>securities of Eli Lilly &amp; Co..</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</si>
  <si>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</si>
  <si>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</si>
  <si>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</si>
  <si>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</si>
  <si>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</si>
  <si>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David Risinger.</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</si>
  <si>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</si>
  <si>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</si>
  <si>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</si>
  <si>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</si>
  <si>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</si>
  <si>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</si>
  <si>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</si>
  <si>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</si>
  <si>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</si>
  <si>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</si>
  <si>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</si>
  <si>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</si>
  <si>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</si>
  <si>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</si>
  <si>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</si>
  <si>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</si>
  <si>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</si>
  <si>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</si>
  <si>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</si>
  <si>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</si>
  <si>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</si>
  <si>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</si>
  <si>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</si>
  <si>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</si>
  <si>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Company</t>
  </si>
  <si>
    <t>DocType</t>
  </si>
  <si>
    <t>Model</t>
  </si>
  <si>
    <t>SubjectCode</t>
  </si>
  <si>
    <t>Description</t>
  </si>
  <si>
    <t>KeepVersions</t>
  </si>
  <si>
    <t>All</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</si>
  <si>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</si>
  <si>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</si>
  <si>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</si>
  <si>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</si>
  <si>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</si>
  <si>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</si>
  <si>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</si>
  <si>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</si>
  <si>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</si>
  <si>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</si>
  <si>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</si>
  <si>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</si>
  <si>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</si>
  <si>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 xml:space="preserve"> </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</si>
  <si>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</si>
  <si>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</si>
  <si>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</si>
  <si>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</si>
  <si>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</si>
  <si>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</si>
  <si>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</si>
  <si>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</si>
  <si>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</si>
  <si>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</si>
  <si>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</si>
  <si>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</si>
  <si>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</si>
  <si>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</si>
  <si>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</si>
  <si>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</si>
  <si>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</si>
  <si>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</si>
  <si>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</si>
  <si>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</si>
  <si>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</si>
  <si>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</si>
  <si>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</si>
  <si>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Equal-Weight / In-Line</t>
  </si>
  <si>
    <t>Quarterly Update</t>
  </si>
  <si>
    <t>NorthAmerica</t>
  </si>
  <si>
    <t>SAKEAGA</t>
  </si>
  <si>
    <t>L:\HEALTH\Pharma\Risinger\models\Upload\LLY180425upload.xlsx</t>
  </si>
  <si>
    <t>[BRO MSA]</t>
  </si>
  <si>
    <t>[PRODUCT MODEL]</t>
  </si>
  <si>
    <t>[EMAIL_ALERT YES]</t>
  </si>
  <si>
    <t>[DISCIPLINE Company]</t>
  </si>
  <si>
    <t>[SUPPRESSED NO]</t>
  </si>
  <si>
    <t>[DOCDAT 2018-04-25]</t>
  </si>
  <si>
    <t>[DOCTIME 07:58]</t>
  </si>
  <si>
    <t>[PSYM LLY.N(S&amp;P) (None)]</t>
  </si>
  <si>
    <t>[COU 1]</t>
  </si>
  <si>
    <t>[ANA ]</t>
  </si>
  <si>
    <t>[HL LLY.N Model]</t>
  </si>
  <si>
    <t>[IND PHARMS]</t>
  </si>
  <si>
    <t>[PANA MSA10056]</t>
  </si>
</sst>
</file>

<file path=xl/styles.xml><?xml version="1.0" encoding="utf-8"?>
<styleSheet xmlns="http://schemas.openxmlformats.org/spreadsheetml/2006/main" xmlns:mc="http://schemas.openxmlformats.org/markup-compatibility/2006" xmlns:x14ac="http://schemas.microsoft.com/office/spreadsheetml/2009/9/ac" mc:Ignorable="x14ac">
  <numFmts count="108">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0.0%"/>
    <numFmt numFmtId="166" formatCode="#,##0.0_);\(#,##0.0\)"/>
    <numFmt numFmtId="167" formatCode="&quot;$&quot;#,##0"/>
    <numFmt numFmtId="168" formatCode="##.#\x"/>
    <numFmt numFmtId="169" formatCode="0.0\x"/>
    <numFmt numFmtId="170" formatCode="&quot;$&quot;#,##0.00"/>
    <numFmt numFmtId="171" formatCode="0.0"/>
    <numFmt numFmtId="172" formatCode="##.0\x"/>
    <numFmt numFmtId="173" formatCode="##.0"/>
    <numFmt numFmtId="174" formatCode="_(* #,##0_);_(* \(#,##0\);_(* &quot;-&quot;??_);_(@_)"/>
    <numFmt numFmtId="175" formatCode="_(* #,##0.0_);_(* \(#,##0.0\);_(* &quot;-&quot;??_);_(@_)"/>
    <numFmt numFmtId="176" formatCode="_(* #,##0.000_);_(* \(#,##0.000\);_(* &quot;-&quot;??_);_(@_)"/>
    <numFmt numFmtId="177" formatCode="0\)"/>
    <numFmt numFmtId="178" formatCode="0.000%"/>
    <numFmt numFmtId="184" formatCode="_(* #,##0.0000_);_(* \(#,##0.0000\);_(* &quot;-&quot;??_);_(@_)"/>
    <numFmt numFmtId="186" formatCode="_(* #,##0.0_);_(* \(#,##0.0\);_(* &quot;-&quot;_);_(@_)"/>
    <numFmt numFmtId="187" formatCode="_(* #,##0.0000000_);_(* \(#,##0.0000000\);_(* &quot;-&quot;??_);_(@_)"/>
    <numFmt numFmtId="188" formatCode="0_)"/>
    <numFmt numFmtId="189" formatCode="0.0000"/>
    <numFmt numFmtId="190" formatCode="&quot;$&quot;_(#,##0.00_);&quot;$&quot;\(#,##0.00\)"/>
    <numFmt numFmtId="191" formatCode="&quot;$&quot;#,##0;[Red]\-&quot;$&quot;#,##0"/>
    <numFmt numFmtId="192" formatCode="#,##0.00_);\(#,##0.00\);0.00_);@_)"/>
    <numFmt numFmtId="193" formatCode="\€_(#,##0.00_);\€\(#,##0.00\);\€_(0.00_);@_)"/>
    <numFmt numFmtId="194" formatCode="#,##0.0_)\x;\(#,##0.0\)\x"/>
    <numFmt numFmtId="195" formatCode="&quot;$&quot;#,##0.00;\-&quot;$&quot;#,##0.00"/>
    <numFmt numFmtId="196" formatCode="#,##0_)\x;\(#,##0\)\x;0_)\x;@_)_x"/>
    <numFmt numFmtId="197" formatCode="#,##0.0_)_x;\(#,##0.0\)_x"/>
    <numFmt numFmtId="198" formatCode="&quot;$&quot;#,##0.00;[Red]\-&quot;$&quot;#,##0.00"/>
    <numFmt numFmtId="199" formatCode="#,##0_)_x;\(#,##0\)_x;0_)_x;@_)_x"/>
    <numFmt numFmtId="200" formatCode="0.0_)\%;\(0.0\)\%"/>
    <numFmt numFmtId="201" formatCode="_-&quot;$&quot;* #,##0_-;\-&quot;$&quot;* #,##0_-;_-&quot;$&quot;* &quot;-&quot;_-;_-@_-"/>
    <numFmt numFmtId="202" formatCode="#,##0.0_)_%;\(#,##0.0\)_%"/>
    <numFmt numFmtId="203" formatCode="\£\ #,##0_);[Red]\(\£\ #,##0\)"/>
    <numFmt numFmtId="204" formatCode="\¥\ #,##0_);[Red]\(\¥\ #,##0\)"/>
    <numFmt numFmtId="205" formatCode="\A\ &quot;$&quot;#,##0.00\ ;\(\A\ &quot;$&quot;#,##0.00\)"/>
    <numFmt numFmtId="206" formatCode="#,##0.0"/>
    <numFmt numFmtId="207" formatCode="#,##0;\(#,##0\)"/>
    <numFmt numFmtId="208" formatCode="0\A"/>
    <numFmt numFmtId="209" formatCode="#,##0.0_);[Red]\(#,##0.0\)"/>
    <numFmt numFmtId="210" formatCode="0.00%_);[Red]\(0.00%\)"/>
    <numFmt numFmtId="211" formatCode="#,##0.000_);[Red]\(#,##0.000\)"/>
    <numFmt numFmtId="212" formatCode="#,##0.000_);\(#,##0.000\)"/>
    <numFmt numFmtId="213" formatCode="&quot;$&quot;#,##0.000_);\(&quot;$&quot;#,##0.000\)"/>
    <numFmt numFmtId="214" formatCode="_(* #,##0.0,,_);_(* \(#,##0.0,,\);_(* &quot;-&quot;?_);_(@_)"/>
    <numFmt numFmtId="215" formatCode="[Blue]General"/>
    <numFmt numFmtId="216" formatCode="&quot;$&quot;#,##0\ ;&quot;$&quot;\(#,##0\);\-\-_)"/>
    <numFmt numFmtId="217" formatCode="&quot;$&quot;#,##0.0_);[Red]\(&quot;$&quot;#,##0.0\)"/>
    <numFmt numFmtId="218" formatCode="_(&quot;$&quot;* #,##0_);_(&quot;$&quot;* \(#,##0\);_(&quot;$&quot;* &quot;-&quot;??_);_(@_)"/>
    <numFmt numFmtId="219" formatCode="#,##0_);\(#,##0\);\ \-\-\-_)"/>
    <numFmt numFmtId="220" formatCode="&quot;$&quot;#,##0.0_);\(&quot;$&quot;#,##0.0\)"/>
    <numFmt numFmtId="221" formatCode="#,##0.000000_);\(#,##0.000000\)"/>
    <numFmt numFmtId="222" formatCode="0.000_)"/>
    <numFmt numFmtId="223" formatCode="#,##0.0;[Red]\(#,##0.0\)"/>
    <numFmt numFmtId="224" formatCode="#,##0.0\x"/>
    <numFmt numFmtId="225" formatCode="#,##0.0\A"/>
    <numFmt numFmtId="226" formatCode="#,##0.000"/>
    <numFmt numFmtId="227" formatCode="_(* #,##0_);_(* \(#,##0\);_(* &quot;----&quot;_);_(@_)"/>
    <numFmt numFmtId="228" formatCode="&quot;$&quot;#,##0\ ;\(&quot;$&quot;#,##0\)"/>
    <numFmt numFmtId="229" formatCode="_(* #,##0.00_);_(* \(#,##0.00\);_(* &quot;-----&quot;_);_(@_)"/>
    <numFmt numFmtId="230" formatCode="mmm\ d\,\ yyyy\ "/>
    <numFmt numFmtId="231" formatCode="yyyy"/>
    <numFmt numFmtId="232" formatCode="_-* #,##0_-;\-* #,##0_-;_-* &quot;-&quot;_-;_-@_-"/>
    <numFmt numFmtId="233" formatCode="&quot;$&quot;#,##0.0\ \ \ ;\(&quot;$&quot;#,##0.0\)\ \ "/>
    <numFmt numFmtId="234" formatCode="\$0.00;\(\$0.00\)"/>
    <numFmt numFmtId="235" formatCode="_(* #,##0.00_);_(* \(#,##0.00\);_(* &quot;---&quot;_);_(@_)"/>
    <numFmt numFmtId="236" formatCode="&quot;$&quot;#,##0.00&quot;A&quot;;[Red]\(&quot;$&quot;#,##0.00\)&quot;A&quot;"/>
    <numFmt numFmtId="237" formatCode="&quot;$&quot;#,##0.00&quot;E&quot;;[Red]\(&quot;$&quot;#,##0.00\)&quot;E&quot;"/>
    <numFmt numFmtId="238" formatCode="_([$€-2]* #,##0.00_);_([$€-2]* \(#,##0.00\);_([$€-2]* &quot;-&quot;??_)"/>
    <numFmt numFmtId="239" formatCode="0.0&quot;  &quot;"/>
    <numFmt numFmtId="240" formatCode="\F\F\r\ \ #,##0.00_);\F\F\r\ \ \(#,##0.00\)"/>
    <numFmt numFmtId="241" formatCode="_-* #,##0_-;\(#,##0\);_-* &quot;–&quot;_-;_-@_-"/>
    <numFmt numFmtId="242" formatCode="#,##0.0000_);[Red]\(#,##0.0000\)"/>
    <numFmt numFmtId="243" formatCode="0.0%_);[Red]\(0.0%\)"/>
    <numFmt numFmtId="244" formatCode="0.00%;\(0.00%\)"/>
    <numFmt numFmtId="245" formatCode="_(* #,##0.0_);_(* \(#,##0.0\);_(* &quot;----&quot;_);_(@_)"/>
    <numFmt numFmtId="246" formatCode="[Magenta]General"/>
    <numFmt numFmtId="247" formatCode="0.0%_);\(0.0%\)"/>
    <numFmt numFmtId="248" formatCode="_-* #,##0\ _F_-;\-* #,##0\ _F_-;_-* &quot;-&quot;\ _F_-;_-@_-"/>
    <numFmt numFmtId="249" formatCode="_-* #,##0.00\ _F_-;\-* #,##0.00\ _F_-;_-* &quot;-&quot;??\ _F_-;_-@_-"/>
    <numFmt numFmtId="250" formatCode="###0"/>
    <numFmt numFmtId="251" formatCode="_-&quot;$&quot;* #,##0.00_-;\-&quot;$&quot;* #,##0.00_-;_-&quot;$&quot;* &quot;-&quot;??_-;_-@_-"/>
    <numFmt numFmtId="252" formatCode="0.00_)"/>
    <numFmt numFmtId="253" formatCode="#,##0.0\ \ \ ;\(#,##0.0\)\ \ "/>
    <numFmt numFmtId="254" formatCode="General_)"/>
    <numFmt numFmtId="255" formatCode="_(* #,##0.0%_);_(* \(#,##0.0%\);_(* &quot;-&quot;??_);_(@_)"/>
    <numFmt numFmtId="256" formatCode="#,##0.0\%_);\(#,##0.0\%\);#,##0.0\%_);@_)"/>
    <numFmt numFmtId="257" formatCode="[Red]General"/>
    <numFmt numFmtId="258" formatCode="#,##0;\(#,##0\);\–;@"/>
    <numFmt numFmtId="259" formatCode="&quot;$&quot;#,##0.000_);[Red]\(&quot;$&quot;#,##0.000\)"/>
    <numFmt numFmtId="260" formatCode="&quot;Sfr&quot;#,##0_);\(&quot;Sfr&quot;#,##0\)"/>
    <numFmt numFmtId="261" formatCode="_(* #,###.0,_);_(* \(#,###.0,\);_(* &quot;-&quot;??_);_(@_)"/>
    <numFmt numFmtId="262" formatCode="_(&quot;$&quot;* #,###.0,_);_(&quot;$&quot;* \(#,###.0,\);_(&quot;$&quot;* &quot;-&quot;??_);_(@_)"/>
    <numFmt numFmtId="263" formatCode="#,##0.0\ ;\(#,##0.0\)"/>
    <numFmt numFmtId="264" formatCode="_-&quot;L.&quot;\ * #,##0_-;\-&quot;L.&quot;\ * #,##0_-;_-&quot;L.&quot;\ * &quot;-&quot;_-;_-@_-"/>
    <numFmt numFmtId="265" formatCode="_-&quot;L.&quot;\ * #,##0.00_-;\-&quot;L.&quot;\ * #,##0.00_-;_-&quot;L.&quot;\ * &quot;-&quot;??_-;_-@_-"/>
    <numFmt numFmtId="266" formatCode="0.0_)"/>
    <numFmt numFmtId="267" formatCode="_-* #,##0.000_-;\-* #,##0.000_-;_-* &quot;-&quot;??_-;_-@_-"/>
    <numFmt numFmtId="268" formatCode="\¥#,##0.00_);\(\¥#,##0.00\)"/>
    <numFmt numFmtId="274" formatCode="mm/dd/yy\ hh:mm"/>
  </numFmts>
  <fonts count="249">
    <font>
      <sz val="10"/>
      <name val="Arial"/>
    </font>
    <font>
      <sz val="11"/>
      <color theme="1"/>
      <name val="Calibri"/>
      <family val="2"/>
      <scheme val="minor"/>
    </font>
    <font>
      <sz val="10"/>
      <name val="Arial"/>
      <family val="2"/>
    </font>
    <font>
      <sz val="8"/>
      <name val="Arial"/>
      <family val="2"/>
    </font>
    <font>
      <sz val="8"/>
      <color indexed="12"/>
      <name val="Arial"/>
      <family val="2"/>
    </font>
    <font>
      <sz val="10"/>
      <name val="MS Sans Serif"/>
      <family val="2"/>
    </font>
    <font>
      <sz val="10"/>
      <name val="Arial"/>
      <family val="2"/>
    </font>
    <font>
      <b/>
      <sz val="10"/>
      <color indexed="8"/>
      <name val="Times New Roman"/>
      <family val="1"/>
    </font>
    <font>
      <b/>
      <sz val="10"/>
      <name val="Arial"/>
      <family val="2"/>
    </font>
    <font>
      <b/>
      <sz val="8"/>
      <name val="Arial"/>
      <family val="2"/>
    </font>
    <font>
      <b/>
      <sz val="12"/>
      <name val="Arial"/>
      <family val="2"/>
    </font>
    <font>
      <u/>
      <sz val="10"/>
      <color indexed="12"/>
      <name val="Arial"/>
      <family val="2"/>
    </font>
    <font>
      <sz val="9"/>
      <name val="Times New Roman"/>
      <family val="1"/>
    </font>
    <font>
      <sz val="10"/>
      <color indexed="8"/>
      <name val="Times New Roman"/>
      <family val="1"/>
    </font>
    <font>
      <i/>
      <sz val="8"/>
      <name val="Times New Roman"/>
      <family val="1"/>
    </font>
    <font>
      <b/>
      <sz val="9"/>
      <name val="Arial"/>
      <family val="2"/>
    </font>
    <font>
      <sz val="8"/>
      <name val="Arial Narrow"/>
      <family val="2"/>
    </font>
    <font>
      <sz val="12"/>
      <name val="Arial Narrow"/>
      <family val="2"/>
    </font>
    <font>
      <b/>
      <sz val="12"/>
      <color indexed="9"/>
      <name val="Arial Narrow"/>
      <family val="2"/>
    </font>
    <font>
      <sz val="12"/>
      <color indexed="56"/>
      <name val="Arial Narrow"/>
      <family val="2"/>
    </font>
    <font>
      <sz val="8"/>
      <color indexed="56"/>
      <name val="Arial Narrow"/>
      <family val="2"/>
    </font>
    <font>
      <b/>
      <sz val="8"/>
      <name val="Arial Narrow"/>
      <family val="2"/>
    </font>
    <font>
      <sz val="8"/>
      <color indexed="12"/>
      <name val="Arial Narrow"/>
      <family val="2"/>
    </font>
    <font>
      <sz val="8"/>
      <color indexed="9"/>
      <name val="Arial Narrow"/>
      <family val="2"/>
    </font>
    <font>
      <b/>
      <sz val="8"/>
      <color indexed="17"/>
      <name val="Arial Narrow"/>
      <family val="2"/>
    </font>
    <font>
      <b/>
      <i/>
      <sz val="8"/>
      <name val="Arial Narrow"/>
      <family val="2"/>
    </font>
    <font>
      <sz val="8"/>
      <color indexed="10"/>
      <name val="Arial Narrow"/>
      <family val="2"/>
    </font>
    <font>
      <b/>
      <sz val="8"/>
      <color indexed="81"/>
      <name val="Tahoma"/>
      <family val="2"/>
    </font>
    <font>
      <sz val="8"/>
      <color indexed="17"/>
      <name val="Arial Narrow"/>
      <family val="2"/>
    </font>
    <font>
      <sz val="10"/>
      <name val="Arial Narrow"/>
      <family val="2"/>
    </font>
    <font>
      <sz val="8"/>
      <color indexed="81"/>
      <name val="Tahoma"/>
      <family val="2"/>
    </font>
    <font>
      <sz val="20"/>
      <color indexed="9"/>
      <name val="Arial Narrow"/>
      <family val="2"/>
    </font>
    <font>
      <b/>
      <sz val="18"/>
      <color indexed="9"/>
      <name val="Arial Narrow"/>
      <family val="2"/>
    </font>
    <font>
      <b/>
      <sz val="14"/>
      <color indexed="9"/>
      <name val="Arial Narrow"/>
      <family val="2"/>
    </font>
    <font>
      <sz val="20"/>
      <name val="Arial Narrow"/>
      <family val="2"/>
    </font>
    <font>
      <b/>
      <sz val="12"/>
      <name val="Arial Narrow"/>
      <family val="2"/>
    </font>
    <font>
      <sz val="10"/>
      <color indexed="12"/>
      <name val="Arial Narrow"/>
      <family val="2"/>
    </font>
    <font>
      <u/>
      <sz val="10"/>
      <color indexed="12"/>
      <name val="Arial Narrow"/>
      <family val="2"/>
    </font>
    <font>
      <b/>
      <sz val="8"/>
      <color indexed="18"/>
      <name val="Arial Narrow"/>
      <family val="2"/>
    </font>
    <font>
      <i/>
      <sz val="8"/>
      <name val="Arial Narrow"/>
      <family val="2"/>
    </font>
    <font>
      <i/>
      <sz val="8"/>
      <color indexed="17"/>
      <name val="Arial Narrow"/>
      <family val="2"/>
    </font>
    <font>
      <i/>
      <sz val="8"/>
      <color indexed="12"/>
      <name val="Arial Narrow"/>
      <family val="2"/>
    </font>
    <font>
      <sz val="8"/>
      <color indexed="60"/>
      <name val="Arial Narrow"/>
      <family val="2"/>
    </font>
    <font>
      <sz val="6"/>
      <name val="Arial Narrow"/>
      <family val="2"/>
    </font>
    <font>
      <sz val="7"/>
      <name val="Arial Narrow"/>
      <family val="2"/>
    </font>
    <font>
      <b/>
      <sz val="12"/>
      <color indexed="56"/>
      <name val="Arial Narrow"/>
      <family val="2"/>
    </font>
    <font>
      <sz val="10"/>
      <color indexed="56"/>
      <name val="Arial Narrow"/>
      <family val="2"/>
    </font>
    <font>
      <b/>
      <sz val="10"/>
      <name val="Arial Narrow"/>
      <family val="2"/>
    </font>
    <font>
      <b/>
      <sz val="8"/>
      <color indexed="9"/>
      <name val="Arial Narrow"/>
      <family val="2"/>
    </font>
    <font>
      <sz val="8"/>
      <color indexed="18"/>
      <name val="Arial Narrow"/>
      <family val="2"/>
    </font>
    <font>
      <i/>
      <sz val="8"/>
      <color indexed="60"/>
      <name val="Arial Narrow"/>
      <family val="2"/>
    </font>
    <font>
      <b/>
      <sz val="8.5"/>
      <name val="Arial Narrow"/>
      <family val="2"/>
    </font>
    <font>
      <b/>
      <sz val="8"/>
      <color indexed="12"/>
      <name val="Arial Narrow"/>
      <family val="2"/>
    </font>
    <font>
      <b/>
      <i/>
      <sz val="10"/>
      <name val="Arial Narrow"/>
      <family val="2"/>
    </font>
    <font>
      <b/>
      <sz val="8"/>
      <color indexed="60"/>
      <name val="Arial Narrow"/>
      <family val="2"/>
    </font>
    <font>
      <sz val="8"/>
      <color indexed="8"/>
      <name val="Arial Narrow"/>
      <family val="2"/>
    </font>
    <font>
      <i/>
      <sz val="8"/>
      <color indexed="9"/>
      <name val="Arial Narrow"/>
      <family val="2"/>
    </font>
    <font>
      <b/>
      <i/>
      <u/>
      <sz val="8"/>
      <name val="Arial Narrow"/>
      <family val="2"/>
    </font>
    <font>
      <sz val="8"/>
      <color indexed="41"/>
      <name val="Arial Narrow"/>
      <family val="2"/>
    </font>
    <font>
      <sz val="12"/>
      <color indexed="41"/>
      <name val="Arial Narrow"/>
      <family val="2"/>
    </font>
    <font>
      <b/>
      <u/>
      <sz val="8"/>
      <name val="Arial Narrow"/>
      <family val="2"/>
    </font>
    <font>
      <sz val="12"/>
      <color indexed="9"/>
      <name val="Arial Narrow"/>
      <family val="2"/>
    </font>
    <font>
      <b/>
      <sz val="8.5"/>
      <color indexed="12"/>
      <name val="Arial Narrow"/>
      <family val="2"/>
    </font>
    <font>
      <sz val="8.5"/>
      <name val="Arial Narrow"/>
      <family val="2"/>
    </font>
    <font>
      <sz val="10"/>
      <color indexed="9"/>
      <name val="Arial"/>
      <family val="2"/>
    </font>
    <font>
      <sz val="9"/>
      <name val="Arial"/>
      <family val="2"/>
    </font>
    <font>
      <b/>
      <sz val="11"/>
      <name val="Arial"/>
      <family val="2"/>
    </font>
    <font>
      <sz val="8"/>
      <color indexed="9"/>
      <name val="Arial"/>
      <family val="2"/>
    </font>
    <font>
      <b/>
      <sz val="14"/>
      <color indexed="18"/>
      <name val="Arial"/>
      <family val="2"/>
    </font>
    <font>
      <sz val="12"/>
      <name val="Arial"/>
      <family val="2"/>
    </font>
    <font>
      <b/>
      <sz val="10"/>
      <color indexed="9"/>
      <name val="Arial"/>
      <family val="2"/>
    </font>
    <font>
      <sz val="10"/>
      <color indexed="12"/>
      <name val="Arial"/>
      <family val="2"/>
    </font>
    <font>
      <sz val="10"/>
      <color indexed="22"/>
      <name val="Arial"/>
      <family val="2"/>
    </font>
    <font>
      <sz val="11"/>
      <name val="Arial"/>
      <family val="2"/>
    </font>
    <font>
      <sz val="8"/>
      <color indexed="16"/>
      <name val="Arial Narrow"/>
      <family val="2"/>
    </font>
    <font>
      <i/>
      <sz val="8"/>
      <color indexed="16"/>
      <name val="Arial Narrow"/>
      <family val="2"/>
    </font>
    <font>
      <b/>
      <sz val="8"/>
      <color indexed="16"/>
      <name val="Arial Narrow"/>
      <family val="2"/>
    </font>
    <font>
      <i/>
      <sz val="8"/>
      <color indexed="8"/>
      <name val="Arial Narrow"/>
      <family val="2"/>
    </font>
    <font>
      <u/>
      <sz val="8"/>
      <name val="Arial Narrow"/>
      <family val="2"/>
    </font>
    <font>
      <b/>
      <sz val="11"/>
      <color rgb="FF000080"/>
      <name val="Arial Narrow"/>
      <family val="2"/>
    </font>
    <font>
      <sz val="8"/>
      <color rgb="FF0000FF"/>
      <name val="Arial Narrow"/>
      <family val="2"/>
    </font>
    <font>
      <sz val="9"/>
      <color indexed="81"/>
      <name val="Tahoma"/>
      <family val="2"/>
    </font>
    <font>
      <b/>
      <sz val="9"/>
      <color indexed="81"/>
      <name val="Tahoma"/>
      <family val="2"/>
    </font>
    <font>
      <i/>
      <sz val="8"/>
      <color rgb="FF993300"/>
      <name val="Arial Narrow"/>
      <family val="2"/>
    </font>
    <font>
      <b/>
      <i/>
      <sz val="8"/>
      <color rgb="FF993300"/>
      <name val="Arial Narrow"/>
      <family val="2"/>
    </font>
    <font>
      <sz val="8"/>
      <color rgb="FF993300"/>
      <name val="Arial Narrow"/>
      <family val="2"/>
    </font>
    <font>
      <sz val="8"/>
      <color rgb="FF008000"/>
      <name val="Arial Narrow"/>
      <family val="2"/>
    </font>
    <font>
      <b/>
      <sz val="8"/>
      <color theme="0"/>
      <name val="Arial Narrow"/>
      <family val="2"/>
    </font>
    <font>
      <sz val="8"/>
      <color theme="0"/>
      <name val="Arial Narrow"/>
      <family val="2"/>
    </font>
    <font>
      <b/>
      <sz val="8"/>
      <color rgb="FF0000FF"/>
      <name val="Arial Narrow"/>
      <family val="2"/>
    </font>
    <font>
      <sz val="10"/>
      <name val="Calibri"/>
      <family val="2"/>
    </font>
    <font>
      <sz val="8.5"/>
      <color indexed="12"/>
      <name val="Arial Narrow"/>
      <family val="2"/>
    </font>
    <font>
      <sz val="8.5"/>
      <color rgb="FF0000FF"/>
      <name val="Arial Narrow"/>
      <family val="2"/>
    </font>
    <font>
      <sz val="10"/>
      <color rgb="FF0000FF"/>
      <name val="Arial"/>
      <family val="2"/>
    </font>
    <font>
      <sz val="10"/>
      <color theme="1"/>
      <name val="Arial"/>
      <family val="2"/>
    </font>
    <font>
      <i/>
      <sz val="8"/>
      <color rgb="FF008000"/>
      <name val="Arial Narrow"/>
      <family val="2"/>
    </font>
    <font>
      <sz val="8"/>
      <color rgb="FFFF0000"/>
      <name val="Arial Narrow"/>
      <family val="2"/>
    </font>
    <font>
      <sz val="8"/>
      <color rgb="FF002060"/>
      <name val="Arial Narrow"/>
      <family val="2"/>
    </font>
    <font>
      <sz val="10"/>
      <color indexed="17"/>
      <name val="Arial"/>
      <family val="2"/>
    </font>
    <font>
      <sz val="12"/>
      <name val="Palatino"/>
      <family val="1"/>
    </font>
    <font>
      <b/>
      <sz val="22"/>
      <color indexed="18"/>
      <name val="Arial"/>
      <family val="2"/>
    </font>
    <font>
      <sz val="9"/>
      <color indexed="8"/>
      <name val="Arial"/>
      <family val="2"/>
    </font>
    <font>
      <b/>
      <sz val="10"/>
      <color indexed="18"/>
      <name val="Arial"/>
      <family val="2"/>
    </font>
    <font>
      <b/>
      <u val="singleAccounting"/>
      <sz val="10"/>
      <color indexed="18"/>
      <name val="Arial"/>
      <family val="2"/>
    </font>
    <font>
      <sz val="10"/>
      <name val="Times New Roman"/>
      <family val="1"/>
    </font>
    <font>
      <sz val="12"/>
      <name val="Times New Roman"/>
      <family val="1"/>
    </font>
    <font>
      <sz val="8"/>
      <name val="Times New Roman"/>
      <family val="1"/>
    </font>
    <font>
      <sz val="11"/>
      <color indexed="8"/>
      <name val="Calibri"/>
      <family val="2"/>
    </font>
    <font>
      <sz val="10"/>
      <color indexed="8"/>
      <name val="Arial"/>
      <family val="2"/>
    </font>
    <font>
      <sz val="11"/>
      <color indexed="9"/>
      <name val="Calibri"/>
      <family val="2"/>
    </font>
    <font>
      <sz val="12"/>
      <name val="Arial MT"/>
    </font>
    <font>
      <sz val="8"/>
      <color indexed="8"/>
      <name val="Times New Roman"/>
      <family val="1"/>
    </font>
    <font>
      <b/>
      <sz val="10"/>
      <name val="Times New Roman"/>
      <family val="1"/>
    </font>
    <font>
      <b/>
      <sz val="18"/>
      <name val="Helv"/>
    </font>
    <font>
      <sz val="14"/>
      <name val="Helv"/>
    </font>
    <font>
      <b/>
      <sz val="14"/>
      <name val="Helv"/>
    </font>
    <font>
      <sz val="8"/>
      <name val="Tms Rmn"/>
    </font>
    <font>
      <sz val="10"/>
      <name val="Courier"/>
      <family val="3"/>
    </font>
    <font>
      <i/>
      <sz val="8"/>
      <color indexed="16"/>
      <name val="Arial"/>
      <family val="2"/>
    </font>
    <font>
      <i/>
      <sz val="8"/>
      <color indexed="54"/>
      <name val="Arial"/>
      <family val="2"/>
    </font>
    <font>
      <i/>
      <sz val="9"/>
      <color indexed="16"/>
      <name val="Arial"/>
      <family val="2"/>
    </font>
    <font>
      <sz val="9"/>
      <color indexed="8"/>
      <name val="Times New Roman"/>
      <family val="1"/>
    </font>
    <font>
      <b/>
      <sz val="12"/>
      <color indexed="10"/>
      <name val="Palatino"/>
      <family val="1"/>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Tms Rmn"/>
    </font>
    <font>
      <sz val="11"/>
      <color indexed="20"/>
      <name val="Calibri"/>
      <family val="2"/>
    </font>
    <font>
      <sz val="10"/>
      <color indexed="20"/>
      <name val="Arial"/>
      <family val="2"/>
    </font>
    <font>
      <sz val="8"/>
      <color indexed="18"/>
      <name val="Times New Roman"/>
      <family val="1"/>
    </font>
    <font>
      <sz val="9"/>
      <color indexed="9"/>
      <name val="Times New Roman"/>
      <family val="1"/>
    </font>
    <font>
      <sz val="10"/>
      <name val="Helv"/>
    </font>
    <font>
      <b/>
      <sz val="12"/>
      <name val="Palatino"/>
      <family val="1"/>
    </font>
    <font>
      <b/>
      <sz val="10"/>
      <name val="Palatino"/>
      <family val="1"/>
    </font>
    <font>
      <b/>
      <u/>
      <sz val="10"/>
      <name val="Palatino"/>
      <family val="1"/>
    </font>
    <font>
      <b/>
      <sz val="12"/>
      <name val="Times New Roman"/>
      <family val="1"/>
    </font>
    <font>
      <b/>
      <sz val="12"/>
      <name val="Helv"/>
    </font>
    <font>
      <sz val="10"/>
      <color indexed="8"/>
      <name val="TMSRMN"/>
    </font>
    <font>
      <b/>
      <sz val="18"/>
      <color indexed="22"/>
      <name val="Arial"/>
      <family val="2"/>
    </font>
    <font>
      <b/>
      <sz val="12"/>
      <color indexed="22"/>
      <name val="Arial"/>
      <family val="2"/>
    </font>
    <font>
      <b/>
      <sz val="11"/>
      <color indexed="52"/>
      <name val="Calibri"/>
      <family val="2"/>
    </font>
    <font>
      <b/>
      <sz val="10"/>
      <color indexed="52"/>
      <name val="Arial"/>
      <family val="2"/>
    </font>
    <font>
      <sz val="10"/>
      <color indexed="18"/>
      <name val="Times New Roman"/>
      <family val="1"/>
    </font>
    <font>
      <b/>
      <sz val="11"/>
      <color indexed="9"/>
      <name val="Calibri"/>
      <family val="2"/>
    </font>
    <font>
      <sz val="10"/>
      <name val="Geneva"/>
      <family val="2"/>
    </font>
    <font>
      <u/>
      <sz val="5"/>
      <color indexed="12"/>
      <name val="Arial"/>
      <family val="2"/>
    </font>
    <font>
      <sz val="11"/>
      <name val="Tms Rmn"/>
      <family val="1"/>
    </font>
    <font>
      <sz val="8"/>
      <color indexed="12"/>
      <name val="Helv"/>
    </font>
    <font>
      <sz val="9"/>
      <name val="Arial Narrow"/>
      <family val="2"/>
    </font>
    <font>
      <sz val="10"/>
      <name val="BERNHARD"/>
    </font>
    <font>
      <sz val="10"/>
      <color indexed="12"/>
      <name val="Geneva"/>
      <family val="2"/>
    </font>
    <font>
      <b/>
      <sz val="24"/>
      <name val="Times New Roman"/>
      <family val="1"/>
    </font>
    <font>
      <b/>
      <sz val="8"/>
      <name val="Helv"/>
    </font>
    <font>
      <sz val="8"/>
      <name val="Helv"/>
    </font>
    <font>
      <sz val="11"/>
      <color indexed="12"/>
      <name val="Book Antiqua"/>
      <family val="1"/>
    </font>
    <font>
      <b/>
      <sz val="8"/>
      <name val="Times New Roman"/>
      <family val="1"/>
    </font>
    <font>
      <sz val="9"/>
      <color indexed="12"/>
      <name val="Times New Roman"/>
      <family val="1"/>
    </font>
    <font>
      <i/>
      <sz val="11"/>
      <color indexed="23"/>
      <name val="Calibri"/>
      <family val="2"/>
    </font>
    <font>
      <i/>
      <sz val="10"/>
      <color indexed="23"/>
      <name val="Arial"/>
      <family val="2"/>
    </font>
    <font>
      <b/>
      <i/>
      <sz val="14"/>
      <name val="Tms Rmn"/>
    </font>
    <font>
      <sz val="7"/>
      <name val="Palatino"/>
      <family val="1"/>
    </font>
    <font>
      <b/>
      <sz val="8.5"/>
      <color indexed="17"/>
      <name val="Arial"/>
      <family val="2"/>
    </font>
    <font>
      <b/>
      <sz val="8"/>
      <name val="Verdana"/>
      <family val="2"/>
    </font>
    <font>
      <sz val="8"/>
      <name val="Verdana"/>
      <family val="2"/>
    </font>
    <font>
      <sz val="11"/>
      <color indexed="17"/>
      <name val="Calibri"/>
      <family val="2"/>
    </font>
    <font>
      <i/>
      <sz val="8"/>
      <color indexed="17"/>
      <name val="Times New Roman"/>
      <family val="1"/>
    </font>
    <font>
      <sz val="8"/>
      <color indexed="21"/>
      <name val="Arial"/>
      <family val="2"/>
    </font>
    <font>
      <sz val="7"/>
      <name val="Arial"/>
      <family val="2"/>
    </font>
    <font>
      <b/>
      <sz val="7"/>
      <color indexed="17"/>
      <name val="Arial"/>
      <family val="2"/>
    </font>
    <font>
      <sz val="8.5"/>
      <color indexed="8"/>
      <name val="Arial"/>
      <family val="2"/>
    </font>
    <font>
      <sz val="6"/>
      <color indexed="16"/>
      <name val="Palatino"/>
      <family val="1"/>
    </font>
    <font>
      <b/>
      <sz val="15"/>
      <color indexed="62"/>
      <name val="Calibri"/>
      <family val="2"/>
    </font>
    <font>
      <b/>
      <sz val="18"/>
      <name val="Arial"/>
      <family val="2"/>
    </font>
    <font>
      <b/>
      <sz val="13"/>
      <color indexed="62"/>
      <name val="Calibri"/>
      <family val="2"/>
    </font>
    <font>
      <sz val="18"/>
      <name val="Helvetica-Black"/>
    </font>
    <font>
      <b/>
      <sz val="11"/>
      <color indexed="62"/>
      <name val="Calibri"/>
      <family val="2"/>
    </font>
    <font>
      <i/>
      <sz val="14"/>
      <name val="Palatino"/>
      <family val="1"/>
    </font>
    <font>
      <b/>
      <sz val="11"/>
      <color indexed="62"/>
      <name val="Arial"/>
      <family val="2"/>
    </font>
    <font>
      <b/>
      <sz val="6"/>
      <name val="Palatino"/>
      <family val="1"/>
    </font>
    <font>
      <b/>
      <sz val="10"/>
      <name val="Helv"/>
    </font>
    <font>
      <b/>
      <sz val="7"/>
      <color indexed="8"/>
      <name val="Tms Rmn"/>
    </font>
    <font>
      <sz val="7"/>
      <color indexed="8"/>
      <name val="Tms Rmn"/>
    </font>
    <font>
      <u/>
      <sz val="8"/>
      <color indexed="12"/>
      <name val="Helvetica"/>
      <family val="2"/>
    </font>
    <font>
      <sz val="11"/>
      <color indexed="62"/>
      <name val="Calibri"/>
      <family val="2"/>
    </font>
    <font>
      <sz val="10"/>
      <color indexed="10"/>
      <name val="Times New Roman"/>
      <family val="1"/>
    </font>
    <font>
      <i/>
      <sz val="8"/>
      <name val="Tms Rmn"/>
    </font>
    <font>
      <u/>
      <sz val="7.5"/>
      <color indexed="12"/>
      <name val="Arial"/>
      <family val="2"/>
    </font>
    <font>
      <sz val="11"/>
      <color indexed="52"/>
      <name val="Calibri"/>
      <family val="2"/>
    </font>
    <font>
      <sz val="10"/>
      <color indexed="52"/>
      <name val="Arial"/>
      <family val="2"/>
    </font>
    <font>
      <sz val="10"/>
      <color indexed="10"/>
      <name val="Arial"/>
      <family val="2"/>
    </font>
    <font>
      <b/>
      <sz val="14"/>
      <name val="Arial"/>
      <family val="2"/>
    </font>
    <font>
      <sz val="8"/>
      <color indexed="10"/>
      <name val="Times New Roman"/>
      <family val="1"/>
    </font>
    <font>
      <sz val="11"/>
      <color indexed="60"/>
      <name val="Calibri"/>
      <family val="2"/>
    </font>
    <font>
      <sz val="10"/>
      <color indexed="60"/>
      <name val="Arial"/>
      <family val="2"/>
    </font>
    <font>
      <b/>
      <i/>
      <sz val="16"/>
      <name val="Helv"/>
    </font>
    <font>
      <sz val="10"/>
      <name val="CG Times (WN)"/>
    </font>
    <font>
      <i/>
      <sz val="10"/>
      <name val="Helv"/>
    </font>
    <font>
      <sz val="8"/>
      <name val="Dutch"/>
    </font>
    <font>
      <b/>
      <sz val="9"/>
      <color indexed="8"/>
      <name val="Helvetica 65"/>
      <family val="2"/>
    </font>
    <font>
      <sz val="9"/>
      <color indexed="8"/>
      <name val="Helvetica 45"/>
      <family val="2"/>
    </font>
    <font>
      <b/>
      <sz val="8"/>
      <color indexed="8"/>
      <name val="Helvetica 65"/>
    </font>
    <font>
      <sz val="8"/>
      <name val="Helvetica 65"/>
      <family val="2"/>
    </font>
    <font>
      <b/>
      <sz val="13.5"/>
      <name val="MS Sans Serif"/>
      <family val="2"/>
    </font>
    <font>
      <b/>
      <sz val="11"/>
      <color indexed="34"/>
      <name val="Calibri"/>
      <family val="2"/>
    </font>
    <font>
      <b/>
      <sz val="10"/>
      <color indexed="34"/>
      <name val="Arial"/>
      <family val="2"/>
    </font>
    <font>
      <b/>
      <sz val="14"/>
      <name val="Times New Roman"/>
      <family val="1"/>
    </font>
    <font>
      <b/>
      <sz val="26"/>
      <name val="Times New Roman"/>
      <family val="1"/>
    </font>
    <font>
      <b/>
      <sz val="18"/>
      <name val="Times New Roman"/>
      <family val="1"/>
    </font>
    <font>
      <sz val="10"/>
      <color indexed="16"/>
      <name val="Helvetica-Black"/>
    </font>
    <font>
      <sz val="16"/>
      <name val="Times New Roman"/>
      <family val="1"/>
    </font>
    <font>
      <sz val="10"/>
      <name val="Palatino"/>
      <family val="1"/>
    </font>
    <font>
      <sz val="12"/>
      <name val="Helvetica"/>
      <family val="2"/>
    </font>
    <font>
      <b/>
      <sz val="10"/>
      <name val="MS Sans Serif"/>
      <family val="2"/>
    </font>
    <font>
      <sz val="10"/>
      <name val="GS TheSans"/>
      <family val="2"/>
    </font>
    <font>
      <b/>
      <i/>
      <sz val="12"/>
      <name val="Times New Roman"/>
      <family val="1"/>
    </font>
    <font>
      <b/>
      <i/>
      <sz val="10"/>
      <name val="Century Gothic"/>
      <family val="2"/>
    </font>
    <font>
      <sz val="10"/>
      <name val="Arial MT"/>
    </font>
    <font>
      <sz val="9"/>
      <color indexed="63"/>
      <name val="Verdana"/>
      <family val="2"/>
    </font>
    <font>
      <sz val="9"/>
      <color indexed="62"/>
      <name val="Verdana"/>
      <family val="2"/>
    </font>
    <font>
      <b/>
      <sz val="9"/>
      <color indexed="63"/>
      <name val="Verdana"/>
      <family val="2"/>
    </font>
    <font>
      <b/>
      <sz val="9"/>
      <color indexed="59"/>
      <name val="Verdana"/>
      <family val="2"/>
    </font>
    <font>
      <sz val="9"/>
      <color indexed="18"/>
      <name val="Verdana"/>
      <family val="2"/>
    </font>
    <font>
      <b/>
      <sz val="8"/>
      <name val="HelveticaNeue Condensed"/>
    </font>
    <font>
      <sz val="8"/>
      <name val="HelveticaNeue LightCond"/>
      <family val="2"/>
    </font>
    <font>
      <b/>
      <sz val="7"/>
      <name val="HelveticaNeue Condensed"/>
      <family val="2"/>
    </font>
    <font>
      <b/>
      <sz val="9"/>
      <name val="Times New Roman"/>
      <family val="1"/>
    </font>
    <font>
      <sz val="7"/>
      <name val="Times New Roman"/>
      <family val="1"/>
    </font>
    <font>
      <sz val="7"/>
      <color indexed="17"/>
      <name val="Times New Roman"/>
      <family val="1"/>
    </font>
    <font>
      <b/>
      <sz val="10"/>
      <color indexed="12"/>
      <name val="Arial"/>
      <family val="2"/>
    </font>
    <font>
      <sz val="10"/>
      <color indexed="12"/>
      <name val="Palatino"/>
      <family val="1"/>
    </font>
    <font>
      <b/>
      <sz val="11"/>
      <name val="Times New Roman"/>
      <family val="1"/>
    </font>
    <font>
      <sz val="9"/>
      <color indexed="21"/>
      <name val="Helvetica-Black"/>
    </font>
    <font>
      <b/>
      <sz val="9"/>
      <name val="Palatino"/>
      <family val="1"/>
    </font>
    <font>
      <b/>
      <sz val="8.5"/>
      <color indexed="8"/>
      <name val="Arial"/>
      <family val="2"/>
    </font>
    <font>
      <sz val="9"/>
      <name val="Helvetica-Black"/>
    </font>
    <font>
      <sz val="8"/>
      <name val="Helvetica-Narrow"/>
      <family val="2"/>
    </font>
    <font>
      <b/>
      <sz val="7"/>
      <name val="Helvetica-Narrow"/>
      <family val="2"/>
    </font>
    <font>
      <b/>
      <sz val="18"/>
      <color indexed="62"/>
      <name val="Cambria"/>
      <family val="2"/>
    </font>
    <font>
      <b/>
      <sz val="10"/>
      <color indexed="16"/>
      <name val="Times New Roman"/>
      <family val="1"/>
    </font>
    <font>
      <b/>
      <sz val="8"/>
      <color indexed="18"/>
      <name val="Times New Roman"/>
      <family val="1"/>
    </font>
    <font>
      <b/>
      <sz val="11"/>
      <color indexed="8"/>
      <name val="Calibri"/>
      <family val="2"/>
    </font>
    <font>
      <u/>
      <sz val="10"/>
      <name val="Helv"/>
    </font>
    <font>
      <sz val="8"/>
      <color indexed="16"/>
      <name val="Helv"/>
    </font>
    <font>
      <sz val="11"/>
      <color indexed="10"/>
      <name val="Calibri"/>
      <family val="2"/>
    </font>
    <font>
      <sz val="12"/>
      <name val="宋体"/>
      <charset val="134"/>
    </font>
    <font>
      <i/>
      <sz val="10"/>
      <name val="Arial"/>
      <family val="2"/>
    </font>
    <font>
      <sz val="10"/>
      <color rgb="FF000000"/>
      <name val="Arial"/>
      <family val="2"/>
    </font>
    <font>
      <b/>
      <sz val="12"/>
      <color rgb="FF000080"/>
      <name val="Arial"/>
      <family val="2"/>
    </font>
  </fonts>
  <fills count="70">
    <fill>
      <patternFill patternType="none"/>
    </fill>
    <fill>
      <patternFill patternType="gray125"/>
    </fill>
    <fill>
      <patternFill patternType="solid">
        <fgColor indexed="43"/>
        <bgColor indexed="64"/>
      </patternFill>
    </fill>
    <fill>
      <patternFill patternType="solid">
        <fgColor indexed="23"/>
        <bgColor indexed="64"/>
      </patternFill>
    </fill>
    <fill>
      <patternFill patternType="solid">
        <fgColor indexed="22"/>
        <bgColor indexed="64"/>
      </patternFill>
    </fill>
    <fill>
      <patternFill patternType="solid">
        <fgColor indexed="41"/>
        <bgColor indexed="64"/>
      </patternFill>
    </fill>
    <fill>
      <patternFill patternType="solid">
        <fgColor indexed="9"/>
        <bgColor indexed="64"/>
      </patternFill>
    </fill>
    <fill>
      <patternFill patternType="solid">
        <fgColor indexed="56"/>
        <bgColor indexed="64"/>
      </patternFill>
    </fill>
    <fill>
      <patternFill patternType="solid">
        <fgColor indexed="55"/>
        <bgColor indexed="64"/>
      </patternFill>
    </fill>
    <fill>
      <patternFill patternType="solid">
        <fgColor indexed="47"/>
        <bgColor indexed="64"/>
      </patternFill>
    </fill>
    <fill>
      <patternFill patternType="gray0625"/>
    </fill>
    <fill>
      <patternFill patternType="gray0625">
        <bgColor indexed="22"/>
      </patternFill>
    </fill>
    <fill>
      <patternFill patternType="gray0625">
        <bgColor indexed="47"/>
      </patternFill>
    </fill>
    <fill>
      <patternFill patternType="gray0625">
        <bgColor indexed="23"/>
      </patternFill>
    </fill>
    <fill>
      <patternFill patternType="gray0625">
        <bgColor indexed="55"/>
      </patternFill>
    </fill>
    <fill>
      <patternFill patternType="solid">
        <fgColor theme="0" tint="-0.34998626667073579"/>
        <bgColor indexed="64"/>
      </patternFill>
    </fill>
    <fill>
      <patternFill patternType="solid">
        <fgColor rgb="FFFFCC99"/>
        <bgColor indexed="64"/>
      </patternFill>
    </fill>
    <fill>
      <patternFill patternType="solid">
        <fgColor rgb="FF003366"/>
        <bgColor indexed="64"/>
      </patternFill>
    </fill>
    <fill>
      <patternFill patternType="solid">
        <fgColor theme="0" tint="-0.249977111117893"/>
        <bgColor indexed="64"/>
      </patternFill>
    </fill>
    <fill>
      <patternFill patternType="gray0625">
        <bgColor theme="0" tint="-0.249977111117893"/>
      </patternFill>
    </fill>
    <fill>
      <patternFill patternType="solid">
        <fgColor rgb="FFFFFF99"/>
        <bgColor indexed="64"/>
      </patternFill>
    </fill>
    <fill>
      <patternFill patternType="solid">
        <fgColor rgb="FFCCECFF"/>
        <bgColor indexed="64"/>
      </patternFill>
    </fill>
    <fill>
      <patternFill patternType="solid">
        <fgColor indexed="43"/>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38"/>
      </patternFill>
    </fill>
    <fill>
      <patternFill patternType="solid">
        <fgColor indexed="46"/>
      </patternFill>
    </fill>
    <fill>
      <patternFill patternType="solid">
        <fgColor indexed="27"/>
      </patternFill>
    </fill>
    <fill>
      <patternFill patternType="solid">
        <fgColor indexed="28"/>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3"/>
      </patternFill>
    </fill>
    <fill>
      <patternFill patternType="solid">
        <fgColor indexed="18"/>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indexed="28"/>
        <bgColor indexed="64"/>
      </patternFill>
    </fill>
    <fill>
      <patternFill patternType="solid">
        <fgColor indexed="24"/>
      </patternFill>
    </fill>
    <fill>
      <patternFill patternType="solid">
        <fgColor indexed="10"/>
      </patternFill>
    </fill>
    <fill>
      <patternFill patternType="solid">
        <fgColor indexed="57"/>
      </patternFill>
    </fill>
    <fill>
      <patternFill patternType="solid">
        <fgColor indexed="54"/>
      </patternFill>
    </fill>
    <fill>
      <patternFill patternType="solid">
        <fgColor indexed="49"/>
      </patternFill>
    </fill>
    <fill>
      <patternFill patternType="solid">
        <fgColor indexed="53"/>
      </patternFill>
    </fill>
    <fill>
      <patternFill patternType="gray0625">
        <fgColor indexed="10"/>
        <bgColor indexed="9"/>
      </patternFill>
    </fill>
    <fill>
      <patternFill patternType="solid">
        <fgColor indexed="27"/>
        <bgColor indexed="64"/>
      </patternFill>
    </fill>
    <fill>
      <patternFill patternType="solid">
        <fgColor indexed="26"/>
        <bgColor indexed="64"/>
      </patternFill>
    </fill>
    <fill>
      <patternFill patternType="lightGray">
        <fgColor indexed="14"/>
        <bgColor indexed="9"/>
      </patternFill>
    </fill>
    <fill>
      <patternFill patternType="solid">
        <fgColor indexed="9"/>
        <bgColor indexed="8"/>
      </patternFill>
    </fill>
    <fill>
      <patternFill patternType="lightGray">
        <fgColor indexed="12"/>
        <bgColor indexed="9"/>
      </patternFill>
    </fill>
    <fill>
      <patternFill patternType="solid">
        <fgColor indexed="11"/>
        <bgColor indexed="9"/>
      </patternFill>
    </fill>
    <fill>
      <patternFill patternType="solid">
        <fgColor indexed="8"/>
        <bgColor indexed="64"/>
      </patternFill>
    </fill>
    <fill>
      <patternFill patternType="lightGray">
        <fgColor indexed="38"/>
        <bgColor indexed="23"/>
      </patternFill>
    </fill>
    <fill>
      <patternFill patternType="solid">
        <fgColor indexed="44"/>
        <bgColor indexed="64"/>
      </patternFill>
    </fill>
    <fill>
      <patternFill patternType="mediumGray">
        <fgColor indexed="22"/>
      </patternFill>
    </fill>
    <fill>
      <patternFill patternType="solid">
        <fgColor indexed="63"/>
        <bgColor indexed="64"/>
      </patternFill>
    </fill>
    <fill>
      <patternFill patternType="lightGray">
        <fgColor indexed="22"/>
        <bgColor indexed="9"/>
      </patternFill>
    </fill>
    <fill>
      <patternFill patternType="solid">
        <fgColor indexed="8"/>
      </patternFill>
    </fill>
    <fill>
      <patternFill patternType="lightGray">
        <fgColor indexed="8"/>
      </patternFill>
    </fill>
    <fill>
      <patternFill patternType="solid">
        <fgColor indexed="62"/>
        <bgColor indexed="64"/>
      </patternFill>
    </fill>
    <fill>
      <patternFill patternType="solid">
        <fgColor indexed="16"/>
        <bgColor indexed="64"/>
      </patternFill>
    </fill>
    <fill>
      <patternFill patternType="lightGray"/>
    </fill>
    <fill>
      <patternFill patternType="gray0625">
        <bgColor rgb="FFFFCC99"/>
      </patternFill>
    </fill>
    <fill>
      <patternFill patternType="solid">
        <fgColor indexed="65"/>
        <bgColor indexed="64"/>
      </patternFill>
    </fill>
  </fills>
  <borders count="74">
    <border>
      <left/>
      <right/>
      <top/>
      <bottom/>
      <diagonal/>
    </border>
    <border>
      <left style="thin">
        <color indexed="22"/>
      </left>
      <right style="thin">
        <color indexed="22"/>
      </right>
      <top style="thin">
        <color indexed="22"/>
      </top>
      <bottom style="thin">
        <color indexed="22"/>
      </bottom>
      <diagonal/>
    </border>
    <border>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right style="thick">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ck">
        <color indexed="64"/>
      </right>
      <top/>
      <bottom style="medium">
        <color indexed="64"/>
      </bottom>
      <diagonal/>
    </border>
    <border>
      <left/>
      <right style="thick">
        <color indexed="64"/>
      </right>
      <top style="medium">
        <color indexed="64"/>
      </top>
      <bottom style="medium">
        <color indexed="64"/>
      </bottom>
      <diagonal/>
    </border>
    <border>
      <left/>
      <right style="double">
        <color indexed="64"/>
      </right>
      <top/>
      <bottom/>
      <diagonal/>
    </border>
    <border>
      <left/>
      <right style="double">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diagonalUp="1" diagonalDown="1">
      <left/>
      <right/>
      <top/>
      <bottom/>
      <diagonal/>
    </border>
    <border>
      <left/>
      <right/>
      <top style="hair">
        <color indexed="8"/>
      </top>
      <bottom style="hair">
        <color indexed="8"/>
      </bottom>
      <diagonal/>
    </border>
    <border>
      <left/>
      <right/>
      <top/>
      <bottom style="medium">
        <color indexed="18"/>
      </bottom>
      <diagonal/>
    </border>
    <border>
      <left style="medium">
        <color indexed="64"/>
      </left>
      <right style="medium">
        <color indexed="64"/>
      </right>
      <top/>
      <bottom/>
      <diagonal/>
    </border>
    <border>
      <left style="medium">
        <color indexed="64"/>
      </left>
      <right style="medium">
        <color indexed="64"/>
      </right>
      <top/>
      <bottom style="thick">
        <color indexed="37"/>
      </bottom>
      <diagonal/>
    </border>
    <border>
      <left style="thin">
        <color auto="1"/>
      </left>
      <right style="thin">
        <color auto="1"/>
      </right>
      <top style="thin">
        <color auto="1"/>
      </top>
      <bottom/>
      <diagonal/>
    </border>
    <border>
      <left style="thin">
        <color indexed="9"/>
      </left>
      <right style="thin">
        <color indexed="9"/>
      </right>
      <top style="thin">
        <color indexed="9"/>
      </top>
      <bottom style="thin">
        <color indexed="9"/>
      </bottom>
      <diagonal/>
    </border>
    <border>
      <left/>
      <right/>
      <top/>
      <bottom style="thin">
        <color indexed="4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34"/>
      </left>
      <right style="double">
        <color indexed="34"/>
      </right>
      <top style="double">
        <color indexed="34"/>
      </top>
      <bottom style="double">
        <color indexed="34"/>
      </bottom>
      <diagonal/>
    </border>
    <border>
      <left style="thin">
        <color indexed="64"/>
      </left>
      <right style="thin">
        <color indexed="64"/>
      </right>
      <top style="thin">
        <color indexed="64"/>
      </top>
      <bottom/>
      <diagonal/>
    </border>
    <border>
      <left/>
      <right style="thin">
        <color indexed="8"/>
      </right>
      <top style="thin">
        <color indexed="8"/>
      </top>
      <bottom/>
      <diagonal/>
    </border>
    <border>
      <left/>
      <right/>
      <top/>
      <bottom style="dotted">
        <color indexed="64"/>
      </bottom>
      <diagonal/>
    </border>
    <border>
      <left/>
      <right/>
      <top/>
      <bottom style="thick">
        <color indexed="24"/>
      </bottom>
      <diagonal/>
    </border>
    <border>
      <left/>
      <right/>
      <top/>
      <bottom style="thick">
        <color indexed="31"/>
      </bottom>
      <diagonal/>
    </border>
    <border>
      <left/>
      <right/>
      <top/>
      <bottom style="medium">
        <color indexed="26"/>
      </bottom>
      <diagonal/>
    </border>
    <border>
      <left style="thin">
        <color indexed="23"/>
      </left>
      <right style="thin">
        <color indexed="23"/>
      </right>
      <top style="thin">
        <color indexed="23"/>
      </top>
      <bottom style="thin">
        <color indexed="23"/>
      </bottom>
      <diagonal/>
    </border>
    <border>
      <left/>
      <right/>
      <top/>
      <bottom style="hair">
        <color indexed="64"/>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34"/>
      </left>
      <right style="thin">
        <color indexed="34"/>
      </right>
      <top style="thin">
        <color indexed="34"/>
      </top>
      <bottom style="thin">
        <color indexed="34"/>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medium">
        <color indexed="18"/>
      </left>
      <right style="medium">
        <color indexed="18"/>
      </right>
      <top style="medium">
        <color indexed="18"/>
      </top>
      <bottom style="medium">
        <color indexed="18"/>
      </bottom>
      <diagonal/>
    </border>
    <border>
      <left style="double">
        <color indexed="56"/>
      </left>
      <right style="double">
        <color indexed="56"/>
      </right>
      <top style="double">
        <color indexed="56"/>
      </top>
      <bottom style="double">
        <color indexed="56"/>
      </bottom>
      <diagonal/>
    </border>
    <border>
      <left/>
      <right/>
      <top/>
      <bottom style="thick">
        <color indexed="18"/>
      </bottom>
      <diagonal/>
    </border>
    <border>
      <left/>
      <right/>
      <top style="hair">
        <color indexed="64"/>
      </top>
      <bottom/>
      <diagonal/>
    </border>
    <border>
      <left/>
      <right/>
      <top style="thin">
        <color indexed="24"/>
      </top>
      <bottom style="double">
        <color indexed="24"/>
      </bottom>
      <diagonal/>
    </border>
    <border>
      <left/>
      <right/>
      <top style="double">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3962">
    <xf numFmtId="0" fontId="0" fillId="0" borderId="0"/>
    <xf numFmtId="0" fontId="2" fillId="0" borderId="0"/>
    <xf numFmtId="0" fontId="5" fillId="0" borderId="0"/>
    <xf numFmtId="0" fontId="5" fillId="0" borderId="0"/>
    <xf numFmtId="0" fontId="5" fillId="0" borderId="0"/>
    <xf numFmtId="0" fontId="6" fillId="0" borderId="0"/>
    <xf numFmtId="0" fontId="7" fillId="0" borderId="0"/>
    <xf numFmtId="43" fontId="2" fillId="0" borderId="0" applyFont="0" applyFill="0" applyBorder="0" applyAlignment="0" applyProtection="0"/>
    <xf numFmtId="44" fontId="2" fillId="0" borderId="0" applyFont="0" applyFill="0" applyBorder="0" applyAlignment="0" applyProtection="0"/>
    <xf numFmtId="0" fontId="11" fillId="0" borderId="0" applyNumberFormat="0" applyFill="0" applyBorder="0" applyAlignment="0" applyProtection="0">
      <alignment vertical="top"/>
      <protection locked="0"/>
    </xf>
    <xf numFmtId="38" fontId="2" fillId="0" borderId="0" applyFont="0" applyFill="0" applyBorder="0" applyAlignment="0" applyProtection="0"/>
    <xf numFmtId="0" fontId="6" fillId="0" borderId="0"/>
    <xf numFmtId="0" fontId="6" fillId="0" borderId="0"/>
    <xf numFmtId="0" fontId="6" fillId="0" borderId="0"/>
    <xf numFmtId="0" fontId="6" fillId="0" borderId="0"/>
    <xf numFmtId="0" fontId="2" fillId="0" borderId="0"/>
    <xf numFmtId="0" fontId="2" fillId="0" borderId="0"/>
    <xf numFmtId="0" fontId="6" fillId="0" borderId="0"/>
    <xf numFmtId="0" fontId="6" fillId="0" borderId="0"/>
    <xf numFmtId="0" fontId="6" fillId="0" borderId="0"/>
    <xf numFmtId="0" fontId="6" fillId="0" borderId="0"/>
    <xf numFmtId="0" fontId="12" fillId="0" borderId="0">
      <alignment vertical="center"/>
    </xf>
    <xf numFmtId="9" fontId="2" fillId="0" borderId="0" applyFont="0" applyFill="0" applyBorder="0" applyAlignment="0" applyProtection="0"/>
    <xf numFmtId="0" fontId="13" fillId="0" borderId="0"/>
    <xf numFmtId="0" fontId="13" fillId="0" borderId="2">
      <alignment horizontal="centerContinuous"/>
    </xf>
    <xf numFmtId="0" fontId="14" fillId="0" borderId="2"/>
    <xf numFmtId="0" fontId="2" fillId="0" borderId="0"/>
    <xf numFmtId="0" fontId="2" fillId="2" borderId="0" applyNumberFormat="0" applyFont="0" applyBorder="0" applyAlignment="0" applyProtection="0"/>
    <xf numFmtId="0" fontId="2" fillId="0" borderId="0"/>
    <xf numFmtId="0" fontId="2" fillId="0" borderId="0"/>
    <xf numFmtId="0" fontId="2" fillId="0" borderId="0"/>
    <xf numFmtId="0" fontId="2" fillId="0" borderId="0"/>
    <xf numFmtId="188" fontId="5" fillId="0" borderId="0"/>
    <xf numFmtId="0" fontId="5" fillId="0" borderId="0"/>
    <xf numFmtId="0" fontId="5" fillId="0" borderId="0"/>
    <xf numFmtId="188" fontId="5" fillId="0" borderId="0"/>
    <xf numFmtId="0" fontId="2" fillId="0" borderId="0"/>
    <xf numFmtId="0" fontId="2" fillId="0" borderId="0"/>
    <xf numFmtId="0" fontId="2" fillId="2" borderId="0" applyNumberFormat="0" applyFont="0" applyBorder="0" applyAlignment="0" applyProtection="0"/>
    <xf numFmtId="0" fontId="2" fillId="0" borderId="0"/>
    <xf numFmtId="0" fontId="2" fillId="0" borderId="0"/>
    <xf numFmtId="0" fontId="2" fillId="0" borderId="0"/>
    <xf numFmtId="0" fontId="1" fillId="0" borderId="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1" fontId="2" fillId="0" borderId="0" applyFont="0" applyFill="0" applyBorder="0" applyAlignment="0" applyProtection="0"/>
    <xf numFmtId="191"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0" fontId="2" fillId="0" borderId="0" applyFont="0" applyFill="0" applyBorder="0" applyAlignment="0" applyProtection="0"/>
    <xf numFmtId="190"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3" fontId="65" fillId="0" borderId="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193" fontId="2" fillId="0" borderId="0" applyFont="0" applyFill="0" applyBorder="0" applyAlignment="0" applyProtection="0"/>
    <xf numFmtId="193" fontId="2" fillId="0" borderId="0" applyFont="0" applyFill="0" applyBorder="0" applyAlignment="0" applyProtection="0"/>
    <xf numFmtId="193" fontId="2" fillId="0" borderId="0" applyFont="0" applyFill="0" applyBorder="0" applyAlignment="0" applyProtection="0"/>
    <xf numFmtId="19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3" fontId="2" fillId="0" borderId="0" applyFont="0" applyFill="0" applyBorder="0" applyAlignment="0" applyProtection="0"/>
    <xf numFmtId="19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2" fillId="22" borderId="0" applyNumberFormat="0" applyFont="0" applyAlignment="0" applyProtection="0"/>
    <xf numFmtId="0" fontId="2" fillId="22" borderId="0" applyNumberFormat="0" applyFont="0" applyAlignment="0" applyProtection="0"/>
    <xf numFmtId="0" fontId="2" fillId="22" borderId="0" applyNumberFormat="0" applyFont="0" applyAlignment="0" applyProtection="0"/>
    <xf numFmtId="0" fontId="2" fillId="22" borderId="0" applyNumberFormat="0" applyFont="0" applyAlignment="0" applyProtection="0"/>
    <xf numFmtId="0" fontId="2" fillId="0" borderId="36" quotePrefix="1">
      <alignment horizontal="justify" vertical="justify" textRotation="127" wrapText="1" justifyLastLine="1"/>
      <protection hidden="1"/>
    </xf>
    <xf numFmtId="0" fontId="2" fillId="0" borderId="36" quotePrefix="1">
      <alignment horizontal="justify" vertical="justify" textRotation="127" wrapText="1" justifyLastLine="1"/>
      <protection hidden="1"/>
    </xf>
    <xf numFmtId="0" fontId="2" fillId="0" borderId="36" quotePrefix="1">
      <alignment horizontal="justify" vertical="justify" textRotation="127" wrapText="1" justifyLastLine="1"/>
      <protection hidden="1"/>
    </xf>
    <xf numFmtId="0" fontId="2" fillId="0" borderId="36" quotePrefix="1">
      <alignment horizontal="justify" vertical="justify" textRotation="127" wrapText="1" justifyLastLine="1"/>
      <protection hidden="1"/>
    </xf>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0" fontId="99" fillId="0" borderId="0" applyNumberFormat="0" applyAlignment="0" applyProtection="0"/>
    <xf numFmtId="3" fontId="65" fillId="0" borderId="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6" fontId="2" fillId="0" borderId="0" applyFont="0" applyFill="0" applyBorder="0" applyAlignment="0" applyProtection="0"/>
    <xf numFmtId="196" fontId="2" fillId="0" borderId="0" applyFont="0" applyFill="0" applyBorder="0" applyAlignment="0" applyProtection="0"/>
    <xf numFmtId="196" fontId="2" fillId="0" borderId="0" applyFont="0" applyFill="0" applyBorder="0" applyAlignment="0" applyProtection="0"/>
    <xf numFmtId="196"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6" fontId="2" fillId="0" borderId="0" applyFont="0" applyFill="0" applyBorder="0" applyAlignment="0" applyProtection="0"/>
    <xf numFmtId="196"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6" fontId="2" fillId="0" borderId="0" applyFont="0" applyFill="0" applyBorder="0" applyAlignment="0" applyProtection="0"/>
    <xf numFmtId="196" fontId="2" fillId="0" borderId="0" applyFont="0" applyFill="0" applyBorder="0" applyAlignment="0" applyProtection="0"/>
    <xf numFmtId="196" fontId="2" fillId="0" borderId="0" applyFont="0" applyFill="0" applyBorder="0" applyAlignment="0" applyProtection="0"/>
    <xf numFmtId="196"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6" fontId="2" fillId="0" borderId="0" applyFont="0" applyFill="0" applyBorder="0" applyAlignment="0" applyProtection="0"/>
    <xf numFmtId="196"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5" fontId="2" fillId="0" borderId="0" applyFont="0" applyFill="0" applyBorder="0" applyAlignment="0" applyProtection="0"/>
    <xf numFmtId="195"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9" fontId="2" fillId="0" borderId="0" applyFont="0" applyFill="0" applyBorder="0" applyProtection="0">
      <alignment horizontal="right"/>
    </xf>
    <xf numFmtId="199" fontId="2" fillId="0" borderId="0" applyFont="0" applyFill="0" applyBorder="0" applyProtection="0">
      <alignment horizontal="right"/>
    </xf>
    <xf numFmtId="199" fontId="2" fillId="0" borderId="0" applyFont="0" applyFill="0" applyBorder="0" applyProtection="0">
      <alignment horizontal="right"/>
    </xf>
    <xf numFmtId="199"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199" fontId="2" fillId="0" borderId="0" applyFont="0" applyFill="0" applyBorder="0" applyProtection="0">
      <alignment horizontal="right"/>
    </xf>
    <xf numFmtId="199" fontId="2" fillId="0" borderId="0" applyFont="0" applyFill="0" applyBorder="0" applyProtection="0">
      <alignment horizontal="right"/>
    </xf>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9" fontId="2" fillId="0" borderId="0" applyFont="0" applyFill="0" applyBorder="0" applyProtection="0">
      <alignment horizontal="right"/>
    </xf>
    <xf numFmtId="199" fontId="2" fillId="0" borderId="0" applyFont="0" applyFill="0" applyBorder="0" applyProtection="0">
      <alignment horizontal="right"/>
    </xf>
    <xf numFmtId="199" fontId="2" fillId="0" borderId="0" applyFont="0" applyFill="0" applyBorder="0" applyProtection="0">
      <alignment horizontal="right"/>
    </xf>
    <xf numFmtId="199"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199" fontId="2" fillId="0" borderId="0" applyFont="0" applyFill="0" applyBorder="0" applyProtection="0">
      <alignment horizontal="right"/>
    </xf>
    <xf numFmtId="199" fontId="2" fillId="0" borderId="0" applyFont="0" applyFill="0" applyBorder="0" applyProtection="0">
      <alignment horizontal="right"/>
    </xf>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8" fontId="2" fillId="0" borderId="0" applyFont="0" applyFill="0" applyBorder="0" applyAlignment="0" applyProtection="0"/>
    <xf numFmtId="198"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97" fontId="2" fillId="0" borderId="0" applyFont="0" applyFill="0" applyBorder="0" applyAlignment="0" applyProtection="0"/>
    <xf numFmtId="197"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1" fontId="2" fillId="0" borderId="0" applyFont="0" applyFill="0" applyBorder="0" applyAlignment="0" applyProtection="0"/>
    <xf numFmtId="201"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0" fontId="2" fillId="0" borderId="0" applyFont="0" applyFill="0" applyBorder="0" applyAlignment="0" applyProtection="0"/>
    <xf numFmtId="20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02" fontId="2" fillId="0" borderId="0" applyFont="0" applyFill="0" applyBorder="0" applyAlignment="0" applyProtection="0"/>
    <xf numFmtId="202" fontId="2" fillId="0" borderId="0" applyFont="0" applyFill="0" applyBorder="0" applyAlignment="0" applyProtection="0"/>
    <xf numFmtId="0" fontId="2" fillId="0" borderId="36" quotePrefix="1">
      <alignment horizontal="justify" vertical="justify" textRotation="127" wrapText="1" justifyLastLine="1"/>
      <protection hidden="1"/>
    </xf>
    <xf numFmtId="0" fontId="2" fillId="0" borderId="36" quotePrefix="1">
      <alignment horizontal="justify" vertical="justify" textRotation="127" wrapText="1" justifyLastLine="1"/>
      <protection hidden="1"/>
    </xf>
    <xf numFmtId="0" fontId="2" fillId="0" borderId="36" quotePrefix="1">
      <alignment horizontal="justify" vertical="justify" textRotation="127" wrapText="1" justifyLastLine="1"/>
      <protection hidden="1"/>
    </xf>
    <xf numFmtId="0" fontId="2" fillId="0" borderId="36" quotePrefix="1">
      <alignment horizontal="justify" vertical="justify" textRotation="127" wrapText="1" justifyLastLine="1"/>
      <protection hidden="1"/>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68" fillId="0" borderId="0" applyNumberFormat="0" applyFill="0" applyBorder="0" applyProtection="0">
      <alignment vertical="top"/>
    </xf>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1" fillId="0" borderId="37" applyNumberFormat="0" applyFill="0" applyAlignment="0" applyProtection="0"/>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38" applyNumberFormat="0" applyFill="0" applyProtection="0">
      <alignment horizontal="center"/>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2" fillId="0" borderId="0" applyNumberFormat="0" applyFill="0" applyBorder="0" applyProtection="0">
      <alignment horizontal="left"/>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103" fillId="0" borderId="0" applyNumberFormat="0" applyFill="0" applyBorder="0" applyProtection="0">
      <alignment horizontal="centerContinuous"/>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42" fontId="104" fillId="0" borderId="0" applyFont="0" applyFill="0" applyBorder="0" applyAlignment="0" applyProtection="0"/>
    <xf numFmtId="203" fontId="105" fillId="0" borderId="0" applyFont="0" applyFill="0" applyBorder="0" applyAlignment="0" applyProtection="0"/>
    <xf numFmtId="174" fontId="106" fillId="0" borderId="0"/>
    <xf numFmtId="204" fontId="105" fillId="0" borderId="0" applyFont="0" applyFill="0" applyBorder="0" applyAlignment="0" applyProtection="0"/>
    <xf numFmtId="0" fontId="104" fillId="0" borderId="0"/>
    <xf numFmtId="0" fontId="104" fillId="0" borderId="0"/>
    <xf numFmtId="188" fontId="5" fillId="0" borderId="0"/>
    <xf numFmtId="9" fontId="2" fillId="0" borderId="0"/>
    <xf numFmtId="9" fontId="2" fillId="0" borderId="0"/>
    <xf numFmtId="9" fontId="2" fillId="0" borderId="0"/>
    <xf numFmtId="9" fontId="2" fillId="0" borderId="0"/>
    <xf numFmtId="171" fontId="5" fillId="0" borderId="0"/>
    <xf numFmtId="165" fontId="5" fillId="0" borderId="0"/>
    <xf numFmtId="0" fontId="5" fillId="0" borderId="0"/>
    <xf numFmtId="2" fontId="5" fillId="0" borderId="0"/>
    <xf numFmtId="10" fontId="5" fillId="0" borderId="0"/>
    <xf numFmtId="2" fontId="5" fillId="0" borderId="0"/>
    <xf numFmtId="0"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188" fontId="5" fillId="0" borderId="0"/>
    <xf numFmtId="0" fontId="107" fillId="23" borderId="0" applyNumberFormat="0" applyBorder="0" applyAlignment="0" applyProtection="0"/>
    <xf numFmtId="0" fontId="107" fillId="24" borderId="0" applyNumberFormat="0" applyBorder="0" applyAlignment="0" applyProtection="0"/>
    <xf numFmtId="0" fontId="107" fillId="24" borderId="0" applyNumberFormat="0" applyBorder="0" applyAlignment="0" applyProtection="0"/>
    <xf numFmtId="0" fontId="107" fillId="23" borderId="0" applyNumberFormat="0" applyBorder="0" applyAlignment="0" applyProtection="0"/>
    <xf numFmtId="0" fontId="108" fillId="23" borderId="0" applyNumberFormat="0" applyBorder="0" applyAlignment="0" applyProtection="0"/>
    <xf numFmtId="0" fontId="107" fillId="23" borderId="0" applyNumberFormat="0" applyBorder="0" applyAlignment="0" applyProtection="0"/>
    <xf numFmtId="0" fontId="108" fillId="23" borderId="0" applyNumberFormat="0" applyBorder="0" applyAlignment="0" applyProtection="0"/>
    <xf numFmtId="0" fontId="107" fillId="25" borderId="0" applyNumberFormat="0" applyBorder="0" applyAlignment="0" applyProtection="0"/>
    <xf numFmtId="0" fontId="107" fillId="26" borderId="0" applyNumberFormat="0" applyBorder="0" applyAlignment="0" applyProtection="0"/>
    <xf numFmtId="0" fontId="107" fillId="26" borderId="0" applyNumberFormat="0" applyBorder="0" applyAlignment="0" applyProtection="0"/>
    <xf numFmtId="0" fontId="107" fillId="25" borderId="0" applyNumberFormat="0" applyBorder="0" applyAlignment="0" applyProtection="0"/>
    <xf numFmtId="0" fontId="108" fillId="25" borderId="0" applyNumberFormat="0" applyBorder="0" applyAlignment="0" applyProtection="0"/>
    <xf numFmtId="0" fontId="107" fillId="25" borderId="0" applyNumberFormat="0" applyBorder="0" applyAlignment="0" applyProtection="0"/>
    <xf numFmtId="0" fontId="108" fillId="25" borderId="0" applyNumberFormat="0" applyBorder="0" applyAlignment="0" applyProtection="0"/>
    <xf numFmtId="0" fontId="107" fillId="22" borderId="0" applyNumberFormat="0" applyBorder="0" applyAlignment="0" applyProtection="0"/>
    <xf numFmtId="0" fontId="107" fillId="27" borderId="0" applyNumberFormat="0" applyBorder="0" applyAlignment="0" applyProtection="0"/>
    <xf numFmtId="0" fontId="107" fillId="27" borderId="0" applyNumberFormat="0" applyBorder="0" applyAlignment="0" applyProtection="0"/>
    <xf numFmtId="0" fontId="107" fillId="22" borderId="0" applyNumberFormat="0" applyBorder="0" applyAlignment="0" applyProtection="0"/>
    <xf numFmtId="0" fontId="108" fillId="22" borderId="0" applyNumberFormat="0" applyBorder="0" applyAlignment="0" applyProtection="0"/>
    <xf numFmtId="0" fontId="107" fillId="22" borderId="0" applyNumberFormat="0" applyBorder="0" applyAlignment="0" applyProtection="0"/>
    <xf numFmtId="0" fontId="108" fillId="22" borderId="0" applyNumberFormat="0" applyBorder="0" applyAlignment="0" applyProtection="0"/>
    <xf numFmtId="0" fontId="107" fillId="28" borderId="0" applyNumberFormat="0" applyBorder="0" applyAlignment="0" applyProtection="0"/>
    <xf numFmtId="0" fontId="107" fillId="29" borderId="0" applyNumberFormat="0" applyBorder="0" applyAlignment="0" applyProtection="0"/>
    <xf numFmtId="0" fontId="107" fillId="29" borderId="0" applyNumberFormat="0" applyBorder="0" applyAlignment="0" applyProtection="0"/>
    <xf numFmtId="0" fontId="107" fillId="28" borderId="0" applyNumberFormat="0" applyBorder="0" applyAlignment="0" applyProtection="0"/>
    <xf numFmtId="0" fontId="108" fillId="28" borderId="0" applyNumberFormat="0" applyBorder="0" applyAlignment="0" applyProtection="0"/>
    <xf numFmtId="0" fontId="107" fillId="28" borderId="0" applyNumberFormat="0" applyBorder="0" applyAlignment="0" applyProtection="0"/>
    <xf numFmtId="0" fontId="108" fillId="28" borderId="0" applyNumberFormat="0" applyBorder="0" applyAlignment="0" applyProtection="0"/>
    <xf numFmtId="0" fontId="107" fillId="23" borderId="0" applyNumberFormat="0" applyBorder="0" applyAlignment="0" applyProtection="0"/>
    <xf numFmtId="0" fontId="107" fillId="30" borderId="0" applyNumberFormat="0" applyBorder="0" applyAlignment="0" applyProtection="0"/>
    <xf numFmtId="0" fontId="107" fillId="30" borderId="0" applyNumberFormat="0" applyBorder="0" applyAlignment="0" applyProtection="0"/>
    <xf numFmtId="0" fontId="107" fillId="23" borderId="0" applyNumberFormat="0" applyBorder="0" applyAlignment="0" applyProtection="0"/>
    <xf numFmtId="0" fontId="108" fillId="23" borderId="0" applyNumberFormat="0" applyBorder="0" applyAlignment="0" applyProtection="0"/>
    <xf numFmtId="0" fontId="107" fillId="23" borderId="0" applyNumberFormat="0" applyBorder="0" applyAlignment="0" applyProtection="0"/>
    <xf numFmtId="0" fontId="108" fillId="23" borderId="0" applyNumberFormat="0" applyBorder="0" applyAlignment="0" applyProtection="0"/>
    <xf numFmtId="0" fontId="107" fillId="25" borderId="0" applyNumberFormat="0" applyBorder="0" applyAlignment="0" applyProtection="0"/>
    <xf numFmtId="0" fontId="107" fillId="25" borderId="0" applyNumberFormat="0" applyBorder="0" applyAlignment="0" applyProtection="0"/>
    <xf numFmtId="0" fontId="107" fillId="25" borderId="0" applyNumberFormat="0" applyBorder="0" applyAlignment="0" applyProtection="0"/>
    <xf numFmtId="0" fontId="107" fillId="25" borderId="0" applyNumberFormat="0" applyBorder="0" applyAlignment="0" applyProtection="0"/>
    <xf numFmtId="0" fontId="108" fillId="25" borderId="0" applyNumberFormat="0" applyBorder="0" applyAlignment="0" applyProtection="0"/>
    <xf numFmtId="0" fontId="107" fillId="25" borderId="0" applyNumberFormat="0" applyBorder="0" applyAlignment="0" applyProtection="0"/>
    <xf numFmtId="0" fontId="108" fillId="25" borderId="0" applyNumberFormat="0" applyBorder="0" applyAlignment="0" applyProtection="0"/>
    <xf numFmtId="0" fontId="107" fillId="31"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1" borderId="0" applyNumberFormat="0" applyBorder="0" applyAlignment="0" applyProtection="0"/>
    <xf numFmtId="0" fontId="108" fillId="31" borderId="0" applyNumberFormat="0" applyBorder="0" applyAlignment="0" applyProtection="0"/>
    <xf numFmtId="0" fontId="107" fillId="31" borderId="0" applyNumberFormat="0" applyBorder="0" applyAlignment="0" applyProtection="0"/>
    <xf numFmtId="0" fontId="108" fillId="31" borderId="0" applyNumberFormat="0" applyBorder="0" applyAlignment="0" applyProtection="0"/>
    <xf numFmtId="0" fontId="107" fillId="25" borderId="0" applyNumberFormat="0" applyBorder="0" applyAlignment="0" applyProtection="0"/>
    <xf numFmtId="0" fontId="107" fillId="33" borderId="0" applyNumberFormat="0" applyBorder="0" applyAlignment="0" applyProtection="0"/>
    <xf numFmtId="0" fontId="107" fillId="33" borderId="0" applyNumberFormat="0" applyBorder="0" applyAlignment="0" applyProtection="0"/>
    <xf numFmtId="0" fontId="107" fillId="25" borderId="0" applyNumberFormat="0" applyBorder="0" applyAlignment="0" applyProtection="0"/>
    <xf numFmtId="0" fontId="108" fillId="25" borderId="0" applyNumberFormat="0" applyBorder="0" applyAlignment="0" applyProtection="0"/>
    <xf numFmtId="0" fontId="107" fillId="25" borderId="0" applyNumberFormat="0" applyBorder="0" applyAlignment="0" applyProtection="0"/>
    <xf numFmtId="0" fontId="108" fillId="25" borderId="0" applyNumberFormat="0" applyBorder="0" applyAlignment="0" applyProtection="0"/>
    <xf numFmtId="0" fontId="107" fillId="22" borderId="0" applyNumberFormat="0" applyBorder="0" applyAlignment="0" applyProtection="0"/>
    <xf numFmtId="0" fontId="107" fillId="34" borderId="0" applyNumberFormat="0" applyBorder="0" applyAlignment="0" applyProtection="0"/>
    <xf numFmtId="0" fontId="107" fillId="34" borderId="0" applyNumberFormat="0" applyBorder="0" applyAlignment="0" applyProtection="0"/>
    <xf numFmtId="0" fontId="107" fillId="22" borderId="0" applyNumberFormat="0" applyBorder="0" applyAlignment="0" applyProtection="0"/>
    <xf numFmtId="0" fontId="108" fillId="22" borderId="0" applyNumberFormat="0" applyBorder="0" applyAlignment="0" applyProtection="0"/>
    <xf numFmtId="0" fontId="107" fillId="22" borderId="0" applyNumberFormat="0" applyBorder="0" applyAlignment="0" applyProtection="0"/>
    <xf numFmtId="0" fontId="108" fillId="22" borderId="0" applyNumberFormat="0" applyBorder="0" applyAlignment="0" applyProtection="0"/>
    <xf numFmtId="0" fontId="107" fillId="31" borderId="0" applyNumberFormat="0" applyBorder="0" applyAlignment="0" applyProtection="0"/>
    <xf numFmtId="0" fontId="107" fillId="29" borderId="0" applyNumberFormat="0" applyBorder="0" applyAlignment="0" applyProtection="0"/>
    <xf numFmtId="0" fontId="107" fillId="29" borderId="0" applyNumberFormat="0" applyBorder="0" applyAlignment="0" applyProtection="0"/>
    <xf numFmtId="0" fontId="107" fillId="31" borderId="0" applyNumberFormat="0" applyBorder="0" applyAlignment="0" applyProtection="0"/>
    <xf numFmtId="0" fontId="108" fillId="31" borderId="0" applyNumberFormat="0" applyBorder="0" applyAlignment="0" applyProtection="0"/>
    <xf numFmtId="0" fontId="107" fillId="31" borderId="0" applyNumberFormat="0" applyBorder="0" applyAlignment="0" applyProtection="0"/>
    <xf numFmtId="0" fontId="108" fillId="31" borderId="0" applyNumberFormat="0" applyBorder="0" applyAlignment="0" applyProtection="0"/>
    <xf numFmtId="0" fontId="107" fillId="31"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107" fillId="31" borderId="0" applyNumberFormat="0" applyBorder="0" applyAlignment="0" applyProtection="0"/>
    <xf numFmtId="0" fontId="108" fillId="31" borderId="0" applyNumberFormat="0" applyBorder="0" applyAlignment="0" applyProtection="0"/>
    <xf numFmtId="0" fontId="107" fillId="31" borderId="0" applyNumberFormat="0" applyBorder="0" applyAlignment="0" applyProtection="0"/>
    <xf numFmtId="0" fontId="108" fillId="31" borderId="0" applyNumberFormat="0" applyBorder="0" applyAlignment="0" applyProtection="0"/>
    <xf numFmtId="0" fontId="107" fillId="25" borderId="0" applyNumberFormat="0" applyBorder="0" applyAlignment="0" applyProtection="0"/>
    <xf numFmtId="0" fontId="107" fillId="35" borderId="0" applyNumberFormat="0" applyBorder="0" applyAlignment="0" applyProtection="0"/>
    <xf numFmtId="0" fontId="107" fillId="35" borderId="0" applyNumberFormat="0" applyBorder="0" applyAlignment="0" applyProtection="0"/>
    <xf numFmtId="0" fontId="107" fillId="25" borderId="0" applyNumberFormat="0" applyBorder="0" applyAlignment="0" applyProtection="0"/>
    <xf numFmtId="0" fontId="108" fillId="25" borderId="0" applyNumberFormat="0" applyBorder="0" applyAlignment="0" applyProtection="0"/>
    <xf numFmtId="0" fontId="107" fillId="25" borderId="0" applyNumberFormat="0" applyBorder="0" applyAlignment="0" applyProtection="0"/>
    <xf numFmtId="0" fontId="108" fillId="25" borderId="0" applyNumberFormat="0" applyBorder="0" applyAlignment="0" applyProtection="0"/>
    <xf numFmtId="0" fontId="109" fillId="36" borderId="0" applyNumberFormat="0" applyBorder="0" applyAlignment="0" applyProtection="0"/>
    <xf numFmtId="0" fontId="64" fillId="36" borderId="0" applyNumberFormat="0" applyBorder="0" applyAlignment="0" applyProtection="0"/>
    <xf numFmtId="0" fontId="64" fillId="36" borderId="0" applyNumberFormat="0" applyBorder="0" applyAlignment="0" applyProtection="0"/>
    <xf numFmtId="0" fontId="64" fillId="36" borderId="0" applyNumberFormat="0" applyBorder="0" applyAlignment="0" applyProtection="0"/>
    <xf numFmtId="0" fontId="109" fillId="25" borderId="0" applyNumberFormat="0" applyBorder="0" applyAlignment="0" applyProtection="0"/>
    <xf numFmtId="0" fontId="64" fillId="25" borderId="0" applyNumberFormat="0" applyBorder="0" applyAlignment="0" applyProtection="0"/>
    <xf numFmtId="0" fontId="64" fillId="25" borderId="0" applyNumberFormat="0" applyBorder="0" applyAlignment="0" applyProtection="0"/>
    <xf numFmtId="0" fontId="64" fillId="25" borderId="0" applyNumberFormat="0" applyBorder="0" applyAlignment="0" applyProtection="0"/>
    <xf numFmtId="0" fontId="109" fillId="22" borderId="0" applyNumberFormat="0" applyBorder="0" applyAlignment="0" applyProtection="0"/>
    <xf numFmtId="0" fontId="64" fillId="22" borderId="0" applyNumberFormat="0" applyBorder="0" applyAlignment="0" applyProtection="0"/>
    <xf numFmtId="0" fontId="64" fillId="22" borderId="0" applyNumberFormat="0" applyBorder="0" applyAlignment="0" applyProtection="0"/>
    <xf numFmtId="0" fontId="64" fillId="22" borderId="0" applyNumberFormat="0" applyBorder="0" applyAlignment="0" applyProtection="0"/>
    <xf numFmtId="0" fontId="109" fillId="37" borderId="0" applyNumberFormat="0" applyBorder="0" applyAlignment="0" applyProtection="0"/>
    <xf numFmtId="0" fontId="64" fillId="37" borderId="0" applyNumberFormat="0" applyBorder="0" applyAlignment="0" applyProtection="0"/>
    <xf numFmtId="0" fontId="64" fillId="37" borderId="0" applyNumberFormat="0" applyBorder="0" applyAlignment="0" applyProtection="0"/>
    <xf numFmtId="0" fontId="64" fillId="37" borderId="0" applyNumberFormat="0" applyBorder="0" applyAlignment="0" applyProtection="0"/>
    <xf numFmtId="0" fontId="109" fillId="36" borderId="0" applyNumberFormat="0" applyBorder="0" applyAlignment="0" applyProtection="0"/>
    <xf numFmtId="0" fontId="64" fillId="36" borderId="0" applyNumberFormat="0" applyBorder="0" applyAlignment="0" applyProtection="0"/>
    <xf numFmtId="0" fontId="64" fillId="36" borderId="0" applyNumberFormat="0" applyBorder="0" applyAlignment="0" applyProtection="0"/>
    <xf numFmtId="0" fontId="64" fillId="36" borderId="0" applyNumberFormat="0" applyBorder="0" applyAlignment="0" applyProtection="0"/>
    <xf numFmtId="0" fontId="109" fillId="25" borderId="0" applyNumberFormat="0" applyBorder="0" applyAlignment="0" applyProtection="0"/>
    <xf numFmtId="0" fontId="64" fillId="25" borderId="0" applyNumberFormat="0" applyBorder="0" applyAlignment="0" applyProtection="0"/>
    <xf numFmtId="0" fontId="64" fillId="25" borderId="0" applyNumberFormat="0" applyBorder="0" applyAlignment="0" applyProtection="0"/>
    <xf numFmtId="0" fontId="64" fillId="25" borderId="0" applyNumberFormat="0" applyBorder="0" applyAlignment="0" applyProtection="0"/>
    <xf numFmtId="37" fontId="110" fillId="0" borderId="0">
      <alignment horizontal="center"/>
    </xf>
    <xf numFmtId="166" fontId="111" fillId="0" borderId="0">
      <alignment vertical="center"/>
    </xf>
    <xf numFmtId="0" fontId="111" fillId="0" borderId="0">
      <alignment vertical="center"/>
    </xf>
    <xf numFmtId="166" fontId="112" fillId="0" borderId="0">
      <alignment horizontal="center"/>
    </xf>
    <xf numFmtId="0"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2" fillId="0" borderId="0">
      <alignment horizontal="center"/>
    </xf>
    <xf numFmtId="166" fontId="111" fillId="0" borderId="0">
      <alignment vertical="center"/>
    </xf>
    <xf numFmtId="37" fontId="113" fillId="0" borderId="0"/>
    <xf numFmtId="37" fontId="114" fillId="0" borderId="0"/>
    <xf numFmtId="37" fontId="115" fillId="0" borderId="0"/>
    <xf numFmtId="205" fontId="116" fillId="0" borderId="0"/>
    <xf numFmtId="175" fontId="106" fillId="0" borderId="0"/>
    <xf numFmtId="166" fontId="73" fillId="4" borderId="0" applyFont="0" applyBorder="0"/>
    <xf numFmtId="0" fontId="73" fillId="4" borderId="0" applyFont="0" applyBorder="0"/>
    <xf numFmtId="166" fontId="73" fillId="4" borderId="0" applyFont="0" applyBorder="0"/>
    <xf numFmtId="0" fontId="12" fillId="38" borderId="0"/>
    <xf numFmtId="0" fontId="12" fillId="38" borderId="0"/>
    <xf numFmtId="0" fontId="12" fillId="38" borderId="0"/>
    <xf numFmtId="0" fontId="12" fillId="38" borderId="0"/>
    <xf numFmtId="166" fontId="73" fillId="39" borderId="0" applyNumberFormat="0" applyFont="0" applyBorder="0" applyAlignment="0" applyProtection="0"/>
    <xf numFmtId="166" fontId="117" fillId="40" borderId="0" applyNumberFormat="0" applyFont="0" applyBorder="0" applyAlignment="0" applyProtection="0"/>
    <xf numFmtId="166" fontId="3" fillId="41" borderId="0" applyBorder="0"/>
    <xf numFmtId="166" fontId="3" fillId="41" borderId="0" applyBorder="0"/>
    <xf numFmtId="0" fontId="3" fillId="41" borderId="0" applyBorder="0"/>
    <xf numFmtId="0" fontId="3" fillId="41" borderId="0" applyBorder="0"/>
    <xf numFmtId="166" fontId="3" fillId="41" borderId="0" applyBorder="0"/>
    <xf numFmtId="166" fontId="3" fillId="41" borderId="0" applyBorder="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206" fontId="4" fillId="0" borderId="0" applyBorder="0">
      <alignment horizontal="right"/>
    </xf>
    <xf numFmtId="0" fontId="4" fillId="0" borderId="0" applyBorder="0">
      <alignment horizontal="right"/>
    </xf>
    <xf numFmtId="206" fontId="4" fillId="0" borderId="0" applyBorder="0">
      <alignment horizontal="right"/>
    </xf>
    <xf numFmtId="206" fontId="3" fillId="0" borderId="39" applyBorder="0">
      <alignment horizontal="right"/>
    </xf>
    <xf numFmtId="206" fontId="3" fillId="0" borderId="39" applyBorder="0">
      <alignment horizontal="right"/>
    </xf>
    <xf numFmtId="0" fontId="3" fillId="0" borderId="39" applyBorder="0">
      <alignment horizontal="right"/>
    </xf>
    <xf numFmtId="0" fontId="3" fillId="0" borderId="39" applyBorder="0">
      <alignment horizontal="right"/>
    </xf>
    <xf numFmtId="206" fontId="3" fillId="0" borderId="39" applyBorder="0">
      <alignment horizontal="right"/>
    </xf>
    <xf numFmtId="206" fontId="3" fillId="0" borderId="39" applyBorder="0">
      <alignment horizontal="right"/>
    </xf>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6" fontId="2" fillId="0" borderId="39" applyNumberFormat="0" applyBorder="0" applyAlignment="0" applyProtection="0"/>
    <xf numFmtId="165" fontId="118" fillId="0" borderId="0" applyBorder="0">
      <alignment horizontal="right"/>
    </xf>
    <xf numFmtId="165" fontId="119" fillId="0" borderId="39" applyBorder="0">
      <alignment horizontal="right"/>
    </xf>
    <xf numFmtId="0" fontId="119" fillId="0" borderId="39" applyBorder="0">
      <alignment horizontal="right"/>
    </xf>
    <xf numFmtId="165" fontId="119" fillId="0" borderId="39" applyBorder="0">
      <alignment horizontal="right"/>
    </xf>
    <xf numFmtId="0" fontId="118" fillId="0" borderId="0" applyBorder="0">
      <alignment horizontal="right"/>
    </xf>
    <xf numFmtId="165" fontId="118" fillId="0" borderId="0" applyBorder="0">
      <alignment horizontal="right"/>
    </xf>
    <xf numFmtId="166" fontId="120" fillId="0" borderId="0">
      <alignment horizontal="left" indent="1"/>
    </xf>
    <xf numFmtId="0" fontId="120" fillId="0" borderId="0">
      <alignment horizontal="left" indent="1"/>
    </xf>
    <xf numFmtId="166" fontId="120" fillId="0" borderId="0">
      <alignment horizontal="left" indent="1"/>
    </xf>
    <xf numFmtId="166" fontId="66" fillId="0" borderId="7" applyBorder="0"/>
    <xf numFmtId="166" fontId="66" fillId="0" borderId="7" applyBorder="0"/>
    <xf numFmtId="166" fontId="66" fillId="0" borderId="7" applyBorder="0"/>
    <xf numFmtId="166" fontId="66" fillId="0" borderId="7" applyBorder="0"/>
    <xf numFmtId="166" fontId="66" fillId="0" borderId="7" applyBorder="0"/>
    <xf numFmtId="166" fontId="66" fillId="0" borderId="7" applyBorder="0"/>
    <xf numFmtId="0" fontId="66" fillId="0" borderId="7" applyBorder="0"/>
    <xf numFmtId="0" fontId="66" fillId="0" borderId="7" applyBorder="0"/>
    <xf numFmtId="0" fontId="66" fillId="0" borderId="7" applyBorder="0"/>
    <xf numFmtId="0" fontId="66" fillId="0" borderId="7" applyBorder="0"/>
    <xf numFmtId="166" fontId="66" fillId="0" borderId="7" applyBorder="0"/>
    <xf numFmtId="166" fontId="66" fillId="0" borderId="7" applyBorder="0"/>
    <xf numFmtId="166" fontId="66" fillId="0" borderId="7" applyBorder="0"/>
    <xf numFmtId="166" fontId="66" fillId="0" borderId="7" applyBorder="0"/>
    <xf numFmtId="166" fontId="73" fillId="2" borderId="39" applyNumberFormat="0" applyFont="0" applyBorder="0" applyAlignment="0" applyProtection="0"/>
    <xf numFmtId="206" fontId="15" fillId="42" borderId="7" applyBorder="0">
      <alignment horizontal="right"/>
    </xf>
    <xf numFmtId="206" fontId="15" fillId="42" borderId="7" applyBorder="0">
      <alignment horizontal="right"/>
    </xf>
    <xf numFmtId="206" fontId="15" fillId="42" borderId="7" applyBorder="0">
      <alignment horizontal="right"/>
    </xf>
    <xf numFmtId="206" fontId="15" fillId="42" borderId="7" applyBorder="0">
      <alignment horizontal="right"/>
    </xf>
    <xf numFmtId="206" fontId="15" fillId="42" borderId="7" applyBorder="0">
      <alignment horizontal="right"/>
    </xf>
    <xf numFmtId="206" fontId="15" fillId="42" borderId="7" applyBorder="0">
      <alignment horizontal="right"/>
    </xf>
    <xf numFmtId="0" fontId="15" fillId="42" borderId="7" applyBorder="0">
      <alignment horizontal="right"/>
    </xf>
    <xf numFmtId="0" fontId="15" fillId="42" borderId="7" applyBorder="0">
      <alignment horizontal="right"/>
    </xf>
    <xf numFmtId="0" fontId="15" fillId="42" borderId="7" applyBorder="0">
      <alignment horizontal="right"/>
    </xf>
    <xf numFmtId="0" fontId="15" fillId="42" borderId="7" applyBorder="0">
      <alignment horizontal="right"/>
    </xf>
    <xf numFmtId="206" fontId="15" fillId="42" borderId="7" applyBorder="0">
      <alignment horizontal="right"/>
    </xf>
    <xf numFmtId="206" fontId="15" fillId="42" borderId="7" applyBorder="0">
      <alignment horizontal="right"/>
    </xf>
    <xf numFmtId="206" fontId="15" fillId="42" borderId="7" applyBorder="0">
      <alignment horizontal="right"/>
    </xf>
    <xf numFmtId="206" fontId="15" fillId="42" borderId="7" applyBorder="0">
      <alignment horizontal="right"/>
    </xf>
    <xf numFmtId="206" fontId="15" fillId="0" borderId="7" applyBorder="0">
      <alignment horizontal="right"/>
    </xf>
    <xf numFmtId="206" fontId="15" fillId="0" borderId="7" applyBorder="0">
      <alignment horizontal="right"/>
    </xf>
    <xf numFmtId="206" fontId="15" fillId="0" borderId="7" applyBorder="0">
      <alignment horizontal="right"/>
    </xf>
    <xf numFmtId="206" fontId="15" fillId="0" borderId="7" applyBorder="0">
      <alignment horizontal="right"/>
    </xf>
    <xf numFmtId="206" fontId="15" fillId="0" borderId="7" applyBorder="0">
      <alignment horizontal="right"/>
    </xf>
    <xf numFmtId="206" fontId="15" fillId="0" borderId="7" applyBorder="0">
      <alignment horizontal="right"/>
    </xf>
    <xf numFmtId="0" fontId="15" fillId="0" borderId="7" applyBorder="0">
      <alignment horizontal="right"/>
    </xf>
    <xf numFmtId="0" fontId="15" fillId="0" borderId="7" applyBorder="0">
      <alignment horizontal="right"/>
    </xf>
    <xf numFmtId="0" fontId="15" fillId="0" borderId="7" applyBorder="0">
      <alignment horizontal="right"/>
    </xf>
    <xf numFmtId="0" fontId="15" fillId="0" borderId="7" applyBorder="0">
      <alignment horizontal="right"/>
    </xf>
    <xf numFmtId="206" fontId="15" fillId="0" borderId="7" applyBorder="0">
      <alignment horizontal="right"/>
    </xf>
    <xf numFmtId="206" fontId="15" fillId="0" borderId="7" applyBorder="0">
      <alignment horizontal="right"/>
    </xf>
    <xf numFmtId="206" fontId="15" fillId="0" borderId="7" applyBorder="0">
      <alignment horizontal="right"/>
    </xf>
    <xf numFmtId="206" fontId="15" fillId="0" borderId="7" applyBorder="0">
      <alignment horizontal="right"/>
    </xf>
    <xf numFmtId="166" fontId="65" fillId="0" borderId="39" applyNumberFormat="0" applyBorder="0" applyAlignment="0" applyProtection="0"/>
    <xf numFmtId="0" fontId="15" fillId="4" borderId="40" applyBorder="0">
      <alignment horizontal="center"/>
    </xf>
    <xf numFmtId="0" fontId="15" fillId="4" borderId="40" applyBorder="0">
      <alignment horizontal="center"/>
    </xf>
    <xf numFmtId="0" fontId="9" fillId="43" borderId="35">
      <alignment horizontal="right" indent="1"/>
    </xf>
    <xf numFmtId="0" fontId="109" fillId="44" borderId="0" applyNumberFormat="0" applyBorder="0" applyAlignment="0" applyProtection="0"/>
    <xf numFmtId="0" fontId="64" fillId="44" borderId="0" applyNumberFormat="0" applyBorder="0" applyAlignment="0" applyProtection="0"/>
    <xf numFmtId="0" fontId="64" fillId="44" borderId="0" applyNumberFormat="0" applyBorder="0" applyAlignment="0" applyProtection="0"/>
    <xf numFmtId="0" fontId="64" fillId="44" borderId="0" applyNumberFormat="0" applyBorder="0" applyAlignment="0" applyProtection="0"/>
    <xf numFmtId="0" fontId="109" fillId="45" borderId="0" applyNumberFormat="0" applyBorder="0" applyAlignment="0" applyProtection="0"/>
    <xf numFmtId="0" fontId="64" fillId="45" borderId="0" applyNumberFormat="0" applyBorder="0" applyAlignment="0" applyProtection="0"/>
    <xf numFmtId="0" fontId="64" fillId="45" borderId="0" applyNumberFormat="0" applyBorder="0" applyAlignment="0" applyProtection="0"/>
    <xf numFmtId="0" fontId="64" fillId="45" borderId="0" applyNumberFormat="0" applyBorder="0" applyAlignment="0" applyProtection="0"/>
    <xf numFmtId="0" fontId="109" fillId="46" borderId="0" applyNumberFormat="0" applyBorder="0" applyAlignment="0" applyProtection="0"/>
    <xf numFmtId="0" fontId="64" fillId="46" borderId="0" applyNumberFormat="0" applyBorder="0" applyAlignment="0" applyProtection="0"/>
    <xf numFmtId="0" fontId="64" fillId="46" borderId="0" applyNumberFormat="0" applyBorder="0" applyAlignment="0" applyProtection="0"/>
    <xf numFmtId="0" fontId="64" fillId="46" borderId="0" applyNumberFormat="0" applyBorder="0" applyAlignment="0" applyProtection="0"/>
    <xf numFmtId="0" fontId="109" fillId="47" borderId="0" applyNumberFormat="0" applyBorder="0" applyAlignment="0" applyProtection="0"/>
    <xf numFmtId="0" fontId="64" fillId="47" borderId="0" applyNumberFormat="0" applyBorder="0" applyAlignment="0" applyProtection="0"/>
    <xf numFmtId="0" fontId="64" fillId="47" borderId="0" applyNumberFormat="0" applyBorder="0" applyAlignment="0" applyProtection="0"/>
    <xf numFmtId="0" fontId="64" fillId="47" borderId="0" applyNumberFormat="0" applyBorder="0" applyAlignment="0" applyProtection="0"/>
    <xf numFmtId="0" fontId="109"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64" fillId="48" borderId="0" applyNumberFormat="0" applyBorder="0" applyAlignment="0" applyProtection="0"/>
    <xf numFmtId="0" fontId="109"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0" fontId="64" fillId="49" borderId="0" applyNumberFormat="0" applyBorder="0" applyAlignment="0" applyProtection="0"/>
    <xf numFmtId="207" fontId="121" fillId="50" borderId="0" applyNumberFormat="0" applyFont="0" applyBorder="0" applyAlignment="0">
      <alignment horizontal="right"/>
    </xf>
    <xf numFmtId="208" fontId="7" fillId="50" borderId="9" applyFont="0">
      <alignment horizontal="right"/>
    </xf>
    <xf numFmtId="208" fontId="7" fillId="50" borderId="9" applyFont="0">
      <alignment horizontal="right"/>
    </xf>
    <xf numFmtId="3" fontId="122" fillId="51" borderId="41" applyBorder="0">
      <protection locked="0"/>
    </xf>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23" fillId="0" borderId="0" applyNumberFormat="0" applyAlignment="0"/>
    <xf numFmtId="0" fontId="124" fillId="0" borderId="0" applyNumberFormat="0" applyAlignment="0"/>
    <xf numFmtId="0" fontId="125" fillId="0" borderId="0" applyNumberFormat="0" applyAlignment="0"/>
    <xf numFmtId="0" fontId="126" fillId="0" borderId="0" applyNumberFormat="0" applyAlignment="0"/>
    <xf numFmtId="209" fontId="127" fillId="0" borderId="0" applyFont="0" applyBorder="0" applyAlignment="0">
      <alignment horizontal="center"/>
    </xf>
    <xf numFmtId="5" fontId="69" fillId="0" borderId="10">
      <alignment horizontal="right"/>
    </xf>
    <xf numFmtId="5" fontId="69" fillId="0" borderId="10">
      <alignment horizontal="right"/>
    </xf>
    <xf numFmtId="0" fontId="3" fillId="0" borderId="42" applyNumberFormat="0" applyFill="0" applyAlignment="0" applyProtection="0"/>
    <xf numFmtId="0" fontId="3" fillId="0" borderId="42" applyNumberFormat="0" applyFill="0" applyAlignment="0" applyProtection="0"/>
    <xf numFmtId="0" fontId="3" fillId="0" borderId="42" applyNumberFormat="0" applyFill="0" applyAlignment="0" applyProtection="0"/>
    <xf numFmtId="0" fontId="3" fillId="0" borderId="42" applyNumberFormat="0" applyFill="0" applyAlignment="0" applyProtection="0"/>
    <xf numFmtId="9" fontId="99" fillId="52" borderId="35" applyNumberFormat="0" applyFont="0" applyAlignment="0" applyProtection="0"/>
    <xf numFmtId="0" fontId="128" fillId="26" borderId="0" applyNumberFormat="0" applyBorder="0" applyAlignment="0" applyProtection="0"/>
    <xf numFmtId="0" fontId="129" fillId="26" borderId="0" applyNumberFormat="0" applyBorder="0" applyAlignment="0" applyProtection="0"/>
    <xf numFmtId="210" fontId="130" fillId="0" borderId="0"/>
    <xf numFmtId="211" fontId="106" fillId="0" borderId="0" applyFill="0" applyBorder="0" applyAlignment="0" applyProtection="0">
      <protection locked="0"/>
    </xf>
    <xf numFmtId="212" fontId="116" fillId="0" borderId="0"/>
    <xf numFmtId="213" fontId="116" fillId="0" borderId="0"/>
    <xf numFmtId="165" fontId="104" fillId="0" borderId="0"/>
    <xf numFmtId="165" fontId="104" fillId="0" borderId="0"/>
    <xf numFmtId="214" fontId="104" fillId="0" borderId="0"/>
    <xf numFmtId="214" fontId="104" fillId="0" borderId="0"/>
    <xf numFmtId="174" fontId="2" fillId="0" borderId="0"/>
    <xf numFmtId="174" fontId="2" fillId="0" borderId="0"/>
    <xf numFmtId="174" fontId="2" fillId="0" borderId="0"/>
    <xf numFmtId="174" fontId="2" fillId="0" borderId="0"/>
    <xf numFmtId="0" fontId="131" fillId="0" borderId="0" applyNumberFormat="0" applyFill="0" applyBorder="0" applyAlignment="0"/>
    <xf numFmtId="215" fontId="132" fillId="0" borderId="0"/>
    <xf numFmtId="216" fontId="2" fillId="0" borderId="0"/>
    <xf numFmtId="216" fontId="2" fillId="0" borderId="0"/>
    <xf numFmtId="216" fontId="2" fillId="0" borderId="0"/>
    <xf numFmtId="216" fontId="2" fillId="0" borderId="0"/>
    <xf numFmtId="217" fontId="104" fillId="0" borderId="0"/>
    <xf numFmtId="217" fontId="104" fillId="0" borderId="0"/>
    <xf numFmtId="218" fontId="2" fillId="0" borderId="0"/>
    <xf numFmtId="218" fontId="2" fillId="0" borderId="0"/>
    <xf numFmtId="218" fontId="2" fillId="0" borderId="0"/>
    <xf numFmtId="218" fontId="2" fillId="0" borderId="0"/>
    <xf numFmtId="219" fontId="104" fillId="0" borderId="0"/>
    <xf numFmtId="219" fontId="104" fillId="0" borderId="0"/>
    <xf numFmtId="220" fontId="104" fillId="0" borderId="0"/>
    <xf numFmtId="220" fontId="104" fillId="0" borderId="0"/>
    <xf numFmtId="0" fontId="132" fillId="0" borderId="0"/>
    <xf numFmtId="166" fontId="9" fillId="0" borderId="0"/>
    <xf numFmtId="166" fontId="9" fillId="0" borderId="0"/>
    <xf numFmtId="0" fontId="133" fillId="0" borderId="0" applyNumberFormat="0"/>
    <xf numFmtId="0" fontId="134" fillId="0" borderId="8"/>
    <xf numFmtId="0" fontId="134" fillId="0" borderId="8"/>
    <xf numFmtId="0" fontId="134" fillId="0" borderId="8"/>
    <xf numFmtId="0" fontId="135" fillId="0" borderId="0" applyNumberFormat="0"/>
    <xf numFmtId="0" fontId="136" fillId="0" borderId="8" applyNumberFormat="0" applyFill="0" applyAlignment="0" applyProtection="0"/>
    <xf numFmtId="0" fontId="136" fillId="0" borderId="8" applyNumberFormat="0" applyFill="0" applyAlignment="0" applyProtection="0"/>
    <xf numFmtId="0" fontId="136" fillId="0" borderId="8" applyNumberFormat="0" applyFill="0" applyAlignment="0" applyProtection="0"/>
    <xf numFmtId="0" fontId="9" fillId="0" borderId="0"/>
    <xf numFmtId="37" fontId="137" fillId="0" borderId="10" applyNumberFormat="0" applyFont="0" applyFill="0" applyAlignment="0" applyProtection="0"/>
    <xf numFmtId="37" fontId="137" fillId="0" borderId="10" applyNumberFormat="0" applyFont="0" applyFill="0" applyAlignment="0" applyProtection="0"/>
    <xf numFmtId="0" fontId="106" fillId="0" borderId="10" applyNumberFormat="0" applyFont="0" applyFill="0" applyAlignment="0" applyProtection="0"/>
    <xf numFmtId="0" fontId="106" fillId="0" borderId="10" applyNumberFormat="0" applyFont="0" applyFill="0" applyAlignment="0" applyProtection="0"/>
    <xf numFmtId="0" fontId="106" fillId="0" borderId="43" applyNumberFormat="0" applyFont="0" applyFill="0" applyAlignment="0" applyProtection="0"/>
    <xf numFmtId="0" fontId="106" fillId="0" borderId="43" applyNumberFormat="0" applyFont="0" applyFill="0" applyAlignment="0" applyProtection="0"/>
    <xf numFmtId="0" fontId="106" fillId="0" borderId="43" applyNumberFormat="0" applyFont="0" applyFill="0" applyAlignment="0" applyProtection="0"/>
    <xf numFmtId="0" fontId="106" fillId="0" borderId="43" applyNumberFormat="0" applyFont="0" applyFill="0" applyAlignment="0" applyProtection="0"/>
    <xf numFmtId="37" fontId="137" fillId="0" borderId="44" applyNumberFormat="0" applyFont="0" applyFill="0" applyAlignment="0" applyProtection="0"/>
    <xf numFmtId="37" fontId="137" fillId="0" borderId="44" applyNumberFormat="0" applyFont="0" applyFill="0" applyAlignment="0" applyProtection="0"/>
    <xf numFmtId="37" fontId="137" fillId="0" borderId="44" applyNumberFormat="0" applyFont="0" applyFill="0" applyAlignment="0" applyProtection="0"/>
    <xf numFmtId="221" fontId="138" fillId="0" borderId="0" applyFont="0" applyFill="0" applyBorder="0" applyAlignment="0" applyProtection="0"/>
    <xf numFmtId="0" fontId="10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9" fillId="0" borderId="0" applyNumberFormat="0" applyFill="0" applyBorder="0" applyAlignment="0" applyProtection="0"/>
    <xf numFmtId="0" fontId="140" fillId="0" borderId="0" applyNumberFormat="0" applyFill="0" applyBorder="0" applyAlignment="0" applyProtection="0"/>
    <xf numFmtId="2" fontId="3" fillId="53" borderId="0" applyNumberFormat="0" applyFont="0" applyBorder="0" applyAlignment="0" applyProtection="0"/>
    <xf numFmtId="2" fontId="3" fillId="53" borderId="0" applyNumberFormat="0" applyFont="0" applyBorder="0" applyAlignment="0" applyProtection="0"/>
    <xf numFmtId="2" fontId="3" fillId="53" borderId="0" applyNumberFormat="0" applyFont="0" applyBorder="0" applyAlignment="0" applyProtection="0"/>
    <xf numFmtId="2" fontId="3" fillId="53" borderId="0" applyNumberFormat="0" applyFont="0" applyBorder="0" applyAlignment="0" applyProtection="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141" fillId="30" borderId="45" applyNumberFormat="0" applyAlignment="0" applyProtection="0"/>
    <xf numFmtId="0" fontId="142" fillId="30" borderId="45" applyNumberFormat="0" applyAlignment="0" applyProtection="0"/>
    <xf numFmtId="0" fontId="142" fillId="30" borderId="45" applyNumberFormat="0" applyAlignment="0" applyProtection="0"/>
    <xf numFmtId="0" fontId="142" fillId="30" borderId="45" applyNumberFormat="0" applyAlignment="0" applyProtection="0"/>
    <xf numFmtId="211" fontId="106" fillId="0" borderId="0" applyFont="0" applyFill="0" applyBorder="0" applyAlignment="0" applyProtection="0">
      <protection locked="0"/>
    </xf>
    <xf numFmtId="1" fontId="143" fillId="0" borderId="0"/>
    <xf numFmtId="0" fontId="43" fillId="40" borderId="0"/>
    <xf numFmtId="0" fontId="144" fillId="37" borderId="46" applyNumberFormat="0" applyAlignment="0" applyProtection="0"/>
    <xf numFmtId="0" fontId="70" fillId="37" borderId="46" applyNumberFormat="0" applyAlignment="0" applyProtection="0"/>
    <xf numFmtId="0" fontId="144" fillId="37" borderId="46" applyNumberFormat="0" applyAlignment="0" applyProtection="0"/>
    <xf numFmtId="0" fontId="70" fillId="37" borderId="46" applyNumberFormat="0" applyAlignment="0" applyProtection="0"/>
    <xf numFmtId="3" fontId="145" fillId="0" borderId="0"/>
    <xf numFmtId="0" fontId="146" fillId="0" borderId="0" applyNumberFormat="0" applyFill="0" applyBorder="0" applyAlignment="0" applyProtection="0">
      <alignment vertical="top"/>
      <protection locked="0"/>
    </xf>
    <xf numFmtId="0" fontId="9" fillId="0" borderId="47">
      <alignment horizontal="center"/>
    </xf>
    <xf numFmtId="222" fontId="147" fillId="0" borderId="0"/>
    <xf numFmtId="222" fontId="147" fillId="0" borderId="0"/>
    <xf numFmtId="222" fontId="147" fillId="0" borderId="0"/>
    <xf numFmtId="222" fontId="147" fillId="0" borderId="0"/>
    <xf numFmtId="222" fontId="147" fillId="0" borderId="0"/>
    <xf numFmtId="222" fontId="147" fillId="0" borderId="0"/>
    <xf numFmtId="222" fontId="147" fillId="0" borderId="0"/>
    <xf numFmtId="222" fontId="147" fillId="0" borderId="0"/>
    <xf numFmtId="223" fontId="106" fillId="0" borderId="0"/>
    <xf numFmtId="38" fontId="148" fillId="0" borderId="0">
      <alignment horizontal="center"/>
      <protection locked="0"/>
    </xf>
    <xf numFmtId="38" fontId="12" fillId="0" borderId="0"/>
    <xf numFmtId="38" fontId="12" fillId="0" borderId="0"/>
    <xf numFmtId="224" fontId="104" fillId="0" borderId="0" applyFont="0" applyFill="0" applyBorder="0" applyAlignment="0" applyProtection="0">
      <alignment horizontal="right"/>
    </xf>
    <xf numFmtId="224" fontId="104" fillId="0" borderId="0" applyFont="0" applyFill="0" applyBorder="0" applyAlignment="0" applyProtection="0">
      <alignment horizontal="right"/>
    </xf>
    <xf numFmtId="43" fontId="2" fillId="0" borderId="0" applyFont="0" applyFill="0" applyBorder="0" applyAlignment="0" applyProtection="0"/>
    <xf numFmtId="225" fontId="104" fillId="0" borderId="0" applyFont="0" applyFill="0" applyBorder="0" applyAlignment="0" applyProtection="0">
      <alignment horizontal="right"/>
    </xf>
    <xf numFmtId="225" fontId="104" fillId="0" borderId="0" applyFont="0" applyFill="0" applyBorder="0" applyAlignment="0" applyProtection="0">
      <alignment horizontal="right"/>
    </xf>
    <xf numFmtId="43" fontId="2" fillId="0" borderId="0" applyFont="0" applyFill="0" applyBorder="0" applyAlignment="0" applyProtection="0"/>
    <xf numFmtId="43" fontId="3" fillId="0" borderId="0" applyFont="0" applyFill="0" applyBorder="0" applyAlignment="0" applyProtection="0"/>
    <xf numFmtId="43" fontId="107" fillId="0" borderId="0" applyFont="0" applyFill="0" applyBorder="0" applyAlignment="0" applyProtection="0"/>
    <xf numFmtId="43" fontId="107"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06" fontId="106" fillId="0" borderId="0"/>
    <xf numFmtId="4" fontId="106" fillId="0" borderId="0"/>
    <xf numFmtId="211" fontId="106" fillId="0" borderId="0"/>
    <xf numFmtId="38" fontId="105" fillId="0" borderId="0" applyFill="0" applyBorder="0" applyProtection="0">
      <alignment horizontal="center"/>
    </xf>
    <xf numFmtId="3" fontId="72" fillId="0" borderId="0" applyFont="0" applyFill="0" applyBorder="0" applyAlignment="0" applyProtection="0"/>
    <xf numFmtId="0" fontId="150" fillId="0" borderId="0"/>
    <xf numFmtId="0" fontId="132" fillId="0" borderId="0"/>
    <xf numFmtId="3" fontId="72" fillId="0" borderId="0" applyFont="0" applyFill="0" applyBorder="0" applyAlignment="0" applyProtection="0"/>
    <xf numFmtId="206" fontId="145" fillId="0" borderId="0" applyFont="0" applyFill="0" applyBorder="0" applyAlignment="0" applyProtection="0"/>
    <xf numFmtId="0" fontId="150" fillId="0" borderId="0"/>
    <xf numFmtId="0" fontId="132" fillId="0" borderId="0"/>
    <xf numFmtId="0" fontId="145" fillId="0" borderId="0" applyFont="0" applyFill="0" applyBorder="0" applyAlignment="0" applyProtection="0"/>
    <xf numFmtId="4" fontId="151" fillId="0" borderId="35" applyFont="0" applyFill="0" applyBorder="0" applyAlignment="0" applyProtection="0"/>
    <xf numFmtId="226" fontId="145" fillId="0" borderId="0" applyFont="0" applyFill="0" applyBorder="0" applyAlignment="0" applyProtection="0"/>
    <xf numFmtId="0" fontId="152" fillId="0" borderId="0" applyNumberFormat="0" applyFill="0" applyBorder="0">
      <alignment horizontal="right"/>
    </xf>
    <xf numFmtId="0" fontId="2" fillId="0" borderId="0" applyNumberFormat="0" applyAlignment="0">
      <alignment horizontal="left"/>
    </xf>
    <xf numFmtId="0" fontId="2" fillId="0" borderId="0" applyNumberFormat="0" applyAlignment="0">
      <alignment horizontal="left"/>
    </xf>
    <xf numFmtId="0" fontId="2" fillId="0" borderId="0" applyNumberFormat="0" applyAlignment="0">
      <alignment horizontal="left"/>
    </xf>
    <xf numFmtId="0" fontId="2" fillId="0" borderId="0" applyNumberFormat="0" applyAlignment="0">
      <alignment horizontal="left"/>
    </xf>
    <xf numFmtId="166" fontId="153" fillId="0" borderId="0" applyFill="0" applyBorder="0" applyAlignment="0" applyProtection="0">
      <alignment horizontal="left"/>
    </xf>
    <xf numFmtId="166" fontId="154" fillId="0" borderId="0" applyFill="0" applyBorder="0" applyAlignment="0" applyProtection="0">
      <alignment horizontal="left"/>
    </xf>
    <xf numFmtId="8" fontId="155" fillId="0" borderId="48">
      <protection locked="0"/>
    </xf>
    <xf numFmtId="8" fontId="155" fillId="0" borderId="48">
      <protection locked="0"/>
    </xf>
    <xf numFmtId="227" fontId="104" fillId="0" borderId="0" applyFont="0" applyFill="0" applyBorder="0" applyAlignment="0" applyProtection="0">
      <alignment horizontal="right"/>
    </xf>
    <xf numFmtId="227" fontId="104" fillId="0" borderId="0" applyFont="0" applyFill="0" applyBorder="0" applyAlignment="0" applyProtection="0">
      <alignment horizontal="right"/>
    </xf>
    <xf numFmtId="44" fontId="2" fillId="0" borderId="0" applyFont="0" applyFill="0" applyBorder="0" applyAlignment="0" applyProtection="0"/>
    <xf numFmtId="0" fontId="104" fillId="0" borderId="0" applyFont="0" applyFill="0" applyBorder="0" applyAlignment="0" applyProtection="0">
      <alignment horizontal="right"/>
    </xf>
    <xf numFmtId="0" fontId="104" fillId="0" borderId="0" applyFont="0" applyFill="0" applyBorder="0" applyAlignment="0" applyProtection="0">
      <alignment horizontal="right"/>
    </xf>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49" fillId="0" borderId="0" applyFont="0" applyFill="0" applyBorder="0" applyAlignment="0" applyProtection="0"/>
    <xf numFmtId="217" fontId="106" fillId="0" borderId="0"/>
    <xf numFmtId="228" fontId="2" fillId="54" borderId="0" applyFont="0" applyFill="0" applyBorder="0" applyAlignment="0" applyProtection="0"/>
    <xf numFmtId="228" fontId="2" fillId="54" borderId="0" applyFont="0" applyFill="0" applyBorder="0" applyAlignment="0" applyProtection="0"/>
    <xf numFmtId="228" fontId="2" fillId="54" borderId="0" applyFont="0" applyFill="0" applyBorder="0" applyAlignment="0" applyProtection="0"/>
    <xf numFmtId="228" fontId="2" fillId="54" borderId="0" applyFont="0" applyFill="0" applyBorder="0" applyAlignment="0" applyProtection="0"/>
    <xf numFmtId="166" fontId="145" fillId="0" borderId="0" applyFont="0" applyFill="0" applyBorder="0" applyAlignment="0" applyProtection="0"/>
    <xf numFmtId="212" fontId="145" fillId="0" borderId="0" applyFont="0" applyFill="0" applyBorder="0" applyAlignment="0" applyProtection="0"/>
    <xf numFmtId="7" fontId="154" fillId="0" borderId="0" applyFill="0" applyBorder="0">
      <alignment horizontal="right"/>
    </xf>
    <xf numFmtId="0" fontId="2" fillId="4" borderId="0" applyFont="0" applyBorder="0"/>
    <xf numFmtId="0" fontId="2" fillId="4" borderId="0" applyFont="0" applyBorder="0"/>
    <xf numFmtId="0" fontId="2" fillId="4" borderId="0" applyFont="0" applyBorder="0"/>
    <xf numFmtId="0" fontId="2" fillId="4" borderId="0" applyFont="0" applyBorder="0"/>
    <xf numFmtId="0" fontId="105" fillId="0" borderId="0" applyFont="0" applyFill="0" applyBorder="0" applyAlignment="0" applyProtection="0"/>
    <xf numFmtId="14" fontId="132" fillId="0" borderId="0"/>
    <xf numFmtId="17" fontId="9" fillId="0" borderId="0" applyFill="0" applyBorder="0">
      <alignment horizontal="right"/>
    </xf>
    <xf numFmtId="17" fontId="9" fillId="0" borderId="0" applyFill="0" applyBorder="0">
      <alignment horizontal="right"/>
    </xf>
    <xf numFmtId="14" fontId="132" fillId="0" borderId="0"/>
    <xf numFmtId="229" fontId="104" fillId="0" borderId="0" applyFont="0" applyFill="0" applyBorder="0" applyAlignment="0" applyProtection="0"/>
    <xf numFmtId="229" fontId="104" fillId="0" borderId="0" applyFont="0" applyFill="0" applyBorder="0" applyAlignment="0" applyProtection="0"/>
    <xf numFmtId="14" fontId="132" fillId="0" borderId="0"/>
    <xf numFmtId="230" fontId="104" fillId="0" borderId="0"/>
    <xf numFmtId="230" fontId="104" fillId="0" borderId="0"/>
    <xf numFmtId="14" fontId="156" fillId="0" borderId="0" applyFont="0" applyFill="0" applyBorder="0" applyAlignment="0" applyProtection="0">
      <alignment horizontal="center"/>
    </xf>
    <xf numFmtId="231" fontId="156" fillId="0" borderId="0" applyFont="0" applyFill="0" applyBorder="0" applyAlignment="0" applyProtection="0">
      <alignment horizontal="center"/>
    </xf>
    <xf numFmtId="3" fontId="29" fillId="0" borderId="0" applyFont="0" applyFill="0" applyBorder="0" applyAlignment="0" applyProtection="0">
      <alignment horizontal="center"/>
    </xf>
    <xf numFmtId="0" fontId="29" fillId="0" borderId="0" applyFont="0" applyFill="0" applyBorder="0" applyAlignment="0" applyProtection="0">
      <alignment horizontal="center"/>
    </xf>
    <xf numFmtId="2" fontId="2" fillId="0" borderId="0" applyFont="0" applyFill="0" applyBorder="0" applyAlignment="0" applyProtection="0"/>
    <xf numFmtId="0" fontId="29" fillId="0" borderId="0" applyFont="0" applyFill="0" applyBorder="0" applyAlignment="0" applyProtection="0">
      <alignment horizontal="center"/>
    </xf>
    <xf numFmtId="4" fontId="2" fillId="0" borderId="0" applyFont="0" applyBorder="0" applyAlignment="0">
      <alignment vertical="center"/>
    </xf>
    <xf numFmtId="4" fontId="2" fillId="0" borderId="0" applyFont="0" applyBorder="0" applyAlignment="0">
      <alignment vertical="center"/>
    </xf>
    <xf numFmtId="232" fontId="2" fillId="0" borderId="0" applyFont="0" applyFill="0" applyBorder="0" applyAlignment="0" applyProtection="0"/>
    <xf numFmtId="164" fontId="2" fillId="0" borderId="0" applyFont="0" applyFill="0" applyBorder="0" applyAlignment="0" applyProtection="0"/>
    <xf numFmtId="233" fontId="154" fillId="0" borderId="0"/>
    <xf numFmtId="0" fontId="132" fillId="0" borderId="0"/>
    <xf numFmtId="233" fontId="154" fillId="0" borderId="0"/>
    <xf numFmtId="234" fontId="12" fillId="0" borderId="0" applyFont="0" applyFill="0" applyBorder="0" applyAlignment="0" applyProtection="0">
      <alignment horizontal="right"/>
    </xf>
    <xf numFmtId="6" fontId="105" fillId="0" borderId="0">
      <alignment horizontal="center"/>
    </xf>
    <xf numFmtId="0" fontId="12" fillId="0" borderId="0" applyFont="0" applyFill="0" applyBorder="0" applyAlignment="0" applyProtection="0">
      <alignment horizontal="right"/>
    </xf>
    <xf numFmtId="5" fontId="108" fillId="0" borderId="0" applyFont="0" applyFill="0" applyBorder="0" applyAlignment="0" applyProtection="0">
      <protection locked="0"/>
    </xf>
    <xf numFmtId="6" fontId="106" fillId="0" borderId="0" applyFont="0" applyFill="0" applyBorder="0" applyAlignment="0" applyProtection="0"/>
    <xf numFmtId="235" fontId="104" fillId="0" borderId="49" applyNumberFormat="0" applyFont="0" applyFill="0" applyAlignment="0" applyProtection="0"/>
    <xf numFmtId="235" fontId="104" fillId="0" borderId="49" applyNumberFormat="0" applyFont="0" applyFill="0" applyAlignment="0" applyProtection="0"/>
    <xf numFmtId="0" fontId="157" fillId="0" borderId="7" applyNumberFormat="0" applyBorder="0"/>
    <xf numFmtId="0" fontId="157" fillId="0" borderId="7" applyNumberFormat="0" applyBorder="0"/>
    <xf numFmtId="0" fontId="157" fillId="0" borderId="7" applyNumberFormat="0" applyBorder="0"/>
    <xf numFmtId="0" fontId="2" fillId="0" borderId="0"/>
    <xf numFmtId="0" fontId="2" fillId="0" borderId="0"/>
    <xf numFmtId="0" fontId="2" fillId="0" borderId="0" applyNumberFormat="0" applyAlignment="0">
      <alignment horizontal="left"/>
    </xf>
    <xf numFmtId="0" fontId="2" fillId="0" borderId="0" applyNumberFormat="0" applyAlignment="0">
      <alignment horizontal="left"/>
    </xf>
    <xf numFmtId="0" fontId="2" fillId="0" borderId="0" applyNumberFormat="0" applyAlignment="0">
      <alignment horizontal="left"/>
    </xf>
    <xf numFmtId="0" fontId="2" fillId="0" borderId="0" applyNumberFormat="0" applyAlignment="0">
      <alignment horizontal="left"/>
    </xf>
    <xf numFmtId="8" fontId="106" fillId="0" borderId="0" applyFont="0" applyFill="0" applyBorder="0" applyAlignment="0" applyProtection="0">
      <alignment horizontal="right"/>
    </xf>
    <xf numFmtId="236" fontId="104" fillId="0" borderId="0" applyFont="0" applyFill="0" applyBorder="0" applyProtection="0">
      <alignment horizontal="left"/>
      <protection locked="0"/>
    </xf>
    <xf numFmtId="236" fontId="104" fillId="0" borderId="0" applyFont="0" applyFill="0" applyBorder="0" applyProtection="0">
      <alignment horizontal="left"/>
      <protection locked="0"/>
    </xf>
    <xf numFmtId="237" fontId="104" fillId="0" borderId="0" applyFont="0" applyFill="0" applyBorder="0" applyProtection="0">
      <alignment horizontal="left"/>
      <protection locked="0"/>
    </xf>
    <xf numFmtId="237" fontId="104" fillId="0" borderId="0" applyFont="0" applyFill="0" applyBorder="0" applyProtection="0">
      <alignment horizontal="left"/>
      <protection locked="0"/>
    </xf>
    <xf numFmtId="238" fontId="2" fillId="0" borderId="0" applyFont="0" applyFill="0" applyBorder="0" applyAlignment="0" applyProtection="0"/>
    <xf numFmtId="238" fontId="2" fillId="0" borderId="0" applyFont="0" applyFill="0" applyBorder="0" applyAlignment="0" applyProtection="0"/>
    <xf numFmtId="238" fontId="2" fillId="0" borderId="0" applyFont="0" applyFill="0" applyBorder="0" applyAlignment="0" applyProtection="0"/>
    <xf numFmtId="238" fontId="2" fillId="0" borderId="0" applyFont="0" applyFill="0" applyBorder="0" applyAlignment="0" applyProtection="0"/>
    <xf numFmtId="0" fontId="158" fillId="0" borderId="0" applyNumberFormat="0" applyFill="0" applyBorder="0" applyAlignment="0" applyProtection="0"/>
    <xf numFmtId="0" fontId="159" fillId="0" borderId="0" applyNumberFormat="0" applyFill="0" applyBorder="0" applyAlignment="0" applyProtection="0"/>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239" fontId="3" fillId="55" borderId="7" applyNumberFormat="0" applyFont="0" applyBorder="0" applyAlignment="0" applyProtection="0">
      <alignment horizontal="right"/>
    </xf>
    <xf numFmtId="0" fontId="72" fillId="0" borderId="0" applyFont="0" applyFill="0" applyBorder="0" applyAlignment="0" applyProtection="0"/>
    <xf numFmtId="240" fontId="116" fillId="0" borderId="0">
      <alignment horizontal="right"/>
    </xf>
    <xf numFmtId="2" fontId="72" fillId="0" borderId="0" applyFont="0" applyFill="0" applyBorder="0" applyAlignment="0" applyProtection="0"/>
    <xf numFmtId="0" fontId="15" fillId="0" borderId="9" applyFont="0" applyFill="0" applyBorder="0" applyAlignment="0" applyProtection="0">
      <alignment horizontal="center"/>
    </xf>
    <xf numFmtId="0" fontId="15" fillId="0" borderId="9" applyFont="0" applyFill="0" applyBorder="0" applyAlignment="0" applyProtection="0">
      <alignment horizontal="center"/>
    </xf>
    <xf numFmtId="1" fontId="145" fillId="0" borderId="0" applyFont="0" applyFill="0" applyBorder="0" applyAlignment="0" applyProtection="0"/>
    <xf numFmtId="212" fontId="154" fillId="0" borderId="0" applyFill="0" applyBorder="0">
      <alignment horizontal="right"/>
    </xf>
    <xf numFmtId="0" fontId="160" fillId="0" borderId="0"/>
    <xf numFmtId="0" fontId="161" fillId="0" borderId="0" applyFill="0" applyBorder="0" applyProtection="0">
      <alignment horizontal="left"/>
    </xf>
    <xf numFmtId="1" fontId="3" fillId="0" borderId="0" applyNumberFormat="0" applyBorder="0" applyAlignment="0" applyProtection="0"/>
    <xf numFmtId="1" fontId="3" fillId="0" borderId="0" applyNumberFormat="0" applyBorder="0" applyAlignment="0" applyProtection="0"/>
    <xf numFmtId="1" fontId="3" fillId="0" borderId="0" applyNumberFormat="0" applyBorder="0" applyAlignment="0" applyProtection="0"/>
    <xf numFmtId="1" fontId="3" fillId="0" borderId="0" applyNumberFormat="0" applyBorder="0" applyAlignment="0" applyProtection="0"/>
    <xf numFmtId="38" fontId="2" fillId="0" borderId="7" applyBorder="0"/>
    <xf numFmtId="241" fontId="162" fillId="0" borderId="0">
      <alignment vertical="center"/>
    </xf>
    <xf numFmtId="242" fontId="132" fillId="0" borderId="0"/>
    <xf numFmtId="0" fontId="163" fillId="0" borderId="0" applyFill="0" applyBorder="0"/>
    <xf numFmtId="0" fontId="2" fillId="0" borderId="0"/>
    <xf numFmtId="0" fontId="2" fillId="0" borderId="0"/>
    <xf numFmtId="0" fontId="2" fillId="0" borderId="0"/>
    <xf numFmtId="0" fontId="2" fillId="0" borderId="0"/>
    <xf numFmtId="0" fontId="2" fillId="0" borderId="0"/>
    <xf numFmtId="0" fontId="2" fillId="0" borderId="0"/>
    <xf numFmtId="38" fontId="164" fillId="0" borderId="0" applyFill="0" applyBorder="0" applyProtection="0"/>
    <xf numFmtId="0" fontId="165" fillId="27" borderId="0" applyNumberFormat="0" applyBorder="0" applyAlignment="0" applyProtection="0"/>
    <xf numFmtId="0" fontId="98" fillId="27" borderId="0" applyNumberFormat="0" applyBorder="0" applyAlignment="0" applyProtection="0"/>
    <xf numFmtId="0" fontId="98" fillId="0" borderId="0" applyNumberFormat="0" applyFill="0" applyBorder="0" applyAlignment="0" applyProtection="0"/>
    <xf numFmtId="38" fontId="3" fillId="4" borderId="0" applyNumberFormat="0" applyBorder="0" applyAlignment="0" applyProtection="0"/>
    <xf numFmtId="38" fontId="3" fillId="4" borderId="0" applyNumberFormat="0" applyBorder="0" applyAlignment="0" applyProtection="0"/>
    <xf numFmtId="243" fontId="166" fillId="0" borderId="0" applyFill="0" applyBorder="0" applyAlignment="0" applyProtection="0"/>
    <xf numFmtId="243" fontId="167" fillId="0" borderId="0" applyAlignment="0">
      <alignment horizontal="left"/>
      <protection locked="0"/>
    </xf>
    <xf numFmtId="49" fontId="168" fillId="0" borderId="0">
      <alignment horizontal="right"/>
    </xf>
    <xf numFmtId="49" fontId="168" fillId="0" borderId="0">
      <alignment horizontal="right"/>
    </xf>
    <xf numFmtId="49" fontId="168" fillId="0" borderId="0">
      <alignment horizontal="right"/>
    </xf>
    <xf numFmtId="49" fontId="168" fillId="0" borderId="0">
      <alignment horizontal="right"/>
    </xf>
    <xf numFmtId="49" fontId="168" fillId="0" borderId="0">
      <alignment horizontal="right"/>
    </xf>
    <xf numFmtId="49" fontId="168" fillId="0" borderId="0">
      <alignment horizontal="right"/>
    </xf>
    <xf numFmtId="49" fontId="168" fillId="0" borderId="0">
      <alignment horizontal="right"/>
    </xf>
    <xf numFmtId="49" fontId="168" fillId="0" borderId="0">
      <alignment horizontal="right"/>
    </xf>
    <xf numFmtId="49" fontId="168" fillId="0" borderId="0">
      <alignment horizontal="right"/>
    </xf>
    <xf numFmtId="49" fontId="168" fillId="0" borderId="0">
      <alignment horizontal="right"/>
    </xf>
    <xf numFmtId="49" fontId="168" fillId="0" borderId="0">
      <alignment horizontal="right"/>
    </xf>
    <xf numFmtId="49" fontId="169" fillId="0" borderId="0">
      <alignment horizontal="right"/>
    </xf>
    <xf numFmtId="241" fontId="170" fillId="0" borderId="0">
      <alignment vertical="center"/>
    </xf>
    <xf numFmtId="244" fontId="9" fillId="52" borderId="35" applyNumberFormat="0" applyFont="0" applyAlignment="0"/>
    <xf numFmtId="245" fontId="104" fillId="0" borderId="0" applyFont="0" applyFill="0" applyBorder="0" applyAlignment="0" applyProtection="0">
      <alignment horizontal="right"/>
    </xf>
    <xf numFmtId="245" fontId="104" fillId="0" borderId="0" applyFont="0" applyFill="0" applyBorder="0" applyAlignment="0" applyProtection="0">
      <alignment horizontal="right"/>
    </xf>
    <xf numFmtId="0" fontId="171" fillId="0" borderId="0" applyProtection="0">
      <alignment horizontal="right"/>
    </xf>
    <xf numFmtId="0" fontId="10" fillId="0" borderId="4" applyNumberFormat="0" applyAlignment="0" applyProtection="0">
      <alignment horizontal="left" vertical="center"/>
    </xf>
    <xf numFmtId="0" fontId="10" fillId="0" borderId="9">
      <alignment horizontal="left" vertical="center"/>
    </xf>
    <xf numFmtId="0" fontId="153" fillId="0" borderId="0"/>
    <xf numFmtId="0" fontId="172" fillId="0" borderId="50" applyNumberFormat="0" applyFill="0" applyAlignment="0" applyProtection="0"/>
    <xf numFmtId="0" fontId="173" fillId="54" borderId="0" applyNumberFormat="0" applyFill="0" applyBorder="0" applyAlignment="0" applyProtection="0"/>
    <xf numFmtId="0" fontId="174" fillId="0" borderId="51" applyNumberFormat="0" applyFill="0" applyAlignment="0" applyProtection="0"/>
    <xf numFmtId="0" fontId="175" fillId="0" borderId="0" applyProtection="0">
      <alignment horizontal="left"/>
    </xf>
    <xf numFmtId="0" fontId="176" fillId="0" borderId="52" applyNumberFormat="0" applyFill="0" applyAlignment="0" applyProtection="0"/>
    <xf numFmtId="0" fontId="176" fillId="0" borderId="52" applyNumberFormat="0" applyFill="0" applyAlignment="0" applyProtection="0"/>
    <xf numFmtId="0" fontId="177" fillId="0" borderId="0" applyProtection="0">
      <alignment horizontal="left"/>
    </xf>
    <xf numFmtId="0" fontId="176" fillId="0" borderId="0" applyNumberFormat="0" applyFill="0" applyBorder="0" applyAlignment="0" applyProtection="0"/>
    <xf numFmtId="0" fontId="178" fillId="0" borderId="0" applyNumberFormat="0" applyFill="0" applyBorder="0" applyAlignment="0" applyProtection="0"/>
    <xf numFmtId="0" fontId="10" fillId="0" borderId="0"/>
    <xf numFmtId="0" fontId="179" fillId="0" borderId="0">
      <alignment horizontal="left"/>
    </xf>
    <xf numFmtId="37" fontId="180" fillId="0" borderId="0" applyNumberFormat="0" applyFill="0" applyBorder="0" applyAlignment="0" applyProtection="0"/>
    <xf numFmtId="37" fontId="137" fillId="0" borderId="0" applyNumberFormat="0" applyFill="0" applyBorder="0" applyAlignment="0" applyProtection="0"/>
    <xf numFmtId="0" fontId="181" fillId="0" borderId="0" applyNumberFormat="0" applyFill="0" applyBorder="0" applyAlignment="0" applyProtection="0">
      <alignment horizontal="center" vertical="top" wrapText="1"/>
    </xf>
    <xf numFmtId="0" fontId="182" fillId="0" borderId="0" applyNumberFormat="0" applyFill="0" applyBorder="0" applyAlignment="0" applyProtection="0"/>
    <xf numFmtId="0" fontId="183" fillId="0" borderId="0" applyNumberFormat="0" applyFill="0" applyBorder="0" applyAlignment="0" applyProtection="0">
      <alignment vertical="top"/>
      <protection locked="0"/>
    </xf>
    <xf numFmtId="0" fontId="183" fillId="0" borderId="0" applyNumberFormat="0" applyFill="0" applyBorder="0" applyAlignment="0" applyProtection="0">
      <alignment vertical="top"/>
      <protection locked="0"/>
    </xf>
    <xf numFmtId="209" fontId="106" fillId="0" borderId="0" applyFill="0" applyBorder="0" applyAlignment="0" applyProtection="0">
      <alignment horizontal="right"/>
      <protection locked="0"/>
    </xf>
    <xf numFmtId="10" fontId="3" fillId="52" borderId="35" applyNumberFormat="0" applyBorder="0" applyAlignment="0" applyProtection="0"/>
    <xf numFmtId="10" fontId="3" fillId="52" borderId="35" applyNumberFormat="0" applyBorder="0" applyAlignment="0" applyProtection="0"/>
    <xf numFmtId="0" fontId="184" fillId="25" borderId="53" applyNumberFormat="0" applyAlignment="0" applyProtection="0"/>
    <xf numFmtId="1" fontId="185" fillId="0" borderId="0" applyNumberFormat="0">
      <alignment horizontal="right"/>
    </xf>
    <xf numFmtId="165" fontId="151" fillId="0" borderId="35" applyNumberFormat="0" applyFill="0" applyAlignment="0" applyProtection="0"/>
    <xf numFmtId="0" fontId="5" fillId="56" borderId="0" applyNumberFormat="0" applyFont="0" applyBorder="0" applyAlignment="0" applyProtection="0"/>
    <xf numFmtId="0" fontId="71" fillId="0" borderId="0" applyNumberFormat="0" applyFill="0" applyBorder="0" applyAlignment="0">
      <protection locked="0"/>
    </xf>
    <xf numFmtId="0" fontId="106" fillId="0" borderId="0"/>
    <xf numFmtId="0" fontId="186" fillId="0" borderId="0"/>
    <xf numFmtId="0" fontId="187" fillId="0" borderId="0" applyNumberFormat="0" applyFill="0" applyBorder="0" applyAlignment="0" applyProtection="0">
      <alignment vertical="top"/>
      <protection locked="0"/>
    </xf>
    <xf numFmtId="166" fontId="2" fillId="0" borderId="54" applyNumberFormat="0" applyFont="0" applyFill="0" applyAlignment="0" applyProtection="0"/>
    <xf numFmtId="166" fontId="2" fillId="0" borderId="54" applyNumberFormat="0" applyFont="0" applyFill="0" applyAlignment="0" applyProtection="0"/>
    <xf numFmtId="166" fontId="2" fillId="0" borderId="54" applyNumberFormat="0" applyFont="0" applyFill="0" applyAlignment="0" applyProtection="0"/>
    <xf numFmtId="166" fontId="2" fillId="0" borderId="54" applyNumberFormat="0" applyFont="0" applyFill="0" applyAlignment="0" applyProtection="0"/>
    <xf numFmtId="0" fontId="188" fillId="0" borderId="55" applyNumberFormat="0" applyFill="0" applyAlignment="0" applyProtection="0"/>
    <xf numFmtId="0" fontId="189" fillId="0" borderId="55" applyNumberFormat="0" applyFill="0" applyAlignment="0" applyProtection="0"/>
    <xf numFmtId="0" fontId="190" fillId="0" borderId="0" applyNumberFormat="0" applyFill="0" applyBorder="0" applyAlignment="0"/>
    <xf numFmtId="246" fontId="132" fillId="0" borderId="0"/>
    <xf numFmtId="0" fontId="191" fillId="0" borderId="0"/>
    <xf numFmtId="1" fontId="192" fillId="0" borderId="0"/>
    <xf numFmtId="247" fontId="130" fillId="0" borderId="0" applyFill="0" applyBorder="0" applyAlignment="0" applyProtection="0"/>
    <xf numFmtId="0" fontId="145" fillId="0" borderId="0"/>
    <xf numFmtId="232" fontId="2" fillId="0" borderId="0" applyFont="0" applyFill="0" applyBorder="0" applyAlignment="0" applyProtection="0"/>
    <xf numFmtId="164"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248" fontId="2" fillId="0" borderId="0" applyFont="0" applyFill="0" applyBorder="0" applyAlignment="0" applyProtection="0"/>
    <xf numFmtId="249" fontId="2" fillId="0" borderId="0" applyFont="0" applyFill="0" applyBorder="0" applyAlignment="0" applyProtection="0"/>
    <xf numFmtId="0" fontId="2" fillId="0" borderId="0" applyFont="0" applyFill="0" applyBorder="0" applyAlignment="0" applyProtection="0"/>
    <xf numFmtId="250"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0" fontId="72" fillId="0" borderId="0" applyFont="0" applyFill="0" applyBorder="0" applyAlignment="0" applyProtection="0"/>
    <xf numFmtId="0" fontId="67" fillId="57" borderId="0"/>
    <xf numFmtId="169" fontId="105" fillId="0" borderId="0" applyFill="0" applyBorder="0" applyProtection="0">
      <alignment horizontal="center"/>
    </xf>
    <xf numFmtId="251" fontId="65" fillId="0" borderId="0"/>
    <xf numFmtId="0" fontId="180" fillId="0" borderId="0"/>
    <xf numFmtId="39"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39" fontId="2" fillId="0" borderId="0" applyFont="0" applyFill="0" applyBorder="0" applyAlignment="0" applyProtection="0"/>
    <xf numFmtId="0" fontId="193" fillId="22" borderId="0" applyNumberFormat="0" applyBorder="0" applyAlignment="0" applyProtection="0"/>
    <xf numFmtId="0" fontId="194" fillId="22" borderId="0" applyNumberFormat="0" applyBorder="0" applyAlignment="0" applyProtection="0"/>
    <xf numFmtId="0" fontId="12" fillId="0" borderId="0"/>
    <xf numFmtId="0" fontId="12" fillId="0" borderId="0"/>
    <xf numFmtId="37" fontId="2" fillId="0" borderId="0"/>
    <xf numFmtId="37" fontId="2" fillId="0" borderId="0"/>
    <xf numFmtId="37" fontId="2" fillId="0" borderId="0"/>
    <xf numFmtId="37" fontId="2" fillId="0" borderId="0"/>
    <xf numFmtId="252" fontId="195" fillId="0" borderId="0"/>
    <xf numFmtId="0" fontId="13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8" fillId="0" borderId="0"/>
    <xf numFmtId="0" fontId="2" fillId="0" borderId="0"/>
    <xf numFmtId="0" fontId="2" fillId="0" borderId="0"/>
    <xf numFmtId="0" fontId="2" fillId="0" borderId="0"/>
    <xf numFmtId="0" fontId="2" fillId="0" borderId="0"/>
    <xf numFmtId="0" fontId="2" fillId="0" borderId="0"/>
    <xf numFmtId="0" fontId="107" fillId="0" borderId="0"/>
    <xf numFmtId="0" fontId="10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7" fillId="0" borderId="0"/>
    <xf numFmtId="0" fontId="10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9" fillId="0" borderId="0"/>
    <xf numFmtId="0" fontId="2" fillId="0" borderId="0"/>
    <xf numFmtId="0" fontId="2" fillId="0" borderId="0"/>
    <xf numFmtId="0" fontId="2" fillId="0" borderId="0"/>
    <xf numFmtId="2" fontId="5" fillId="0" borderId="0" applyBorder="0" applyProtection="0"/>
    <xf numFmtId="0" fontId="3" fillId="22" borderId="56" applyNumberFormat="0" applyFont="0" applyAlignment="0" applyProtection="0"/>
    <xf numFmtId="0" fontId="196" fillId="22" borderId="56" applyNumberFormat="0" applyFont="0" applyAlignment="0" applyProtection="0"/>
    <xf numFmtId="0" fontId="107" fillId="36" borderId="1" applyNumberFormat="0" applyFont="0" applyAlignment="0" applyProtection="0"/>
    <xf numFmtId="0" fontId="3" fillId="22" borderId="56" applyNumberFormat="0" applyFont="0" applyAlignment="0" applyProtection="0"/>
    <xf numFmtId="0" fontId="196" fillId="22" borderId="56" applyNumberFormat="0" applyFont="0" applyAlignment="0" applyProtection="0"/>
    <xf numFmtId="0" fontId="196" fillId="22" borderId="56" applyNumberFormat="0" applyFont="0" applyAlignment="0" applyProtection="0"/>
    <xf numFmtId="0" fontId="197" fillId="0" borderId="19"/>
    <xf numFmtId="253" fontId="154" fillId="0" borderId="0"/>
    <xf numFmtId="39" fontId="116" fillId="0" borderId="0"/>
    <xf numFmtId="0" fontId="198" fillId="0" borderId="0"/>
    <xf numFmtId="43" fontId="104" fillId="0" borderId="0" applyFont="0" applyFill="0" applyBorder="0" applyAlignment="0" applyProtection="0"/>
    <xf numFmtId="41" fontId="104" fillId="0" borderId="0" applyFont="0" applyFill="0" applyBorder="0" applyAlignment="0" applyProtection="0"/>
    <xf numFmtId="0" fontId="2" fillId="0" borderId="0"/>
    <xf numFmtId="0" fontId="2" fillId="0" borderId="0"/>
    <xf numFmtId="209" fontId="106" fillId="0" borderId="0" applyFont="0" applyFill="0" applyBorder="0" applyAlignment="0" applyProtection="0"/>
    <xf numFmtId="0" fontId="199" fillId="0" borderId="0" applyNumberFormat="0" applyAlignment="0"/>
    <xf numFmtId="0" fontId="200" fillId="0" borderId="0" applyNumberFormat="0" applyAlignment="0"/>
    <xf numFmtId="0" fontId="201" fillId="0" borderId="0" applyNumberFormat="0" applyAlignment="0"/>
    <xf numFmtId="0" fontId="202" fillId="0" borderId="0"/>
    <xf numFmtId="0" fontId="203" fillId="0" borderId="0">
      <alignment horizontal="left"/>
    </xf>
    <xf numFmtId="0" fontId="204" fillId="30" borderId="57" applyNumberFormat="0" applyAlignment="0" applyProtection="0"/>
    <xf numFmtId="0" fontId="205" fillId="30" borderId="57" applyNumberFormat="0" applyAlignment="0" applyProtection="0"/>
    <xf numFmtId="0" fontId="205" fillId="30" borderId="57" applyNumberFormat="0" applyAlignment="0" applyProtection="0"/>
    <xf numFmtId="0" fontId="205" fillId="30" borderId="57" applyNumberFormat="0" applyAlignment="0" applyProtection="0"/>
    <xf numFmtId="254" fontId="105" fillId="58" borderId="0" applyNumberFormat="0" applyFont="0" applyBorder="0" applyAlignment="0"/>
    <xf numFmtId="0" fontId="206" fillId="0" borderId="0" applyNumberFormat="0" applyFill="0" applyBorder="0">
      <alignment horizontal="left"/>
    </xf>
    <xf numFmtId="0" fontId="207" fillId="0" borderId="0" applyFill="0" applyBorder="0" applyProtection="0">
      <alignment horizontal="left"/>
    </xf>
    <xf numFmtId="0" fontId="208" fillId="0" borderId="0" applyFill="0" applyBorder="0" applyProtection="0">
      <alignment horizontal="left"/>
    </xf>
    <xf numFmtId="1" fontId="209" fillId="0" borderId="0" applyProtection="0">
      <alignment horizontal="right" vertical="center"/>
    </xf>
    <xf numFmtId="0" fontId="112" fillId="0" borderId="58" applyNumberFormat="0" applyAlignment="0" applyProtection="0"/>
    <xf numFmtId="0" fontId="112" fillId="0" borderId="58" applyNumberFormat="0" applyAlignment="0" applyProtection="0"/>
    <xf numFmtId="0" fontId="104" fillId="40" borderId="0" applyNumberFormat="0" applyFont="0" applyBorder="0" applyAlignment="0" applyProtection="0"/>
    <xf numFmtId="0" fontId="104" fillId="40" borderId="0" applyNumberFormat="0" applyFont="0" applyBorder="0" applyAlignment="0" applyProtection="0"/>
    <xf numFmtId="0" fontId="3" fillId="5" borderId="19" applyNumberFormat="0" applyFont="0" applyBorder="0" applyAlignment="0" applyProtection="0">
      <alignment horizontal="center"/>
    </xf>
    <xf numFmtId="0" fontId="3" fillId="5" borderId="19" applyNumberFormat="0" applyFont="0" applyBorder="0" applyAlignment="0" applyProtection="0">
      <alignment horizontal="center"/>
    </xf>
    <xf numFmtId="0" fontId="3" fillId="59" borderId="19" applyNumberFormat="0" applyFont="0" applyBorder="0" applyAlignment="0" applyProtection="0">
      <alignment horizontal="center"/>
    </xf>
    <xf numFmtId="0" fontId="3" fillId="59" borderId="19" applyNumberFormat="0" applyFont="0" applyBorder="0" applyAlignment="0" applyProtection="0">
      <alignment horizontal="center"/>
    </xf>
    <xf numFmtId="0" fontId="104" fillId="0" borderId="59" applyNumberFormat="0" applyAlignment="0" applyProtection="0"/>
    <xf numFmtId="0" fontId="104" fillId="0" borderId="59" applyNumberFormat="0" applyAlignment="0" applyProtection="0"/>
    <xf numFmtId="0" fontId="104" fillId="0" borderId="59" applyNumberFormat="0" applyAlignment="0" applyProtection="0"/>
    <xf numFmtId="0" fontId="104" fillId="0" borderId="59" applyNumberFormat="0" applyAlignment="0" applyProtection="0"/>
    <xf numFmtId="0" fontId="104" fillId="0" borderId="60" applyNumberFormat="0" applyAlignment="0" applyProtection="0"/>
    <xf numFmtId="0" fontId="104" fillId="0" borderId="60" applyNumberFormat="0" applyAlignment="0" applyProtection="0"/>
    <xf numFmtId="0" fontId="104" fillId="0" borderId="60" applyNumberFormat="0" applyAlignment="0" applyProtection="0"/>
    <xf numFmtId="0" fontId="104" fillId="0" borderId="60" applyNumberFormat="0" applyAlignment="0" applyProtection="0"/>
    <xf numFmtId="0" fontId="112" fillId="0" borderId="61" applyNumberFormat="0" applyAlignment="0" applyProtection="0"/>
    <xf numFmtId="0" fontId="112" fillId="0" borderId="61" applyNumberFormat="0" applyAlignment="0" applyProtection="0"/>
    <xf numFmtId="255" fontId="210" fillId="0" borderId="32" applyFont="0" applyFill="0" applyBorder="0" applyAlignment="0" applyProtection="0">
      <alignment vertical="top"/>
    </xf>
    <xf numFmtId="165" fontId="106" fillId="0" borderId="0"/>
    <xf numFmtId="243" fontId="2" fillId="0" borderId="0" applyFont="0" applyFill="0" applyBorder="0" applyAlignment="0" applyProtection="0"/>
    <xf numFmtId="243" fontId="2" fillId="0" borderId="0" applyFont="0" applyFill="0" applyBorder="0" applyAlignment="0" applyProtection="0"/>
    <xf numFmtId="243" fontId="2" fillId="0" borderId="0" applyFont="0" applyFill="0" applyBorder="0" applyAlignment="0" applyProtection="0"/>
    <xf numFmtId="243"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0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0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256" fontId="106" fillId="0" borderId="0" applyFont="0" applyFill="0" applyBorder="0" applyProtection="0">
      <alignment horizontal="right"/>
    </xf>
    <xf numFmtId="165" fontId="106" fillId="0" borderId="0"/>
    <xf numFmtId="165" fontId="211" fillId="0" borderId="0" applyFont="0" applyFill="0" applyBorder="0" applyAlignment="0" applyProtection="0"/>
    <xf numFmtId="165" fontId="211" fillId="0" borderId="0" applyFont="0" applyFill="0" applyBorder="0" applyAlignment="0" applyProtection="0"/>
    <xf numFmtId="165" fontId="145" fillId="0" borderId="0" applyFont="0" applyFill="0" applyBorder="0" applyAlignment="0" applyProtection="0"/>
    <xf numFmtId="10" fontId="145" fillId="0" borderId="0" applyFont="0" applyFill="0" applyBorder="0" applyAlignment="0" applyProtection="0"/>
    <xf numFmtId="9" fontId="145" fillId="0" borderId="0" applyFont="0" applyFill="0" applyBorder="0" applyAlignment="0" applyProtection="0"/>
    <xf numFmtId="243" fontId="106" fillId="0" borderId="0" applyFont="0" applyFill="0" applyBorder="0" applyAlignment="0" applyProtection="0"/>
    <xf numFmtId="178" fontId="154" fillId="0" borderId="0" applyFill="0" applyBorder="0">
      <alignment horizontal="right"/>
    </xf>
    <xf numFmtId="8" fontId="132" fillId="0" borderId="0"/>
    <xf numFmtId="209" fontId="106" fillId="0" borderId="0" applyFont="0" applyFill="0" applyBorder="0" applyAlignment="0" applyProtection="0">
      <protection locked="0"/>
    </xf>
    <xf numFmtId="10"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219" fontId="154" fillId="0" borderId="0"/>
    <xf numFmtId="247" fontId="2" fillId="0" borderId="0" applyFont="0" applyFill="0" applyBorder="0" applyAlignment="0" applyProtection="0"/>
    <xf numFmtId="247" fontId="2" fillId="0" borderId="0" applyFont="0" applyFill="0" applyBorder="0" applyAlignment="0" applyProtection="0"/>
    <xf numFmtId="247" fontId="2" fillId="0" borderId="0" applyFont="0" applyFill="0" applyBorder="0" applyAlignment="0" applyProtection="0"/>
    <xf numFmtId="247" fontId="2" fillId="0" borderId="0" applyFont="0" applyFill="0" applyBorder="0" applyAlignment="0" applyProtection="0"/>
    <xf numFmtId="247" fontId="2" fillId="0" borderId="0" applyFont="0" applyFill="0" applyBorder="0" applyAlignment="0" applyProtection="0"/>
    <xf numFmtId="247" fontId="2" fillId="0" borderId="0" applyFont="0" applyFill="0" applyBorder="0" applyAlignment="0" applyProtection="0"/>
    <xf numFmtId="209" fontId="106" fillId="0" borderId="0" applyFill="0" applyBorder="0" applyAlignment="0" applyProtection="0"/>
    <xf numFmtId="38" fontId="106" fillId="0" borderId="0" applyFont="0" applyFill="0" applyBorder="0" applyAlignment="0" applyProtection="0"/>
    <xf numFmtId="0" fontId="212" fillId="0" borderId="0"/>
    <xf numFmtId="0" fontId="5" fillId="0" borderId="0" applyNumberFormat="0" applyFont="0" applyFill="0" applyBorder="0" applyAlignment="0" applyProtection="0">
      <alignment horizontal="left"/>
    </xf>
    <xf numFmtId="15" fontId="5" fillId="0" borderId="0" applyFont="0" applyFill="0" applyBorder="0" applyAlignment="0" applyProtection="0"/>
    <xf numFmtId="4" fontId="5" fillId="0" borderId="0" applyFont="0" applyFill="0" applyBorder="0" applyAlignment="0" applyProtection="0"/>
    <xf numFmtId="0" fontId="213" fillId="0" borderId="10">
      <alignment horizontal="center"/>
    </xf>
    <xf numFmtId="0" fontId="213" fillId="0" borderId="10">
      <alignment horizontal="center"/>
    </xf>
    <xf numFmtId="3" fontId="5" fillId="0" borderId="0" applyFont="0" applyFill="0" applyBorder="0" applyAlignment="0" applyProtection="0"/>
    <xf numFmtId="0" fontId="5" fillId="60" borderId="0" applyNumberFormat="0" applyFont="0" applyBorder="0" applyAlignment="0" applyProtection="0"/>
    <xf numFmtId="3" fontId="72" fillId="0" borderId="0" applyFont="0" applyFill="0" applyBorder="0" applyAlignment="0" applyProtection="0"/>
    <xf numFmtId="0" fontId="214" fillId="0" borderId="0"/>
    <xf numFmtId="257" fontId="132" fillId="0" borderId="0"/>
    <xf numFmtId="209" fontId="156" fillId="0" borderId="0" applyFont="0" applyFill="0" applyBorder="0" applyAlignment="0" applyProtection="0"/>
    <xf numFmtId="171" fontId="5" fillId="45" borderId="22" applyNumberFormat="0" applyFont="0" applyBorder="0" applyAlignment="0" applyProtection="0">
      <alignment horizontal="center"/>
    </xf>
    <xf numFmtId="171" fontId="5" fillId="45" borderId="22" applyNumberFormat="0" applyFont="0" applyBorder="0" applyAlignment="0" applyProtection="0">
      <alignment horizontal="center"/>
    </xf>
    <xf numFmtId="14" fontId="154" fillId="0" borderId="0" applyNumberFormat="0" applyFill="0" applyBorder="0" applyAlignment="0" applyProtection="0">
      <alignment horizontal="left"/>
    </xf>
    <xf numFmtId="38" fontId="154" fillId="0" borderId="0"/>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166" fontId="13" fillId="0" borderId="0"/>
    <xf numFmtId="166" fontId="13" fillId="0" borderId="0"/>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2">
      <protection locked="0"/>
    </xf>
    <xf numFmtId="0" fontId="13" fillId="0" borderId="0"/>
    <xf numFmtId="166" fontId="13" fillId="0" borderId="0"/>
    <xf numFmtId="166" fontId="13" fillId="0" borderId="0"/>
    <xf numFmtId="166" fontId="13" fillId="0" borderId="0"/>
    <xf numFmtId="166" fontId="13" fillId="0" borderId="0"/>
    <xf numFmtId="166" fontId="13" fillId="0" borderId="0"/>
    <xf numFmtId="166" fontId="13" fillId="0" borderId="0"/>
    <xf numFmtId="166" fontId="13" fillId="0" borderId="0"/>
    <xf numFmtId="16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13" fillId="0" borderId="0"/>
    <xf numFmtId="166" fontId="13" fillId="0" borderId="0"/>
    <xf numFmtId="166" fontId="13" fillId="0" borderId="0"/>
    <xf numFmtId="166" fontId="13" fillId="0" borderId="0"/>
    <xf numFmtId="166" fontId="13" fillId="0" borderId="0"/>
    <xf numFmtId="166" fontId="13" fillId="0" borderId="0"/>
    <xf numFmtId="166" fontId="13" fillId="0" borderId="0"/>
    <xf numFmtId="16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13" fillId="0" borderId="2">
      <alignment horizontal="centerContinuous"/>
    </xf>
    <xf numFmtId="0" fontId="215" fillId="0" borderId="10">
      <alignment horizontal="right"/>
    </xf>
    <xf numFmtId="0" fontId="215" fillId="0" borderId="10">
      <alignment horizontal="right"/>
    </xf>
    <xf numFmtId="0" fontId="216" fillId="4" borderId="24" applyBorder="0" applyProtection="0"/>
    <xf numFmtId="174" fontId="2" fillId="0" borderId="0">
      <alignment horizontal="left"/>
      <protection locked="0"/>
    </xf>
    <xf numFmtId="174" fontId="2" fillId="0" borderId="0">
      <alignment horizontal="left"/>
      <protection locked="0"/>
    </xf>
    <xf numFmtId="0" fontId="104" fillId="61" borderId="0" applyNumberFormat="0" applyFont="0" applyBorder="0" applyAlignment="0" applyProtection="0"/>
    <xf numFmtId="0" fontId="104" fillId="61" borderId="0" applyNumberFormat="0" applyFont="0" applyBorder="0" applyAlignment="0" applyProtection="0"/>
    <xf numFmtId="1" fontId="212" fillId="62" borderId="0" applyNumberFormat="0" applyFont="0" applyBorder="0" applyAlignment="0">
      <alignment horizontal="left"/>
    </xf>
    <xf numFmtId="211" fontId="106" fillId="0" borderId="0" applyFill="0" applyBorder="0" applyAlignment="0" applyProtection="0">
      <protection locked="0"/>
    </xf>
    <xf numFmtId="0" fontId="126" fillId="0" borderId="0" applyNumberFormat="0" applyAlignment="0"/>
    <xf numFmtId="0" fontId="217" fillId="63" borderId="0"/>
    <xf numFmtId="0" fontId="217" fillId="0" borderId="0"/>
    <xf numFmtId="0" fontId="217" fillId="0" borderId="0"/>
    <xf numFmtId="0" fontId="217" fillId="64" borderId="0"/>
    <xf numFmtId="0" fontId="217" fillId="64" borderId="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NumberForma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218" fillId="6" borderId="62" applyNumberFormat="0"/>
    <xf numFmtId="0" fontId="218" fillId="6" borderId="62" applyNumberFormat="0" applyAlignment="0"/>
    <xf numFmtId="0" fontId="219" fillId="65" borderId="62" applyNumberFormat="0"/>
    <xf numFmtId="3" fontId="220" fillId="65" borderId="62"/>
    <xf numFmtId="0" fontId="218" fillId="6" borderId="62" applyNumberFormat="0" applyAlignment="0"/>
    <xf numFmtId="0" fontId="221" fillId="38" borderId="62" applyNumberFormat="0"/>
    <xf numFmtId="0" fontId="219" fillId="65" borderId="62" applyNumberFormat="0" applyAlignment="0"/>
    <xf numFmtId="0" fontId="222" fillId="38" borderId="62" applyNumberFormat="0"/>
    <xf numFmtId="3" fontId="218" fillId="52" borderId="63" applyAlignment="0">
      <protection locked="0"/>
    </xf>
    <xf numFmtId="0" fontId="218" fillId="52" borderId="63" applyNumberFormat="0">
      <protection locked="0"/>
    </xf>
    <xf numFmtId="3" fontId="220" fillId="65" borderId="62" applyAlignment="0"/>
    <xf numFmtId="3" fontId="218" fillId="52" borderId="63">
      <protection locked="0"/>
    </xf>
    <xf numFmtId="49" fontId="218" fillId="52" borderId="63" applyAlignment="0">
      <protection locked="0"/>
    </xf>
    <xf numFmtId="3" fontId="220" fillId="65" borderId="62" applyAlignment="0"/>
    <xf numFmtId="258" fontId="223" fillId="0" borderId="0" applyNumberFormat="0" applyFill="0" applyBorder="0" applyAlignment="0" applyProtection="0">
      <alignment horizontal="right" vertical="center" wrapText="1"/>
    </xf>
    <xf numFmtId="0" fontId="224" fillId="0" borderId="0" applyNumberFormat="0" applyFill="0" applyBorder="0" applyAlignment="0" applyProtection="0"/>
    <xf numFmtId="0" fontId="225" fillId="0" borderId="0" applyNumberFormat="0" applyFill="0" applyBorder="0" applyAlignment="0" applyProtection="0">
      <protection locked="0"/>
    </xf>
    <xf numFmtId="0" fontId="226" fillId="0" borderId="7" applyNumberFormat="0" applyFill="0" applyProtection="0">
      <alignment horizontal="right"/>
    </xf>
    <xf numFmtId="0" fontId="226" fillId="0" borderId="7" applyNumberFormat="0" applyFill="0" applyProtection="0">
      <alignment horizontal="right"/>
    </xf>
    <xf numFmtId="0" fontId="226" fillId="0" borderId="7" applyNumberFormat="0" applyFill="0" applyProtection="0">
      <alignment horizontal="right"/>
    </xf>
    <xf numFmtId="0" fontId="226" fillId="0" borderId="7" applyNumberFormat="0" applyFill="0" applyProtection="0">
      <alignment horizontal="right"/>
    </xf>
    <xf numFmtId="259" fontId="227" fillId="0" borderId="0" applyFill="0" applyBorder="0" applyAlignment="0" applyProtection="0"/>
    <xf numFmtId="210" fontId="228" fillId="0" borderId="0" applyFill="0" applyBorder="0" applyAlignment="0" applyProtection="0"/>
    <xf numFmtId="209" fontId="106" fillId="0" borderId="0" applyFill="0" applyBorder="0" applyAlignment="0" applyProtection="0">
      <protection locked="0"/>
    </xf>
    <xf numFmtId="40" fontId="2" fillId="0" borderId="0" applyBorder="0">
      <alignment horizontal="right"/>
    </xf>
    <xf numFmtId="40" fontId="2" fillId="0" borderId="0" applyBorder="0">
      <alignment horizontal="right"/>
    </xf>
    <xf numFmtId="40" fontId="2" fillId="0" borderId="0" applyBorder="0">
      <alignment horizontal="right"/>
    </xf>
    <xf numFmtId="40" fontId="2" fillId="0" borderId="0" applyBorder="0">
      <alignment horizontal="right"/>
    </xf>
    <xf numFmtId="40" fontId="2" fillId="0" borderId="0" applyBorder="0">
      <alignment horizontal="right"/>
    </xf>
    <xf numFmtId="40" fontId="2" fillId="0" borderId="0" applyBorder="0">
      <alignment horizontal="right"/>
    </xf>
    <xf numFmtId="3" fontId="229" fillId="0" borderId="0">
      <alignment horizontal="right" vertical="center"/>
    </xf>
    <xf numFmtId="209" fontId="227" fillId="0" borderId="0" applyFill="0" applyBorder="0" applyAlignment="0" applyProtection="0"/>
    <xf numFmtId="260" fontId="230" fillId="0" borderId="0"/>
    <xf numFmtId="0" fontId="15" fillId="0" borderId="0" applyFill="0" applyBorder="0" applyProtection="0">
      <alignment horizontal="center" vertical="center"/>
    </xf>
    <xf numFmtId="0" fontId="15" fillId="0" borderId="0" applyFill="0" applyBorder="0" applyProtection="0">
      <alignment horizontal="center" vertical="center"/>
    </xf>
    <xf numFmtId="0" fontId="226" fillId="0" borderId="17" applyNumberFormat="0" applyProtection="0">
      <alignment horizontal="right"/>
    </xf>
    <xf numFmtId="0" fontId="231" fillId="0" borderId="8" applyNumberFormat="0" applyFill="0" applyProtection="0"/>
    <xf numFmtId="0" fontId="231" fillId="0" borderId="8" applyNumberFormat="0" applyFill="0" applyProtection="0"/>
    <xf numFmtId="0" fontId="231" fillId="0" borderId="8" applyNumberFormat="0" applyFill="0" applyProtection="0"/>
    <xf numFmtId="0" fontId="231" fillId="0" borderId="8" applyNumberFormat="0" applyFill="0" applyProtection="0"/>
    <xf numFmtId="235" fontId="104" fillId="0" borderId="8" applyBorder="0" applyProtection="0">
      <alignment horizontal="right" vertical="center"/>
    </xf>
    <xf numFmtId="235" fontId="104" fillId="0" borderId="8" applyBorder="0" applyProtection="0">
      <alignment horizontal="right" vertical="center"/>
    </xf>
    <xf numFmtId="235" fontId="104" fillId="0" borderId="8" applyBorder="0" applyProtection="0">
      <alignment horizontal="right" vertical="center"/>
    </xf>
    <xf numFmtId="235" fontId="104" fillId="0" borderId="8" applyBorder="0" applyProtection="0">
      <alignment horizontal="right" vertical="center"/>
    </xf>
    <xf numFmtId="235" fontId="104" fillId="0" borderId="8" applyBorder="0" applyProtection="0">
      <alignment horizontal="right" vertical="center"/>
    </xf>
    <xf numFmtId="0" fontId="232" fillId="66" borderId="0" applyBorder="0" applyProtection="0">
      <alignment horizontal="centerContinuous" vertical="center"/>
    </xf>
    <xf numFmtId="0" fontId="232" fillId="57" borderId="8" applyBorder="0" applyProtection="0">
      <alignment horizontal="centerContinuous" vertical="center"/>
    </xf>
    <xf numFmtId="0" fontId="232" fillId="57" borderId="8" applyBorder="0" applyProtection="0">
      <alignment horizontal="centerContinuous" vertical="center"/>
    </xf>
    <xf numFmtId="0" fontId="232" fillId="57" borderId="8" applyBorder="0" applyProtection="0">
      <alignment horizontal="centerContinuous" vertical="center"/>
    </xf>
    <xf numFmtId="0" fontId="232" fillId="57" borderId="8" applyBorder="0" applyProtection="0">
      <alignment horizontal="centerContinuous" vertical="center"/>
    </xf>
    <xf numFmtId="0" fontId="233" fillId="0" borderId="0" applyBorder="0" applyProtection="0">
      <alignment vertical="center"/>
    </xf>
    <xf numFmtId="0" fontId="15" fillId="0" borderId="0" applyFill="0" applyBorder="0" applyProtection="0"/>
    <xf numFmtId="0" fontId="15" fillId="0" borderId="0" applyFill="0" applyBorder="0" applyProtection="0"/>
    <xf numFmtId="0" fontId="234" fillId="0" borderId="0">
      <alignment vertical="center"/>
    </xf>
    <xf numFmtId="0" fontId="162" fillId="0" borderId="0">
      <alignment vertical="center"/>
    </xf>
    <xf numFmtId="0" fontId="162" fillId="0" borderId="0">
      <alignment vertical="center"/>
    </xf>
    <xf numFmtId="0" fontId="234" fillId="0" borderId="0">
      <alignment vertical="center"/>
    </xf>
    <xf numFmtId="0" fontId="170" fillId="0" borderId="0">
      <alignment vertical="center"/>
    </xf>
    <xf numFmtId="0" fontId="235" fillId="0" borderId="0" applyFill="0" applyBorder="0" applyProtection="0">
      <alignment horizontal="left"/>
    </xf>
    <xf numFmtId="0" fontId="161" fillId="0" borderId="32" applyFill="0" applyBorder="0" applyProtection="0">
      <alignment horizontal="left" vertical="top"/>
    </xf>
    <xf numFmtId="252" fontId="236" fillId="0" borderId="0" applyNumberFormat="0" applyFill="0" applyBorder="0">
      <alignment horizontal="left"/>
    </xf>
    <xf numFmtId="252" fontId="237" fillId="0" borderId="0" applyNumberFormat="0" applyFill="0" applyBorder="0">
      <alignment horizontal="right"/>
    </xf>
    <xf numFmtId="0" fontId="2" fillId="0" borderId="0" applyNumberFormat="0" applyFill="0" applyBorder="0" applyAlignment="0" applyProtection="0"/>
    <xf numFmtId="0" fontId="2" fillId="0" borderId="0" applyNumberFormat="0" applyFill="0" applyBorder="0" applyAlignment="0" applyProtection="0"/>
    <xf numFmtId="0" fontId="104" fillId="0" borderId="0">
      <alignment vertical="top"/>
    </xf>
    <xf numFmtId="0" fontId="104" fillId="0" borderId="0">
      <alignment vertical="top"/>
    </xf>
    <xf numFmtId="261" fontId="210" fillId="0" borderId="41" applyFont="0" applyFill="0" applyBorder="0" applyAlignment="0" applyProtection="0">
      <alignment vertical="top"/>
    </xf>
    <xf numFmtId="262" fontId="73" fillId="0" borderId="0" applyFont="0" applyFill="0" applyBorder="0" applyAlignment="0" applyProtection="0"/>
    <xf numFmtId="261" fontId="210" fillId="0" borderId="41" applyFont="0" applyFill="0" applyBorder="0" applyProtection="0">
      <alignment horizontal="center"/>
    </xf>
    <xf numFmtId="261" fontId="105" fillId="0" borderId="0" applyFont="0" applyFill="0" applyBorder="0" applyProtection="0">
      <alignment horizontal="center"/>
    </xf>
    <xf numFmtId="40" fontId="231" fillId="0" borderId="0"/>
    <xf numFmtId="0" fontId="238" fillId="0" borderId="0" applyNumberFormat="0" applyFill="0" applyBorder="0" applyAlignment="0" applyProtection="0"/>
    <xf numFmtId="209" fontId="156" fillId="0" borderId="0" applyFill="0" applyBorder="0" applyAlignment="0" applyProtection="0"/>
    <xf numFmtId="0" fontId="14" fillId="0" borderId="0" applyAlignment="0">
      <alignment horizontal="centerContinuous"/>
    </xf>
    <xf numFmtId="209" fontId="239" fillId="0" borderId="64"/>
    <xf numFmtId="209" fontId="240" fillId="0" borderId="0" applyNumberFormat="0" applyFill="0" applyBorder="0" applyAlignment="0" applyProtection="0"/>
    <xf numFmtId="0" fontId="5" fillId="0" borderId="0" applyBorder="0"/>
    <xf numFmtId="166" fontId="115" fillId="67" borderId="0" applyFill="0" applyBorder="0" applyAlignment="0" applyProtection="0">
      <alignment horizontal="left"/>
    </xf>
    <xf numFmtId="166" fontId="137" fillId="0" borderId="0" applyFill="0" applyBorder="0" applyAlignment="0" applyProtection="0">
      <alignment horizontal="left"/>
    </xf>
    <xf numFmtId="166" fontId="8" fillId="6" borderId="65" applyNumberFormat="0" applyFont="0" applyFill="0" applyAlignment="0" applyProtection="0">
      <alignment horizontal="right" vertical="center"/>
    </xf>
    <xf numFmtId="166" fontId="8" fillId="6" borderId="65" applyNumberFormat="0" applyFont="0" applyFill="0" applyAlignment="0" applyProtection="0">
      <alignment horizontal="right" vertical="center"/>
    </xf>
    <xf numFmtId="166" fontId="8" fillId="6" borderId="65" applyNumberFormat="0" applyFont="0" applyFill="0" applyAlignment="0" applyProtection="0">
      <alignment horizontal="right" vertical="center"/>
    </xf>
    <xf numFmtId="0" fontId="241" fillId="0" borderId="66" applyNumberFormat="0" applyFill="0" applyAlignment="0" applyProtection="0"/>
    <xf numFmtId="0" fontId="72" fillId="0" borderId="67" applyNumberFormat="0" applyFont="0" applyFill="0" applyAlignment="0" applyProtection="0"/>
    <xf numFmtId="0" fontId="2" fillId="0" borderId="35">
      <protection locked="0"/>
    </xf>
    <xf numFmtId="0" fontId="2" fillId="0" borderId="35">
      <protection locked="0"/>
    </xf>
    <xf numFmtId="0" fontId="2" fillId="0" borderId="35">
      <protection locked="0"/>
    </xf>
    <xf numFmtId="0" fontId="2" fillId="0" borderId="35">
      <protection locked="0"/>
    </xf>
    <xf numFmtId="0" fontId="2" fillId="0" borderId="35">
      <protection locked="0"/>
    </xf>
    <xf numFmtId="0" fontId="2" fillId="0" borderId="35">
      <protection locked="0"/>
    </xf>
    <xf numFmtId="171" fontId="2" fillId="0" borderId="35">
      <alignment horizontal="right"/>
      <protection locked="0"/>
    </xf>
    <xf numFmtId="171" fontId="2" fillId="0" borderId="35">
      <alignment horizontal="right"/>
      <protection locked="0"/>
    </xf>
    <xf numFmtId="171" fontId="2" fillId="0" borderId="35">
      <alignment horizontal="right"/>
      <protection locked="0"/>
    </xf>
    <xf numFmtId="171" fontId="2" fillId="0" borderId="35">
      <alignment horizontal="right"/>
      <protection locked="0"/>
    </xf>
    <xf numFmtId="171" fontId="2" fillId="0" borderId="35">
      <alignment horizontal="right"/>
      <protection locked="0"/>
    </xf>
    <xf numFmtId="171" fontId="2" fillId="0" borderId="35">
      <alignment horizontal="right"/>
      <protection locked="0"/>
    </xf>
    <xf numFmtId="232" fontId="2" fillId="0" borderId="0" applyFont="0" applyFill="0" applyBorder="0" applyAlignment="0" applyProtection="0"/>
    <xf numFmtId="164" fontId="2" fillId="0" borderId="0" applyFont="0" applyFill="0" applyBorder="0" applyAlignment="0" applyProtection="0"/>
    <xf numFmtId="40" fontId="132" fillId="0" borderId="0"/>
    <xf numFmtId="209" fontId="242" fillId="0" borderId="0"/>
    <xf numFmtId="38" fontId="242" fillId="0" borderId="0"/>
    <xf numFmtId="209" fontId="242" fillId="0" borderId="0"/>
    <xf numFmtId="263" fontId="243" fillId="0" borderId="0" applyNumberFormat="0"/>
    <xf numFmtId="38" fontId="2" fillId="0" borderId="0" applyFont="0" applyFill="0" applyBorder="0" applyAlignment="0" applyProtection="0"/>
    <xf numFmtId="264" fontId="2" fillId="0" borderId="0" applyFont="0" applyFill="0" applyBorder="0" applyAlignment="0" applyProtection="0"/>
    <xf numFmtId="265" fontId="2" fillId="0" borderId="0" applyFont="0" applyFill="0" applyBorder="0" applyAlignment="0" applyProtection="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217" fontId="211" fillId="0" borderId="0" applyNumberFormat="0"/>
    <xf numFmtId="42" fontId="2" fillId="0" borderId="0" applyFont="0" applyFill="0" applyBorder="0" applyAlignment="0" applyProtection="0"/>
    <xf numFmtId="44" fontId="2" fillId="0" borderId="0" applyFont="0" applyFill="0" applyBorder="0" applyAlignment="0" applyProtection="0"/>
    <xf numFmtId="0" fontId="190" fillId="0" borderId="0" applyNumberFormat="0" applyFill="0" applyBorder="0" applyAlignment="0" applyProtection="0"/>
    <xf numFmtId="0" fontId="244" fillId="0" borderId="0" applyNumberFormat="0" applyFill="0" applyBorder="0" applyAlignment="0" applyProtection="0"/>
    <xf numFmtId="0" fontId="190" fillId="0" borderId="0" applyNumberFormat="0" applyFill="0" applyBorder="0" applyAlignment="0" applyProtection="0"/>
    <xf numFmtId="0" fontId="190" fillId="0" borderId="0" applyNumberFormat="0" applyFill="0" applyBorder="0" applyAlignment="0" applyProtection="0"/>
    <xf numFmtId="1" fontId="106" fillId="0" borderId="0" applyFont="0" applyFill="0" applyBorder="0" applyAlignment="0" applyProtection="0"/>
    <xf numFmtId="252" fontId="65" fillId="0" borderId="0"/>
    <xf numFmtId="0" fontId="65" fillId="0" borderId="0"/>
    <xf numFmtId="1" fontId="112" fillId="0" borderId="9" applyFill="0" applyProtection="0">
      <alignment horizontal="right"/>
    </xf>
    <xf numFmtId="266" fontId="138" fillId="0" borderId="0" applyFont="0" applyFill="0" applyBorder="0" applyAlignment="0" applyProtection="0"/>
    <xf numFmtId="267" fontId="106" fillId="0" borderId="0" applyFont="0" applyFill="0" applyBorder="0" applyAlignment="0" applyProtection="0"/>
    <xf numFmtId="268" fontId="3" fillId="0" borderId="0" applyFill="0" applyBorder="0" applyAlignment="0" applyProtection="0"/>
    <xf numFmtId="268" fontId="3" fillId="0" borderId="0" applyFill="0" applyBorder="0" applyAlignment="0" applyProtection="0"/>
    <xf numFmtId="164" fontId="245" fillId="0" borderId="0" applyFont="0" applyFill="0" applyBorder="0" applyAlignment="0" applyProtection="0">
      <alignment vertical="center"/>
    </xf>
    <xf numFmtId="0" fontId="2" fillId="0" borderId="0"/>
    <xf numFmtId="0" fontId="2" fillId="0" borderId="0"/>
    <xf numFmtId="0" fontId="117" fillId="0" borderId="0"/>
  </cellStyleXfs>
  <cellXfs count="1297">
    <xf numFmtId="0" fontId="0" fillId="0" borderId="0" xfId="0"/>
    <xf numFmtId="174" fontId="24" fillId="0" borderId="0" xfId="7" applyNumberFormat="1" applyFont="1" applyFill="1" applyBorder="1"/>
    <xf numFmtId="9" fontId="39" fillId="3" borderId="0" xfId="22" applyFont="1" applyFill="1"/>
    <xf numFmtId="174" fontId="76" fillId="0" borderId="0" xfId="7" applyNumberFormat="1" applyFont="1" applyFill="1" applyBorder="1"/>
    <xf numFmtId="174" fontId="76" fillId="4" borderId="0" xfId="7" applyNumberFormat="1" applyFont="1" applyFill="1" applyBorder="1"/>
    <xf numFmtId="174" fontId="39" fillId="5" borderId="0" xfId="7" applyNumberFormat="1" applyFont="1" applyFill="1" applyAlignment="1">
      <alignment horizontal="left" indent="4"/>
    </xf>
    <xf numFmtId="174" fontId="39" fillId="5" borderId="0" xfId="7" applyNumberFormat="1" applyFont="1" applyFill="1" applyAlignment="1">
      <alignment horizontal="left" indent="3"/>
    </xf>
    <xf numFmtId="0" fontId="16" fillId="0" borderId="0" xfId="17" applyFont="1"/>
    <xf numFmtId="0" fontId="17" fillId="3" borderId="0" xfId="17" applyFont="1" applyFill="1" applyAlignment="1"/>
    <xf numFmtId="0" fontId="16" fillId="3" borderId="0" xfId="17" applyFont="1" applyFill="1"/>
    <xf numFmtId="37" fontId="18" fillId="7" borderId="0" xfId="17" applyNumberFormat="1" applyFont="1" applyFill="1"/>
    <xf numFmtId="0" fontId="19" fillId="7" borderId="0" xfId="17" applyFont="1" applyFill="1"/>
    <xf numFmtId="14" fontId="20" fillId="7" borderId="0" xfId="16" applyNumberFormat="1" applyFont="1" applyFill="1"/>
    <xf numFmtId="0" fontId="16" fillId="7" borderId="0" xfId="17" applyFont="1" applyFill="1"/>
    <xf numFmtId="0" fontId="16" fillId="0" borderId="0" xfId="17" applyFont="1" applyFill="1"/>
    <xf numFmtId="0" fontId="21" fillId="0" borderId="0" xfId="17" applyFont="1"/>
    <xf numFmtId="0" fontId="22" fillId="0" borderId="0" xfId="17" applyFont="1" applyAlignment="1">
      <alignment horizontal="center"/>
    </xf>
    <xf numFmtId="0" fontId="23" fillId="0" borderId="0" xfId="17" applyFont="1" applyFill="1"/>
    <xf numFmtId="0" fontId="21" fillId="0" borderId="0" xfId="17" applyFont="1" applyFill="1"/>
    <xf numFmtId="14" fontId="22" fillId="0" borderId="0" xfId="17" applyNumberFormat="1" applyFont="1" applyAlignment="1">
      <alignment horizontal="center"/>
    </xf>
    <xf numFmtId="6" fontId="22" fillId="0" borderId="0" xfId="17" applyNumberFormat="1" applyFont="1" applyAlignment="1">
      <alignment horizontal="center"/>
    </xf>
    <xf numFmtId="37" fontId="16" fillId="2" borderId="0" xfId="17" applyNumberFormat="1" applyFont="1" applyFill="1"/>
    <xf numFmtId="167" fontId="16" fillId="0" borderId="0" xfId="17" applyNumberFormat="1" applyFont="1"/>
    <xf numFmtId="167" fontId="16" fillId="2" borderId="0" xfId="17" applyNumberFormat="1" applyFont="1" applyFill="1"/>
    <xf numFmtId="167" fontId="16" fillId="0" borderId="0" xfId="17" applyNumberFormat="1" applyFont="1" applyFill="1"/>
    <xf numFmtId="0" fontId="21" fillId="0" borderId="0" xfId="17" applyFont="1" applyAlignment="1">
      <alignment horizontal="left"/>
    </xf>
    <xf numFmtId="7" fontId="16" fillId="2" borderId="0" xfId="17" applyNumberFormat="1" applyFont="1" applyFill="1"/>
    <xf numFmtId="0" fontId="21" fillId="0" borderId="0" xfId="17" applyFont="1" applyAlignment="1">
      <alignment horizontal="left" indent="1"/>
    </xf>
    <xf numFmtId="17" fontId="16" fillId="2" borderId="0" xfId="17" applyNumberFormat="1" applyFont="1" applyFill="1"/>
    <xf numFmtId="7" fontId="16" fillId="0" borderId="0" xfId="17" applyNumberFormat="1" applyFont="1"/>
    <xf numFmtId="9" fontId="16" fillId="2" borderId="0" xfId="17" applyNumberFormat="1" applyFont="1" applyFill="1"/>
    <xf numFmtId="37" fontId="16" fillId="2" borderId="0" xfId="17" applyNumberFormat="1" applyFont="1" applyFill="1" applyAlignment="1">
      <alignment horizontal="right"/>
    </xf>
    <xf numFmtId="165" fontId="16" fillId="0" borderId="0" xfId="22" applyNumberFormat="1" applyFont="1"/>
    <xf numFmtId="0" fontId="16" fillId="0" borderId="0" xfId="17" applyFont="1" applyAlignment="1">
      <alignment horizontal="right"/>
    </xf>
    <xf numFmtId="9" fontId="16" fillId="0" borderId="0" xfId="22" applyNumberFormat="1" applyFont="1"/>
    <xf numFmtId="0" fontId="22" fillId="0" borderId="0" xfId="17" applyFont="1" applyFill="1" applyAlignment="1">
      <alignment horizontal="right"/>
    </xf>
    <xf numFmtId="0" fontId="22" fillId="0" borderId="0" xfId="17" applyFont="1" applyFill="1"/>
    <xf numFmtId="0" fontId="21" fillId="0" borderId="0" xfId="17" applyFont="1" applyBorder="1"/>
    <xf numFmtId="165" fontId="16" fillId="0" borderId="0" xfId="22" applyNumberFormat="1" applyFont="1" applyAlignment="1">
      <alignment horizontal="center"/>
    </xf>
    <xf numFmtId="165" fontId="16" fillId="0" borderId="9" xfId="22" applyNumberFormat="1" applyFont="1" applyBorder="1" applyAlignment="1">
      <alignment horizontal="center"/>
    </xf>
    <xf numFmtId="1" fontId="21" fillId="3" borderId="0" xfId="17" quotePrefix="1" applyNumberFormat="1" applyFont="1" applyFill="1" applyBorder="1" applyAlignment="1"/>
    <xf numFmtId="0" fontId="21" fillId="0" borderId="10" xfId="17" applyFont="1" applyBorder="1"/>
    <xf numFmtId="0" fontId="24" fillId="0" borderId="10" xfId="17" quotePrefix="1" applyFont="1" applyFill="1" applyBorder="1" applyAlignment="1">
      <alignment horizontal="left"/>
    </xf>
    <xf numFmtId="14" fontId="21" fillId="4" borderId="10" xfId="17" applyNumberFormat="1" applyFont="1" applyFill="1" applyBorder="1" applyAlignment="1">
      <alignment horizontal="right"/>
    </xf>
    <xf numFmtId="14" fontId="21" fillId="0" borderId="10" xfId="17" applyNumberFormat="1" applyFont="1" applyFill="1" applyBorder="1" applyAlignment="1">
      <alignment horizontal="right"/>
    </xf>
    <xf numFmtId="5" fontId="16" fillId="0" borderId="0" xfId="17" applyNumberFormat="1" applyFont="1"/>
    <xf numFmtId="0" fontId="25" fillId="0" borderId="0" xfId="17" applyFont="1" applyAlignment="1">
      <alignment horizontal="left" indent="1"/>
    </xf>
    <xf numFmtId="37" fontId="16" fillId="0" borderId="0" xfId="17" applyNumberFormat="1" applyFont="1"/>
    <xf numFmtId="9" fontId="16" fillId="0" borderId="0" xfId="22" applyFont="1"/>
    <xf numFmtId="172" fontId="16" fillId="0" borderId="0" xfId="17" applyNumberFormat="1" applyFont="1"/>
    <xf numFmtId="168" fontId="16" fillId="0" borderId="0" xfId="17" applyNumberFormat="1" applyFont="1"/>
    <xf numFmtId="173" fontId="16" fillId="0" borderId="0" xfId="17" applyNumberFormat="1" applyFont="1" applyAlignment="1">
      <alignment horizontal="right"/>
    </xf>
    <xf numFmtId="5" fontId="16" fillId="0" borderId="0" xfId="17" applyNumberFormat="1" applyFont="1" applyFill="1"/>
    <xf numFmtId="7" fontId="16" fillId="0" borderId="0" xfId="17" applyNumberFormat="1" applyFont="1" applyFill="1"/>
    <xf numFmtId="169" fontId="16" fillId="0" borderId="0" xfId="17" applyNumberFormat="1" applyFont="1" applyFill="1"/>
    <xf numFmtId="165" fontId="16" fillId="0" borderId="0" xfId="22" applyNumberFormat="1" applyFont="1" applyFill="1"/>
    <xf numFmtId="0" fontId="16" fillId="0" borderId="0" xfId="17" applyFont="1" applyBorder="1"/>
    <xf numFmtId="165" fontId="16" fillId="0" borderId="0" xfId="17" applyNumberFormat="1" applyFont="1" applyFill="1"/>
    <xf numFmtId="0" fontId="21" fillId="0" borderId="0" xfId="17" applyFont="1" applyAlignment="1"/>
    <xf numFmtId="0" fontId="16" fillId="0" borderId="8" xfId="17" applyFont="1" applyBorder="1"/>
    <xf numFmtId="165" fontId="16" fillId="0" borderId="8" xfId="17" applyNumberFormat="1" applyFont="1" applyFill="1" applyBorder="1"/>
    <xf numFmtId="0" fontId="26" fillId="0" borderId="0" xfId="17" applyFont="1" applyAlignment="1">
      <alignment horizontal="left"/>
    </xf>
    <xf numFmtId="0" fontId="26" fillId="0" borderId="0" xfId="17" applyFont="1" applyAlignment="1">
      <alignment horizontal="left" indent="3"/>
    </xf>
    <xf numFmtId="0" fontId="2" fillId="0" borderId="0" xfId="17" applyFont="1"/>
    <xf numFmtId="0" fontId="18" fillId="7" borderId="0" xfId="17" applyFont="1" applyFill="1"/>
    <xf numFmtId="0" fontId="20" fillId="7" borderId="0" xfId="17" applyFont="1" applyFill="1"/>
    <xf numFmtId="0" fontId="16" fillId="4" borderId="0" xfId="17" applyFont="1" applyFill="1"/>
    <xf numFmtId="175" fontId="16" fillId="4" borderId="0" xfId="17" applyNumberFormat="1" applyFont="1" applyFill="1"/>
    <xf numFmtId="175" fontId="16" fillId="0" borderId="0" xfId="17" applyNumberFormat="1" applyFont="1"/>
    <xf numFmtId="174" fontId="22" fillId="0" borderId="0" xfId="7" applyNumberFormat="1" applyFont="1" applyFill="1" applyBorder="1" applyProtection="1"/>
    <xf numFmtId="0" fontId="16" fillId="0" borderId="0" xfId="17" applyFont="1" applyBorder="1" applyAlignment="1" applyProtection="1">
      <alignment horizontal="left"/>
    </xf>
    <xf numFmtId="175" fontId="16" fillId="4" borderId="0" xfId="7" applyNumberFormat="1" applyFont="1" applyFill="1"/>
    <xf numFmtId="175" fontId="16" fillId="0" borderId="0" xfId="7" applyNumberFormat="1" applyFont="1"/>
    <xf numFmtId="0" fontId="16" fillId="0" borderId="0" xfId="17" applyFont="1" applyAlignment="1">
      <alignment horizontal="left" indent="1"/>
    </xf>
    <xf numFmtId="165" fontId="16" fillId="4" borderId="0" xfId="17" applyNumberFormat="1" applyFont="1" applyFill="1"/>
    <xf numFmtId="165" fontId="16" fillId="0" borderId="0" xfId="17" applyNumberFormat="1" applyFont="1"/>
    <xf numFmtId="0" fontId="29" fillId="0" borderId="0" xfId="17" applyFont="1"/>
    <xf numFmtId="37" fontId="16" fillId="0" borderId="0" xfId="17" applyNumberFormat="1" applyFont="1" applyFill="1"/>
    <xf numFmtId="174" fontId="22" fillId="0" borderId="0" xfId="7" applyNumberFormat="1" applyFont="1" applyFill="1"/>
    <xf numFmtId="174" fontId="16" fillId="0" borderId="0" xfId="7" applyNumberFormat="1" applyFont="1" applyFill="1"/>
    <xf numFmtId="174" fontId="16" fillId="0" borderId="0" xfId="7" applyNumberFormat="1" applyFont="1" applyFill="1" applyBorder="1"/>
    <xf numFmtId="0" fontId="29" fillId="7" borderId="11" xfId="17" applyFont="1" applyFill="1" applyBorder="1"/>
    <xf numFmtId="0" fontId="29" fillId="7" borderId="6" xfId="17" applyFont="1" applyFill="1" applyBorder="1" applyAlignment="1">
      <alignment horizontal="left"/>
    </xf>
    <xf numFmtId="0" fontId="29" fillId="7" borderId="6" xfId="17" applyFont="1" applyFill="1" applyBorder="1"/>
    <xf numFmtId="0" fontId="29" fillId="7" borderId="12" xfId="17" applyFont="1" applyFill="1" applyBorder="1"/>
    <xf numFmtId="0" fontId="29" fillId="3" borderId="0" xfId="17" applyFont="1" applyFill="1"/>
    <xf numFmtId="0" fontId="31" fillId="7" borderId="13" xfId="17" applyFont="1" applyFill="1" applyBorder="1"/>
    <xf numFmtId="0" fontId="29" fillId="7" borderId="0" xfId="17" applyFont="1" applyFill="1" applyBorder="1"/>
    <xf numFmtId="0" fontId="32" fillId="7" borderId="0" xfId="17" applyFont="1" applyFill="1" applyBorder="1" applyAlignment="1">
      <alignment horizontal="left"/>
    </xf>
    <xf numFmtId="0" fontId="31" fillId="7" borderId="0" xfId="17" applyFont="1" applyFill="1" applyBorder="1"/>
    <xf numFmtId="0" fontId="29" fillId="7" borderId="14" xfId="17" applyFont="1" applyFill="1" applyBorder="1"/>
    <xf numFmtId="0" fontId="33" fillId="7" borderId="0" xfId="17" applyFont="1" applyFill="1" applyBorder="1" applyAlignment="1">
      <alignment horizontal="left"/>
    </xf>
    <xf numFmtId="0" fontId="34" fillId="7" borderId="13" xfId="17" applyFont="1" applyFill="1" applyBorder="1"/>
    <xf numFmtId="0" fontId="33" fillId="7" borderId="0" xfId="17" applyFont="1" applyFill="1" applyBorder="1" applyAlignment="1"/>
    <xf numFmtId="0" fontId="34" fillId="7" borderId="0" xfId="17" applyFont="1" applyFill="1" applyBorder="1"/>
    <xf numFmtId="0" fontId="29" fillId="0" borderId="13" xfId="17" applyFont="1" applyFill="1" applyBorder="1"/>
    <xf numFmtId="0" fontId="29" fillId="0" borderId="0" xfId="17" applyFont="1" applyFill="1" applyBorder="1" applyAlignment="1">
      <alignment horizontal="left"/>
    </xf>
    <xf numFmtId="0" fontId="29" fillId="0" borderId="0" xfId="17" applyFont="1" applyFill="1" applyBorder="1"/>
    <xf numFmtId="0" fontId="29" fillId="0" borderId="14" xfId="17" applyFont="1" applyFill="1" applyBorder="1"/>
    <xf numFmtId="0" fontId="35" fillId="0" borderId="0" xfId="17" applyFont="1" applyFill="1" applyBorder="1" applyAlignment="1">
      <alignment horizontal="left"/>
    </xf>
    <xf numFmtId="0" fontId="35" fillId="0" borderId="0" xfId="17" quotePrefix="1" applyFont="1" applyFill="1" applyBorder="1" applyAlignment="1">
      <alignment horizontal="left"/>
    </xf>
    <xf numFmtId="0" fontId="17" fillId="0" borderId="0" xfId="17" applyFont="1" applyFill="1" applyBorder="1" applyAlignment="1"/>
    <xf numFmtId="0" fontId="29" fillId="0" borderId="0" xfId="17" applyFont="1" applyFill="1" applyBorder="1" applyAlignment="1">
      <alignment horizontal="left" indent="8"/>
    </xf>
    <xf numFmtId="0" fontId="11" fillId="0" borderId="0" xfId="9" applyFill="1" applyBorder="1" applyAlignment="1" applyProtection="1"/>
    <xf numFmtId="0" fontId="6" fillId="0" borderId="0" xfId="17" applyFill="1" applyBorder="1"/>
    <xf numFmtId="0" fontId="6" fillId="0" borderId="14" xfId="17" applyFill="1" applyBorder="1"/>
    <xf numFmtId="0" fontId="6" fillId="3" borderId="0" xfId="17" applyFill="1"/>
    <xf numFmtId="0" fontId="36" fillId="0" borderId="0" xfId="17" applyFont="1" applyFill="1" applyBorder="1"/>
    <xf numFmtId="0" fontId="36" fillId="3" borderId="0" xfId="17" applyFont="1" applyFill="1"/>
    <xf numFmtId="0" fontId="11" fillId="0" borderId="0" xfId="9" applyFont="1" applyFill="1" applyBorder="1" applyAlignment="1" applyProtection="1"/>
    <xf numFmtId="0" fontId="17" fillId="0" borderId="13" xfId="17" applyFont="1" applyFill="1" applyBorder="1"/>
    <xf numFmtId="0" fontId="37" fillId="0" borderId="0" xfId="9" applyFont="1" applyFill="1" applyBorder="1" applyAlignment="1" applyProtection="1"/>
    <xf numFmtId="0" fontId="37" fillId="3" borderId="0" xfId="9" applyFont="1" applyFill="1" applyAlignment="1" applyProtection="1"/>
    <xf numFmtId="0" fontId="17" fillId="0" borderId="15" xfId="17" applyFont="1" applyFill="1" applyBorder="1"/>
    <xf numFmtId="0" fontId="36" fillId="0" borderId="10" xfId="17" applyFont="1" applyFill="1" applyBorder="1"/>
    <xf numFmtId="0" fontId="29" fillId="0" borderId="10" xfId="17" applyFont="1" applyFill="1" applyBorder="1"/>
    <xf numFmtId="0" fontId="29" fillId="0" borderId="5" xfId="17" applyFont="1" applyFill="1" applyBorder="1"/>
    <xf numFmtId="0" fontId="17" fillId="3" borderId="0" xfId="17" applyFont="1" applyFill="1"/>
    <xf numFmtId="0" fontId="29" fillId="3" borderId="0" xfId="17" applyFont="1" applyFill="1" applyAlignment="1">
      <alignment horizontal="left"/>
    </xf>
    <xf numFmtId="7" fontId="29" fillId="3" borderId="0" xfId="17" applyNumberFormat="1" applyFont="1" applyFill="1"/>
    <xf numFmtId="49" fontId="2" fillId="0" borderId="0" xfId="17" applyNumberFormat="1" applyFont="1"/>
    <xf numFmtId="0" fontId="21" fillId="3" borderId="0" xfId="17" applyFont="1" applyFill="1" applyAlignment="1"/>
    <xf numFmtId="0" fontId="16" fillId="3" borderId="0" xfId="17" applyFont="1" applyFill="1" applyAlignment="1"/>
    <xf numFmtId="14" fontId="21" fillId="0" borderId="5" xfId="17" applyNumberFormat="1" applyFont="1" applyFill="1" applyBorder="1" applyAlignment="1">
      <alignment horizontal="right"/>
    </xf>
    <xf numFmtId="3" fontId="16" fillId="3" borderId="0" xfId="17" applyNumberFormat="1" applyFont="1" applyFill="1" applyBorder="1" applyAlignment="1"/>
    <xf numFmtId="0" fontId="38" fillId="0" borderId="0" xfId="17" quotePrefix="1" applyFont="1" applyFill="1" applyBorder="1" applyAlignment="1">
      <alignment horizontal="left"/>
    </xf>
    <xf numFmtId="0" fontId="38" fillId="4" borderId="0" xfId="17" quotePrefix="1" applyFont="1" applyFill="1" applyBorder="1" applyAlignment="1">
      <alignment horizontal="right"/>
    </xf>
    <xf numFmtId="0" fontId="38" fillId="0" borderId="0" xfId="17" quotePrefix="1" applyFont="1" applyFill="1" applyBorder="1" applyAlignment="1">
      <alignment horizontal="right"/>
    </xf>
    <xf numFmtId="0" fontId="38" fillId="0" borderId="14" xfId="17" quotePrefix="1" applyFont="1" applyFill="1" applyBorder="1" applyAlignment="1">
      <alignment horizontal="right"/>
    </xf>
    <xf numFmtId="3" fontId="21" fillId="3" borderId="0" xfId="17" applyNumberFormat="1" applyFont="1" applyFill="1" applyBorder="1" applyAlignment="1"/>
    <xf numFmtId="174" fontId="16" fillId="3" borderId="0" xfId="7" applyNumberFormat="1" applyFont="1" applyFill="1" applyAlignment="1"/>
    <xf numFmtId="174" fontId="16" fillId="4" borderId="0" xfId="7" applyNumberFormat="1" applyFont="1" applyFill="1" applyBorder="1" applyProtection="1"/>
    <xf numFmtId="174" fontId="16" fillId="0" borderId="0" xfId="7" applyNumberFormat="1" applyFont="1" applyFill="1" applyBorder="1" applyProtection="1"/>
    <xf numFmtId="174" fontId="16" fillId="0" borderId="14" xfId="7" applyNumberFormat="1" applyFont="1" applyFill="1" applyBorder="1" applyProtection="1"/>
    <xf numFmtId="0" fontId="16" fillId="0" borderId="0" xfId="17" applyFont="1" applyBorder="1" applyAlignment="1" applyProtection="1">
      <alignment horizontal="left" indent="1"/>
    </xf>
    <xf numFmtId="0" fontId="21" fillId="0" borderId="0" xfId="17" applyFont="1" applyFill="1" applyBorder="1"/>
    <xf numFmtId="174" fontId="21" fillId="4" borderId="0" xfId="7" applyNumberFormat="1" applyFont="1" applyFill="1" applyBorder="1"/>
    <xf numFmtId="174" fontId="21" fillId="0" borderId="0" xfId="7" applyNumberFormat="1" applyFont="1" applyFill="1" applyBorder="1" applyProtection="1"/>
    <xf numFmtId="174" fontId="21" fillId="0" borderId="14" xfId="7" applyNumberFormat="1" applyFont="1" applyFill="1" applyBorder="1" applyProtection="1"/>
    <xf numFmtId="174" fontId="21" fillId="4" borderId="0" xfId="7" applyNumberFormat="1" applyFont="1" applyFill="1" applyBorder="1" applyProtection="1"/>
    <xf numFmtId="3" fontId="16" fillId="3" borderId="0" xfId="17" applyNumberFormat="1" applyFont="1" applyFill="1" applyAlignment="1"/>
    <xf numFmtId="174" fontId="21" fillId="0" borderId="0" xfId="7" applyNumberFormat="1" applyFont="1" applyFill="1" applyBorder="1"/>
    <xf numFmtId="174" fontId="21" fillId="0" borderId="14" xfId="7" applyNumberFormat="1" applyFont="1" applyFill="1" applyBorder="1"/>
    <xf numFmtId="174" fontId="16" fillId="4" borderId="0" xfId="7" applyNumberFormat="1" applyFont="1" applyFill="1" applyBorder="1"/>
    <xf numFmtId="174" fontId="24" fillId="4" borderId="0" xfId="7" applyNumberFormat="1" applyFont="1" applyFill="1" applyBorder="1"/>
    <xf numFmtId="0" fontId="16" fillId="0" borderId="0" xfId="17" applyFont="1" applyFill="1" applyBorder="1" applyAlignment="1" applyProtection="1">
      <alignment horizontal="left"/>
    </xf>
    <xf numFmtId="174" fontId="28" fillId="4" borderId="0" xfId="7" applyNumberFormat="1" applyFont="1" applyFill="1" applyBorder="1" applyProtection="1"/>
    <xf numFmtId="0" fontId="21" fillId="0" borderId="0" xfId="17" applyFont="1" applyBorder="1" applyAlignment="1" applyProtection="1">
      <alignment horizontal="left"/>
    </xf>
    <xf numFmtId="3" fontId="39" fillId="3" borderId="0" xfId="17" applyNumberFormat="1" applyFont="1" applyFill="1" applyAlignment="1"/>
    <xf numFmtId="0" fontId="39" fillId="5" borderId="0" xfId="17" applyFont="1" applyFill="1" applyBorder="1" applyAlignment="1" applyProtection="1">
      <alignment horizontal="left" indent="1"/>
    </xf>
    <xf numFmtId="0" fontId="39" fillId="0" borderId="0" xfId="17" applyFont="1" applyBorder="1" applyAlignment="1" applyProtection="1">
      <alignment horizontal="left" indent="1"/>
    </xf>
    <xf numFmtId="174" fontId="40" fillId="4" borderId="0" xfId="7" applyNumberFormat="1" applyFont="1" applyFill="1" applyBorder="1" applyProtection="1"/>
    <xf numFmtId="174" fontId="39" fillId="4" borderId="0" xfId="7" applyNumberFormat="1" applyFont="1" applyFill="1" applyBorder="1" applyProtection="1"/>
    <xf numFmtId="174" fontId="39" fillId="0" borderId="0" xfId="7" applyNumberFormat="1" applyFont="1" applyFill="1" applyBorder="1" applyProtection="1"/>
    <xf numFmtId="174" fontId="39" fillId="0" borderId="14" xfId="7" applyNumberFormat="1" applyFont="1" applyFill="1" applyBorder="1" applyProtection="1"/>
    <xf numFmtId="174" fontId="41" fillId="4" borderId="0" xfId="7" applyNumberFormat="1" applyFont="1" applyFill="1" applyBorder="1" applyAlignment="1" applyProtection="1">
      <alignment horizontal="right"/>
    </xf>
    <xf numFmtId="174" fontId="41" fillId="4" borderId="0" xfId="7" applyNumberFormat="1" applyFont="1" applyFill="1" applyBorder="1" applyProtection="1"/>
    <xf numFmtId="174" fontId="41" fillId="0" borderId="0" xfId="7" applyNumberFormat="1" applyFont="1" applyFill="1" applyBorder="1" applyProtection="1"/>
    <xf numFmtId="174" fontId="16" fillId="4" borderId="0" xfId="7" applyNumberFormat="1" applyFont="1" applyFill="1" applyBorder="1" applyAlignment="1" applyProtection="1">
      <alignment horizontal="right"/>
    </xf>
    <xf numFmtId="174" fontId="42" fillId="0" borderId="0" xfId="7" applyNumberFormat="1" applyFont="1" applyBorder="1" applyAlignment="1" applyProtection="1">
      <alignment horizontal="right"/>
    </xf>
    <xf numFmtId="174" fontId="42" fillId="0" borderId="14" xfId="7" applyNumberFormat="1" applyFont="1" applyBorder="1" applyAlignment="1" applyProtection="1">
      <alignment horizontal="right"/>
    </xf>
    <xf numFmtId="174" fontId="16" fillId="0" borderId="0" xfId="7" applyNumberFormat="1" applyFont="1" applyBorder="1" applyAlignment="1" applyProtection="1">
      <alignment horizontal="right"/>
    </xf>
    <xf numFmtId="174" fontId="16" fillId="0" borderId="0" xfId="7" applyNumberFormat="1" applyFont="1" applyFill="1" applyBorder="1" applyAlignment="1" applyProtection="1">
      <alignment horizontal="right"/>
    </xf>
    <xf numFmtId="174" fontId="16" fillId="3" borderId="0" xfId="7" applyNumberFormat="1" applyFont="1" applyFill="1" applyAlignment="1" applyProtection="1"/>
    <xf numFmtId="174" fontId="16" fillId="3" borderId="0" xfId="7" applyNumberFormat="1" applyFont="1" applyFill="1" applyBorder="1" applyAlignment="1" applyProtection="1"/>
    <xf numFmtId="174" fontId="28" fillId="4" borderId="0" xfId="7" applyNumberFormat="1" applyFont="1" applyFill="1" applyBorder="1" applyAlignment="1" applyProtection="1">
      <alignment horizontal="right"/>
    </xf>
    <xf numFmtId="174" fontId="42" fillId="0" borderId="0" xfId="7" applyNumberFormat="1" applyFont="1" applyFill="1" applyBorder="1" applyProtection="1"/>
    <xf numFmtId="174" fontId="16" fillId="3" borderId="0" xfId="7" applyNumberFormat="1" applyFont="1" applyFill="1" applyBorder="1" applyAlignment="1"/>
    <xf numFmtId="174" fontId="16" fillId="0" borderId="14" xfId="7" applyNumberFormat="1" applyFont="1" applyBorder="1" applyAlignment="1" applyProtection="1">
      <alignment horizontal="right"/>
    </xf>
    <xf numFmtId="0" fontId="16" fillId="0" borderId="0" xfId="17" applyFont="1" applyBorder="1" applyAlignment="1" applyProtection="1">
      <alignment horizontal="left" indent="2"/>
    </xf>
    <xf numFmtId="174" fontId="22" fillId="4" borderId="0" xfId="7" applyNumberFormat="1" applyFont="1" applyFill="1" applyBorder="1" applyAlignment="1" applyProtection="1">
      <alignment horizontal="right"/>
    </xf>
    <xf numFmtId="174" fontId="22" fillId="4" borderId="0" xfId="7" applyNumberFormat="1" applyFont="1" applyFill="1" applyBorder="1" applyProtection="1"/>
    <xf numFmtId="37" fontId="16" fillId="3" borderId="0" xfId="17" applyNumberFormat="1" applyFont="1" applyFill="1" applyBorder="1" applyAlignment="1"/>
    <xf numFmtId="174" fontId="22" fillId="0" borderId="0" xfId="7" applyNumberFormat="1" applyFont="1" applyBorder="1" applyProtection="1"/>
    <xf numFmtId="0" fontId="16" fillId="5" borderId="0" xfId="17" applyFont="1" applyFill="1" applyBorder="1" applyAlignment="1" applyProtection="1">
      <alignment horizontal="left" indent="2"/>
    </xf>
    <xf numFmtId="165" fontId="16" fillId="3" borderId="0" xfId="22" applyNumberFormat="1" applyFont="1" applyFill="1" applyAlignment="1"/>
    <xf numFmtId="0" fontId="39" fillId="5" borderId="0" xfId="17" applyFont="1" applyFill="1" applyBorder="1" applyAlignment="1" applyProtection="1">
      <alignment horizontal="left" indent="2"/>
    </xf>
    <xf numFmtId="0" fontId="39" fillId="0" borderId="0" xfId="17" applyFont="1" applyBorder="1" applyAlignment="1" applyProtection="1">
      <alignment horizontal="left" indent="2"/>
    </xf>
    <xf numFmtId="174" fontId="39" fillId="0" borderId="0" xfId="7" applyNumberFormat="1" applyFont="1" applyBorder="1" applyAlignment="1" applyProtection="1">
      <alignment horizontal="right"/>
    </xf>
    <xf numFmtId="174" fontId="40" fillId="4" borderId="0" xfId="7" applyNumberFormat="1" applyFont="1" applyFill="1" applyBorder="1" applyAlignment="1" applyProtection="1">
      <alignment horizontal="right"/>
    </xf>
    <xf numFmtId="174" fontId="39" fillId="0" borderId="14" xfId="7" applyNumberFormat="1" applyFont="1" applyBorder="1" applyAlignment="1" applyProtection="1">
      <alignment horizontal="right"/>
    </xf>
    <xf numFmtId="38" fontId="16" fillId="3" borderId="0" xfId="17" applyNumberFormat="1" applyFont="1" applyFill="1" applyBorder="1" applyAlignment="1"/>
    <xf numFmtId="174" fontId="21" fillId="0" borderId="0" xfId="7" applyNumberFormat="1" applyFont="1" applyBorder="1" applyProtection="1"/>
    <xf numFmtId="174" fontId="21" fillId="0" borderId="14" xfId="7" applyNumberFormat="1" applyFont="1" applyBorder="1" applyProtection="1"/>
    <xf numFmtId="165" fontId="28" fillId="4" borderId="0" xfId="17" applyNumberFormat="1" applyFont="1" applyFill="1" applyBorder="1" applyProtection="1"/>
    <xf numFmtId="165" fontId="16" fillId="4" borderId="0" xfId="17" applyNumberFormat="1" applyFont="1" applyFill="1" applyBorder="1" applyProtection="1"/>
    <xf numFmtId="165" fontId="16" fillId="0" borderId="0" xfId="17" applyNumberFormat="1" applyFont="1" applyBorder="1" applyProtection="1"/>
    <xf numFmtId="165" fontId="16" fillId="0" borderId="14" xfId="17" applyNumberFormat="1" applyFont="1" applyBorder="1" applyProtection="1"/>
    <xf numFmtId="165" fontId="22" fillId="4" borderId="0" xfId="17" applyNumberFormat="1" applyFont="1" applyFill="1" applyBorder="1" applyProtection="1"/>
    <xf numFmtId="165" fontId="22" fillId="0" borderId="0" xfId="17" applyNumberFormat="1" applyFont="1" applyFill="1" applyBorder="1" applyProtection="1"/>
    <xf numFmtId="7" fontId="21" fillId="3" borderId="0" xfId="17" applyNumberFormat="1" applyFont="1" applyFill="1" applyBorder="1" applyAlignment="1"/>
    <xf numFmtId="0" fontId="16" fillId="0" borderId="0" xfId="17" applyFont="1" applyAlignment="1" applyProtection="1">
      <alignment horizontal="left"/>
    </xf>
    <xf numFmtId="0" fontId="16" fillId="4" borderId="0" xfId="17" applyFont="1" applyFill="1" applyAlignment="1" applyProtection="1">
      <alignment horizontal="left"/>
    </xf>
    <xf numFmtId="174" fontId="16" fillId="0" borderId="0" xfId="17" applyNumberFormat="1" applyFont="1"/>
    <xf numFmtId="0" fontId="16" fillId="0" borderId="14" xfId="17" applyFont="1" applyBorder="1"/>
    <xf numFmtId="37" fontId="16" fillId="3" borderId="0" xfId="17" applyNumberFormat="1" applyFont="1" applyFill="1" applyAlignment="1" applyProtection="1"/>
    <xf numFmtId="0" fontId="21" fillId="0" borderId="3" xfId="17" applyFont="1" applyBorder="1" applyAlignment="1" applyProtection="1">
      <alignment horizontal="left"/>
    </xf>
    <xf numFmtId="0" fontId="21" fillId="0" borderId="4" xfId="17" applyFont="1" applyBorder="1" applyAlignment="1" applyProtection="1">
      <alignment horizontal="left"/>
    </xf>
    <xf numFmtId="7" fontId="21" fillId="4" borderId="4" xfId="17" applyNumberFormat="1" applyFont="1" applyFill="1" applyBorder="1" applyAlignment="1">
      <alignment horizontal="right"/>
    </xf>
    <xf numFmtId="7" fontId="21" fillId="0" borderId="4" xfId="17" applyNumberFormat="1" applyFont="1" applyFill="1" applyBorder="1" applyAlignment="1">
      <alignment horizontal="right"/>
    </xf>
    <xf numFmtId="7" fontId="21" fillId="0" borderId="16" xfId="17" applyNumberFormat="1" applyFont="1" applyFill="1" applyBorder="1" applyAlignment="1">
      <alignment horizontal="right"/>
    </xf>
    <xf numFmtId="174" fontId="28" fillId="4" borderId="0" xfId="7" applyNumberFormat="1" applyFont="1" applyFill="1" applyProtection="1"/>
    <xf numFmtId="174" fontId="16" fillId="0" borderId="0" xfId="7" applyNumberFormat="1" applyFont="1" applyFill="1" applyProtection="1"/>
    <xf numFmtId="174" fontId="16" fillId="4" borderId="0" xfId="7" applyNumberFormat="1" applyFont="1" applyFill="1" applyProtection="1"/>
    <xf numFmtId="0" fontId="16" fillId="8" borderId="0" xfId="17" applyFont="1" applyFill="1"/>
    <xf numFmtId="0" fontId="21" fillId="4" borderId="0" xfId="17" applyFont="1" applyFill="1"/>
    <xf numFmtId="5" fontId="21" fillId="0" borderId="0" xfId="17" applyNumberFormat="1" applyFont="1"/>
    <xf numFmtId="5" fontId="21" fillId="0" borderId="14" xfId="17" applyNumberFormat="1" applyFont="1" applyBorder="1"/>
    <xf numFmtId="5" fontId="21" fillId="4" borderId="0" xfId="17" applyNumberFormat="1" applyFont="1" applyFill="1"/>
    <xf numFmtId="9" fontId="21" fillId="0" borderId="0" xfId="17" applyNumberFormat="1" applyFont="1" applyFill="1"/>
    <xf numFmtId="5" fontId="21" fillId="0" borderId="0" xfId="17" applyNumberFormat="1" applyFont="1" applyFill="1"/>
    <xf numFmtId="4" fontId="21" fillId="3" borderId="0" xfId="17" applyNumberFormat="1" applyFont="1" applyFill="1" applyBorder="1" applyAlignment="1"/>
    <xf numFmtId="165" fontId="16" fillId="0" borderId="14" xfId="17" applyNumberFormat="1" applyFont="1" applyFill="1" applyBorder="1"/>
    <xf numFmtId="0" fontId="16" fillId="3" borderId="0" xfId="17" applyFont="1" applyFill="1" applyBorder="1" applyAlignment="1"/>
    <xf numFmtId="1" fontId="21" fillId="3" borderId="0" xfId="17" applyNumberFormat="1" applyFont="1" applyFill="1" applyBorder="1" applyAlignment="1"/>
    <xf numFmtId="9" fontId="16" fillId="4" borderId="0" xfId="17" applyNumberFormat="1" applyFont="1" applyFill="1"/>
    <xf numFmtId="9" fontId="16" fillId="0" borderId="0" xfId="17" applyNumberFormat="1" applyFont="1" applyFill="1"/>
    <xf numFmtId="9" fontId="16" fillId="0" borderId="0" xfId="17" applyNumberFormat="1" applyFont="1"/>
    <xf numFmtId="9" fontId="16" fillId="0" borderId="14" xfId="17" applyNumberFormat="1" applyFont="1" applyBorder="1"/>
    <xf numFmtId="9" fontId="16" fillId="3" borderId="0" xfId="17" applyNumberFormat="1" applyFont="1" applyFill="1" applyBorder="1" applyAlignment="1"/>
    <xf numFmtId="9" fontId="16" fillId="3" borderId="0" xfId="17" applyNumberFormat="1" applyFont="1" applyFill="1" applyAlignment="1"/>
    <xf numFmtId="9" fontId="22" fillId="0" borderId="0" xfId="17" applyNumberFormat="1" applyFont="1" applyFill="1"/>
    <xf numFmtId="9" fontId="16" fillId="4" borderId="0" xfId="17" applyNumberFormat="1" applyFont="1" applyFill="1" applyBorder="1"/>
    <xf numFmtId="9" fontId="16" fillId="0" borderId="0" xfId="17" applyNumberFormat="1" applyFont="1" applyBorder="1"/>
    <xf numFmtId="9" fontId="22" fillId="0" borderId="0" xfId="17" applyNumberFormat="1" applyFont="1" applyFill="1" applyBorder="1"/>
    <xf numFmtId="0" fontId="16" fillId="0" borderId="0" xfId="17" applyFont="1" applyFill="1" applyBorder="1"/>
    <xf numFmtId="9" fontId="16" fillId="0" borderId="0" xfId="17" applyNumberFormat="1" applyFont="1" applyFill="1" applyBorder="1"/>
    <xf numFmtId="9" fontId="44" fillId="0" borderId="0" xfId="17" applyNumberFormat="1" applyFont="1" applyFill="1"/>
    <xf numFmtId="0" fontId="44" fillId="0" borderId="0" xfId="17" applyFont="1" applyAlignment="1" applyProtection="1">
      <alignment horizontal="left"/>
    </xf>
    <xf numFmtId="9" fontId="44" fillId="0" borderId="0" xfId="17" applyNumberFormat="1" applyFont="1"/>
    <xf numFmtId="37" fontId="16" fillId="3" borderId="0" xfId="17" applyNumberFormat="1" applyFont="1" applyFill="1"/>
    <xf numFmtId="37" fontId="28" fillId="3" borderId="0" xfId="17" applyNumberFormat="1" applyFont="1" applyFill="1"/>
    <xf numFmtId="1" fontId="16" fillId="3" borderId="0" xfId="17" applyNumberFormat="1" applyFont="1" applyFill="1"/>
    <xf numFmtId="1" fontId="28" fillId="3" borderId="0" xfId="17" applyNumberFormat="1" applyFont="1" applyFill="1"/>
    <xf numFmtId="165" fontId="16" fillId="3" borderId="0" xfId="22" applyNumberFormat="1" applyFont="1" applyFill="1"/>
    <xf numFmtId="9" fontId="16" fillId="3" borderId="0" xfId="22" applyNumberFormat="1" applyFont="1" applyFill="1"/>
    <xf numFmtId="9" fontId="22" fillId="3" borderId="0" xfId="22" applyNumberFormat="1" applyFont="1" applyFill="1"/>
    <xf numFmtId="0" fontId="22" fillId="3" borderId="0" xfId="17" applyFont="1" applyFill="1"/>
    <xf numFmtId="9" fontId="22" fillId="3" borderId="0" xfId="22" applyFont="1" applyFill="1"/>
    <xf numFmtId="174" fontId="16" fillId="3" borderId="0" xfId="7" applyNumberFormat="1" applyFont="1" applyFill="1"/>
    <xf numFmtId="0" fontId="29" fillId="0" borderId="0" xfId="17" applyFont="1" applyFill="1"/>
    <xf numFmtId="37" fontId="45" fillId="7" borderId="0" xfId="17" applyNumberFormat="1" applyFont="1" applyFill="1"/>
    <xf numFmtId="0" fontId="46" fillId="7" borderId="0" xfId="17" applyFont="1" applyFill="1"/>
    <xf numFmtId="0" fontId="21" fillId="4" borderId="0" xfId="17" quotePrefix="1" applyFont="1" applyFill="1" applyBorder="1" applyAlignment="1">
      <alignment horizontal="right"/>
    </xf>
    <xf numFmtId="0" fontId="21" fillId="0" borderId="0" xfId="17" quotePrefix="1" applyFont="1" applyFill="1" applyBorder="1" applyAlignment="1">
      <alignment horizontal="right"/>
    </xf>
    <xf numFmtId="0" fontId="16" fillId="0" borderId="0" xfId="17" applyFont="1" applyBorder="1" applyAlignment="1">
      <alignment horizontal="left"/>
    </xf>
    <xf numFmtId="0" fontId="47" fillId="3" borderId="0" xfId="17" applyFont="1" applyFill="1"/>
    <xf numFmtId="0" fontId="47" fillId="0" borderId="0" xfId="17" applyFont="1"/>
    <xf numFmtId="37" fontId="48" fillId="0" borderId="0" xfId="17" applyNumberFormat="1" applyFont="1" applyFill="1"/>
    <xf numFmtId="0" fontId="49" fillId="0" borderId="0" xfId="17" applyFont="1" applyFill="1"/>
    <xf numFmtId="37" fontId="21" fillId="0" borderId="0" xfId="17" applyNumberFormat="1" applyFont="1"/>
    <xf numFmtId="14" fontId="24" fillId="4" borderId="0" xfId="17" applyNumberFormat="1" applyFont="1" applyFill="1" applyBorder="1" applyAlignment="1">
      <alignment horizontal="right"/>
    </xf>
    <xf numFmtId="14" fontId="24" fillId="0" borderId="0" xfId="17" applyNumberFormat="1" applyFont="1" applyFill="1" applyBorder="1" applyAlignment="1">
      <alignment horizontal="right"/>
    </xf>
    <xf numFmtId="14" fontId="21" fillId="4" borderId="0" xfId="17" applyNumberFormat="1" applyFont="1" applyFill="1" applyBorder="1" applyAlignment="1">
      <alignment horizontal="right"/>
    </xf>
    <xf numFmtId="14" fontId="21" fillId="0" borderId="0" xfId="17" applyNumberFormat="1" applyFont="1" applyFill="1" applyBorder="1" applyAlignment="1">
      <alignment horizontal="right"/>
    </xf>
    <xf numFmtId="174" fontId="21" fillId="0" borderId="9" xfId="7" applyNumberFormat="1" applyFont="1" applyBorder="1"/>
    <xf numFmtId="174" fontId="21" fillId="4" borderId="9" xfId="7" applyNumberFormat="1" applyFont="1" applyFill="1" applyBorder="1"/>
    <xf numFmtId="174" fontId="16" fillId="0" borderId="0" xfId="7" applyNumberFormat="1" applyFont="1" applyAlignment="1">
      <alignment horizontal="left" indent="1"/>
    </xf>
    <xf numFmtId="174" fontId="16" fillId="4" borderId="0" xfId="7" applyNumberFormat="1" applyFont="1" applyFill="1"/>
    <xf numFmtId="174" fontId="16" fillId="0" borderId="0" xfId="7" applyNumberFormat="1" applyFont="1"/>
    <xf numFmtId="174" fontId="21" fillId="0" borderId="8" xfId="7" applyNumberFormat="1" applyFont="1" applyBorder="1"/>
    <xf numFmtId="174" fontId="21" fillId="4" borderId="8" xfId="7" applyNumberFormat="1" applyFont="1" applyFill="1" applyBorder="1"/>
    <xf numFmtId="174" fontId="21" fillId="0" borderId="8" xfId="7" applyNumberFormat="1" applyFont="1" applyFill="1" applyBorder="1"/>
    <xf numFmtId="174" fontId="28" fillId="4" borderId="0" xfId="7" applyNumberFormat="1" applyFont="1" applyFill="1"/>
    <xf numFmtId="174" fontId="21" fillId="0" borderId="0" xfId="7" applyNumberFormat="1" applyFont="1" applyFill="1"/>
    <xf numFmtId="174" fontId="21" fillId="4" borderId="0" xfId="7" applyNumberFormat="1" applyFont="1" applyFill="1"/>
    <xf numFmtId="174" fontId="21" fillId="0" borderId="0" xfId="7" applyNumberFormat="1" applyFont="1"/>
    <xf numFmtId="174" fontId="16" fillId="0" borderId="0" xfId="7" applyNumberFormat="1" applyFont="1" applyFill="1" applyAlignment="1">
      <alignment horizontal="left" indent="1"/>
    </xf>
    <xf numFmtId="174" fontId="16" fillId="9" borderId="0" xfId="7" applyNumberFormat="1" applyFont="1" applyFill="1"/>
    <xf numFmtId="174" fontId="22" fillId="4" borderId="0" xfId="7" applyNumberFormat="1" applyFont="1" applyFill="1"/>
    <xf numFmtId="174" fontId="21" fillId="0" borderId="0" xfId="7" applyNumberFormat="1" applyFont="1" applyBorder="1"/>
    <xf numFmtId="174" fontId="22" fillId="4" borderId="0" xfId="7" applyNumberFormat="1" applyFont="1" applyFill="1" applyBorder="1"/>
    <xf numFmtId="174" fontId="28" fillId="4" borderId="0" xfId="7" applyNumberFormat="1" applyFont="1" applyFill="1" applyBorder="1"/>
    <xf numFmtId="174" fontId="42" fillId="0" borderId="0" xfId="7" applyNumberFormat="1" applyFont="1" applyFill="1" applyBorder="1"/>
    <xf numFmtId="174" fontId="42" fillId="0" borderId="0" xfId="7" applyNumberFormat="1" applyFont="1" applyFill="1"/>
    <xf numFmtId="174" fontId="42" fillId="0" borderId="0" xfId="7" applyNumberFormat="1" applyFont="1"/>
    <xf numFmtId="9" fontId="16" fillId="0" borderId="0" xfId="22" applyFont="1" applyFill="1"/>
    <xf numFmtId="174" fontId="16" fillId="0" borderId="0" xfId="7" applyNumberFormat="1" applyFont="1" applyFill="1" applyBorder="1" applyAlignment="1">
      <alignment horizontal="left" indent="1"/>
    </xf>
    <xf numFmtId="174" fontId="16" fillId="5" borderId="0" xfId="7" applyNumberFormat="1" applyFont="1" applyFill="1" applyAlignment="1">
      <alignment horizontal="left" indent="2"/>
    </xf>
    <xf numFmtId="174" fontId="16" fillId="5" borderId="0" xfId="7" applyNumberFormat="1" applyFont="1" applyFill="1" applyAlignment="1">
      <alignment horizontal="left" indent="1"/>
    </xf>
    <xf numFmtId="9" fontId="16" fillId="0" borderId="0" xfId="22" applyFont="1" applyFill="1" applyBorder="1"/>
    <xf numFmtId="9" fontId="22" fillId="4" borderId="0" xfId="22" applyFont="1" applyFill="1" applyBorder="1"/>
    <xf numFmtId="9" fontId="22" fillId="0" borderId="0" xfId="22" applyFont="1" applyFill="1" applyBorder="1"/>
    <xf numFmtId="174" fontId="16" fillId="5" borderId="0" xfId="7" applyNumberFormat="1" applyFont="1" applyFill="1" applyBorder="1" applyAlignment="1">
      <alignment horizontal="left" indent="1"/>
    </xf>
    <xf numFmtId="9" fontId="39" fillId="3" borderId="0" xfId="17" applyNumberFormat="1" applyFont="1" applyFill="1" applyBorder="1" applyAlignment="1"/>
    <xf numFmtId="0" fontId="39" fillId="3" borderId="0" xfId="17" applyFont="1" applyFill="1"/>
    <xf numFmtId="174" fontId="39" fillId="0" borderId="0" xfId="7" applyNumberFormat="1" applyFont="1" applyAlignment="1">
      <alignment horizontal="left" indent="2"/>
    </xf>
    <xf numFmtId="174" fontId="39" fillId="4" borderId="0" xfId="7" applyNumberFormat="1" applyFont="1" applyFill="1"/>
    <xf numFmtId="174" fontId="40" fillId="4" borderId="0" xfId="7" applyNumberFormat="1" applyFont="1" applyFill="1"/>
    <xf numFmtId="174" fontId="50" fillId="0" borderId="0" xfId="7" applyNumberFormat="1" applyFont="1"/>
    <xf numFmtId="174" fontId="50" fillId="0" borderId="0" xfId="7" applyNumberFormat="1" applyFont="1" applyFill="1"/>
    <xf numFmtId="174" fontId="39" fillId="0" borderId="0" xfId="7" applyNumberFormat="1" applyFont="1" applyFill="1"/>
    <xf numFmtId="0" fontId="39" fillId="0" borderId="0" xfId="17" applyFont="1"/>
    <xf numFmtId="174" fontId="25" fillId="4" borderId="0" xfId="7" applyNumberFormat="1" applyFont="1" applyFill="1"/>
    <xf numFmtId="9" fontId="39" fillId="3" borderId="0" xfId="17" applyNumberFormat="1" applyFont="1" applyFill="1" applyAlignment="1"/>
    <xf numFmtId="9" fontId="41" fillId="4" borderId="0" xfId="22" applyFont="1" applyFill="1"/>
    <xf numFmtId="9" fontId="39" fillId="0" borderId="0" xfId="22" applyFont="1" applyFill="1"/>
    <xf numFmtId="9" fontId="39" fillId="4" borderId="0" xfId="22" applyFont="1" applyFill="1"/>
    <xf numFmtId="174" fontId="39" fillId="0" borderId="0" xfId="7" applyNumberFormat="1" applyFont="1"/>
    <xf numFmtId="174" fontId="50" fillId="4" borderId="0" xfId="7" applyNumberFormat="1" applyFont="1" applyFill="1"/>
    <xf numFmtId="174" fontId="16" fillId="5" borderId="0" xfId="7" applyNumberFormat="1" applyFont="1" applyFill="1" applyAlignment="1">
      <alignment horizontal="left" indent="4"/>
    </xf>
    <xf numFmtId="174" fontId="16" fillId="0" borderId="0" xfId="7" applyNumberFormat="1" applyFont="1" applyAlignment="1">
      <alignment horizontal="left" indent="2"/>
    </xf>
    <xf numFmtId="0" fontId="2" fillId="3" borderId="0" xfId="17" applyFont="1" applyFill="1"/>
    <xf numFmtId="174" fontId="16" fillId="0" borderId="0" xfId="7" applyNumberFormat="1" applyFont="1" applyBorder="1"/>
    <xf numFmtId="174" fontId="21" fillId="5" borderId="0" xfId="7" applyNumberFormat="1" applyFont="1" applyFill="1"/>
    <xf numFmtId="174" fontId="16" fillId="5" borderId="0" xfId="7" applyNumberFormat="1" applyFont="1" applyFill="1"/>
    <xf numFmtId="174" fontId="21" fillId="5" borderId="0" xfId="7" applyNumberFormat="1" applyFont="1" applyFill="1" applyBorder="1"/>
    <xf numFmtId="174" fontId="21" fillId="0" borderId="17" xfId="7" applyNumberFormat="1" applyFont="1" applyBorder="1"/>
    <xf numFmtId="174" fontId="21" fillId="4" borderId="17" xfId="7" applyNumberFormat="1" applyFont="1" applyFill="1" applyBorder="1"/>
    <xf numFmtId="174" fontId="21" fillId="0" borderId="17" xfId="7" applyNumberFormat="1" applyFont="1" applyFill="1" applyBorder="1"/>
    <xf numFmtId="174" fontId="16" fillId="4" borderId="0" xfId="17" applyNumberFormat="1" applyFont="1" applyFill="1" applyBorder="1"/>
    <xf numFmtId="174" fontId="16" fillId="0" borderId="0" xfId="17" applyNumberFormat="1" applyFont="1" applyFill="1" applyBorder="1"/>
    <xf numFmtId="0" fontId="44" fillId="0" borderId="0" xfId="17" applyFont="1" applyFill="1" applyAlignment="1" applyProtection="1">
      <alignment horizontal="left"/>
    </xf>
    <xf numFmtId="0" fontId="21" fillId="0" borderId="17" xfId="7" applyNumberFormat="1" applyFont="1" applyBorder="1"/>
    <xf numFmtId="174" fontId="16" fillId="0" borderId="0" xfId="7" applyNumberFormat="1" applyFont="1" applyBorder="1" applyAlignment="1">
      <alignment horizontal="left" indent="1"/>
    </xf>
    <xf numFmtId="174" fontId="28" fillId="4" borderId="0" xfId="17" applyNumberFormat="1" applyFont="1" applyFill="1" applyBorder="1"/>
    <xf numFmtId="174" fontId="42" fillId="0" borderId="0" xfId="17" applyNumberFormat="1" applyFont="1" applyFill="1" applyBorder="1"/>
    <xf numFmtId="174" fontId="16" fillId="4" borderId="0" xfId="17" applyNumberFormat="1" applyFont="1" applyFill="1"/>
    <xf numFmtId="0" fontId="51" fillId="0" borderId="10" xfId="17" applyFont="1" applyBorder="1" applyAlignment="1">
      <alignment horizontal="left"/>
    </xf>
    <xf numFmtId="0" fontId="44" fillId="0" borderId="10" xfId="17" applyFont="1" applyFill="1" applyBorder="1" applyAlignment="1" applyProtection="1">
      <alignment horizontal="left"/>
    </xf>
    <xf numFmtId="0" fontId="51" fillId="0" borderId="0" xfId="17" applyFont="1" applyBorder="1" applyAlignment="1">
      <alignment horizontal="left"/>
    </xf>
    <xf numFmtId="0" fontId="44" fillId="0" borderId="0" xfId="17" applyFont="1" applyFill="1" applyBorder="1" applyAlignment="1" applyProtection="1">
      <alignment horizontal="left"/>
    </xf>
    <xf numFmtId="0" fontId="16" fillId="0" borderId="9" xfId="17" applyFont="1" applyBorder="1"/>
    <xf numFmtId="9" fontId="21" fillId="4" borderId="9" xfId="22" applyFont="1" applyFill="1" applyBorder="1"/>
    <xf numFmtId="9" fontId="21" fillId="0" borderId="9" xfId="22" applyFont="1" applyBorder="1"/>
    <xf numFmtId="9" fontId="16" fillId="4" borderId="0" xfId="22" applyFont="1" applyFill="1"/>
    <xf numFmtId="9" fontId="21" fillId="4" borderId="8" xfId="22" applyFont="1" applyFill="1" applyBorder="1"/>
    <xf numFmtId="9" fontId="21" fillId="0" borderId="8" xfId="22" applyFont="1" applyBorder="1"/>
    <xf numFmtId="9" fontId="21" fillId="4" borderId="0" xfId="22" applyFont="1" applyFill="1"/>
    <xf numFmtId="9" fontId="21" fillId="0" borderId="0" xfId="22" applyFont="1" applyFill="1"/>
    <xf numFmtId="9" fontId="21" fillId="0" borderId="0" xfId="22" applyFont="1"/>
    <xf numFmtId="9" fontId="22" fillId="4" borderId="0" xfId="22" applyFont="1" applyFill="1"/>
    <xf numFmtId="9" fontId="22" fillId="0" borderId="0" xfId="22" applyFont="1" applyFill="1"/>
    <xf numFmtId="9" fontId="21" fillId="4" borderId="0" xfId="22" applyFont="1" applyFill="1" applyBorder="1"/>
    <xf numFmtId="9" fontId="21" fillId="0" borderId="0" xfId="22" applyFont="1" applyFill="1" applyBorder="1"/>
    <xf numFmtId="0" fontId="16" fillId="4" borderId="0" xfId="17" applyFont="1" applyFill="1" applyBorder="1"/>
    <xf numFmtId="9" fontId="16" fillId="4" borderId="0" xfId="22" applyFont="1" applyFill="1" applyBorder="1"/>
    <xf numFmtId="9" fontId="22" fillId="0" borderId="0" xfId="22" applyFont="1"/>
    <xf numFmtId="9" fontId="21" fillId="4" borderId="0" xfId="22" applyFont="1" applyFill="1" applyAlignment="1">
      <alignment horizontal="right"/>
    </xf>
    <xf numFmtId="9" fontId="16" fillId="0" borderId="0" xfId="22" applyFont="1" applyAlignment="1">
      <alignment horizontal="right"/>
    </xf>
    <xf numFmtId="9" fontId="22" fillId="0" borderId="0" xfId="22" applyFont="1" applyAlignment="1">
      <alignment horizontal="right"/>
    </xf>
    <xf numFmtId="9" fontId="16" fillId="4" borderId="0" xfId="22" applyFont="1" applyFill="1" applyAlignment="1">
      <alignment horizontal="right"/>
    </xf>
    <xf numFmtId="9" fontId="22" fillId="4" borderId="0" xfId="22" applyFont="1" applyFill="1" applyAlignment="1">
      <alignment horizontal="right"/>
    </xf>
    <xf numFmtId="9" fontId="16" fillId="0" borderId="0" xfId="22" applyFont="1" applyBorder="1"/>
    <xf numFmtId="9" fontId="16" fillId="0" borderId="0" xfId="22" applyFont="1" applyFill="1" applyBorder="1" applyAlignment="1">
      <alignment horizontal="right"/>
    </xf>
    <xf numFmtId="9" fontId="16" fillId="0" borderId="0" xfId="22" applyFont="1" applyFill="1" applyAlignment="1">
      <alignment horizontal="right"/>
    </xf>
    <xf numFmtId="9" fontId="28" fillId="4" borderId="0" xfId="22" applyFont="1" applyFill="1"/>
    <xf numFmtId="9" fontId="16" fillId="0" borderId="0" xfId="22" applyNumberFormat="1" applyFont="1" applyFill="1" applyBorder="1"/>
    <xf numFmtId="9" fontId="39" fillId="0" borderId="0" xfId="22" applyFont="1"/>
    <xf numFmtId="9" fontId="16" fillId="8" borderId="0" xfId="22" applyFont="1" applyFill="1"/>
    <xf numFmtId="9" fontId="16" fillId="8" borderId="0" xfId="22" applyFont="1" applyFill="1" applyBorder="1"/>
    <xf numFmtId="9" fontId="21" fillId="0" borderId="0" xfId="22" applyFont="1" applyBorder="1"/>
    <xf numFmtId="9" fontId="21" fillId="0" borderId="0" xfId="22" applyFont="1" applyAlignment="1">
      <alignment horizontal="right"/>
    </xf>
    <xf numFmtId="9" fontId="21" fillId="0" borderId="0" xfId="22" applyFont="1" applyFill="1" applyBorder="1" applyAlignment="1">
      <alignment horizontal="right"/>
    </xf>
    <xf numFmtId="9" fontId="21" fillId="4" borderId="0" xfId="22" applyFont="1" applyFill="1" applyBorder="1" applyAlignment="1">
      <alignment horizontal="right"/>
    </xf>
    <xf numFmtId="9" fontId="28" fillId="0" borderId="0" xfId="22" applyFont="1" applyFill="1" applyAlignment="1">
      <alignment horizontal="right"/>
    </xf>
    <xf numFmtId="9" fontId="21" fillId="0" borderId="8" xfId="22" applyFont="1" applyBorder="1" applyAlignment="1">
      <alignment horizontal="right"/>
    </xf>
    <xf numFmtId="9" fontId="16" fillId="0" borderId="0" xfId="22" applyFont="1" applyBorder="1" applyAlignment="1">
      <alignment horizontal="right"/>
    </xf>
    <xf numFmtId="0" fontId="16" fillId="0" borderId="17" xfId="17" applyFont="1" applyBorder="1"/>
    <xf numFmtId="9" fontId="21" fillId="4" borderId="17" xfId="22" applyFont="1" applyFill="1" applyBorder="1"/>
    <xf numFmtId="9" fontId="21" fillId="0" borderId="17" xfId="22" applyFont="1" applyBorder="1"/>
    <xf numFmtId="9" fontId="21" fillId="0" borderId="17" xfId="22" applyNumberFormat="1" applyFont="1" applyBorder="1"/>
    <xf numFmtId="9" fontId="44" fillId="0" borderId="0" xfId="22" applyFont="1" applyFill="1" applyBorder="1" applyAlignment="1">
      <alignment horizontal="right"/>
    </xf>
    <xf numFmtId="9" fontId="44" fillId="0" borderId="0" xfId="17" applyNumberFormat="1" applyFont="1" applyFill="1" applyBorder="1" applyAlignment="1">
      <alignment horizontal="right"/>
    </xf>
    <xf numFmtId="9" fontId="21" fillId="0" borderId="17" xfId="22" applyFont="1" applyBorder="1" applyAlignment="1">
      <alignment horizontal="right"/>
    </xf>
    <xf numFmtId="9" fontId="21" fillId="4" borderId="9" xfId="22" applyFont="1" applyFill="1" applyBorder="1" applyAlignment="1">
      <alignment horizontal="right"/>
    </xf>
    <xf numFmtId="9" fontId="21" fillId="0" borderId="17" xfId="22" applyNumberFormat="1" applyFont="1" applyBorder="1" applyAlignment="1">
      <alignment horizontal="right"/>
    </xf>
    <xf numFmtId="9" fontId="21" fillId="4" borderId="17" xfId="22" applyFont="1" applyFill="1" applyBorder="1" applyAlignment="1">
      <alignment horizontal="right"/>
    </xf>
    <xf numFmtId="9" fontId="21" fillId="0" borderId="17" xfId="22" applyFont="1" applyFill="1" applyBorder="1" applyAlignment="1">
      <alignment horizontal="right"/>
    </xf>
    <xf numFmtId="9" fontId="16" fillId="4" borderId="0" xfId="22" applyFont="1" applyFill="1" applyBorder="1" applyAlignment="1">
      <alignment horizontal="right"/>
    </xf>
    <xf numFmtId="9" fontId="21" fillId="0" borderId="0" xfId="22" applyFont="1" applyBorder="1" applyAlignment="1">
      <alignment horizontal="right"/>
    </xf>
    <xf numFmtId="0" fontId="29" fillId="0" borderId="0" xfId="17" applyFont="1" applyBorder="1"/>
    <xf numFmtId="0" fontId="53" fillId="0" borderId="0" xfId="17" applyFont="1"/>
    <xf numFmtId="0" fontId="29" fillId="0" borderId="10" xfId="17" applyFont="1" applyBorder="1"/>
    <xf numFmtId="37" fontId="16" fillId="3" borderId="0" xfId="17" applyNumberFormat="1" applyFont="1" applyFill="1" applyAlignment="1">
      <alignment horizontal="right"/>
    </xf>
    <xf numFmtId="37" fontId="20" fillId="7" borderId="0" xfId="17" applyNumberFormat="1" applyFont="1" applyFill="1" applyAlignment="1">
      <alignment horizontal="right"/>
    </xf>
    <xf numFmtId="37" fontId="20" fillId="7" borderId="0" xfId="17" applyNumberFormat="1" applyFont="1" applyFill="1"/>
    <xf numFmtId="37" fontId="16" fillId="0" borderId="0" xfId="17" applyNumberFormat="1" applyFont="1" applyFill="1" applyAlignment="1">
      <alignment horizontal="right"/>
    </xf>
    <xf numFmtId="39" fontId="16" fillId="0" borderId="0" xfId="17" applyNumberFormat="1" applyFont="1" applyFill="1" applyAlignment="1">
      <alignment horizontal="right"/>
    </xf>
    <xf numFmtId="39" fontId="16" fillId="0" borderId="0" xfId="17" applyNumberFormat="1" applyFont="1" applyFill="1"/>
    <xf numFmtId="37" fontId="21" fillId="0" borderId="10" xfId="17" applyNumberFormat="1" applyFont="1" applyBorder="1" applyAlignment="1">
      <alignment horizontal="left"/>
    </xf>
    <xf numFmtId="37" fontId="16" fillId="0" borderId="0" xfId="17" applyNumberFormat="1" applyFont="1" applyAlignment="1">
      <alignment horizontal="right"/>
    </xf>
    <xf numFmtId="37" fontId="21" fillId="0" borderId="0" xfId="17" applyNumberFormat="1" applyFont="1" applyBorder="1" applyAlignment="1">
      <alignment horizontal="left"/>
    </xf>
    <xf numFmtId="174" fontId="16" fillId="4" borderId="0" xfId="7" applyNumberFormat="1" applyFont="1" applyFill="1" applyAlignment="1">
      <alignment horizontal="right"/>
    </xf>
    <xf numFmtId="37" fontId="16" fillId="4" borderId="0" xfId="17" applyNumberFormat="1" applyFont="1" applyFill="1" applyAlignment="1">
      <alignment horizontal="right"/>
    </xf>
    <xf numFmtId="37" fontId="16" fillId="0" borderId="0" xfId="17" applyNumberFormat="1" applyFont="1" applyFill="1" applyBorder="1"/>
    <xf numFmtId="174" fontId="42" fillId="4" borderId="0" xfId="7" applyNumberFormat="1" applyFont="1" applyFill="1" applyBorder="1" applyAlignment="1">
      <alignment horizontal="right"/>
    </xf>
    <xf numFmtId="174" fontId="42" fillId="0" borderId="0" xfId="7" applyNumberFormat="1" applyFont="1" applyFill="1" applyBorder="1" applyAlignment="1">
      <alignment horizontal="right"/>
    </xf>
    <xf numFmtId="174" fontId="16" fillId="4" borderId="0" xfId="7" applyNumberFormat="1" applyFont="1" applyFill="1" applyBorder="1" applyAlignment="1">
      <alignment horizontal="right"/>
    </xf>
    <xf numFmtId="174" fontId="22" fillId="0" borderId="0" xfId="7" applyNumberFormat="1" applyFont="1" applyAlignment="1">
      <alignment horizontal="right"/>
    </xf>
    <xf numFmtId="174" fontId="42" fillId="0" borderId="0" xfId="7" applyNumberFormat="1" applyFont="1" applyAlignment="1">
      <alignment horizontal="right"/>
    </xf>
    <xf numFmtId="174" fontId="28" fillId="4" borderId="0" xfId="7" applyNumberFormat="1" applyFont="1" applyFill="1" applyAlignment="1">
      <alignment horizontal="right"/>
    </xf>
    <xf numFmtId="174" fontId="42" fillId="4" borderId="0" xfId="7" applyNumberFormat="1" applyFont="1" applyFill="1" applyAlignment="1">
      <alignment horizontal="right"/>
    </xf>
    <xf numFmtId="37" fontId="28" fillId="0" borderId="0" xfId="17" applyNumberFormat="1" applyFont="1" applyFill="1" applyAlignment="1">
      <alignment horizontal="right"/>
    </xf>
    <xf numFmtId="37" fontId="42" fillId="4" borderId="0" xfId="17" applyNumberFormat="1" applyFont="1" applyFill="1" applyAlignment="1">
      <alignment horizontal="right"/>
    </xf>
    <xf numFmtId="37" fontId="28" fillId="0" borderId="0" xfId="17" applyNumberFormat="1" applyFont="1" applyAlignment="1">
      <alignment horizontal="right"/>
    </xf>
    <xf numFmtId="37" fontId="16" fillId="0" borderId="0" xfId="17" applyNumberFormat="1" applyFont="1" applyBorder="1"/>
    <xf numFmtId="174" fontId="28" fillId="4" borderId="0" xfId="7" applyNumberFormat="1" applyFont="1" applyFill="1" applyBorder="1" applyAlignment="1">
      <alignment horizontal="right"/>
    </xf>
    <xf numFmtId="37" fontId="42" fillId="0" borderId="0" xfId="17" applyNumberFormat="1" applyFont="1" applyFill="1" applyBorder="1" applyAlignment="1">
      <alignment horizontal="right"/>
    </xf>
    <xf numFmtId="37" fontId="16" fillId="0" borderId="0" xfId="17" applyNumberFormat="1" applyFont="1" applyFill="1" applyBorder="1" applyAlignment="1">
      <alignment horizontal="right"/>
    </xf>
    <xf numFmtId="37" fontId="16" fillId="4" borderId="0" xfId="17" applyNumberFormat="1" applyFont="1" applyFill="1" applyBorder="1" applyAlignment="1">
      <alignment horizontal="right"/>
    </xf>
    <xf numFmtId="37" fontId="16" fillId="0" borderId="0" xfId="17" applyNumberFormat="1" applyFont="1" applyBorder="1" applyAlignment="1">
      <alignment horizontal="left" indent="1"/>
    </xf>
    <xf numFmtId="37" fontId="28" fillId="0" borderId="0" xfId="17" applyNumberFormat="1" applyFont="1" applyBorder="1" applyAlignment="1">
      <alignment horizontal="right"/>
    </xf>
    <xf numFmtId="37" fontId="28" fillId="0" borderId="0" xfId="17" applyNumberFormat="1" applyFont="1" applyFill="1" applyBorder="1" applyAlignment="1">
      <alignment horizontal="right"/>
    </xf>
    <xf numFmtId="37" fontId="16" fillId="0" borderId="0" xfId="17" applyNumberFormat="1" applyFont="1" applyBorder="1" applyAlignment="1">
      <alignment horizontal="right"/>
    </xf>
    <xf numFmtId="37" fontId="16" fillId="0" borderId="0" xfId="17" applyNumberFormat="1" applyFont="1" applyAlignment="1">
      <alignment horizontal="left" indent="1"/>
    </xf>
    <xf numFmtId="37" fontId="16" fillId="0" borderId="0" xfId="17" applyNumberFormat="1" applyFont="1" applyFill="1" applyAlignment="1">
      <alignment horizontal="left" indent="1"/>
    </xf>
    <xf numFmtId="37" fontId="28" fillId="0" borderId="0" xfId="17" applyNumberFormat="1" applyFont="1" applyFill="1"/>
    <xf numFmtId="37" fontId="16" fillId="4" borderId="0" xfId="17" applyNumberFormat="1" applyFont="1" applyFill="1"/>
    <xf numFmtId="174" fontId="28" fillId="0" borderId="0" xfId="7" applyNumberFormat="1" applyFont="1" applyAlignment="1">
      <alignment horizontal="right"/>
    </xf>
    <xf numFmtId="174" fontId="16" fillId="0" borderId="0" xfId="7" applyNumberFormat="1" applyFont="1" applyFill="1" applyAlignment="1">
      <alignment horizontal="right"/>
    </xf>
    <xf numFmtId="174" fontId="28" fillId="0" borderId="0" xfId="7" applyNumberFormat="1" applyFont="1" applyFill="1" applyAlignment="1">
      <alignment horizontal="right"/>
    </xf>
    <xf numFmtId="174" fontId="22" fillId="0" borderId="0" xfId="7" applyNumberFormat="1" applyFont="1" applyFill="1" applyAlignment="1">
      <alignment horizontal="right"/>
    </xf>
    <xf numFmtId="174" fontId="22" fillId="4" borderId="0" xfId="7" applyNumberFormat="1" applyFont="1" applyFill="1" applyAlignment="1">
      <alignment horizontal="right"/>
    </xf>
    <xf numFmtId="43" fontId="22" fillId="0" borderId="0" xfId="7" applyFont="1" applyAlignment="1">
      <alignment horizontal="right"/>
    </xf>
    <xf numFmtId="43" fontId="22" fillId="4" borderId="0" xfId="7" applyFont="1" applyFill="1" applyAlignment="1">
      <alignment horizontal="right"/>
    </xf>
    <xf numFmtId="43" fontId="22" fillId="0" borderId="0" xfId="7" applyFont="1" applyFill="1" applyAlignment="1">
      <alignment horizontal="right"/>
    </xf>
    <xf numFmtId="43" fontId="28" fillId="0" borderId="0" xfId="7" applyFont="1" applyAlignment="1">
      <alignment horizontal="right"/>
    </xf>
    <xf numFmtId="37" fontId="21" fillId="3" borderId="0" xfId="17" applyNumberFormat="1" applyFont="1" applyFill="1"/>
    <xf numFmtId="37" fontId="21" fillId="0" borderId="0" xfId="17" applyNumberFormat="1" applyFont="1" applyBorder="1"/>
    <xf numFmtId="174" fontId="21" fillId="4" borderId="0" xfId="7" applyNumberFormat="1" applyFont="1" applyFill="1" applyBorder="1" applyAlignment="1">
      <alignment horizontal="right"/>
    </xf>
    <xf numFmtId="37" fontId="21" fillId="4" borderId="0" xfId="17" applyNumberFormat="1" applyFont="1" applyFill="1" applyBorder="1" applyAlignment="1">
      <alignment horizontal="right"/>
    </xf>
    <xf numFmtId="37" fontId="21" fillId="0" borderId="0" xfId="17" applyNumberFormat="1" applyFont="1" applyBorder="1" applyAlignment="1">
      <alignment horizontal="right"/>
    </xf>
    <xf numFmtId="37" fontId="21" fillId="0" borderId="0" xfId="17" applyNumberFormat="1" applyFont="1" applyFill="1" applyBorder="1" applyAlignment="1">
      <alignment horizontal="right"/>
    </xf>
    <xf numFmtId="37" fontId="42" fillId="0" borderId="0" xfId="17" applyNumberFormat="1" applyFont="1" applyFill="1" applyAlignment="1">
      <alignment horizontal="right"/>
    </xf>
    <xf numFmtId="43" fontId="42" fillId="4" borderId="0" xfId="7" applyFont="1" applyFill="1" applyAlignment="1">
      <alignment horizontal="right"/>
    </xf>
    <xf numFmtId="174" fontId="16" fillId="0" borderId="0" xfId="7" applyNumberFormat="1" applyFont="1" applyAlignment="1">
      <alignment horizontal="right"/>
    </xf>
    <xf numFmtId="37" fontId="16" fillId="3" borderId="0" xfId="17" applyNumberFormat="1" applyFont="1" applyFill="1" applyBorder="1"/>
    <xf numFmtId="174" fontId="21" fillId="0" borderId="0" xfId="7" applyNumberFormat="1" applyFont="1" applyFill="1" applyBorder="1" applyAlignment="1">
      <alignment horizontal="right"/>
    </xf>
    <xf numFmtId="174" fontId="42" fillId="0" borderId="0" xfId="7" applyNumberFormat="1" applyFont="1" applyFill="1" applyAlignment="1">
      <alignment horizontal="right"/>
    </xf>
    <xf numFmtId="43" fontId="28" fillId="0" borderId="0" xfId="7" applyFont="1" applyFill="1" applyAlignment="1">
      <alignment horizontal="right"/>
    </xf>
    <xf numFmtId="37" fontId="42" fillId="0" borderId="0" xfId="17" applyNumberFormat="1" applyFont="1" applyAlignment="1">
      <alignment horizontal="right"/>
    </xf>
    <xf numFmtId="37" fontId="22" fillId="4" borderId="0" xfId="17" applyNumberFormat="1" applyFont="1" applyFill="1" applyAlignment="1">
      <alignment horizontal="right"/>
    </xf>
    <xf numFmtId="174" fontId="28" fillId="0" borderId="0" xfId="17" applyNumberFormat="1" applyFont="1" applyFill="1" applyAlignment="1">
      <alignment horizontal="right"/>
    </xf>
    <xf numFmtId="174" fontId="22" fillId="0" borderId="0" xfId="17" applyNumberFormat="1" applyFont="1" applyFill="1" applyAlignment="1">
      <alignment horizontal="right"/>
    </xf>
    <xf numFmtId="174" fontId="22" fillId="4" borderId="0" xfId="17" applyNumberFormat="1" applyFont="1" applyFill="1" applyAlignment="1">
      <alignment horizontal="right"/>
    </xf>
    <xf numFmtId="37" fontId="22" fillId="0" borderId="0" xfId="17" applyNumberFormat="1" applyFont="1" applyFill="1" applyAlignment="1">
      <alignment horizontal="right"/>
    </xf>
    <xf numFmtId="37" fontId="28" fillId="4" borderId="0" xfId="17" applyNumberFormat="1" applyFont="1" applyFill="1" applyAlignment="1">
      <alignment horizontal="right"/>
    </xf>
    <xf numFmtId="37" fontId="21" fillId="0" borderId="17" xfId="17" applyNumberFormat="1" applyFont="1" applyBorder="1"/>
    <xf numFmtId="37" fontId="21" fillId="4" borderId="17" xfId="17" applyNumberFormat="1" applyFont="1" applyFill="1" applyBorder="1" applyAlignment="1">
      <alignment horizontal="right"/>
    </xf>
    <xf numFmtId="174" fontId="21" fillId="4" borderId="17" xfId="7" applyNumberFormat="1" applyFont="1" applyFill="1" applyBorder="1" applyAlignment="1">
      <alignment horizontal="right"/>
    </xf>
    <xf numFmtId="37" fontId="21" fillId="0" borderId="17" xfId="17" applyNumberFormat="1" applyFont="1" applyBorder="1" applyAlignment="1">
      <alignment horizontal="right"/>
    </xf>
    <xf numFmtId="37" fontId="48" fillId="3" borderId="0" xfId="17" applyNumberFormat="1" applyFont="1" applyFill="1"/>
    <xf numFmtId="37" fontId="48" fillId="0" borderId="0" xfId="17" applyNumberFormat="1" applyFont="1" applyFill="1" applyBorder="1"/>
    <xf numFmtId="43" fontId="48" fillId="0" borderId="0" xfId="7" applyFont="1" applyFill="1" applyBorder="1" applyAlignment="1">
      <alignment horizontal="right"/>
    </xf>
    <xf numFmtId="37" fontId="16" fillId="7" borderId="0" xfId="17" applyNumberFormat="1" applyFont="1" applyFill="1" applyAlignment="1">
      <alignment horizontal="right"/>
    </xf>
    <xf numFmtId="37" fontId="16" fillId="7" borderId="0" xfId="17" applyNumberFormat="1" applyFont="1" applyFill="1"/>
    <xf numFmtId="37" fontId="23" fillId="0" borderId="0" xfId="17" applyNumberFormat="1" applyFont="1" applyFill="1"/>
    <xf numFmtId="37" fontId="23" fillId="0" borderId="0" xfId="17" applyNumberFormat="1" applyFont="1" applyFill="1" applyAlignment="1">
      <alignment horizontal="right"/>
    </xf>
    <xf numFmtId="37" fontId="16" fillId="3" borderId="10" xfId="17" applyNumberFormat="1" applyFont="1" applyFill="1" applyBorder="1"/>
    <xf numFmtId="37" fontId="21" fillId="0" borderId="10" xfId="17" applyNumberFormat="1" applyFont="1" applyFill="1" applyBorder="1" applyAlignment="1">
      <alignment horizontal="left"/>
    </xf>
    <xf numFmtId="37" fontId="21" fillId="0" borderId="0" xfId="17" applyNumberFormat="1" applyFont="1" applyFill="1" applyBorder="1" applyAlignment="1">
      <alignment horizontal="left"/>
    </xf>
    <xf numFmtId="37" fontId="55" fillId="0" borderId="0" xfId="17" applyNumberFormat="1" applyFont="1" applyFill="1" applyBorder="1" applyAlignment="1">
      <alignment horizontal="left"/>
    </xf>
    <xf numFmtId="37" fontId="28" fillId="4" borderId="0" xfId="17" applyNumberFormat="1" applyFont="1" applyFill="1" applyBorder="1" applyAlignment="1">
      <alignment horizontal="right"/>
    </xf>
    <xf numFmtId="37" fontId="16" fillId="4" borderId="0" xfId="17" applyNumberFormat="1" applyFont="1" applyFill="1" applyBorder="1"/>
    <xf numFmtId="174" fontId="21" fillId="4" borderId="0" xfId="7" applyNumberFormat="1" applyFont="1" applyFill="1" applyAlignment="1">
      <alignment horizontal="right"/>
    </xf>
    <xf numFmtId="37" fontId="21" fillId="4" borderId="0" xfId="17" applyNumberFormat="1" applyFont="1" applyFill="1" applyAlignment="1">
      <alignment horizontal="right"/>
    </xf>
    <xf numFmtId="37" fontId="21" fillId="0" borderId="0" xfId="17" applyNumberFormat="1" applyFont="1" applyFill="1" applyAlignment="1">
      <alignment horizontal="right"/>
    </xf>
    <xf numFmtId="37" fontId="55" fillId="0" borderId="0" xfId="17" applyNumberFormat="1" applyFont="1" applyFill="1" applyBorder="1" applyAlignment="1"/>
    <xf numFmtId="43" fontId="42" fillId="0" borderId="0" xfId="7" applyFont="1" applyFill="1" applyAlignment="1">
      <alignment horizontal="right"/>
    </xf>
    <xf numFmtId="174" fontId="21" fillId="0" borderId="17" xfId="7" applyNumberFormat="1" applyFont="1" applyFill="1" applyBorder="1" applyAlignment="1">
      <alignment horizontal="right"/>
    </xf>
    <xf numFmtId="37" fontId="21" fillId="0" borderId="17" xfId="17" applyNumberFormat="1" applyFont="1" applyFill="1" applyBorder="1" applyAlignment="1">
      <alignment horizontal="right"/>
    </xf>
    <xf numFmtId="37" fontId="55" fillId="0" borderId="0" xfId="17" applyNumberFormat="1" applyFont="1" applyFill="1" applyBorder="1" applyAlignment="1">
      <alignment horizontal="left" indent="1"/>
    </xf>
    <xf numFmtId="37" fontId="56" fillId="0" borderId="0" xfId="17" applyNumberFormat="1" applyFont="1" applyFill="1" applyBorder="1"/>
    <xf numFmtId="174" fontId="48" fillId="0" borderId="0" xfId="7" applyNumberFormat="1" applyFont="1" applyFill="1" applyBorder="1" applyAlignment="1">
      <alignment horizontal="right"/>
    </xf>
    <xf numFmtId="37" fontId="23" fillId="7" borderId="0" xfId="17" applyNumberFormat="1" applyFont="1" applyFill="1" applyAlignment="1">
      <alignment horizontal="right"/>
    </xf>
    <xf numFmtId="37" fontId="23" fillId="7" borderId="0" xfId="17" applyNumberFormat="1" applyFont="1" applyFill="1"/>
    <xf numFmtId="169" fontId="16" fillId="4" borderId="0" xfId="17" applyNumberFormat="1" applyFont="1" applyFill="1" applyBorder="1" applyAlignment="1">
      <alignment horizontal="right"/>
    </xf>
    <xf numFmtId="169" fontId="16" fillId="0" borderId="0" xfId="17" applyNumberFormat="1" applyFont="1" applyFill="1" applyBorder="1" applyAlignment="1">
      <alignment horizontal="right"/>
    </xf>
    <xf numFmtId="169" fontId="22" fillId="0" borderId="0" xfId="17" applyNumberFormat="1" applyFont="1" applyFill="1" applyBorder="1" applyAlignment="1">
      <alignment horizontal="right"/>
    </xf>
    <xf numFmtId="169" fontId="22" fillId="4" borderId="0" xfId="17" applyNumberFormat="1" applyFont="1" applyFill="1" applyBorder="1" applyAlignment="1">
      <alignment horizontal="right"/>
    </xf>
    <xf numFmtId="1" fontId="16" fillId="0" borderId="0" xfId="17" applyNumberFormat="1" applyFont="1" applyFill="1"/>
    <xf numFmtId="37" fontId="21" fillId="0" borderId="0" xfId="17" applyNumberFormat="1" applyFont="1" applyFill="1"/>
    <xf numFmtId="37" fontId="16" fillId="0" borderId="0" xfId="17" applyNumberFormat="1" applyFont="1" applyBorder="1" applyAlignment="1">
      <alignment horizontal="left"/>
    </xf>
    <xf numFmtId="166" fontId="16" fillId="4" borderId="0" xfId="17" applyNumberFormat="1" applyFont="1" applyFill="1" applyAlignment="1">
      <alignment horizontal="right"/>
    </xf>
    <xf numFmtId="166" fontId="16" fillId="0" borderId="0" xfId="17" applyNumberFormat="1" applyFont="1" applyFill="1" applyAlignment="1">
      <alignment horizontal="right"/>
    </xf>
    <xf numFmtId="7" fontId="16" fillId="3" borderId="0" xfId="17" applyNumberFormat="1" applyFont="1" applyFill="1"/>
    <xf numFmtId="7" fontId="16" fillId="4" borderId="0" xfId="22" applyNumberFormat="1" applyFont="1" applyFill="1" applyAlignment="1">
      <alignment horizontal="right"/>
    </xf>
    <xf numFmtId="7" fontId="16" fillId="0" borderId="0" xfId="22" applyNumberFormat="1" applyFont="1" applyFill="1" applyAlignment="1">
      <alignment horizontal="right"/>
    </xf>
    <xf numFmtId="7" fontId="16" fillId="0" borderId="0" xfId="17" applyNumberFormat="1" applyFont="1" applyAlignment="1">
      <alignment horizontal="left" indent="1"/>
    </xf>
    <xf numFmtId="37" fontId="16" fillId="0" borderId="0" xfId="17" applyNumberFormat="1" applyFont="1" applyFill="1" applyBorder="1" applyAlignment="1">
      <alignment horizontal="left"/>
    </xf>
    <xf numFmtId="5" fontId="16" fillId="4" borderId="0" xfId="22" applyNumberFormat="1" applyFont="1" applyFill="1" applyAlignment="1">
      <alignment horizontal="right"/>
    </xf>
    <xf numFmtId="5" fontId="16" fillId="0" borderId="0" xfId="22" applyNumberFormat="1" applyFont="1" applyFill="1" applyAlignment="1">
      <alignment horizontal="right"/>
    </xf>
    <xf numFmtId="165" fontId="16" fillId="4" borderId="0" xfId="22" applyNumberFormat="1" applyFont="1" applyFill="1" applyAlignment="1">
      <alignment horizontal="right"/>
    </xf>
    <xf numFmtId="165" fontId="16" fillId="0" borderId="0" xfId="22" applyNumberFormat="1" applyFont="1" applyFill="1" applyAlignment="1">
      <alignment horizontal="right"/>
    </xf>
    <xf numFmtId="9" fontId="16" fillId="3" borderId="0" xfId="22" applyFont="1" applyFill="1"/>
    <xf numFmtId="165" fontId="16" fillId="4" borderId="0" xfId="17" applyNumberFormat="1" applyFont="1" applyFill="1" applyBorder="1" applyAlignment="1">
      <alignment horizontal="right"/>
    </xf>
    <xf numFmtId="165" fontId="16" fillId="0" borderId="0" xfId="17" applyNumberFormat="1" applyFont="1" applyFill="1" applyBorder="1" applyAlignment="1">
      <alignment horizontal="right"/>
    </xf>
    <xf numFmtId="9" fontId="16" fillId="4" borderId="0" xfId="22" applyNumberFormat="1" applyFont="1" applyFill="1" applyAlignment="1">
      <alignment horizontal="right"/>
    </xf>
    <xf numFmtId="9" fontId="16" fillId="0" borderId="0" xfId="22" applyNumberFormat="1" applyFont="1" applyFill="1" applyAlignment="1">
      <alignment horizontal="right"/>
    </xf>
    <xf numFmtId="7" fontId="28" fillId="4" borderId="0" xfId="17" applyNumberFormat="1" applyFont="1" applyFill="1" applyAlignment="1">
      <alignment horizontal="right"/>
    </xf>
    <xf numFmtId="7" fontId="16" fillId="0" borderId="0" xfId="17" applyNumberFormat="1" applyFont="1" applyFill="1" applyAlignment="1">
      <alignment horizontal="right"/>
    </xf>
    <xf numFmtId="37" fontId="16" fillId="0" borderId="8" xfId="17" applyNumberFormat="1" applyFont="1" applyFill="1" applyBorder="1" applyAlignment="1">
      <alignment horizontal="left" indent="1"/>
    </xf>
    <xf numFmtId="37" fontId="16" fillId="0" borderId="8" xfId="17" applyNumberFormat="1" applyFont="1" applyBorder="1"/>
    <xf numFmtId="9" fontId="16" fillId="4" borderId="8" xfId="22" applyFont="1" applyFill="1" applyBorder="1" applyAlignment="1">
      <alignment horizontal="right"/>
    </xf>
    <xf numFmtId="9" fontId="16" fillId="0" borderId="8" xfId="22" applyFont="1" applyFill="1" applyBorder="1" applyAlignment="1">
      <alignment horizontal="right"/>
    </xf>
    <xf numFmtId="9" fontId="16" fillId="4" borderId="8" xfId="22" applyNumberFormat="1" applyFont="1" applyFill="1" applyBorder="1" applyAlignment="1">
      <alignment horizontal="right"/>
    </xf>
    <xf numFmtId="9" fontId="22" fillId="4" borderId="8" xfId="22" applyFont="1" applyFill="1" applyBorder="1" applyAlignment="1">
      <alignment horizontal="right"/>
    </xf>
    <xf numFmtId="9" fontId="22" fillId="0" borderId="0" xfId="22" applyFont="1" applyFill="1" applyBorder="1" applyAlignment="1">
      <alignment horizontal="right"/>
    </xf>
    <xf numFmtId="0" fontId="21" fillId="5" borderId="0" xfId="17" applyFont="1" applyFill="1" applyBorder="1"/>
    <xf numFmtId="0" fontId="16" fillId="5" borderId="0" xfId="17" applyFont="1" applyFill="1" applyAlignment="1">
      <alignment horizontal="right"/>
    </xf>
    <xf numFmtId="0" fontId="29" fillId="5" borderId="0" xfId="17" applyFont="1" applyFill="1"/>
    <xf numFmtId="0" fontId="16" fillId="5" borderId="0" xfId="17" applyFont="1" applyFill="1"/>
    <xf numFmtId="9" fontId="16" fillId="5" borderId="0" xfId="17" applyNumberFormat="1" applyFont="1" applyFill="1"/>
    <xf numFmtId="174" fontId="16" fillId="5" borderId="0" xfId="7" applyNumberFormat="1" applyFont="1" applyFill="1" applyAlignment="1">
      <alignment horizontal="right"/>
    </xf>
    <xf numFmtId="37" fontId="16" fillId="5" borderId="0" xfId="17" applyNumberFormat="1" applyFont="1" applyFill="1" applyBorder="1" applyAlignment="1">
      <alignment horizontal="left"/>
    </xf>
    <xf numFmtId="174" fontId="16" fillId="5" borderId="0" xfId="7" applyNumberFormat="1" applyFont="1" applyFill="1" applyBorder="1" applyAlignment="1">
      <alignment horizontal="right"/>
    </xf>
    <xf numFmtId="43" fontId="52" fillId="3" borderId="0" xfId="7" applyFont="1" applyFill="1" applyAlignment="1">
      <alignment horizontal="right"/>
    </xf>
    <xf numFmtId="174" fontId="16" fillId="3" borderId="0" xfId="7" applyNumberFormat="1" applyFont="1" applyFill="1" applyAlignment="1">
      <alignment horizontal="right"/>
    </xf>
    <xf numFmtId="9" fontId="16" fillId="3" borderId="0" xfId="22" applyFont="1" applyFill="1" applyBorder="1" applyAlignment="1">
      <alignment horizontal="right"/>
    </xf>
    <xf numFmtId="9" fontId="22" fillId="3" borderId="0" xfId="22" applyFont="1" applyFill="1" applyBorder="1" applyAlignment="1">
      <alignment horizontal="right"/>
    </xf>
    <xf numFmtId="0" fontId="16" fillId="0" borderId="0" xfId="17" applyFont="1" applyFill="1" applyAlignment="1"/>
    <xf numFmtId="3" fontId="16" fillId="0" borderId="0" xfId="22" applyNumberFormat="1" applyFont="1" applyFill="1" applyBorder="1" applyAlignment="1">
      <alignment horizontal="right"/>
    </xf>
    <xf numFmtId="165" fontId="42" fillId="0" borderId="0" xfId="22" applyNumberFormat="1" applyFont="1" applyFill="1"/>
    <xf numFmtId="37" fontId="42" fillId="0" borderId="0" xfId="17" applyNumberFormat="1" applyFont="1" applyFill="1"/>
    <xf numFmtId="165" fontId="54" fillId="0" borderId="0" xfId="22" applyNumberFormat="1" applyFont="1" applyFill="1"/>
    <xf numFmtId="37" fontId="54" fillId="0" borderId="0" xfId="17" applyNumberFormat="1" applyFont="1" applyFill="1" applyAlignment="1">
      <alignment horizontal="right"/>
    </xf>
    <xf numFmtId="37" fontId="54" fillId="0" borderId="0" xfId="17" applyNumberFormat="1" applyFont="1" applyFill="1"/>
    <xf numFmtId="0" fontId="2" fillId="8" borderId="0" xfId="17" applyFont="1" applyFill="1"/>
    <xf numFmtId="0" fontId="48" fillId="7" borderId="0" xfId="17" applyFont="1" applyFill="1"/>
    <xf numFmtId="0" fontId="16" fillId="8" borderId="0" xfId="17" applyFont="1" applyFill="1" applyBorder="1"/>
    <xf numFmtId="0" fontId="29" fillId="8" borderId="0" xfId="17" applyFont="1" applyFill="1" applyBorder="1"/>
    <xf numFmtId="0" fontId="29" fillId="8" borderId="0" xfId="17" applyFont="1" applyFill="1"/>
    <xf numFmtId="0" fontId="18" fillId="7" borderId="0" xfId="17" applyFont="1" applyFill="1" applyBorder="1" applyAlignment="1">
      <alignment horizontal="left"/>
    </xf>
    <xf numFmtId="0" fontId="48" fillId="7" borderId="0" xfId="17" applyFont="1" applyFill="1" applyBorder="1" applyAlignment="1">
      <alignment horizontal="left"/>
    </xf>
    <xf numFmtId="0" fontId="16" fillId="7" borderId="0" xfId="17" applyFont="1" applyFill="1" applyBorder="1"/>
    <xf numFmtId="0" fontId="16" fillId="0" borderId="8" xfId="17" applyFont="1" applyFill="1" applyBorder="1"/>
    <xf numFmtId="0" fontId="6" fillId="8" borderId="0" xfId="5" applyFill="1"/>
    <xf numFmtId="0" fontId="6" fillId="8" borderId="0" xfId="5" applyFill="1" applyBorder="1"/>
    <xf numFmtId="0" fontId="18" fillId="7" borderId="0" xfId="5" applyFont="1" applyFill="1"/>
    <xf numFmtId="0" fontId="48" fillId="7" borderId="0" xfId="5" applyFont="1" applyFill="1"/>
    <xf numFmtId="0" fontId="16" fillId="7" borderId="0" xfId="5" applyFont="1" applyFill="1" applyAlignment="1">
      <alignment horizontal="right"/>
    </xf>
    <xf numFmtId="0" fontId="16" fillId="7" borderId="0" xfId="5" applyFont="1" applyFill="1"/>
    <xf numFmtId="0" fontId="16" fillId="8" borderId="0" xfId="5" applyFont="1" applyFill="1" applyBorder="1" applyAlignment="1">
      <alignment horizontal="right"/>
    </xf>
    <xf numFmtId="0" fontId="16" fillId="8" borderId="0" xfId="5" applyFont="1" applyFill="1" applyBorder="1"/>
    <xf numFmtId="0" fontId="29" fillId="8" borderId="0" xfId="5" applyFont="1" applyFill="1" applyBorder="1"/>
    <xf numFmtId="0" fontId="29" fillId="8" borderId="0" xfId="5" applyFont="1" applyFill="1"/>
    <xf numFmtId="0" fontId="18" fillId="7" borderId="0" xfId="5" applyFont="1" applyFill="1" applyBorder="1" applyAlignment="1">
      <alignment horizontal="left"/>
    </xf>
    <xf numFmtId="0" fontId="48" fillId="7" borderId="0" xfId="5" applyFont="1" applyFill="1" applyBorder="1" applyAlignment="1">
      <alignment horizontal="left"/>
    </xf>
    <xf numFmtId="0" fontId="16" fillId="7" borderId="0" xfId="5" applyFont="1" applyFill="1" applyBorder="1"/>
    <xf numFmtId="0" fontId="16" fillId="0" borderId="0" xfId="5" applyFont="1" applyFill="1"/>
    <xf numFmtId="0" fontId="57" fillId="0" borderId="8" xfId="5" applyFont="1" applyFill="1" applyBorder="1"/>
    <xf numFmtId="0" fontId="16" fillId="0" borderId="8" xfId="5" applyFont="1" applyFill="1" applyBorder="1"/>
    <xf numFmtId="177" fontId="16" fillId="0" borderId="0" xfId="5" applyNumberFormat="1" applyFont="1" applyFill="1" applyAlignment="1">
      <alignment horizontal="left"/>
    </xf>
    <xf numFmtId="14" fontId="58" fillId="8" borderId="0" xfId="16" applyNumberFormat="1" applyFont="1" applyFill="1"/>
    <xf numFmtId="0" fontId="60" fillId="0" borderId="8" xfId="17" applyFont="1" applyFill="1" applyBorder="1"/>
    <xf numFmtId="177" fontId="16" fillId="0" borderId="0" xfId="17" applyNumberFormat="1" applyFont="1" applyFill="1" applyBorder="1"/>
    <xf numFmtId="0" fontId="16" fillId="0" borderId="0" xfId="17" applyFont="1" applyFill="1" applyAlignment="1">
      <alignment horizontal="left" indent="1"/>
    </xf>
    <xf numFmtId="0" fontId="16" fillId="0" borderId="0" xfId="17" applyFont="1" applyFill="1" applyAlignment="1">
      <alignment horizontal="left"/>
    </xf>
    <xf numFmtId="0" fontId="16" fillId="0" borderId="0" xfId="17" applyFont="1" applyFill="1" applyAlignment="1">
      <alignment horizontal="left" indent="2"/>
    </xf>
    <xf numFmtId="0" fontId="61" fillId="7" borderId="0" xfId="17" applyFont="1" applyFill="1"/>
    <xf numFmtId="0" fontId="17" fillId="0" borderId="0" xfId="17" applyFont="1"/>
    <xf numFmtId="0" fontId="59" fillId="3" borderId="0" xfId="17" applyFont="1" applyFill="1"/>
    <xf numFmtId="0" fontId="21" fillId="0" borderId="8" xfId="17" applyFont="1" applyBorder="1"/>
    <xf numFmtId="0" fontId="35" fillId="0" borderId="0" xfId="17" applyFont="1"/>
    <xf numFmtId="0" fontId="47" fillId="0" borderId="0" xfId="17" applyFont="1" applyFill="1"/>
    <xf numFmtId="0" fontId="45" fillId="7" borderId="0" xfId="17" applyFont="1" applyFill="1"/>
    <xf numFmtId="0" fontId="21" fillId="0" borderId="0" xfId="17" applyFont="1" applyFill="1" applyBorder="1" applyAlignment="1">
      <alignment horizontal="center"/>
    </xf>
    <xf numFmtId="0" fontId="21" fillId="0" borderId="10" xfId="7" applyNumberFormat="1" applyFont="1" applyBorder="1"/>
    <xf numFmtId="0" fontId="21" fillId="0" borderId="10" xfId="17" applyFont="1" applyFill="1" applyBorder="1" applyAlignment="1">
      <alignment horizontal="center"/>
    </xf>
    <xf numFmtId="0" fontId="16" fillId="0" borderId="0" xfId="7" applyNumberFormat="1" applyFont="1" applyFill="1" applyBorder="1"/>
    <xf numFmtId="174" fontId="21" fillId="0" borderId="0" xfId="7" applyNumberFormat="1" applyFont="1" applyAlignment="1">
      <alignment horizontal="center"/>
    </xf>
    <xf numFmtId="0" fontId="16" fillId="0" borderId="0" xfId="7" applyNumberFormat="1" applyFont="1" applyAlignment="1">
      <alignment horizontal="left" indent="1"/>
    </xf>
    <xf numFmtId="174" fontId="16" fillId="0" borderId="0" xfId="7" applyNumberFormat="1" applyFont="1" applyAlignment="1">
      <alignment horizontal="center"/>
    </xf>
    <xf numFmtId="0" fontId="21" fillId="0" borderId="0" xfId="7" applyNumberFormat="1" applyFont="1" applyFill="1"/>
    <xf numFmtId="0" fontId="16" fillId="0" borderId="0" xfId="7" applyNumberFormat="1" applyFont="1" applyFill="1" applyAlignment="1">
      <alignment horizontal="left" indent="1"/>
    </xf>
    <xf numFmtId="174" fontId="21" fillId="0" borderId="17" xfId="7" applyNumberFormat="1" applyFont="1" applyBorder="1" applyAlignment="1">
      <alignment horizontal="center"/>
    </xf>
    <xf numFmtId="0" fontId="16" fillId="0" borderId="0" xfId="7" applyNumberFormat="1" applyFont="1"/>
    <xf numFmtId="0" fontId="29" fillId="0" borderId="0" xfId="17" applyNumberFormat="1" applyFont="1"/>
    <xf numFmtId="174" fontId="29" fillId="0" borderId="0" xfId="17" applyNumberFormat="1" applyFont="1"/>
    <xf numFmtId="0" fontId="29" fillId="4" borderId="0" xfId="17" applyFont="1" applyFill="1"/>
    <xf numFmtId="0" fontId="16" fillId="0" borderId="0" xfId="17" applyNumberFormat="1" applyFont="1" applyBorder="1"/>
    <xf numFmtId="1" fontId="16" fillId="0" borderId="0" xfId="17" applyNumberFormat="1" applyFont="1" applyBorder="1"/>
    <xf numFmtId="0" fontId="21" fillId="0" borderId="0" xfId="17" applyNumberFormat="1" applyFont="1" applyFill="1" applyBorder="1"/>
    <xf numFmtId="0" fontId="47" fillId="0" borderId="10" xfId="17" applyFont="1" applyBorder="1"/>
    <xf numFmtId="174" fontId="16" fillId="0" borderId="10" xfId="7" applyNumberFormat="1" applyFont="1" applyFill="1" applyBorder="1"/>
    <xf numFmtId="0" fontId="16" fillId="0" borderId="0" xfId="7" applyNumberFormat="1" applyFont="1" applyFill="1"/>
    <xf numFmtId="0" fontId="21" fillId="4" borderId="0" xfId="17" applyFont="1" applyFill="1" applyBorder="1" applyAlignment="1">
      <alignment horizontal="right"/>
    </xf>
    <xf numFmtId="0" fontId="21" fillId="0" borderId="0" xfId="17" applyFont="1" applyFill="1" applyBorder="1" applyAlignment="1">
      <alignment horizontal="right"/>
    </xf>
    <xf numFmtId="9" fontId="21" fillId="4" borderId="0" xfId="17" applyNumberFormat="1" applyFont="1" applyFill="1" applyBorder="1" applyAlignment="1">
      <alignment horizontal="right"/>
    </xf>
    <xf numFmtId="9" fontId="21" fillId="0" borderId="0" xfId="17" applyNumberFormat="1" applyFont="1" applyFill="1" applyBorder="1" applyAlignment="1">
      <alignment horizontal="right"/>
    </xf>
    <xf numFmtId="9" fontId="16" fillId="4" borderId="0" xfId="17" applyNumberFormat="1" applyFont="1" applyFill="1" applyBorder="1" applyAlignment="1">
      <alignment horizontal="right"/>
    </xf>
    <xf numFmtId="9" fontId="16" fillId="0" borderId="0" xfId="17" applyNumberFormat="1" applyFont="1" applyFill="1" applyBorder="1" applyAlignment="1">
      <alignment horizontal="right"/>
    </xf>
    <xf numFmtId="0" fontId="21" fillId="4" borderId="17" xfId="7" applyNumberFormat="1" applyFont="1" applyFill="1" applyBorder="1"/>
    <xf numFmtId="0" fontId="21" fillId="0" borderId="17" xfId="7" applyNumberFormat="1" applyFont="1" applyFill="1" applyBorder="1"/>
    <xf numFmtId="0" fontId="51" fillId="0" borderId="0" xfId="17" applyNumberFormat="1" applyFont="1" applyFill="1" applyProtection="1">
      <protection locked="0"/>
    </xf>
    <xf numFmtId="0" fontId="21" fillId="0" borderId="0" xfId="17" applyFont="1" applyBorder="1" applyAlignment="1">
      <alignment horizontal="right"/>
    </xf>
    <xf numFmtId="0" fontId="21" fillId="0" borderId="0" xfId="17" quotePrefix="1" applyFont="1" applyBorder="1" applyAlignment="1">
      <alignment horizontal="right"/>
    </xf>
    <xf numFmtId="2" fontId="21" fillId="0" borderId="0" xfId="17" applyNumberFormat="1" applyFont="1" applyFill="1" applyBorder="1"/>
    <xf numFmtId="2" fontId="21" fillId="4" borderId="0" xfId="17" applyNumberFormat="1" applyFont="1" applyFill="1" applyBorder="1"/>
    <xf numFmtId="0" fontId="47" fillId="0" borderId="0" xfId="17" applyNumberFormat="1" applyFont="1" applyFill="1" applyProtection="1">
      <protection locked="0"/>
    </xf>
    <xf numFmtId="0" fontId="16" fillId="0" borderId="8" xfId="17" applyNumberFormat="1" applyFont="1" applyFill="1" applyBorder="1"/>
    <xf numFmtId="2" fontId="21" fillId="0" borderId="8" xfId="17" applyNumberFormat="1" applyFont="1" applyFill="1" applyBorder="1"/>
    <xf numFmtId="2" fontId="21" fillId="4" borderId="8" xfId="17" applyNumberFormat="1" applyFont="1" applyFill="1" applyBorder="1" applyAlignment="1">
      <alignment horizontal="right"/>
    </xf>
    <xf numFmtId="2" fontId="21" fillId="0" borderId="8" xfId="17" applyNumberFormat="1" applyFont="1" applyFill="1" applyBorder="1" applyAlignment="1">
      <alignment horizontal="right"/>
    </xf>
    <xf numFmtId="0" fontId="16" fillId="0" borderId="0" xfId="17" applyNumberFormat="1" applyFont="1" applyFill="1" applyBorder="1"/>
    <xf numFmtId="2" fontId="16" fillId="0" borderId="0" xfId="17" applyNumberFormat="1" applyFont="1" applyFill="1" applyBorder="1"/>
    <xf numFmtId="2" fontId="16" fillId="4" borderId="0" xfId="17" applyNumberFormat="1" applyFont="1" applyFill="1" applyBorder="1" applyAlignment="1">
      <alignment horizontal="right"/>
    </xf>
    <xf numFmtId="2" fontId="16" fillId="0" borderId="0" xfId="17" applyNumberFormat="1" applyFont="1" applyFill="1" applyBorder="1" applyAlignment="1">
      <alignment horizontal="right"/>
    </xf>
    <xf numFmtId="0" fontId="16" fillId="0" borderId="0" xfId="17" applyNumberFormat="1" applyFont="1" applyFill="1" applyProtection="1">
      <protection locked="0"/>
    </xf>
    <xf numFmtId="0" fontId="21" fillId="0" borderId="4" xfId="17" applyNumberFormat="1" applyFont="1" applyFill="1" applyBorder="1" applyProtection="1">
      <protection locked="0"/>
    </xf>
    <xf numFmtId="2" fontId="21" fillId="0" borderId="4" xfId="17" applyNumberFormat="1" applyFont="1" applyFill="1" applyBorder="1"/>
    <xf numFmtId="174" fontId="21" fillId="4" borderId="4" xfId="7" applyNumberFormat="1" applyFont="1" applyFill="1" applyBorder="1"/>
    <xf numFmtId="174" fontId="21" fillId="0" borderId="4" xfId="7" applyNumberFormat="1" applyFont="1" applyFill="1" applyBorder="1"/>
    <xf numFmtId="0" fontId="16" fillId="0" borderId="0" xfId="17" applyNumberFormat="1" applyFont="1" applyFill="1" applyAlignment="1" applyProtection="1">
      <alignment horizontal="left" indent="1"/>
      <protection locked="0"/>
    </xf>
    <xf numFmtId="1" fontId="16" fillId="4" borderId="0" xfId="17" applyNumberFormat="1" applyFont="1" applyFill="1" applyBorder="1"/>
    <xf numFmtId="174" fontId="21" fillId="0" borderId="6" xfId="7" applyNumberFormat="1" applyFont="1" applyFill="1" applyBorder="1"/>
    <xf numFmtId="174" fontId="16" fillId="0" borderId="6" xfId="7" applyNumberFormat="1" applyFont="1" applyFill="1" applyBorder="1"/>
    <xf numFmtId="0" fontId="2" fillId="0" borderId="0" xfId="17" applyFont="1" applyFill="1"/>
    <xf numFmtId="0" fontId="29" fillId="0" borderId="0" xfId="17" applyNumberFormat="1" applyFont="1" applyFill="1"/>
    <xf numFmtId="0" fontId="53" fillId="0" borderId="0" xfId="17" applyNumberFormat="1" applyFont="1" applyFill="1"/>
    <xf numFmtId="0" fontId="21" fillId="0" borderId="10" xfId="7" applyNumberFormat="1" applyFont="1" applyFill="1" applyBorder="1"/>
    <xf numFmtId="0" fontId="62" fillId="0" borderId="0" xfId="7" applyNumberFormat="1" applyFont="1" applyFill="1"/>
    <xf numFmtId="0" fontId="63" fillId="0" borderId="0" xfId="7" applyNumberFormat="1" applyFont="1" applyFill="1" applyAlignment="1">
      <alignment horizontal="left" indent="1"/>
    </xf>
    <xf numFmtId="174" fontId="22" fillId="0" borderId="0" xfId="7" applyNumberFormat="1" applyFont="1"/>
    <xf numFmtId="0" fontId="63" fillId="8" borderId="0" xfId="17" applyNumberFormat="1" applyFont="1" applyFill="1" applyBorder="1" applyAlignment="1" applyProtection="1">
      <alignment horizontal="left" indent="2"/>
    </xf>
    <xf numFmtId="0" fontId="51" fillId="8" borderId="0" xfId="17" applyNumberFormat="1" applyFont="1" applyFill="1" applyBorder="1" applyAlignment="1" applyProtection="1">
      <alignment horizontal="left" indent="1"/>
    </xf>
    <xf numFmtId="0" fontId="63" fillId="8" borderId="0" xfId="17" applyNumberFormat="1" applyFont="1" applyFill="1" applyBorder="1" applyAlignment="1">
      <alignment horizontal="left" indent="2"/>
    </xf>
    <xf numFmtId="0" fontId="63" fillId="0" borderId="0" xfId="17" applyNumberFormat="1" applyFont="1" applyFill="1" applyBorder="1" applyAlignment="1">
      <alignment horizontal="left" indent="2"/>
    </xf>
    <xf numFmtId="0" fontId="21" fillId="0" borderId="10" xfId="17" applyNumberFormat="1" applyFont="1" applyFill="1" applyBorder="1" applyAlignment="1">
      <alignment horizontal="left"/>
    </xf>
    <xf numFmtId="14" fontId="24" fillId="4" borderId="10" xfId="17" applyNumberFormat="1" applyFont="1" applyFill="1" applyBorder="1" applyAlignment="1">
      <alignment horizontal="right"/>
    </xf>
    <xf numFmtId="14" fontId="24" fillId="0" borderId="10" xfId="17" applyNumberFormat="1" applyFont="1" applyFill="1" applyBorder="1" applyAlignment="1">
      <alignment horizontal="right"/>
    </xf>
    <xf numFmtId="0" fontId="51" fillId="0" borderId="0" xfId="17" applyNumberFormat="1" applyFont="1" applyFill="1" applyAlignment="1">
      <alignment horizontal="left"/>
    </xf>
    <xf numFmtId="0" fontId="63" fillId="0" borderId="0" xfId="17" applyNumberFormat="1" applyFont="1" applyFill="1" applyBorder="1" applyAlignment="1">
      <alignment horizontal="left" indent="1"/>
    </xf>
    <xf numFmtId="0" fontId="63" fillId="0" borderId="0" xfId="17" applyNumberFormat="1" applyFont="1" applyFill="1" applyAlignment="1">
      <alignment horizontal="left" indent="1"/>
    </xf>
    <xf numFmtId="174" fontId="16" fillId="0" borderId="0" xfId="7" applyNumberFormat="1" applyFont="1" applyBorder="1" applyAlignment="1"/>
    <xf numFmtId="1" fontId="52" fillId="0" borderId="0" xfId="17" quotePrefix="1" applyNumberFormat="1" applyFont="1" applyFill="1" applyBorder="1" applyAlignment="1">
      <alignment horizontal="right"/>
    </xf>
    <xf numFmtId="174" fontId="16" fillId="0" borderId="0" xfId="7" quotePrefix="1" applyNumberFormat="1" applyFont="1" applyFill="1" applyBorder="1" applyAlignment="1">
      <alignment horizontal="right"/>
    </xf>
    <xf numFmtId="0" fontId="21" fillId="0" borderId="0" xfId="17" applyFont="1" applyAlignment="1" applyProtection="1">
      <alignment horizontal="left"/>
    </xf>
    <xf numFmtId="165" fontId="22" fillId="0" borderId="0" xfId="22" applyNumberFormat="1" applyFont="1" applyFill="1"/>
    <xf numFmtId="0" fontId="25" fillId="0" borderId="0" xfId="17" applyFont="1" applyAlignment="1" applyProtection="1">
      <alignment horizontal="right"/>
    </xf>
    <xf numFmtId="165" fontId="21" fillId="0" borderId="8" xfId="17" applyNumberFormat="1" applyFont="1" applyBorder="1" applyAlignment="1">
      <alignment horizontal="center"/>
    </xf>
    <xf numFmtId="165" fontId="54" fillId="0" borderId="8" xfId="22" applyNumberFormat="1" applyFont="1" applyFill="1" applyBorder="1" applyAlignment="1">
      <alignment horizontal="center"/>
    </xf>
    <xf numFmtId="165" fontId="21" fillId="0" borderId="18" xfId="17" applyNumberFormat="1" applyFont="1" applyBorder="1"/>
    <xf numFmtId="174" fontId="21" fillId="0" borderId="0" xfId="7" applyNumberFormat="1" applyFont="1" applyBorder="1" applyAlignment="1"/>
    <xf numFmtId="165" fontId="16" fillId="0" borderId="0" xfId="22" applyNumberFormat="1" applyFont="1" applyBorder="1" applyAlignment="1"/>
    <xf numFmtId="165" fontId="54" fillId="0" borderId="18" xfId="22" applyNumberFormat="1" applyFont="1" applyFill="1" applyBorder="1"/>
    <xf numFmtId="7" fontId="21" fillId="0" borderId="0" xfId="17" applyNumberFormat="1" applyFont="1" applyFill="1" applyBorder="1"/>
    <xf numFmtId="7" fontId="16" fillId="0" borderId="0" xfId="17" applyNumberFormat="1" applyFont="1" applyFill="1" applyBorder="1"/>
    <xf numFmtId="175" fontId="23" fillId="0" borderId="0" xfId="7" applyNumberFormat="1" applyFont="1"/>
    <xf numFmtId="175" fontId="23" fillId="4" borderId="0" xfId="7" applyNumberFormat="1" applyFont="1" applyFill="1"/>
    <xf numFmtId="0" fontId="23" fillId="0" borderId="0" xfId="17" applyFont="1"/>
    <xf numFmtId="165" fontId="23" fillId="4" borderId="0" xfId="17" applyNumberFormat="1" applyFont="1" applyFill="1"/>
    <xf numFmtId="0" fontId="48" fillId="0" borderId="0" xfId="17" applyFont="1"/>
    <xf numFmtId="0" fontId="43" fillId="0" borderId="0" xfId="17" applyFont="1"/>
    <xf numFmtId="0" fontId="18" fillId="7" borderId="0" xfId="15" applyFont="1" applyFill="1"/>
    <xf numFmtId="0" fontId="21" fillId="0" borderId="10" xfId="15" applyFont="1" applyBorder="1" applyAlignment="1">
      <alignment horizontal="left"/>
    </xf>
    <xf numFmtId="0" fontId="21" fillId="0" borderId="10" xfId="15" applyFont="1" applyBorder="1" applyAlignment="1">
      <alignment horizontal="right"/>
    </xf>
    <xf numFmtId="0" fontId="21" fillId="0" borderId="0" xfId="15" applyFont="1"/>
    <xf numFmtId="0" fontId="16" fillId="0" borderId="0" xfId="15" applyFont="1"/>
    <xf numFmtId="0" fontId="16" fillId="4" borderId="0" xfId="15" applyFont="1" applyFill="1"/>
    <xf numFmtId="166" fontId="16" fillId="4" borderId="0" xfId="15" applyNumberFormat="1" applyFont="1" applyFill="1"/>
    <xf numFmtId="166" fontId="16" fillId="0" borderId="0" xfId="15" applyNumberFormat="1" applyFont="1"/>
    <xf numFmtId="166" fontId="22" fillId="4" borderId="0" xfId="15" applyNumberFormat="1" applyFont="1" applyFill="1"/>
    <xf numFmtId="166" fontId="22" fillId="0" borderId="0" xfId="15" applyNumberFormat="1" applyFont="1"/>
    <xf numFmtId="166" fontId="28" fillId="0" borderId="0" xfId="15" applyNumberFormat="1" applyFont="1"/>
    <xf numFmtId="43" fontId="16" fillId="0" borderId="0" xfId="7" applyFont="1"/>
    <xf numFmtId="166" fontId="28" fillId="0" borderId="0" xfId="15" applyNumberFormat="1" applyFont="1" applyFill="1"/>
    <xf numFmtId="0" fontId="21" fillId="8" borderId="0" xfId="15" applyFont="1" applyFill="1"/>
    <xf numFmtId="165" fontId="22" fillId="0" borderId="0" xfId="22" applyNumberFormat="1" applyFont="1"/>
    <xf numFmtId="10" fontId="22" fillId="0" borderId="0" xfId="22" applyNumberFormat="1" applyFont="1"/>
    <xf numFmtId="10" fontId="22" fillId="4" borderId="0" xfId="22" applyNumberFormat="1" applyFont="1" applyFill="1"/>
    <xf numFmtId="178" fontId="22" fillId="0" borderId="0" xfId="22" applyNumberFormat="1" applyFont="1"/>
    <xf numFmtId="165" fontId="22" fillId="4" borderId="0" xfId="22" applyNumberFormat="1" applyFont="1" applyFill="1"/>
    <xf numFmtId="9" fontId="22" fillId="0" borderId="0" xfId="22" applyNumberFormat="1" applyFont="1"/>
    <xf numFmtId="9" fontId="22" fillId="4" borderId="0" xfId="22" applyNumberFormat="1" applyFont="1" applyFill="1"/>
    <xf numFmtId="174" fontId="28" fillId="0" borderId="0" xfId="7" applyNumberFormat="1" applyFont="1" applyFill="1"/>
    <xf numFmtId="165" fontId="21" fillId="0" borderId="0" xfId="22" applyNumberFormat="1" applyFont="1"/>
    <xf numFmtId="174" fontId="25" fillId="0" borderId="0" xfId="7" applyNumberFormat="1" applyFont="1"/>
    <xf numFmtId="0" fontId="16" fillId="0" borderId="10" xfId="17" applyFont="1" applyBorder="1"/>
    <xf numFmtId="0" fontId="16" fillId="0" borderId="2" xfId="17" applyFont="1" applyBorder="1"/>
    <xf numFmtId="174" fontId="16" fillId="0" borderId="2" xfId="7" applyNumberFormat="1" applyFont="1" applyBorder="1" applyAlignment="1">
      <alignment horizontal="left" indent="1"/>
    </xf>
    <xf numFmtId="174" fontId="16" fillId="4" borderId="2" xfId="17" applyNumberFormat="1" applyFont="1" applyFill="1" applyBorder="1"/>
    <xf numFmtId="174" fontId="16" fillId="0" borderId="2" xfId="17" applyNumberFormat="1" applyFont="1" applyFill="1" applyBorder="1"/>
    <xf numFmtId="9" fontId="16" fillId="4" borderId="2" xfId="22" applyFont="1" applyFill="1" applyBorder="1"/>
    <xf numFmtId="9" fontId="16" fillId="0" borderId="2" xfId="22" applyFont="1" applyBorder="1"/>
    <xf numFmtId="0" fontId="21" fillId="0" borderId="23" xfId="17" applyNumberFormat="1" applyFont="1" applyBorder="1"/>
    <xf numFmtId="1" fontId="21" fillId="0" borderId="23" xfId="17" applyNumberFormat="1" applyFont="1" applyBorder="1"/>
    <xf numFmtId="9" fontId="21" fillId="4" borderId="23" xfId="22" applyFont="1" applyFill="1" applyBorder="1"/>
    <xf numFmtId="9" fontId="21" fillId="0" borderId="23" xfId="22" applyFont="1" applyFill="1" applyBorder="1"/>
    <xf numFmtId="9" fontId="21" fillId="0" borderId="23" xfId="22" applyFont="1" applyBorder="1"/>
    <xf numFmtId="37" fontId="21" fillId="0" borderId="23" xfId="17" applyNumberFormat="1" applyFont="1" applyBorder="1"/>
    <xf numFmtId="174" fontId="21" fillId="4" borderId="23" xfId="7" applyNumberFormat="1" applyFont="1" applyFill="1" applyBorder="1" applyAlignment="1">
      <alignment horizontal="right"/>
    </xf>
    <xf numFmtId="37" fontId="21" fillId="0" borderId="23" xfId="17" applyNumberFormat="1" applyFont="1" applyFill="1" applyBorder="1" applyAlignment="1">
      <alignment horizontal="right"/>
    </xf>
    <xf numFmtId="174" fontId="21" fillId="0" borderId="23" xfId="7" applyNumberFormat="1" applyFont="1" applyFill="1" applyBorder="1" applyAlignment="1">
      <alignment horizontal="right"/>
    </xf>
    <xf numFmtId="37" fontId="21" fillId="4" borderId="23" xfId="17" applyNumberFormat="1" applyFont="1" applyFill="1" applyBorder="1" applyAlignment="1">
      <alignment horizontal="right"/>
    </xf>
    <xf numFmtId="0" fontId="21" fillId="0" borderId="0" xfId="19" applyFont="1"/>
    <xf numFmtId="0" fontId="21" fillId="0" borderId="0" xfId="17" applyFont="1" applyBorder="1" applyAlignment="1">
      <alignment horizontal="left"/>
    </xf>
    <xf numFmtId="165" fontId="16" fillId="0" borderId="0" xfId="17" applyNumberFormat="1" applyFont="1" applyFill="1" applyBorder="1"/>
    <xf numFmtId="7" fontId="16" fillId="0" borderId="0" xfId="17" applyNumberFormat="1" applyFont="1" applyBorder="1"/>
    <xf numFmtId="0" fontId="21" fillId="0" borderId="8" xfId="19" applyFont="1" applyBorder="1" applyAlignment="1">
      <alignment horizontal="left"/>
    </xf>
    <xf numFmtId="165" fontId="16" fillId="0" borderId="8" xfId="22" applyNumberFormat="1" applyFont="1" applyBorder="1"/>
    <xf numFmtId="177" fontId="16" fillId="0" borderId="0" xfId="17" applyNumberFormat="1" applyFont="1" applyFill="1" applyBorder="1" applyAlignment="1">
      <alignment horizontal="right"/>
    </xf>
    <xf numFmtId="0" fontId="57" fillId="0" borderId="0" xfId="5" applyFont="1" applyFill="1" applyBorder="1"/>
    <xf numFmtId="0" fontId="16" fillId="0" borderId="0" xfId="5" applyFont="1" applyFill="1" applyBorder="1"/>
    <xf numFmtId="0" fontId="16" fillId="0" borderId="0" xfId="19" applyFont="1"/>
    <xf numFmtId="0" fontId="21" fillId="0" borderId="0" xfId="19" applyFont="1" applyAlignment="1">
      <alignment horizontal="left" indent="1"/>
    </xf>
    <xf numFmtId="0" fontId="21" fillId="0" borderId="0" xfId="18" applyFont="1"/>
    <xf numFmtId="177" fontId="16" fillId="0" borderId="0" xfId="20" applyNumberFormat="1" applyFont="1" applyFill="1" applyAlignment="1">
      <alignment horizontal="left"/>
    </xf>
    <xf numFmtId="174" fontId="16" fillId="0" borderId="0" xfId="7" applyNumberFormat="1" applyFont="1" applyFill="1" applyBorder="1" applyAlignment="1">
      <alignment horizontal="right"/>
    </xf>
    <xf numFmtId="165" fontId="16" fillId="0" borderId="0" xfId="22" applyNumberFormat="1" applyFont="1" applyFill="1" applyBorder="1" applyAlignment="1">
      <alignment horizontal="right"/>
    </xf>
    <xf numFmtId="174" fontId="21" fillId="4" borderId="9" xfId="7" applyNumberFormat="1" applyFont="1" applyFill="1" applyBorder="1" applyAlignment="1">
      <alignment horizontal="right"/>
    </xf>
    <xf numFmtId="174" fontId="21" fillId="0" borderId="9" xfId="7" applyNumberFormat="1" applyFont="1" applyFill="1" applyBorder="1" applyAlignment="1">
      <alignment horizontal="right"/>
    </xf>
    <xf numFmtId="174" fontId="21" fillId="0" borderId="0" xfId="7" applyNumberFormat="1" applyFont="1" applyFill="1" applyAlignment="1">
      <alignment horizontal="right"/>
    </xf>
    <xf numFmtId="174" fontId="39" fillId="0" borderId="0" xfId="7" applyNumberFormat="1" applyFont="1" applyFill="1" applyBorder="1" applyAlignment="1">
      <alignment horizontal="right"/>
    </xf>
    <xf numFmtId="9" fontId="52" fillId="0" borderId="0" xfId="22" applyFont="1" applyFill="1" applyAlignment="1">
      <alignment horizontal="center"/>
    </xf>
    <xf numFmtId="174" fontId="25" fillId="4" borderId="0" xfId="7" applyNumberFormat="1" applyFont="1" applyFill="1" applyAlignment="1">
      <alignment horizontal="right"/>
    </xf>
    <xf numFmtId="174" fontId="25" fillId="0" borderId="0" xfId="7" applyNumberFormat="1" applyFont="1" applyFill="1" applyAlignment="1">
      <alignment horizontal="right"/>
    </xf>
    <xf numFmtId="174" fontId="21" fillId="4" borderId="8" xfId="7" applyNumberFormat="1" applyFont="1" applyFill="1" applyBorder="1" applyAlignment="1">
      <alignment horizontal="right"/>
    </xf>
    <xf numFmtId="174" fontId="21" fillId="0" borderId="8" xfId="7" applyNumberFormat="1" applyFont="1" applyFill="1" applyBorder="1" applyAlignment="1">
      <alignment horizontal="right"/>
    </xf>
    <xf numFmtId="165" fontId="16" fillId="4" borderId="0" xfId="22" applyNumberFormat="1" applyFont="1" applyFill="1" applyBorder="1" applyAlignment="1">
      <alignment horizontal="right"/>
    </xf>
    <xf numFmtId="9" fontId="16" fillId="4" borderId="0" xfId="22" applyFont="1" applyFill="1" applyAlignment="1"/>
    <xf numFmtId="9" fontId="16" fillId="0" borderId="0" xfId="22" applyFont="1" applyFill="1" applyAlignment="1"/>
    <xf numFmtId="10" fontId="16" fillId="4" borderId="0" xfId="22" applyNumberFormat="1" applyFont="1" applyFill="1"/>
    <xf numFmtId="43" fontId="39" fillId="0" borderId="0" xfId="7" applyNumberFormat="1" applyFont="1"/>
    <xf numFmtId="37" fontId="16" fillId="0" borderId="0" xfId="14" applyNumberFormat="1" applyFont="1" applyFill="1"/>
    <xf numFmtId="0" fontId="16" fillId="3" borderId="0" xfId="14" applyFont="1" applyFill="1"/>
    <xf numFmtId="37" fontId="16" fillId="3" borderId="0" xfId="14" applyNumberFormat="1" applyFont="1" applyFill="1" applyBorder="1"/>
    <xf numFmtId="167" fontId="16" fillId="3" borderId="0" xfId="22" applyNumberFormat="1" applyFont="1" applyFill="1" applyBorder="1" applyAlignment="1">
      <alignment horizontal="right"/>
    </xf>
    <xf numFmtId="37" fontId="16" fillId="3" borderId="0" xfId="14" applyNumberFormat="1" applyFont="1" applyFill="1"/>
    <xf numFmtId="37" fontId="16" fillId="3" borderId="0" xfId="14" applyNumberFormat="1" applyFont="1" applyFill="1" applyAlignment="1">
      <alignment horizontal="right"/>
    </xf>
    <xf numFmtId="165" fontId="22" fillId="3" borderId="0" xfId="22" applyNumberFormat="1" applyFont="1" applyFill="1"/>
    <xf numFmtId="167" fontId="16" fillId="3" borderId="0" xfId="22" applyNumberFormat="1" applyFont="1" applyFill="1" applyBorder="1" applyAlignment="1" applyProtection="1">
      <alignment horizontal="right"/>
    </xf>
    <xf numFmtId="37" fontId="16" fillId="0" borderId="0" xfId="18" applyNumberFormat="1" applyFont="1" applyAlignment="1">
      <alignment horizontal="left" indent="1"/>
    </xf>
    <xf numFmtId="5" fontId="16" fillId="4" borderId="0" xfId="17" applyNumberFormat="1" applyFont="1" applyFill="1"/>
    <xf numFmtId="165" fontId="16" fillId="4" borderId="0" xfId="22" applyNumberFormat="1" applyFont="1" applyFill="1"/>
    <xf numFmtId="7" fontId="16" fillId="4" borderId="0" xfId="17" applyNumberFormat="1" applyFont="1" applyFill="1"/>
    <xf numFmtId="0" fontId="21" fillId="4" borderId="0" xfId="17" applyFont="1" applyFill="1" applyAlignment="1">
      <alignment horizontal="left" indent="1"/>
    </xf>
    <xf numFmtId="169" fontId="16" fillId="4" borderId="0" xfId="17" applyNumberFormat="1" applyFont="1" applyFill="1"/>
    <xf numFmtId="7" fontId="16" fillId="4" borderId="0" xfId="17" applyNumberFormat="1" applyFont="1" applyFill="1" applyBorder="1"/>
    <xf numFmtId="7" fontId="16" fillId="4" borderId="8" xfId="17" applyNumberFormat="1" applyFont="1" applyFill="1" applyBorder="1"/>
    <xf numFmtId="165" fontId="16" fillId="4" borderId="8" xfId="22" applyNumberFormat="1" applyFont="1" applyFill="1" applyBorder="1"/>
    <xf numFmtId="172" fontId="16" fillId="4" borderId="0" xfId="17" applyNumberFormat="1" applyFont="1" applyFill="1"/>
    <xf numFmtId="168" fontId="16" fillId="4" borderId="0" xfId="17" applyNumberFormat="1" applyFont="1" applyFill="1"/>
    <xf numFmtId="173" fontId="16" fillId="4" borderId="0" xfId="17" applyNumberFormat="1" applyFont="1" applyFill="1" applyAlignment="1">
      <alignment horizontal="right"/>
    </xf>
    <xf numFmtId="9" fontId="21" fillId="4" borderId="8" xfId="22" applyFont="1" applyFill="1" applyBorder="1" applyAlignment="1">
      <alignment horizontal="right"/>
    </xf>
    <xf numFmtId="9" fontId="21" fillId="0" borderId="0" xfId="22" applyFont="1" applyFill="1" applyAlignment="1">
      <alignment horizontal="right"/>
    </xf>
    <xf numFmtId="9" fontId="21" fillId="0" borderId="8" xfId="22" applyFont="1" applyFill="1" applyBorder="1" applyAlignment="1">
      <alignment horizontal="right"/>
    </xf>
    <xf numFmtId="0" fontId="16" fillId="0" borderId="0" xfId="0" applyFont="1"/>
    <xf numFmtId="174" fontId="74" fillId="4" borderId="0" xfId="7" applyNumberFormat="1" applyFont="1" applyFill="1" applyAlignment="1">
      <alignment horizontal="right"/>
    </xf>
    <xf numFmtId="43" fontId="16" fillId="0" borderId="0" xfId="7" applyNumberFormat="1" applyFont="1" applyFill="1"/>
    <xf numFmtId="43" fontId="16" fillId="4" borderId="0" xfId="7" applyNumberFormat="1" applyFont="1" applyFill="1"/>
    <xf numFmtId="2" fontId="16" fillId="4" borderId="0" xfId="17" applyNumberFormat="1" applyFont="1" applyFill="1" applyAlignment="1" applyProtection="1">
      <alignment horizontal="right"/>
    </xf>
    <xf numFmtId="174" fontId="40" fillId="0" borderId="0" xfId="7" applyNumberFormat="1" applyFont="1" applyFill="1" applyBorder="1" applyProtection="1"/>
    <xf numFmtId="174" fontId="16" fillId="0" borderId="0" xfId="22" applyNumberFormat="1" applyFont="1" applyFill="1" applyAlignment="1">
      <alignment horizontal="right"/>
    </xf>
    <xf numFmtId="37" fontId="74" fillId="0" borderId="0" xfId="17" applyNumberFormat="1" applyFont="1" applyBorder="1" applyAlignment="1">
      <alignment horizontal="left"/>
    </xf>
    <xf numFmtId="37" fontId="74" fillId="4" borderId="0" xfId="17" applyNumberFormat="1" applyFont="1" applyFill="1" applyBorder="1" applyAlignment="1">
      <alignment horizontal="right"/>
    </xf>
    <xf numFmtId="37" fontId="74" fillId="0" borderId="0" xfId="17" applyNumberFormat="1" applyFont="1" applyFill="1" applyBorder="1" applyAlignment="1">
      <alignment horizontal="right"/>
    </xf>
    <xf numFmtId="9" fontId="16" fillId="4" borderId="0" xfId="22" applyNumberFormat="1" applyFont="1" applyFill="1" applyBorder="1" applyAlignment="1">
      <alignment horizontal="right"/>
    </xf>
    <xf numFmtId="9" fontId="22" fillId="4" borderId="0" xfId="22" applyFont="1" applyFill="1" applyBorder="1" applyAlignment="1">
      <alignment horizontal="right"/>
    </xf>
    <xf numFmtId="14" fontId="58" fillId="8" borderId="0" xfId="16" applyNumberFormat="1" applyFont="1" applyFill="1" applyBorder="1"/>
    <xf numFmtId="43" fontId="16" fillId="4" borderId="0" xfId="7" applyNumberFormat="1" applyFont="1" applyFill="1" applyProtection="1"/>
    <xf numFmtId="175" fontId="16" fillId="0" borderId="0" xfId="7" applyNumberFormat="1" applyFont="1" applyFill="1" applyProtection="1"/>
    <xf numFmtId="0" fontId="17" fillId="0" borderId="0" xfId="17" applyFont="1" applyFill="1"/>
    <xf numFmtId="0" fontId="21" fillId="0" borderId="8" xfId="17" applyFont="1" applyBorder="1" applyAlignment="1">
      <alignment horizontal="center" wrapText="1"/>
    </xf>
    <xf numFmtId="0" fontId="16" fillId="0" borderId="0" xfId="17" applyFont="1" applyBorder="1" applyAlignment="1">
      <alignment vertical="top" wrapText="1"/>
    </xf>
    <xf numFmtId="0" fontId="16" fillId="0" borderId="0" xfId="17" applyFont="1" applyFill="1" applyAlignment="1">
      <alignment vertical="top" wrapText="1"/>
    </xf>
    <xf numFmtId="0" fontId="16" fillId="0" borderId="0" xfId="17" applyFont="1" applyFill="1" applyAlignment="1">
      <alignment horizontal="right"/>
    </xf>
    <xf numFmtId="9" fontId="21" fillId="0" borderId="9" xfId="22" applyFont="1" applyFill="1" applyBorder="1" applyAlignment="1">
      <alignment horizontal="right"/>
    </xf>
    <xf numFmtId="9" fontId="16" fillId="0" borderId="2" xfId="22" applyFont="1" applyFill="1" applyBorder="1" applyAlignment="1">
      <alignment horizontal="right"/>
    </xf>
    <xf numFmtId="0" fontId="21" fillId="3" borderId="0" xfId="17" applyFont="1" applyFill="1"/>
    <xf numFmtId="174" fontId="21" fillId="0" borderId="10" xfId="17" applyNumberFormat="1" applyFont="1" applyFill="1" applyBorder="1" applyAlignment="1">
      <alignment horizontal="right"/>
    </xf>
    <xf numFmtId="174" fontId="74" fillId="0" borderId="0" xfId="7" applyNumberFormat="1" applyFont="1" applyFill="1" applyBorder="1"/>
    <xf numFmtId="174" fontId="74" fillId="0" borderId="0" xfId="7" applyNumberFormat="1" applyFont="1" applyFill="1"/>
    <xf numFmtId="0" fontId="60" fillId="8" borderId="8" xfId="17" applyFont="1" applyFill="1" applyBorder="1"/>
    <xf numFmtId="0" fontId="16" fillId="8" borderId="8" xfId="17" applyFont="1" applyFill="1" applyBorder="1"/>
    <xf numFmtId="177" fontId="16" fillId="8" borderId="0" xfId="17" applyNumberFormat="1" applyFont="1" applyFill="1" applyBorder="1" applyAlignment="1">
      <alignment horizontal="right"/>
    </xf>
    <xf numFmtId="0" fontId="16" fillId="8" borderId="0" xfId="17" applyFont="1" applyFill="1" applyAlignment="1">
      <alignment horizontal="left"/>
    </xf>
    <xf numFmtId="177" fontId="16" fillId="8" borderId="0" xfId="17" applyNumberFormat="1" applyFont="1" applyFill="1" applyBorder="1"/>
    <xf numFmtId="174" fontId="16" fillId="4" borderId="0" xfId="7" quotePrefix="1" applyNumberFormat="1" applyFont="1" applyFill="1" applyBorder="1" applyAlignment="1">
      <alignment horizontal="right"/>
    </xf>
    <xf numFmtId="171" fontId="16" fillId="0" borderId="0" xfId="15" applyNumberFormat="1" applyFont="1"/>
    <xf numFmtId="171" fontId="16" fillId="4" borderId="0" xfId="15" applyNumberFormat="1" applyFont="1" applyFill="1"/>
    <xf numFmtId="9" fontId="16" fillId="11" borderId="0" xfId="22" applyFont="1" applyFill="1" applyAlignment="1">
      <alignment horizontal="right"/>
    </xf>
    <xf numFmtId="9" fontId="16" fillId="10" borderId="0" xfId="22" applyFont="1" applyFill="1" applyAlignment="1">
      <alignment horizontal="right"/>
    </xf>
    <xf numFmtId="9" fontId="16" fillId="0" borderId="0" xfId="22" applyFont="1" applyFill="1" applyProtection="1"/>
    <xf numFmtId="0" fontId="16" fillId="3" borderId="0" xfId="12" applyFont="1" applyFill="1"/>
    <xf numFmtId="165" fontId="16" fillId="4" borderId="0" xfId="17" applyNumberFormat="1" applyFont="1" applyFill="1" applyBorder="1"/>
    <xf numFmtId="174" fontId="74" fillId="0" borderId="0" xfId="7" applyNumberFormat="1" applyFont="1" applyBorder="1" applyAlignment="1" applyProtection="1">
      <alignment horizontal="right"/>
    </xf>
    <xf numFmtId="174" fontId="74" fillId="4" borderId="0" xfId="7" applyNumberFormat="1" applyFont="1" applyFill="1" applyBorder="1" applyAlignment="1" applyProtection="1">
      <alignment horizontal="right"/>
    </xf>
    <xf numFmtId="174" fontId="74" fillId="0" borderId="14" xfId="7" applyNumberFormat="1" applyFont="1" applyBorder="1" applyAlignment="1" applyProtection="1">
      <alignment horizontal="right"/>
    </xf>
    <xf numFmtId="166" fontId="28" fillId="4" borderId="0" xfId="15" applyNumberFormat="1" applyFont="1" applyFill="1"/>
    <xf numFmtId="0" fontId="16" fillId="3" borderId="0" xfId="13" applyFont="1" applyFill="1"/>
    <xf numFmtId="9" fontId="21" fillId="10" borderId="0" xfId="22" applyFont="1" applyFill="1" applyAlignment="1">
      <alignment horizontal="right"/>
    </xf>
    <xf numFmtId="9" fontId="39" fillId="0" borderId="0" xfId="22" applyFont="1" applyFill="1" applyBorder="1" applyAlignment="1">
      <alignment horizontal="right"/>
    </xf>
    <xf numFmtId="0" fontId="77" fillId="0" borderId="0" xfId="19" applyFont="1" applyFill="1" applyBorder="1" applyAlignment="1">
      <alignment horizontal="left" indent="1"/>
    </xf>
    <xf numFmtId="174" fontId="39" fillId="0" borderId="0" xfId="7" applyNumberFormat="1" applyFont="1" applyFill="1" applyAlignment="1">
      <alignment horizontal="right"/>
    </xf>
    <xf numFmtId="174" fontId="39" fillId="4" borderId="0" xfId="7" applyNumberFormat="1" applyFont="1" applyFill="1" applyAlignment="1">
      <alignment horizontal="right"/>
    </xf>
    <xf numFmtId="174" fontId="22" fillId="3" borderId="0" xfId="7" applyNumberFormat="1" applyFont="1" applyFill="1" applyAlignment="1">
      <alignment horizontal="right"/>
    </xf>
    <xf numFmtId="0" fontId="21" fillId="5" borderId="0" xfId="17" applyFont="1" applyFill="1"/>
    <xf numFmtId="0" fontId="16" fillId="5" borderId="0" xfId="17" applyFont="1" applyFill="1" applyAlignment="1">
      <alignment horizontal="left" indent="1"/>
    </xf>
    <xf numFmtId="0" fontId="21" fillId="0" borderId="24" xfId="17" applyFont="1" applyBorder="1"/>
    <xf numFmtId="165" fontId="16" fillId="0" borderId="25" xfId="22" applyNumberFormat="1" applyFont="1" applyBorder="1" applyAlignment="1">
      <alignment horizontal="center"/>
    </xf>
    <xf numFmtId="174" fontId="21" fillId="0" borderId="17" xfId="17" applyNumberFormat="1" applyFont="1" applyFill="1" applyBorder="1" applyAlignment="1">
      <alignment horizontal="right"/>
    </xf>
    <xf numFmtId="0" fontId="16" fillId="8" borderId="0" xfId="12" applyFont="1" applyFill="1"/>
    <xf numFmtId="0" fontId="21" fillId="0" borderId="8" xfId="12" applyFont="1" applyFill="1" applyBorder="1" applyAlignment="1">
      <alignment horizontal="left"/>
    </xf>
    <xf numFmtId="0" fontId="16" fillId="0" borderId="8" xfId="12" applyFont="1" applyFill="1" applyBorder="1"/>
    <xf numFmtId="0" fontId="6" fillId="8" borderId="0" xfId="12" applyFill="1"/>
    <xf numFmtId="177" fontId="16" fillId="0" borderId="0" xfId="12" applyNumberFormat="1" applyFont="1" applyFill="1" applyBorder="1" applyAlignment="1">
      <alignment horizontal="right"/>
    </xf>
    <xf numFmtId="1" fontId="16" fillId="0" borderId="0" xfId="12" applyNumberFormat="1" applyFont="1" applyFill="1" applyBorder="1"/>
    <xf numFmtId="175" fontId="21" fillId="4" borderId="0" xfId="7" applyNumberFormat="1" applyFont="1" applyFill="1" applyBorder="1" applyAlignment="1">
      <alignment horizontal="right"/>
    </xf>
    <xf numFmtId="14" fontId="60" fillId="0" borderId="10" xfId="17" applyNumberFormat="1" applyFont="1" applyFill="1" applyBorder="1" applyAlignment="1">
      <alignment horizontal="right"/>
    </xf>
    <xf numFmtId="0" fontId="78" fillId="0" borderId="0" xfId="17" applyFont="1"/>
    <xf numFmtId="7" fontId="16" fillId="0" borderId="0" xfId="17" applyNumberFormat="1" applyFont="1" applyAlignment="1">
      <alignment horizontal="center"/>
    </xf>
    <xf numFmtId="0" fontId="16" fillId="0" borderId="7" xfId="17" applyFont="1" applyBorder="1"/>
    <xf numFmtId="174" fontId="16" fillId="0" borderId="0" xfId="22" applyNumberFormat="1" applyFont="1" applyAlignment="1">
      <alignment horizontal="center"/>
    </xf>
    <xf numFmtId="0" fontId="43" fillId="0" borderId="7" xfId="17" applyFont="1" applyBorder="1"/>
    <xf numFmtId="0" fontId="21" fillId="0" borderId="9" xfId="17" applyFont="1" applyBorder="1"/>
    <xf numFmtId="7" fontId="16" fillId="0" borderId="0" xfId="17" applyNumberFormat="1" applyFont="1" applyAlignment="1">
      <alignment horizontal="right"/>
    </xf>
    <xf numFmtId="174" fontId="24" fillId="0" borderId="0" xfId="7" applyNumberFormat="1" applyFont="1" applyFill="1" applyBorder="1" applyAlignment="1">
      <alignment horizontal="right"/>
    </xf>
    <xf numFmtId="37" fontId="28" fillId="4" borderId="0" xfId="17" applyNumberFormat="1" applyFont="1" applyFill="1" applyBorder="1"/>
    <xf numFmtId="174" fontId="16" fillId="4" borderId="0" xfId="17" applyNumberFormat="1" applyFont="1" applyFill="1" applyAlignment="1">
      <alignment horizontal="right"/>
    </xf>
    <xf numFmtId="174" fontId="16" fillId="4" borderId="0" xfId="17" applyNumberFormat="1" applyFont="1" applyFill="1" applyBorder="1" applyAlignment="1">
      <alignment horizontal="right"/>
    </xf>
    <xf numFmtId="174" fontId="42" fillId="4" borderId="0" xfId="17" applyNumberFormat="1" applyFont="1" applyFill="1" applyAlignment="1">
      <alignment horizontal="right"/>
    </xf>
    <xf numFmtId="174" fontId="21" fillId="4" borderId="17" xfId="17" applyNumberFormat="1" applyFont="1" applyFill="1" applyBorder="1" applyAlignment="1">
      <alignment horizontal="right"/>
    </xf>
    <xf numFmtId="0" fontId="39" fillId="0" borderId="0" xfId="17" applyFont="1" applyBorder="1" applyAlignment="1">
      <alignment horizontal="left" indent="1"/>
    </xf>
    <xf numFmtId="0" fontId="25" fillId="0" borderId="0" xfId="17" applyFont="1" applyBorder="1"/>
    <xf numFmtId="37" fontId="41" fillId="0" borderId="0" xfId="17" applyNumberFormat="1" applyFont="1" applyFill="1" applyAlignment="1">
      <alignment horizontal="right"/>
    </xf>
    <xf numFmtId="37" fontId="41" fillId="4" borderId="0" xfId="17" applyNumberFormat="1" applyFont="1" applyFill="1" applyAlignment="1">
      <alignment horizontal="right"/>
    </xf>
    <xf numFmtId="174" fontId="39" fillId="4" borderId="0" xfId="7" applyNumberFormat="1" applyFont="1" applyFill="1" applyBorder="1"/>
    <xf numFmtId="174" fontId="25" fillId="4" borderId="0" xfId="7" applyNumberFormat="1" applyFont="1" applyFill="1" applyBorder="1" applyProtection="1"/>
    <xf numFmtId="174" fontId="39" fillId="4" borderId="0" xfId="7" applyNumberFormat="1" applyFont="1" applyFill="1" applyBorder="1" applyAlignment="1" applyProtection="1">
      <alignment horizontal="right"/>
    </xf>
    <xf numFmtId="0" fontId="39" fillId="0" borderId="0" xfId="17" applyFont="1" applyBorder="1"/>
    <xf numFmtId="0" fontId="55" fillId="0" borderId="0" xfId="19" applyFont="1" applyFill="1" applyBorder="1" applyAlignment="1">
      <alignment horizontal="left" indent="1"/>
    </xf>
    <xf numFmtId="174" fontId="40" fillId="0" borderId="14" xfId="7" applyNumberFormat="1" applyFont="1" applyFill="1" applyBorder="1" applyProtection="1"/>
    <xf numFmtId="165" fontId="21" fillId="4" borderId="0" xfId="17" applyNumberFormat="1" applyFont="1" applyFill="1"/>
    <xf numFmtId="165" fontId="21" fillId="0" borderId="0" xfId="17" applyNumberFormat="1" applyFont="1" applyFill="1"/>
    <xf numFmtId="165" fontId="21" fillId="0" borderId="14" xfId="17" applyNumberFormat="1" applyFont="1" applyFill="1" applyBorder="1"/>
    <xf numFmtId="0" fontId="25" fillId="3" borderId="0" xfId="17" applyFont="1" applyFill="1"/>
    <xf numFmtId="0" fontId="25" fillId="0" borderId="0" xfId="17" applyFont="1" applyAlignment="1" applyProtection="1">
      <alignment horizontal="left"/>
    </xf>
    <xf numFmtId="165" fontId="25" fillId="4" borderId="0" xfId="17" applyNumberFormat="1" applyFont="1" applyFill="1"/>
    <xf numFmtId="165" fontId="25" fillId="0" borderId="0" xfId="17" applyNumberFormat="1" applyFont="1" applyFill="1"/>
    <xf numFmtId="165" fontId="25" fillId="0" borderId="14" xfId="17" applyNumberFormat="1" applyFont="1" applyFill="1" applyBorder="1"/>
    <xf numFmtId="0" fontId="25" fillId="0" borderId="0" xfId="17" applyFont="1"/>
    <xf numFmtId="9" fontId="21" fillId="4" borderId="0" xfId="17" applyNumberFormat="1" applyFont="1" applyFill="1"/>
    <xf numFmtId="9" fontId="21" fillId="0" borderId="0" xfId="17" applyNumberFormat="1" applyFont="1"/>
    <xf numFmtId="9" fontId="21" fillId="0" borderId="14" xfId="17" applyNumberFormat="1" applyFont="1" applyBorder="1"/>
    <xf numFmtId="9" fontId="25" fillId="4" borderId="0" xfId="17" applyNumberFormat="1" applyFont="1" applyFill="1"/>
    <xf numFmtId="9" fontId="25" fillId="0" borderId="0" xfId="17" applyNumberFormat="1" applyFont="1"/>
    <xf numFmtId="9" fontId="25" fillId="0" borderId="14" xfId="17" applyNumberFormat="1" applyFont="1" applyBorder="1"/>
    <xf numFmtId="9" fontId="25" fillId="0" borderId="0" xfId="17" applyNumberFormat="1" applyFont="1" applyFill="1"/>
    <xf numFmtId="165" fontId="21" fillId="0" borderId="0" xfId="22" applyNumberFormat="1" applyFont="1" applyFill="1"/>
    <xf numFmtId="0" fontId="17" fillId="3" borderId="0" xfId="17" applyFont="1" applyFill="1" applyAlignment="1">
      <alignment horizontal="right"/>
    </xf>
    <xf numFmtId="0" fontId="16" fillId="3" borderId="0" xfId="17" applyFont="1" applyFill="1" applyAlignment="1">
      <alignment horizontal="right"/>
    </xf>
    <xf numFmtId="14" fontId="20" fillId="7" borderId="0" xfId="16" applyNumberFormat="1" applyFont="1" applyFill="1" applyAlignment="1">
      <alignment horizontal="right"/>
    </xf>
    <xf numFmtId="0" fontId="20" fillId="7" borderId="0" xfId="17" applyFont="1" applyFill="1" applyAlignment="1">
      <alignment horizontal="right"/>
    </xf>
    <xf numFmtId="0" fontId="49" fillId="0" borderId="0" xfId="17" applyFont="1" applyFill="1" applyAlignment="1">
      <alignment horizontal="right"/>
    </xf>
    <xf numFmtId="174" fontId="16" fillId="9" borderId="0" xfId="7" applyNumberFormat="1" applyFont="1" applyFill="1" applyAlignment="1">
      <alignment horizontal="right"/>
    </xf>
    <xf numFmtId="9" fontId="39" fillId="4" borderId="0" xfId="22" applyFont="1" applyFill="1" applyAlignment="1">
      <alignment horizontal="right"/>
    </xf>
    <xf numFmtId="9" fontId="39" fillId="0" borderId="0" xfId="22" applyFont="1" applyFill="1" applyAlignment="1">
      <alignment horizontal="right"/>
    </xf>
    <xf numFmtId="174" fontId="21" fillId="0" borderId="0" xfId="7" applyNumberFormat="1" applyFont="1" applyBorder="1" applyAlignment="1">
      <alignment horizontal="right"/>
    </xf>
    <xf numFmtId="174" fontId="21" fillId="0" borderId="8" xfId="7" applyNumberFormat="1" applyFont="1" applyBorder="1" applyAlignment="1">
      <alignment horizontal="right"/>
    </xf>
    <xf numFmtId="174" fontId="16" fillId="0" borderId="0" xfId="17" applyNumberFormat="1" applyFont="1" applyFill="1" applyBorder="1" applyAlignment="1">
      <alignment horizontal="right"/>
    </xf>
    <xf numFmtId="174" fontId="16" fillId="4" borderId="2" xfId="17" applyNumberFormat="1" applyFont="1" applyFill="1" applyBorder="1" applyAlignment="1">
      <alignment horizontal="right"/>
    </xf>
    <xf numFmtId="174" fontId="16" fillId="0" borderId="2" xfId="17" applyNumberFormat="1" applyFont="1" applyFill="1" applyBorder="1" applyAlignment="1">
      <alignment horizontal="right"/>
    </xf>
    <xf numFmtId="174" fontId="16" fillId="0" borderId="0" xfId="17" applyNumberFormat="1" applyFont="1" applyFill="1" applyAlignment="1">
      <alignment horizontal="right"/>
    </xf>
    <xf numFmtId="0" fontId="16" fillId="4" borderId="0" xfId="17" applyFont="1" applyFill="1" applyAlignment="1">
      <alignment horizontal="right"/>
    </xf>
    <xf numFmtId="9" fontId="16" fillId="0" borderId="0" xfId="22" applyNumberFormat="1" applyFont="1" applyFill="1" applyBorder="1" applyAlignment="1">
      <alignment horizontal="right"/>
    </xf>
    <xf numFmtId="9" fontId="16" fillId="0" borderId="0" xfId="22" quotePrefix="1" applyFont="1" applyFill="1" applyBorder="1" applyAlignment="1">
      <alignment horizontal="right"/>
    </xf>
    <xf numFmtId="9" fontId="16" fillId="8" borderId="0" xfId="22" applyFont="1" applyFill="1" applyAlignment="1">
      <alignment horizontal="right"/>
    </xf>
    <xf numFmtId="9" fontId="16" fillId="4" borderId="2" xfId="22" applyFont="1" applyFill="1" applyBorder="1" applyAlignment="1">
      <alignment horizontal="right"/>
    </xf>
    <xf numFmtId="9" fontId="16" fillId="0" borderId="2" xfId="22" applyFont="1" applyBorder="1" applyAlignment="1">
      <alignment horizontal="right"/>
    </xf>
    <xf numFmtId="9" fontId="21" fillId="10" borderId="0" xfId="22" applyFont="1" applyFill="1" applyBorder="1" applyAlignment="1">
      <alignment horizontal="right"/>
    </xf>
    <xf numFmtId="9" fontId="16" fillId="11" borderId="0" xfId="22" applyFont="1" applyFill="1" applyBorder="1" applyAlignment="1">
      <alignment horizontal="right"/>
    </xf>
    <xf numFmtId="9" fontId="22" fillId="10" borderId="0" xfId="22" applyFont="1" applyFill="1" applyBorder="1" applyAlignment="1">
      <alignment horizontal="right"/>
    </xf>
    <xf numFmtId="184" fontId="16" fillId="4" borderId="0" xfId="7" applyNumberFormat="1" applyFont="1" applyFill="1" applyAlignment="1">
      <alignment horizontal="right"/>
    </xf>
    <xf numFmtId="174" fontId="28" fillId="9" borderId="0" xfId="7" applyNumberFormat="1" applyFont="1" applyFill="1" applyAlignment="1">
      <alignment horizontal="right"/>
    </xf>
    <xf numFmtId="174" fontId="21" fillId="11" borderId="0" xfId="7" applyNumberFormat="1" applyFont="1" applyFill="1" applyAlignment="1">
      <alignment horizontal="right"/>
    </xf>
    <xf numFmtId="174" fontId="21" fillId="10" borderId="0" xfId="7" applyNumberFormat="1" applyFont="1" applyFill="1" applyAlignment="1">
      <alignment horizontal="right"/>
    </xf>
    <xf numFmtId="174" fontId="22" fillId="11" borderId="0" xfId="7" applyNumberFormat="1" applyFont="1" applyFill="1" applyBorder="1" applyAlignment="1">
      <alignment horizontal="right"/>
    </xf>
    <xf numFmtId="174" fontId="22" fillId="11" borderId="0" xfId="7" applyNumberFormat="1" applyFont="1" applyFill="1" applyAlignment="1">
      <alignment horizontal="right"/>
    </xf>
    <xf numFmtId="174" fontId="16" fillId="10" borderId="0" xfId="7" applyNumberFormat="1" applyFont="1" applyFill="1" applyAlignment="1">
      <alignment horizontal="right"/>
    </xf>
    <xf numFmtId="174" fontId="16" fillId="11" borderId="0" xfId="7" applyNumberFormat="1" applyFont="1" applyFill="1" applyAlignment="1">
      <alignment horizontal="right"/>
    </xf>
    <xf numFmtId="174" fontId="28" fillId="11" borderId="0" xfId="7" applyNumberFormat="1" applyFont="1" applyFill="1" applyAlignment="1">
      <alignment horizontal="right"/>
    </xf>
    <xf numFmtId="175" fontId="21" fillId="11" borderId="0" xfId="7" applyNumberFormat="1" applyFont="1" applyFill="1" applyAlignment="1">
      <alignment horizontal="right"/>
    </xf>
    <xf numFmtId="175" fontId="16" fillId="10" borderId="0" xfId="7" applyNumberFormat="1" applyFont="1" applyFill="1" applyAlignment="1">
      <alignment horizontal="right"/>
    </xf>
    <xf numFmtId="175" fontId="16" fillId="11" borderId="0" xfId="7" applyNumberFormat="1" applyFont="1" applyFill="1" applyAlignment="1">
      <alignment horizontal="right"/>
    </xf>
    <xf numFmtId="176" fontId="16" fillId="0" borderId="0" xfId="17" applyNumberFormat="1" applyFont="1" applyFill="1" applyBorder="1" applyAlignment="1">
      <alignment horizontal="right"/>
    </xf>
    <xf numFmtId="174" fontId="74" fillId="0" borderId="0" xfId="7" applyNumberFormat="1" applyFont="1" applyFill="1" applyAlignment="1">
      <alignment horizontal="right"/>
    </xf>
    <xf numFmtId="174" fontId="21" fillId="10" borderId="0" xfId="7" applyNumberFormat="1" applyFont="1" applyFill="1" applyBorder="1" applyAlignment="1">
      <alignment horizontal="right"/>
    </xf>
    <xf numFmtId="174" fontId="21" fillId="11" borderId="0" xfId="7" applyNumberFormat="1" applyFont="1" applyFill="1" applyBorder="1" applyAlignment="1">
      <alignment horizontal="right"/>
    </xf>
    <xf numFmtId="174" fontId="74" fillId="0" borderId="0" xfId="7" applyNumberFormat="1" applyFont="1" applyFill="1" applyBorder="1" applyAlignment="1">
      <alignment horizontal="right"/>
    </xf>
    <xf numFmtId="174" fontId="16" fillId="11" borderId="0" xfId="7" applyNumberFormat="1" applyFont="1" applyFill="1" applyBorder="1" applyAlignment="1">
      <alignment horizontal="right"/>
    </xf>
    <xf numFmtId="174" fontId="74" fillId="10" borderId="0" xfId="7" applyNumberFormat="1" applyFont="1" applyFill="1" applyBorder="1" applyAlignment="1">
      <alignment horizontal="right"/>
    </xf>
    <xf numFmtId="174" fontId="16" fillId="10" borderId="0" xfId="7" applyNumberFormat="1" applyFont="1" applyFill="1" applyBorder="1" applyAlignment="1">
      <alignment horizontal="right"/>
    </xf>
    <xf numFmtId="174" fontId="40" fillId="4" borderId="0" xfId="7" applyNumberFormat="1" applyFont="1" applyFill="1" applyAlignment="1">
      <alignment horizontal="right"/>
    </xf>
    <xf numFmtId="174" fontId="39" fillId="10" borderId="0" xfId="7" applyNumberFormat="1" applyFont="1" applyFill="1" applyAlignment="1">
      <alignment horizontal="right"/>
    </xf>
    <xf numFmtId="174" fontId="39" fillId="11" borderId="0" xfId="7" applyNumberFormat="1" applyFont="1" applyFill="1" applyAlignment="1">
      <alignment horizontal="right"/>
    </xf>
    <xf numFmtId="174" fontId="75" fillId="0" borderId="0" xfId="7" applyNumberFormat="1" applyFont="1" applyFill="1" applyAlignment="1">
      <alignment horizontal="right"/>
    </xf>
    <xf numFmtId="174" fontId="75" fillId="10" borderId="0" xfId="7" applyNumberFormat="1" applyFont="1" applyFill="1" applyAlignment="1">
      <alignment horizontal="right"/>
    </xf>
    <xf numFmtId="174" fontId="39" fillId="12" borderId="0" xfId="7" applyNumberFormat="1" applyFont="1" applyFill="1" applyAlignment="1">
      <alignment horizontal="right"/>
    </xf>
    <xf numFmtId="9" fontId="41" fillId="11" borderId="0" xfId="22" applyFont="1" applyFill="1" applyAlignment="1">
      <alignment horizontal="right"/>
    </xf>
    <xf numFmtId="9" fontId="39" fillId="10" borderId="0" xfId="22" applyFont="1" applyFill="1" applyAlignment="1">
      <alignment horizontal="right"/>
    </xf>
    <xf numFmtId="9" fontId="39" fillId="11" borderId="0" xfId="22" applyFont="1" applyFill="1" applyAlignment="1">
      <alignment horizontal="right"/>
    </xf>
    <xf numFmtId="9" fontId="41" fillId="10" borderId="0" xfId="22" applyFont="1" applyFill="1" applyAlignment="1">
      <alignment horizontal="right"/>
    </xf>
    <xf numFmtId="174" fontId="50" fillId="4" borderId="0" xfId="7" applyNumberFormat="1" applyFont="1" applyFill="1" applyAlignment="1">
      <alignment horizontal="right"/>
    </xf>
    <xf numFmtId="174" fontId="75" fillId="0" borderId="0" xfId="7" applyNumberFormat="1" applyFont="1" applyAlignment="1">
      <alignment horizontal="right"/>
    </xf>
    <xf numFmtId="9" fontId="39" fillId="3" borderId="0" xfId="22" applyFont="1" applyFill="1" applyAlignment="1">
      <alignment horizontal="right"/>
    </xf>
    <xf numFmtId="9" fontId="41" fillId="3" borderId="0" xfId="22" applyFont="1" applyFill="1" applyAlignment="1">
      <alignment horizontal="right"/>
    </xf>
    <xf numFmtId="174" fontId="39" fillId="3" borderId="0" xfId="7" applyNumberFormat="1" applyFont="1" applyFill="1" applyAlignment="1">
      <alignment horizontal="right"/>
    </xf>
    <xf numFmtId="9" fontId="41" fillId="13" borderId="0" xfId="22" applyFont="1" applyFill="1" applyAlignment="1">
      <alignment horizontal="right"/>
    </xf>
    <xf numFmtId="174" fontId="39" fillId="13" borderId="0" xfId="7" applyNumberFormat="1" applyFont="1" applyFill="1" applyAlignment="1">
      <alignment horizontal="right"/>
    </xf>
    <xf numFmtId="174" fontId="16" fillId="12" borderId="0" xfId="7" applyNumberFormat="1" applyFont="1" applyFill="1" applyAlignment="1">
      <alignment horizontal="right"/>
    </xf>
    <xf numFmtId="176" fontId="16" fillId="4" borderId="0" xfId="7" applyNumberFormat="1" applyFont="1" applyFill="1" applyAlignment="1">
      <alignment horizontal="right"/>
    </xf>
    <xf numFmtId="174" fontId="16" fillId="9" borderId="0" xfId="7" applyNumberFormat="1" applyFont="1" applyFill="1" applyBorder="1" applyAlignment="1">
      <alignment horizontal="right"/>
    </xf>
    <xf numFmtId="174" fontId="22" fillId="0" borderId="0" xfId="7" applyNumberFormat="1" applyFont="1" applyFill="1" applyBorder="1" applyAlignment="1">
      <alignment horizontal="right"/>
    </xf>
    <xf numFmtId="174" fontId="28" fillId="4" borderId="0" xfId="17" applyNumberFormat="1" applyFont="1" applyFill="1" applyBorder="1" applyAlignment="1">
      <alignment horizontal="right"/>
    </xf>
    <xf numFmtId="174" fontId="16" fillId="11" borderId="0" xfId="17" applyNumberFormat="1" applyFont="1" applyFill="1" applyBorder="1" applyAlignment="1">
      <alignment horizontal="right"/>
    </xf>
    <xf numFmtId="174" fontId="22" fillId="0" borderId="0" xfId="17" applyNumberFormat="1" applyFont="1" applyFill="1" applyBorder="1" applyAlignment="1">
      <alignment horizontal="right"/>
    </xf>
    <xf numFmtId="9" fontId="21" fillId="0" borderId="9" xfId="22" applyFont="1" applyBorder="1" applyAlignment="1">
      <alignment horizontal="right"/>
    </xf>
    <xf numFmtId="9" fontId="22" fillId="0" borderId="0" xfId="22" applyFont="1" applyFill="1" applyAlignment="1">
      <alignment horizontal="right"/>
    </xf>
    <xf numFmtId="9" fontId="21" fillId="11" borderId="0" xfId="22" applyFont="1" applyFill="1" applyAlignment="1">
      <alignment horizontal="right"/>
    </xf>
    <xf numFmtId="0" fontId="16" fillId="11" borderId="0" xfId="17" applyFont="1" applyFill="1" applyBorder="1" applyAlignment="1">
      <alignment horizontal="right"/>
    </xf>
    <xf numFmtId="9" fontId="22" fillId="11" borderId="0" xfId="22" applyFont="1" applyFill="1" applyAlignment="1">
      <alignment horizontal="right"/>
    </xf>
    <xf numFmtId="9" fontId="22" fillId="10" borderId="0" xfId="22" applyFont="1" applyFill="1" applyAlignment="1">
      <alignment horizontal="right"/>
    </xf>
    <xf numFmtId="9" fontId="16" fillId="10" borderId="0" xfId="22" applyFont="1" applyFill="1" applyBorder="1" applyAlignment="1">
      <alignment horizontal="right"/>
    </xf>
    <xf numFmtId="9" fontId="22" fillId="11" borderId="0" xfId="22" applyFont="1" applyFill="1" applyBorder="1" applyAlignment="1">
      <alignment horizontal="right"/>
    </xf>
    <xf numFmtId="9" fontId="22" fillId="4" borderId="0" xfId="22" quotePrefix="1" applyFont="1" applyFill="1" applyBorder="1" applyAlignment="1">
      <alignment horizontal="right"/>
    </xf>
    <xf numFmtId="9" fontId="52" fillId="4" borderId="0" xfId="22" applyFont="1" applyFill="1" applyAlignment="1">
      <alignment horizontal="right"/>
    </xf>
    <xf numFmtId="9" fontId="52" fillId="11" borderId="0" xfId="22" applyFont="1" applyFill="1" applyAlignment="1">
      <alignment horizontal="right"/>
    </xf>
    <xf numFmtId="9" fontId="41" fillId="4" borderId="0" xfId="22" applyFont="1" applyFill="1" applyAlignment="1">
      <alignment horizontal="right"/>
    </xf>
    <xf numFmtId="9" fontId="16" fillId="8" borderId="0" xfId="22" applyFont="1" applyFill="1" applyBorder="1" applyAlignment="1">
      <alignment horizontal="right"/>
    </xf>
    <xf numFmtId="9" fontId="16" fillId="14" borderId="0" xfId="22" applyFont="1" applyFill="1" applyAlignment="1">
      <alignment horizontal="right"/>
    </xf>
    <xf numFmtId="9" fontId="16" fillId="14" borderId="0" xfId="22" applyFont="1" applyFill="1" applyBorder="1" applyAlignment="1">
      <alignment horizontal="right"/>
    </xf>
    <xf numFmtId="174" fontId="28" fillId="4" borderId="0" xfId="17" applyNumberFormat="1" applyFont="1" applyFill="1" applyAlignment="1">
      <alignment horizontal="right"/>
    </xf>
    <xf numFmtId="0" fontId="60" fillId="0" borderId="0" xfId="17" applyFont="1" applyFill="1" applyBorder="1"/>
    <xf numFmtId="0" fontId="57" fillId="8" borderId="8" xfId="5" applyFont="1" applyFill="1" applyBorder="1"/>
    <xf numFmtId="0" fontId="16" fillId="8" borderId="8" xfId="5" applyFont="1" applyFill="1" applyBorder="1"/>
    <xf numFmtId="9" fontId="22" fillId="4" borderId="0" xfId="17" applyNumberFormat="1" applyFont="1" applyFill="1" applyAlignment="1">
      <alignment horizontal="right"/>
    </xf>
    <xf numFmtId="9" fontId="55" fillId="0" borderId="0" xfId="22" applyFont="1" applyFill="1" applyAlignment="1">
      <alignment horizontal="right"/>
    </xf>
    <xf numFmtId="9" fontId="55" fillId="10" borderId="0" xfId="22" applyFont="1" applyFill="1" applyBorder="1" applyAlignment="1">
      <alignment horizontal="right"/>
    </xf>
    <xf numFmtId="9" fontId="55" fillId="0" borderId="0" xfId="22" applyFont="1" applyFill="1" applyBorder="1" applyAlignment="1">
      <alignment horizontal="right"/>
    </xf>
    <xf numFmtId="177" fontId="16" fillId="8" borderId="0" xfId="5" applyNumberFormat="1" applyFont="1" applyFill="1" applyAlignment="1">
      <alignment horizontal="left"/>
    </xf>
    <xf numFmtId="0" fontId="16" fillId="8" borderId="0" xfId="5" applyFont="1" applyFill="1"/>
    <xf numFmtId="0" fontId="57" fillId="8" borderId="8" xfId="5" quotePrefix="1" applyFont="1" applyFill="1" applyBorder="1"/>
    <xf numFmtId="0" fontId="16" fillId="8" borderId="0" xfId="5" quotePrefix="1" applyFont="1" applyFill="1"/>
    <xf numFmtId="174" fontId="28" fillId="4" borderId="0" xfId="17" applyNumberFormat="1" applyFont="1" applyFill="1"/>
    <xf numFmtId="174" fontId="21" fillId="4" borderId="0" xfId="17" applyNumberFormat="1" applyFont="1" applyFill="1" applyBorder="1" applyAlignment="1">
      <alignment horizontal="right"/>
    </xf>
    <xf numFmtId="174" fontId="21" fillId="4" borderId="0" xfId="17" applyNumberFormat="1" applyFont="1" applyFill="1" applyAlignment="1">
      <alignment horizontal="right"/>
    </xf>
    <xf numFmtId="9" fontId="16" fillId="0" borderId="0" xfId="22" applyNumberFormat="1" applyFont="1" applyAlignment="1">
      <alignment horizontal="right"/>
    </xf>
    <xf numFmtId="174" fontId="39" fillId="5" borderId="0" xfId="7" applyNumberFormat="1" applyFont="1" applyFill="1" applyAlignment="1">
      <alignment horizontal="left" indent="2"/>
    </xf>
    <xf numFmtId="174" fontId="40" fillId="11" borderId="0" xfId="7" applyNumberFormat="1" applyFont="1" applyFill="1" applyAlignment="1">
      <alignment horizontal="right"/>
    </xf>
    <xf numFmtId="0" fontId="16" fillId="0" borderId="0" xfId="17" applyFont="1" applyFill="1" applyBorder="1" applyAlignment="1">
      <alignment vertical="top" wrapText="1"/>
    </xf>
    <xf numFmtId="174" fontId="39" fillId="0" borderId="0" xfId="7" applyNumberFormat="1" applyFont="1" applyAlignment="1">
      <alignment horizontal="left" indent="1"/>
    </xf>
    <xf numFmtId="174" fontId="41" fillId="4" borderId="0" xfId="7" applyNumberFormat="1" applyFont="1" applyFill="1" applyAlignment="1">
      <alignment horizontal="right"/>
    </xf>
    <xf numFmtId="174" fontId="25" fillId="0" borderId="0" xfId="7" applyNumberFormat="1" applyFont="1" applyFill="1" applyBorder="1" applyAlignment="1">
      <alignment horizontal="right"/>
    </xf>
    <xf numFmtId="174" fontId="39" fillId="0" borderId="0" xfId="7" applyNumberFormat="1" applyFont="1" applyFill="1" applyAlignment="1">
      <alignment horizontal="left" indent="1"/>
    </xf>
    <xf numFmtId="165" fontId="39" fillId="3" borderId="0" xfId="22" applyNumberFormat="1" applyFont="1" applyFill="1" applyBorder="1" applyAlignment="1"/>
    <xf numFmtId="174" fontId="25" fillId="0" borderId="0" xfId="7" applyNumberFormat="1" applyFont="1" applyFill="1" applyBorder="1"/>
    <xf numFmtId="174" fontId="25" fillId="4" borderId="0" xfId="7" applyNumberFormat="1" applyFont="1" applyFill="1" applyBorder="1"/>
    <xf numFmtId="174" fontId="25" fillId="4" borderId="0" xfId="7" applyNumberFormat="1" applyFont="1" applyFill="1" applyBorder="1" applyAlignment="1">
      <alignment horizontal="right"/>
    </xf>
    <xf numFmtId="0" fontId="25" fillId="0" borderId="0" xfId="17" applyFont="1" applyFill="1" applyBorder="1"/>
    <xf numFmtId="174" fontId="39" fillId="0" borderId="0" xfId="7" applyNumberFormat="1" applyFont="1" applyFill="1" applyBorder="1" applyAlignment="1">
      <alignment horizontal="left" indent="1"/>
    </xf>
    <xf numFmtId="174" fontId="39" fillId="4" borderId="0" xfId="7" applyNumberFormat="1" applyFont="1" applyFill="1" applyBorder="1" applyAlignment="1">
      <alignment horizontal="left" indent="1"/>
    </xf>
    <xf numFmtId="174" fontId="40" fillId="4" borderId="0" xfId="7" applyNumberFormat="1" applyFont="1" applyFill="1" applyBorder="1" applyAlignment="1">
      <alignment horizontal="left" indent="1"/>
    </xf>
    <xf numFmtId="174" fontId="40" fillId="4" borderId="0" xfId="7" applyNumberFormat="1" applyFont="1" applyFill="1" applyBorder="1"/>
    <xf numFmtId="0" fontId="39" fillId="0" borderId="0" xfId="17" applyFont="1" applyFill="1" applyBorder="1" applyAlignment="1">
      <alignment horizontal="left" indent="1"/>
    </xf>
    <xf numFmtId="165" fontId="39" fillId="3" borderId="0" xfId="17" applyNumberFormat="1" applyFont="1" applyFill="1" applyBorder="1" applyAlignment="1"/>
    <xf numFmtId="174" fontId="39" fillId="5" borderId="0" xfId="7" applyNumberFormat="1" applyFont="1" applyFill="1" applyAlignment="1">
      <alignment horizontal="left" indent="1"/>
    </xf>
    <xf numFmtId="174" fontId="39" fillId="0" borderId="0" xfId="7" applyNumberFormat="1" applyFont="1" applyFill="1" applyBorder="1"/>
    <xf numFmtId="174" fontId="40" fillId="4" borderId="0" xfId="7" applyNumberFormat="1" applyFont="1" applyFill="1" applyBorder="1" applyAlignment="1">
      <alignment horizontal="right"/>
    </xf>
    <xf numFmtId="174" fontId="39" fillId="4" borderId="0" xfId="7" applyNumberFormat="1" applyFont="1" applyFill="1" applyBorder="1" applyAlignment="1">
      <alignment horizontal="right"/>
    </xf>
    <xf numFmtId="174" fontId="39" fillId="5" borderId="0" xfId="7" applyNumberFormat="1" applyFont="1" applyFill="1" applyBorder="1" applyAlignment="1">
      <alignment horizontal="left" indent="4"/>
    </xf>
    <xf numFmtId="174" fontId="39" fillId="5" borderId="0" xfId="7" applyNumberFormat="1" applyFont="1" applyFill="1" applyBorder="1" applyAlignment="1">
      <alignment horizontal="left" indent="2"/>
    </xf>
    <xf numFmtId="174" fontId="39" fillId="0" borderId="0" xfId="7" applyNumberFormat="1" applyFont="1" applyFill="1" applyBorder="1" applyAlignment="1">
      <alignment horizontal="left" indent="2"/>
    </xf>
    <xf numFmtId="9" fontId="40" fillId="4" borderId="0" xfId="22" applyFont="1" applyFill="1" applyBorder="1"/>
    <xf numFmtId="9" fontId="39" fillId="0" borderId="0" xfId="22" applyFont="1" applyFill="1" applyBorder="1"/>
    <xf numFmtId="9" fontId="41" fillId="4" borderId="0" xfId="22" applyFont="1" applyFill="1" applyBorder="1"/>
    <xf numFmtId="9" fontId="41" fillId="0" borderId="0" xfId="22" applyFont="1" applyFill="1" applyBorder="1"/>
    <xf numFmtId="9" fontId="41" fillId="0" borderId="0" xfId="22" applyFont="1" applyFill="1" applyBorder="1" applyAlignment="1">
      <alignment horizontal="right"/>
    </xf>
    <xf numFmtId="9" fontId="41" fillId="4" borderId="0" xfId="22" applyFont="1" applyFill="1" applyBorder="1" applyAlignment="1">
      <alignment horizontal="right"/>
    </xf>
    <xf numFmtId="174" fontId="39" fillId="0" borderId="0" xfId="22" applyNumberFormat="1" applyFont="1" applyFill="1" applyBorder="1" applyAlignment="1">
      <alignment horizontal="right"/>
    </xf>
    <xf numFmtId="174" fontId="39" fillId="5" borderId="0" xfId="7" applyNumberFormat="1" applyFont="1" applyFill="1" applyBorder="1" applyAlignment="1">
      <alignment horizontal="left" indent="1"/>
    </xf>
    <xf numFmtId="0" fontId="39" fillId="3" borderId="0" xfId="17" applyFont="1" applyFill="1" applyBorder="1" applyAlignment="1"/>
    <xf numFmtId="174" fontId="50" fillId="0" borderId="0" xfId="7" applyNumberFormat="1" applyFont="1" applyFill="1" applyBorder="1"/>
    <xf numFmtId="174" fontId="39" fillId="3" borderId="0" xfId="7" applyNumberFormat="1" applyFont="1" applyFill="1" applyAlignment="1" applyProtection="1"/>
    <xf numFmtId="0" fontId="39" fillId="0" borderId="0" xfId="17" applyFont="1" applyFill="1"/>
    <xf numFmtId="174" fontId="25" fillId="5" borderId="0" xfId="7" applyNumberFormat="1" applyFont="1" applyFill="1" applyAlignment="1">
      <alignment horizontal="left" indent="1"/>
    </xf>
    <xf numFmtId="174" fontId="25" fillId="5" borderId="0" xfId="7" applyNumberFormat="1" applyFont="1" applyFill="1" applyBorder="1" applyAlignment="1">
      <alignment horizontal="left" indent="1"/>
    </xf>
    <xf numFmtId="174" fontId="25" fillId="5" borderId="0" xfId="7" applyNumberFormat="1" applyFont="1" applyFill="1" applyBorder="1"/>
    <xf numFmtId="9" fontId="25" fillId="4" borderId="0" xfId="22" applyFont="1" applyFill="1" applyAlignment="1">
      <alignment horizontal="right"/>
    </xf>
    <xf numFmtId="9" fontId="25" fillId="0" borderId="0" xfId="22" applyFont="1" applyFill="1" applyAlignment="1">
      <alignment horizontal="right"/>
    </xf>
    <xf numFmtId="0" fontId="16" fillId="11" borderId="0" xfId="17" applyFont="1" applyFill="1" applyAlignment="1">
      <alignment horizontal="right"/>
    </xf>
    <xf numFmtId="37" fontId="16" fillId="0" borderId="0" xfId="11" applyNumberFormat="1" applyFont="1" applyAlignment="1">
      <alignment horizontal="left" indent="1"/>
    </xf>
    <xf numFmtId="9" fontId="16" fillId="0" borderId="0" xfId="22" quotePrefix="1" applyFont="1" applyFill="1" applyBorder="1" applyAlignment="1">
      <alignment horizontal="left" vertical="top" wrapText="1"/>
    </xf>
    <xf numFmtId="6" fontId="16" fillId="0" borderId="0" xfId="17" applyNumberFormat="1" applyFont="1" applyBorder="1" applyAlignment="1">
      <alignment horizontal="center"/>
    </xf>
    <xf numFmtId="174" fontId="21" fillId="5" borderId="8" xfId="7" applyNumberFormat="1" applyFont="1" applyFill="1" applyBorder="1"/>
    <xf numFmtId="174" fontId="21" fillId="5" borderId="17" xfId="7" applyNumberFormat="1" applyFont="1" applyFill="1" applyBorder="1"/>
    <xf numFmtId="174" fontId="16" fillId="5" borderId="2" xfId="7" applyNumberFormat="1" applyFont="1" applyFill="1" applyBorder="1" applyAlignment="1">
      <alignment horizontal="left" indent="1"/>
    </xf>
    <xf numFmtId="0" fontId="21" fillId="5" borderId="17" xfId="7" applyNumberFormat="1" applyFont="1" applyFill="1" applyBorder="1"/>
    <xf numFmtId="174" fontId="28" fillId="0" borderId="0" xfId="7" applyNumberFormat="1" applyFont="1" applyAlignment="1">
      <alignment horizontal="left" indent="1"/>
    </xf>
    <xf numFmtId="174" fontId="24" fillId="0" borderId="9" xfId="7" applyNumberFormat="1" applyFont="1" applyBorder="1"/>
    <xf numFmtId="174" fontId="24" fillId="4" borderId="9" xfId="7" applyNumberFormat="1" applyFont="1" applyFill="1" applyBorder="1"/>
    <xf numFmtId="174" fontId="24" fillId="0" borderId="9" xfId="7" applyNumberFormat="1" applyFont="1" applyFill="1" applyBorder="1"/>
    <xf numFmtId="174" fontId="24" fillId="0" borderId="9" xfId="7" applyNumberFormat="1" applyFont="1" applyFill="1" applyBorder="1" applyAlignment="1">
      <alignment horizontal="right"/>
    </xf>
    <xf numFmtId="174" fontId="24" fillId="4" borderId="9" xfId="7" applyNumberFormat="1" applyFont="1" applyFill="1" applyBorder="1" applyAlignment="1">
      <alignment horizontal="right"/>
    </xf>
    <xf numFmtId="37" fontId="28" fillId="4" borderId="0" xfId="17" applyNumberFormat="1" applyFont="1" applyFill="1"/>
    <xf numFmtId="0" fontId="2" fillId="4" borderId="0" xfId="17" applyFont="1" applyFill="1"/>
    <xf numFmtId="0" fontId="21" fillId="0" borderId="0" xfId="17" applyFont="1" applyBorder="1" applyAlignment="1">
      <alignment vertical="top" wrapText="1"/>
    </xf>
    <xf numFmtId="0" fontId="21" fillId="0" borderId="0" xfId="17" applyFont="1" applyBorder="1" applyAlignment="1">
      <alignment vertical="top"/>
    </xf>
    <xf numFmtId="0" fontId="21" fillId="0" borderId="0" xfId="17" applyFont="1" applyBorder="1" applyAlignment="1">
      <alignment horizontal="center" wrapText="1"/>
    </xf>
    <xf numFmtId="14" fontId="16" fillId="0" borderId="0" xfId="17" applyNumberFormat="1" applyFont="1" applyBorder="1" applyAlignment="1">
      <alignment horizontal="center" vertical="top"/>
    </xf>
    <xf numFmtId="0" fontId="44" fillId="0" borderId="0" xfId="17" applyFont="1" applyBorder="1" applyAlignment="1" applyProtection="1">
      <alignment horizontal="left"/>
    </xf>
    <xf numFmtId="0" fontId="21" fillId="0" borderId="29" xfId="17" applyFont="1" applyFill="1" applyBorder="1" applyAlignment="1">
      <alignment horizontal="center"/>
    </xf>
    <xf numFmtId="9" fontId="16" fillId="0" borderId="0" xfId="22" applyFont="1" applyFill="1" applyBorder="1" applyAlignment="1">
      <alignment horizontal="left" vertical="top" wrapText="1"/>
    </xf>
    <xf numFmtId="0" fontId="16" fillId="0" borderId="28" xfId="17" applyFont="1" applyFill="1" applyBorder="1" applyAlignment="1">
      <alignment vertical="top"/>
    </xf>
    <xf numFmtId="9" fontId="16" fillId="0" borderId="28" xfId="22" applyFont="1" applyFill="1" applyBorder="1" applyAlignment="1">
      <alignment horizontal="left" vertical="top" wrapText="1"/>
    </xf>
    <xf numFmtId="0" fontId="52" fillId="0" borderId="0" xfId="7" applyNumberFormat="1" applyFont="1" applyAlignment="1">
      <alignment horizontal="center"/>
    </xf>
    <xf numFmtId="0" fontId="21" fillId="0" borderId="0" xfId="17" applyNumberFormat="1" applyFont="1" applyFill="1" applyBorder="1" applyAlignment="1">
      <alignment horizontal="center"/>
    </xf>
    <xf numFmtId="0" fontId="52" fillId="0" borderId="0" xfId="7" applyNumberFormat="1" applyFont="1" applyFill="1" applyAlignment="1">
      <alignment horizontal="center"/>
    </xf>
    <xf numFmtId="0" fontId="21" fillId="0" borderId="0" xfId="7" applyNumberFormat="1" applyFont="1" applyAlignment="1">
      <alignment horizontal="center"/>
    </xf>
    <xf numFmtId="0" fontId="16" fillId="0" borderId="0" xfId="7" applyNumberFormat="1" applyFont="1" applyAlignment="1">
      <alignment horizontal="center"/>
    </xf>
    <xf numFmtId="174" fontId="39" fillId="4" borderId="0" xfId="17" applyNumberFormat="1" applyFont="1" applyFill="1" applyAlignment="1">
      <alignment horizontal="right"/>
    </xf>
    <xf numFmtId="37" fontId="40" fillId="0" borderId="0" xfId="17" applyNumberFormat="1" applyFont="1" applyFill="1" applyAlignment="1">
      <alignment horizontal="right"/>
    </xf>
    <xf numFmtId="9" fontId="16" fillId="0" borderId="0" xfId="18" applyNumberFormat="1" applyFont="1" applyFill="1" applyBorder="1" applyAlignment="1">
      <alignment horizontal="left" indent="1"/>
    </xf>
    <xf numFmtId="0" fontId="16" fillId="0" borderId="0" xfId="18" applyFont="1" applyAlignment="1" applyProtection="1">
      <alignment horizontal="left"/>
    </xf>
    <xf numFmtId="0" fontId="39" fillId="0" borderId="0" xfId="18" applyFont="1" applyAlignment="1" applyProtection="1">
      <alignment horizontal="left" indent="1"/>
    </xf>
    <xf numFmtId="0" fontId="16" fillId="0" borderId="0" xfId="18" quotePrefix="1" applyFont="1" applyAlignment="1" applyProtection="1">
      <alignment horizontal="left"/>
    </xf>
    <xf numFmtId="0" fontId="21" fillId="0" borderId="6" xfId="17" applyFont="1" applyBorder="1" applyAlignment="1" applyProtection="1">
      <alignment horizontal="left"/>
    </xf>
    <xf numFmtId="0" fontId="16" fillId="0" borderId="6" xfId="17" applyFont="1" applyBorder="1"/>
    <xf numFmtId="0" fontId="16" fillId="4" borderId="6" xfId="17" applyFont="1" applyFill="1" applyBorder="1"/>
    <xf numFmtId="174" fontId="16" fillId="0" borderId="6" xfId="7" applyNumberFormat="1" applyFont="1" applyBorder="1" applyAlignment="1"/>
    <xf numFmtId="174" fontId="16" fillId="4" borderId="6" xfId="7" applyNumberFormat="1" applyFont="1" applyFill="1" applyBorder="1" applyAlignment="1"/>
    <xf numFmtId="175" fontId="39" fillId="4" borderId="0" xfId="17" applyNumberFormat="1" applyFont="1" applyFill="1"/>
    <xf numFmtId="175" fontId="39" fillId="0" borderId="0" xfId="17" applyNumberFormat="1" applyFont="1"/>
    <xf numFmtId="174" fontId="39" fillId="0" borderId="0" xfId="7" applyNumberFormat="1" applyFont="1" applyBorder="1" applyAlignment="1"/>
    <xf numFmtId="174" fontId="39" fillId="0" borderId="0" xfId="7" quotePrefix="1" applyNumberFormat="1" applyFont="1" applyFill="1" applyBorder="1" applyAlignment="1">
      <alignment horizontal="right"/>
    </xf>
    <xf numFmtId="0" fontId="39" fillId="0" borderId="0" xfId="18" applyFont="1"/>
    <xf numFmtId="174" fontId="22" fillId="0" borderId="0" xfId="7" quotePrefix="1" applyNumberFormat="1" applyFont="1" applyAlignment="1">
      <alignment horizontal="right"/>
    </xf>
    <xf numFmtId="7" fontId="16" fillId="0" borderId="0" xfId="7" applyNumberFormat="1" applyFont="1" applyFill="1"/>
    <xf numFmtId="174" fontId="22" fillId="3" borderId="0" xfId="22" applyNumberFormat="1" applyFont="1" applyFill="1"/>
    <xf numFmtId="174" fontId="83" fillId="0" borderId="0" xfId="7" applyNumberFormat="1" applyFont="1" applyFill="1" applyBorder="1" applyProtection="1"/>
    <xf numFmtId="0" fontId="84" fillId="0" borderId="0" xfId="17" applyFont="1" applyBorder="1"/>
    <xf numFmtId="174" fontId="85" fillId="0" borderId="0" xfId="7" applyNumberFormat="1" applyFont="1" applyFill="1" applyBorder="1" applyProtection="1"/>
    <xf numFmtId="1" fontId="16" fillId="0" borderId="0" xfId="17" applyNumberFormat="1" applyFont="1"/>
    <xf numFmtId="16" fontId="52" fillId="0" borderId="0" xfId="7" quotePrefix="1" applyNumberFormat="1" applyFont="1" applyAlignment="1">
      <alignment horizontal="center"/>
    </xf>
    <xf numFmtId="0" fontId="52" fillId="0" borderId="0" xfId="7" quotePrefix="1" applyNumberFormat="1" applyFont="1" applyAlignment="1">
      <alignment horizontal="center"/>
    </xf>
    <xf numFmtId="174" fontId="41" fillId="15" borderId="0" xfId="7" applyNumberFormat="1" applyFont="1" applyFill="1" applyAlignment="1">
      <alignment horizontal="right"/>
    </xf>
    <xf numFmtId="37" fontId="39" fillId="15" borderId="0" xfId="17" applyNumberFormat="1" applyFont="1" applyFill="1" applyAlignment="1">
      <alignment horizontal="right"/>
    </xf>
    <xf numFmtId="174" fontId="16" fillId="15" borderId="0" xfId="7" applyNumberFormat="1" applyFont="1" applyFill="1" applyBorder="1" applyProtection="1"/>
    <xf numFmtId="174" fontId="80" fillId="4" borderId="0" xfId="7" applyNumberFormat="1" applyFont="1" applyFill="1"/>
    <xf numFmtId="37" fontId="39" fillId="0" borderId="0" xfId="17" applyNumberFormat="1" applyFont="1" applyFill="1" applyAlignment="1">
      <alignment horizontal="right"/>
    </xf>
    <xf numFmtId="187" fontId="16" fillId="0" borderId="0" xfId="7" applyNumberFormat="1" applyFont="1" applyFill="1" applyAlignment="1">
      <alignment horizontal="right"/>
    </xf>
    <xf numFmtId="187" fontId="16" fillId="4" borderId="0" xfId="7" applyNumberFormat="1" applyFont="1" applyFill="1" applyAlignment="1">
      <alignment horizontal="right"/>
    </xf>
    <xf numFmtId="14" fontId="21" fillId="0" borderId="26" xfId="17" applyNumberFormat="1" applyFont="1" applyFill="1" applyBorder="1" applyAlignment="1">
      <alignment horizontal="right"/>
    </xf>
    <xf numFmtId="0" fontId="38" fillId="0" borderId="20" xfId="17" quotePrefix="1" applyFont="1" applyFill="1" applyBorder="1" applyAlignment="1">
      <alignment horizontal="right"/>
    </xf>
    <xf numFmtId="174" fontId="21" fillId="0" borderId="20" xfId="7" applyNumberFormat="1" applyFont="1" applyFill="1" applyBorder="1"/>
    <xf numFmtId="174" fontId="16" fillId="0" borderId="20" xfId="7" applyNumberFormat="1" applyFont="1" applyFill="1" applyBorder="1" applyProtection="1"/>
    <xf numFmtId="174" fontId="21" fillId="0" borderId="20" xfId="7" applyNumberFormat="1" applyFont="1" applyFill="1" applyBorder="1" applyProtection="1"/>
    <xf numFmtId="174" fontId="85" fillId="0" borderId="20" xfId="7" applyNumberFormat="1" applyFont="1" applyFill="1" applyBorder="1" applyProtection="1"/>
    <xf numFmtId="174" fontId="42" fillId="0" borderId="20" xfId="7" applyNumberFormat="1" applyFont="1" applyFill="1" applyBorder="1" applyProtection="1"/>
    <xf numFmtId="174" fontId="41" fillId="0" borderId="20" xfId="7" applyNumberFormat="1" applyFont="1" applyFill="1" applyBorder="1" applyProtection="1"/>
    <xf numFmtId="174" fontId="39" fillId="0" borderId="20" xfId="7" applyNumberFormat="1" applyFont="1" applyFill="1" applyBorder="1" applyProtection="1"/>
    <xf numFmtId="174" fontId="16" fillId="0" borderId="20" xfId="7" applyNumberFormat="1" applyFont="1" applyBorder="1" applyAlignment="1" applyProtection="1">
      <alignment horizontal="right"/>
    </xf>
    <xf numFmtId="174" fontId="22" fillId="0" borderId="20" xfId="7" applyNumberFormat="1" applyFont="1" applyFill="1" applyBorder="1" applyProtection="1"/>
    <xf numFmtId="174" fontId="22" fillId="0" borderId="20" xfId="7" applyNumberFormat="1" applyFont="1" applyBorder="1" applyProtection="1"/>
    <xf numFmtId="165" fontId="16" fillId="0" borderId="20" xfId="17" applyNumberFormat="1" applyFont="1" applyBorder="1" applyProtection="1"/>
    <xf numFmtId="43" fontId="16" fillId="0" borderId="20" xfId="7" applyNumberFormat="1" applyFont="1" applyFill="1" applyBorder="1"/>
    <xf numFmtId="7" fontId="21" fillId="0" borderId="27" xfId="17" applyNumberFormat="1" applyFont="1" applyFill="1" applyBorder="1" applyAlignment="1">
      <alignment horizontal="right"/>
    </xf>
    <xf numFmtId="165" fontId="21" fillId="0" borderId="20" xfId="22" applyNumberFormat="1" applyFont="1" applyFill="1" applyBorder="1"/>
    <xf numFmtId="165" fontId="16" fillId="0" borderId="20" xfId="17" applyNumberFormat="1" applyFont="1" applyFill="1" applyBorder="1"/>
    <xf numFmtId="165" fontId="21" fillId="0" borderId="20" xfId="17" applyNumberFormat="1" applyFont="1" applyFill="1" applyBorder="1"/>
    <xf numFmtId="165" fontId="25" fillId="0" borderId="20" xfId="17" applyNumberFormat="1" applyFont="1" applyFill="1" applyBorder="1"/>
    <xf numFmtId="5" fontId="21" fillId="0" borderId="20" xfId="17" applyNumberFormat="1" applyFont="1" applyFill="1" applyBorder="1"/>
    <xf numFmtId="9" fontId="16" fillId="0" borderId="20" xfId="17" applyNumberFormat="1" applyFont="1" applyFill="1" applyBorder="1"/>
    <xf numFmtId="9" fontId="21" fillId="0" borderId="20" xfId="17" applyNumberFormat="1" applyFont="1" applyFill="1" applyBorder="1"/>
    <xf numFmtId="9" fontId="25" fillId="0" borderId="20" xfId="17" applyNumberFormat="1" applyFont="1" applyFill="1" applyBorder="1"/>
    <xf numFmtId="9" fontId="16" fillId="0" borderId="20" xfId="17" applyNumberFormat="1" applyFont="1" applyBorder="1"/>
    <xf numFmtId="0" fontId="2" fillId="0" borderId="0" xfId="26"/>
    <xf numFmtId="174" fontId="86" fillId="4" borderId="0" xfId="7" applyNumberFormat="1" applyFont="1" applyFill="1" applyAlignment="1">
      <alignment horizontal="right"/>
    </xf>
    <xf numFmtId="174" fontId="86" fillId="4" borderId="0" xfId="17" applyNumberFormat="1" applyFont="1" applyFill="1" applyBorder="1" applyAlignment="1">
      <alignment horizontal="right"/>
    </xf>
    <xf numFmtId="174" fontId="86" fillId="4" borderId="0" xfId="7" applyNumberFormat="1" applyFont="1" applyFill="1" applyBorder="1" applyAlignment="1">
      <alignment horizontal="right"/>
    </xf>
    <xf numFmtId="174" fontId="86" fillId="4" borderId="0" xfId="7" applyNumberFormat="1" applyFont="1" applyFill="1" applyBorder="1" applyProtection="1"/>
    <xf numFmtId="0" fontId="16" fillId="0" borderId="0" xfId="12" applyFont="1" applyFill="1" applyBorder="1"/>
    <xf numFmtId="37" fontId="86" fillId="4" borderId="0" xfId="17" applyNumberFormat="1" applyFont="1" applyFill="1" applyAlignment="1">
      <alignment horizontal="right"/>
    </xf>
    <xf numFmtId="174" fontId="86" fillId="16" borderId="0" xfId="7" applyNumberFormat="1" applyFont="1" applyFill="1" applyAlignment="1">
      <alignment horizontal="right"/>
    </xf>
    <xf numFmtId="170" fontId="16" fillId="0" borderId="0" xfId="17" applyNumberFormat="1" applyFont="1" applyAlignment="1">
      <alignment horizontal="right"/>
    </xf>
    <xf numFmtId="175" fontId="42" fillId="4" borderId="0" xfId="7" applyNumberFormat="1" applyFont="1" applyFill="1" applyAlignment="1">
      <alignment horizontal="right"/>
    </xf>
    <xf numFmtId="175" fontId="16" fillId="4" borderId="0" xfId="7" applyNumberFormat="1" applyFont="1" applyFill="1" applyAlignment="1">
      <alignment horizontal="right"/>
    </xf>
    <xf numFmtId="175" fontId="16" fillId="4" borderId="0" xfId="17" applyNumberFormat="1" applyFont="1" applyFill="1" applyAlignment="1">
      <alignment horizontal="right"/>
    </xf>
    <xf numFmtId="175" fontId="42" fillId="4" borderId="0" xfId="7" applyNumberFormat="1" applyFont="1" applyFill="1" applyBorder="1" applyAlignment="1">
      <alignment horizontal="right"/>
    </xf>
    <xf numFmtId="175" fontId="21" fillId="4" borderId="17" xfId="7" applyNumberFormat="1" applyFont="1" applyFill="1" applyBorder="1" applyAlignment="1">
      <alignment horizontal="right"/>
    </xf>
    <xf numFmtId="175" fontId="21" fillId="4" borderId="23" xfId="7" applyNumberFormat="1" applyFont="1" applyFill="1" applyBorder="1" applyAlignment="1">
      <alignment horizontal="right"/>
    </xf>
    <xf numFmtId="175" fontId="28" fillId="4" borderId="0" xfId="7" applyNumberFormat="1" applyFont="1" applyFill="1" applyAlignment="1">
      <alignment horizontal="right"/>
    </xf>
    <xf numFmtId="175" fontId="28" fillId="4" borderId="0" xfId="7" applyNumberFormat="1" applyFont="1" applyFill="1" applyBorder="1" applyAlignment="1">
      <alignment horizontal="right"/>
    </xf>
    <xf numFmtId="175" fontId="21" fillId="4" borderId="0" xfId="7" applyNumberFormat="1" applyFont="1" applyFill="1" applyAlignment="1">
      <alignment horizontal="right"/>
    </xf>
    <xf numFmtId="175" fontId="16" fillId="4" borderId="0" xfId="7" applyNumberFormat="1" applyFont="1" applyFill="1" applyBorder="1" applyAlignment="1">
      <alignment horizontal="right"/>
    </xf>
    <xf numFmtId="174" fontId="16" fillId="18" borderId="0" xfId="17" applyNumberFormat="1" applyFont="1" applyFill="1" applyBorder="1" applyAlignment="1">
      <alignment horizontal="right"/>
    </xf>
    <xf numFmtId="0" fontId="29" fillId="8" borderId="0" xfId="20" applyFont="1" applyFill="1"/>
    <xf numFmtId="0" fontId="57" fillId="0" borderId="0" xfId="20" applyFont="1" applyFill="1" applyAlignment="1"/>
    <xf numFmtId="0" fontId="29" fillId="0" borderId="0" xfId="20" applyFont="1" applyFill="1"/>
    <xf numFmtId="0" fontId="16" fillId="0" borderId="0" xfId="20" applyFont="1" applyFill="1" applyAlignment="1"/>
    <xf numFmtId="165" fontId="21" fillId="18" borderId="0" xfId="17" applyNumberFormat="1" applyFont="1" applyFill="1"/>
    <xf numFmtId="165" fontId="16" fillId="18" borderId="0" xfId="17" applyNumberFormat="1" applyFont="1" applyFill="1"/>
    <xf numFmtId="165" fontId="25" fillId="18" borderId="0" xfId="17" applyNumberFormat="1" applyFont="1" applyFill="1"/>
    <xf numFmtId="9" fontId="16" fillId="18" borderId="0" xfId="17" applyNumberFormat="1" applyFont="1" applyFill="1"/>
    <xf numFmtId="9" fontId="21" fillId="18" borderId="0" xfId="17" applyNumberFormat="1" applyFont="1" applyFill="1"/>
    <xf numFmtId="9" fontId="25" fillId="18" borderId="0" xfId="17" applyNumberFormat="1" applyFont="1" applyFill="1"/>
    <xf numFmtId="9" fontId="16" fillId="18" borderId="0" xfId="17" applyNumberFormat="1" applyFont="1" applyFill="1" applyBorder="1"/>
    <xf numFmtId="9" fontId="21" fillId="18" borderId="0" xfId="22" applyFont="1" applyFill="1"/>
    <xf numFmtId="9" fontId="22" fillId="18" borderId="0" xfId="22" applyFont="1" applyFill="1"/>
    <xf numFmtId="174" fontId="21" fillId="18" borderId="0" xfId="7" applyNumberFormat="1" applyFont="1" applyFill="1"/>
    <xf numFmtId="174" fontId="22" fillId="18" borderId="0" xfId="7" applyNumberFormat="1" applyFont="1" applyFill="1"/>
    <xf numFmtId="9" fontId="21" fillId="18" borderId="9" xfId="22" applyFont="1" applyFill="1" applyBorder="1" applyAlignment="1">
      <alignment horizontal="right"/>
    </xf>
    <xf numFmtId="9" fontId="16" fillId="18" borderId="0" xfId="22" applyFont="1" applyFill="1" applyAlignment="1">
      <alignment horizontal="right"/>
    </xf>
    <xf numFmtId="9" fontId="21" fillId="18" borderId="8" xfId="22" applyFont="1" applyFill="1" applyBorder="1" applyAlignment="1">
      <alignment horizontal="right"/>
    </xf>
    <xf numFmtId="9" fontId="21" fillId="18" borderId="0" xfId="22" applyFont="1" applyFill="1" applyAlignment="1">
      <alignment horizontal="right"/>
    </xf>
    <xf numFmtId="9" fontId="22" fillId="18" borderId="0" xfId="22" applyFont="1" applyFill="1" applyAlignment="1">
      <alignment horizontal="right"/>
    </xf>
    <xf numFmtId="9" fontId="25" fillId="18" borderId="0" xfId="22" applyFont="1" applyFill="1" applyAlignment="1">
      <alignment horizontal="right"/>
    </xf>
    <xf numFmtId="9" fontId="39" fillId="18" borderId="0" xfId="22" applyFont="1" applyFill="1" applyAlignment="1">
      <alignment horizontal="right"/>
    </xf>
    <xf numFmtId="9" fontId="21" fillId="19" borderId="0" xfId="22" applyFont="1" applyFill="1" applyBorder="1" applyAlignment="1">
      <alignment horizontal="right"/>
    </xf>
    <xf numFmtId="9" fontId="16" fillId="19" borderId="0" xfId="22" applyFont="1" applyFill="1" applyBorder="1" applyAlignment="1">
      <alignment horizontal="right"/>
    </xf>
    <xf numFmtId="9" fontId="22" fillId="19" borderId="0" xfId="22" applyFont="1" applyFill="1" applyAlignment="1">
      <alignment horizontal="right"/>
    </xf>
    <xf numFmtId="9" fontId="21" fillId="19" borderId="0" xfId="22" applyFont="1" applyFill="1" applyAlignment="1">
      <alignment horizontal="right"/>
    </xf>
    <xf numFmtId="0" fontId="16" fillId="18" borderId="0" xfId="17" applyFont="1" applyFill="1" applyAlignment="1">
      <alignment horizontal="right"/>
    </xf>
    <xf numFmtId="9" fontId="16" fillId="18" borderId="0" xfId="22" applyFont="1" applyFill="1" applyBorder="1" applyAlignment="1">
      <alignment horizontal="right"/>
    </xf>
    <xf numFmtId="9" fontId="21" fillId="18" borderId="0" xfId="22" applyFont="1" applyFill="1" applyBorder="1" applyAlignment="1">
      <alignment horizontal="right"/>
    </xf>
    <xf numFmtId="9" fontId="22" fillId="18" borderId="0" xfId="22" applyFont="1" applyFill="1" applyBorder="1" applyAlignment="1">
      <alignment horizontal="right"/>
    </xf>
    <xf numFmtId="9" fontId="21" fillId="18" borderId="17" xfId="22" applyFont="1" applyFill="1" applyBorder="1" applyAlignment="1">
      <alignment horizontal="right"/>
    </xf>
    <xf numFmtId="9" fontId="16" fillId="18" borderId="2" xfId="22" applyFont="1" applyFill="1" applyBorder="1" applyAlignment="1">
      <alignment horizontal="right"/>
    </xf>
    <xf numFmtId="9" fontId="22" fillId="19" borderId="0" xfId="22" applyFont="1" applyFill="1" applyBorder="1" applyAlignment="1">
      <alignment horizontal="right"/>
    </xf>
    <xf numFmtId="0" fontId="18" fillId="7" borderId="0" xfId="29" applyFont="1" applyFill="1"/>
    <xf numFmtId="5" fontId="21" fillId="0" borderId="21" xfId="17" applyNumberFormat="1" applyFont="1" applyFill="1" applyBorder="1"/>
    <xf numFmtId="14" fontId="16" fillId="0" borderId="0" xfId="40" applyNumberFormat="1" applyFont="1"/>
    <xf numFmtId="0" fontId="87" fillId="17" borderId="0" xfId="40" applyFont="1" applyFill="1"/>
    <xf numFmtId="0" fontId="88" fillId="17" borderId="0" xfId="40" applyFont="1" applyFill="1"/>
    <xf numFmtId="0" fontId="16" fillId="17" borderId="0" xfId="40" applyFont="1" applyFill="1"/>
    <xf numFmtId="174" fontId="16" fillId="17" borderId="0" xfId="7" applyNumberFormat="1" applyFont="1" applyFill="1" applyBorder="1" applyAlignment="1"/>
    <xf numFmtId="0" fontId="16" fillId="0" borderId="0" xfId="41" applyFont="1"/>
    <xf numFmtId="0" fontId="21" fillId="0" borderId="0" xfId="41" applyFont="1"/>
    <xf numFmtId="0" fontId="21" fillId="0" borderId="10" xfId="41" applyFont="1" applyBorder="1"/>
    <xf numFmtId="0" fontId="2" fillId="0" borderId="10" xfId="26" applyBorder="1"/>
    <xf numFmtId="0" fontId="21" fillId="0" borderId="0" xfId="26" applyFont="1"/>
    <xf numFmtId="0" fontId="16" fillId="0" borderId="0" xfId="26" applyFont="1"/>
    <xf numFmtId="0" fontId="16" fillId="0" borderId="0" xfId="40" applyFont="1" applyBorder="1"/>
    <xf numFmtId="0" fontId="16" fillId="0" borderId="0" xfId="40" applyFont="1"/>
    <xf numFmtId="9" fontId="16" fillId="0" borderId="0" xfId="40" applyNumberFormat="1" applyFont="1" applyBorder="1"/>
    <xf numFmtId="165" fontId="80" fillId="0" borderId="0" xfId="26" applyNumberFormat="1" applyFont="1"/>
    <xf numFmtId="175" fontId="80" fillId="0" borderId="0" xfId="7" applyNumberFormat="1" applyFont="1" applyBorder="1" applyAlignment="1"/>
    <xf numFmtId="165" fontId="89" fillId="0" borderId="0" xfId="26" applyNumberFormat="1" applyFont="1"/>
    <xf numFmtId="0" fontId="21" fillId="0" borderId="0" xfId="40" applyFont="1" applyBorder="1" applyAlignment="1" applyProtection="1">
      <alignment horizontal="left"/>
    </xf>
    <xf numFmtId="0" fontId="48" fillId="7" borderId="0" xfId="41" applyFont="1" applyFill="1"/>
    <xf numFmtId="0" fontId="19" fillId="7" borderId="0" xfId="36" applyFont="1" applyFill="1"/>
    <xf numFmtId="0" fontId="20" fillId="7" borderId="0" xfId="41" applyFont="1" applyFill="1"/>
    <xf numFmtId="186" fontId="16" fillId="0" borderId="0" xfId="22" quotePrefix="1" applyNumberFormat="1" applyFont="1" applyFill="1" applyBorder="1" applyAlignment="1">
      <alignment horizontal="right"/>
    </xf>
    <xf numFmtId="1" fontId="16" fillId="4" borderId="0" xfId="41" quotePrefix="1" applyNumberFormat="1" applyFont="1" applyFill="1" applyBorder="1" applyAlignment="1">
      <alignment horizontal="right"/>
    </xf>
    <xf numFmtId="1" fontId="52" fillId="4" borderId="0" xfId="41" quotePrefix="1" applyNumberFormat="1" applyFont="1" applyFill="1" applyBorder="1" applyAlignment="1">
      <alignment horizontal="right"/>
    </xf>
    <xf numFmtId="0" fontId="47" fillId="20" borderId="30" xfId="26" applyFont="1" applyFill="1" applyBorder="1"/>
    <xf numFmtId="0" fontId="2" fillId="20" borderId="7" xfId="26" applyFill="1" applyBorder="1"/>
    <xf numFmtId="0" fontId="16" fillId="20" borderId="7" xfId="41" applyFont="1" applyFill="1" applyBorder="1"/>
    <xf numFmtId="175" fontId="16" fillId="20" borderId="7" xfId="7" applyNumberFormat="1" applyFont="1" applyFill="1" applyBorder="1"/>
    <xf numFmtId="1" fontId="52" fillId="20" borderId="7" xfId="41" quotePrefix="1" applyNumberFormat="1" applyFont="1" applyFill="1" applyBorder="1" applyAlignment="1">
      <alignment horizontal="right"/>
    </xf>
    <xf numFmtId="9" fontId="52" fillId="20" borderId="7" xfId="22" quotePrefix="1" applyFont="1" applyFill="1" applyBorder="1" applyAlignment="1">
      <alignment horizontal="right"/>
    </xf>
    <xf numFmtId="41" fontId="52" fillId="20" borderId="7" xfId="22" quotePrefix="1" applyNumberFormat="1" applyFont="1" applyFill="1" applyBorder="1" applyAlignment="1">
      <alignment horizontal="right"/>
    </xf>
    <xf numFmtId="9" fontId="52" fillId="20" borderId="31" xfId="22" quotePrefix="1" applyFont="1" applyFill="1" applyBorder="1" applyAlignment="1">
      <alignment horizontal="right"/>
    </xf>
    <xf numFmtId="0" fontId="47" fillId="20" borderId="32" xfId="26" applyFont="1" applyFill="1" applyBorder="1"/>
    <xf numFmtId="0" fontId="2" fillId="20" borderId="0" xfId="26" applyFill="1" applyBorder="1"/>
    <xf numFmtId="0" fontId="16" fillId="20" borderId="0" xfId="41" applyFont="1" applyFill="1" applyBorder="1"/>
    <xf numFmtId="175" fontId="16" fillId="20" borderId="0" xfId="7" applyNumberFormat="1" applyFont="1" applyFill="1" applyBorder="1"/>
    <xf numFmtId="1" fontId="52" fillId="20" borderId="0" xfId="41" quotePrefix="1" applyNumberFormat="1" applyFont="1" applyFill="1" applyBorder="1" applyAlignment="1">
      <alignment horizontal="right"/>
    </xf>
    <xf numFmtId="9" fontId="52" fillId="20" borderId="0" xfId="22" quotePrefix="1" applyFont="1" applyFill="1" applyBorder="1" applyAlignment="1">
      <alignment horizontal="right"/>
    </xf>
    <xf numFmtId="41" fontId="52" fillId="20" borderId="0" xfId="22" quotePrefix="1" applyNumberFormat="1" applyFont="1" applyFill="1" applyBorder="1" applyAlignment="1">
      <alignment horizontal="right"/>
    </xf>
    <xf numFmtId="9" fontId="52" fillId="20" borderId="18" xfId="22" quotePrefix="1" applyFont="1" applyFill="1" applyBorder="1" applyAlignment="1">
      <alignment horizontal="right"/>
    </xf>
    <xf numFmtId="0" fontId="47" fillId="20" borderId="33" xfId="26" applyFont="1" applyFill="1" applyBorder="1"/>
    <xf numFmtId="0" fontId="2" fillId="20" borderId="8" xfId="26" applyFill="1" applyBorder="1"/>
    <xf numFmtId="0" fontId="16" fillId="20" borderId="8" xfId="41" applyFont="1" applyFill="1" applyBorder="1"/>
    <xf numFmtId="175" fontId="16" fillId="20" borderId="8" xfId="7" applyNumberFormat="1" applyFont="1" applyFill="1" applyBorder="1"/>
    <xf numFmtId="1" fontId="52" fillId="20" borderId="8" xfId="41" quotePrefix="1" applyNumberFormat="1" applyFont="1" applyFill="1" applyBorder="1" applyAlignment="1">
      <alignment horizontal="right"/>
    </xf>
    <xf numFmtId="9" fontId="52" fillId="20" borderId="8" xfId="22" quotePrefix="1" applyFont="1" applyFill="1" applyBorder="1" applyAlignment="1">
      <alignment horizontal="right"/>
    </xf>
    <xf numFmtId="41" fontId="52" fillId="20" borderId="8" xfId="22" quotePrefix="1" applyNumberFormat="1" applyFont="1" applyFill="1" applyBorder="1" applyAlignment="1">
      <alignment horizontal="right"/>
    </xf>
    <xf numFmtId="9" fontId="52" fillId="20" borderId="34" xfId="22" quotePrefix="1" applyFont="1" applyFill="1" applyBorder="1" applyAlignment="1">
      <alignment horizontal="right"/>
    </xf>
    <xf numFmtId="9" fontId="52" fillId="0" borderId="10" xfId="22" quotePrefix="1" applyFont="1" applyFill="1" applyBorder="1" applyAlignment="1">
      <alignment horizontal="right"/>
    </xf>
    <xf numFmtId="41" fontId="52" fillId="0" borderId="10" xfId="22" quotePrefix="1" applyNumberFormat="1" applyFont="1" applyFill="1" applyBorder="1" applyAlignment="1">
      <alignment horizontal="right"/>
    </xf>
    <xf numFmtId="0" fontId="16" fillId="0" borderId="10" xfId="41" applyFont="1" applyFill="1" applyBorder="1"/>
    <xf numFmtId="1" fontId="52" fillId="0" borderId="0" xfId="40" quotePrefix="1" applyNumberFormat="1" applyFont="1" applyFill="1" applyBorder="1" applyAlignment="1">
      <alignment horizontal="right"/>
    </xf>
    <xf numFmtId="5" fontId="80" fillId="0" borderId="0" xfId="41" applyNumberFormat="1" applyFont="1" applyFill="1" applyBorder="1" applyAlignment="1">
      <alignment horizontal="right"/>
    </xf>
    <xf numFmtId="174" fontId="21" fillId="0" borderId="0" xfId="41" applyNumberFormat="1" applyFont="1"/>
    <xf numFmtId="174" fontId="16" fillId="0" borderId="0" xfId="41" applyNumberFormat="1" applyFont="1"/>
    <xf numFmtId="0" fontId="21" fillId="21" borderId="3" xfId="41" applyFont="1" applyFill="1" applyBorder="1"/>
    <xf numFmtId="9" fontId="52" fillId="21" borderId="4" xfId="22" quotePrefix="1" applyFont="1" applyFill="1" applyBorder="1" applyAlignment="1">
      <alignment horizontal="right"/>
    </xf>
    <xf numFmtId="41" fontId="52" fillId="21" borderId="4" xfId="22" quotePrefix="1" applyNumberFormat="1" applyFont="1" applyFill="1" applyBorder="1" applyAlignment="1">
      <alignment horizontal="right"/>
    </xf>
    <xf numFmtId="165" fontId="21" fillId="21" borderId="16" xfId="26" applyNumberFormat="1" applyFont="1" applyFill="1" applyBorder="1"/>
    <xf numFmtId="0" fontId="39" fillId="0" borderId="0" xfId="41" applyFont="1"/>
    <xf numFmtId="9" fontId="52" fillId="0" borderId="0" xfId="22" quotePrefix="1" applyFont="1" applyFill="1" applyBorder="1" applyAlignment="1">
      <alignment horizontal="right"/>
    </xf>
    <xf numFmtId="41" fontId="52" fillId="0" borderId="0" xfId="22" quotePrefix="1" applyNumberFormat="1" applyFont="1" applyFill="1" applyBorder="1" applyAlignment="1">
      <alignment horizontal="right"/>
    </xf>
    <xf numFmtId="174" fontId="39" fillId="0" borderId="0" xfId="41" applyNumberFormat="1" applyFont="1"/>
    <xf numFmtId="0" fontId="91" fillId="0" borderId="0" xfId="7" applyNumberFormat="1" applyFont="1" applyFill="1"/>
    <xf numFmtId="0" fontId="63" fillId="0" borderId="0" xfId="7" applyNumberFormat="1" applyFont="1" applyFill="1"/>
    <xf numFmtId="0" fontId="92" fillId="0" borderId="0" xfId="7" applyNumberFormat="1" applyFont="1" applyFill="1"/>
    <xf numFmtId="174" fontId="21" fillId="10" borderId="8" xfId="7" applyNumberFormat="1" applyFont="1" applyFill="1" applyBorder="1" applyAlignment="1">
      <alignment horizontal="right"/>
    </xf>
    <xf numFmtId="174" fontId="21" fillId="11" borderId="8" xfId="7" applyNumberFormat="1" applyFont="1" applyFill="1" applyBorder="1" applyAlignment="1">
      <alignment horizontal="right"/>
    </xf>
    <xf numFmtId="9" fontId="21" fillId="10" borderId="8" xfId="22" applyFont="1" applyFill="1" applyBorder="1" applyAlignment="1">
      <alignment horizontal="right"/>
    </xf>
    <xf numFmtId="9" fontId="21" fillId="11" borderId="8" xfId="22" applyFont="1" applyFill="1" applyBorder="1" applyAlignment="1">
      <alignment horizontal="right"/>
    </xf>
    <xf numFmtId="9" fontId="21" fillId="19" borderId="8" xfId="22" applyFont="1" applyFill="1" applyBorder="1" applyAlignment="1">
      <alignment horizontal="right"/>
    </xf>
    <xf numFmtId="9" fontId="16" fillId="19" borderId="0" xfId="22" applyFont="1" applyFill="1" applyAlignment="1">
      <alignment horizontal="right"/>
    </xf>
    <xf numFmtId="14" fontId="16" fillId="0" borderId="0" xfId="17" applyNumberFormat="1" applyFont="1" applyFill="1" applyBorder="1" applyAlignment="1">
      <alignment horizontal="center" vertical="top"/>
    </xf>
    <xf numFmtId="14" fontId="16" fillId="0" borderId="28" xfId="17" applyNumberFormat="1" applyFont="1" applyFill="1" applyBorder="1" applyAlignment="1">
      <alignment horizontal="center" vertical="top"/>
    </xf>
    <xf numFmtId="174" fontId="80" fillId="0" borderId="0" xfId="7" applyNumberFormat="1" applyFont="1" applyFill="1" applyAlignment="1">
      <alignment horizontal="right"/>
    </xf>
    <xf numFmtId="0" fontId="25" fillId="4" borderId="0" xfId="17" applyFont="1" applyFill="1"/>
    <xf numFmtId="5" fontId="25" fillId="0" borderId="0" xfId="17" applyNumberFormat="1" applyFont="1"/>
    <xf numFmtId="38" fontId="2" fillId="0" borderId="0" xfId="10" applyFont="1"/>
    <xf numFmtId="8" fontId="2" fillId="0" borderId="0" xfId="10" applyNumberFormat="1"/>
    <xf numFmtId="0" fontId="25" fillId="0" borderId="10" xfId="17" applyFont="1" applyBorder="1"/>
    <xf numFmtId="8" fontId="93" fillId="0" borderId="0" xfId="10" applyNumberFormat="1" applyFont="1"/>
    <xf numFmtId="7" fontId="93" fillId="0" borderId="0" xfId="0" applyNumberFormat="1" applyFont="1"/>
    <xf numFmtId="7" fontId="94" fillId="0" borderId="0" xfId="0" applyNumberFormat="1" applyFont="1"/>
    <xf numFmtId="38" fontId="2" fillId="0" borderId="0" xfId="10" applyFont="1" applyAlignment="1">
      <alignment horizontal="center" wrapText="1"/>
    </xf>
    <xf numFmtId="38" fontId="2" fillId="0" borderId="0" xfId="10" applyFont="1" applyAlignment="1">
      <alignment wrapText="1"/>
    </xf>
    <xf numFmtId="165" fontId="16" fillId="0" borderId="0" xfId="17" applyNumberFormat="1" applyFont="1" applyFill="1" applyBorder="1" applyProtection="1"/>
    <xf numFmtId="174" fontId="28" fillId="16" borderId="0" xfId="7" applyNumberFormat="1" applyFont="1" applyFill="1" applyAlignment="1">
      <alignment horizontal="right"/>
    </xf>
    <xf numFmtId="174" fontId="16" fillId="16" borderId="0" xfId="7" applyNumberFormat="1" applyFont="1" applyFill="1" applyAlignment="1">
      <alignment horizontal="right"/>
    </xf>
    <xf numFmtId="174" fontId="86" fillId="11" borderId="0" xfId="7" applyNumberFormat="1" applyFont="1" applyFill="1" applyAlignment="1">
      <alignment horizontal="right"/>
    </xf>
    <xf numFmtId="7" fontId="80" fillId="0" borderId="0" xfId="17" applyNumberFormat="1" applyFont="1" applyFill="1" applyAlignment="1">
      <alignment horizontal="right"/>
    </xf>
    <xf numFmtId="7" fontId="80" fillId="4" borderId="0" xfId="17" applyNumberFormat="1" applyFont="1" applyFill="1" applyAlignment="1">
      <alignment horizontal="right"/>
    </xf>
    <xf numFmtId="43" fontId="42" fillId="4" borderId="0" xfId="7" applyNumberFormat="1" applyFont="1" applyFill="1" applyBorder="1" applyAlignment="1">
      <alignment horizontal="right"/>
    </xf>
    <xf numFmtId="43" fontId="74" fillId="4" borderId="0" xfId="7" applyNumberFormat="1" applyFont="1" applyFill="1" applyAlignment="1">
      <alignment horizontal="right"/>
    </xf>
    <xf numFmtId="174" fontId="85" fillId="0" borderId="0" xfId="7" applyNumberFormat="1" applyFont="1" applyAlignment="1">
      <alignment horizontal="right"/>
    </xf>
    <xf numFmtId="37" fontId="85" fillId="4" borderId="0" xfId="17" applyNumberFormat="1" applyFont="1" applyFill="1" applyAlignment="1">
      <alignment horizontal="right"/>
    </xf>
    <xf numFmtId="174" fontId="16" fillId="18" borderId="0" xfId="7" applyNumberFormat="1" applyFont="1" applyFill="1"/>
    <xf numFmtId="174" fontId="86" fillId="9" borderId="0" xfId="7" applyNumberFormat="1" applyFont="1" applyFill="1" applyAlignment="1">
      <alignment horizontal="right"/>
    </xf>
    <xf numFmtId="0" fontId="16" fillId="0" borderId="0" xfId="5" applyFont="1" applyFill="1" applyAlignment="1"/>
    <xf numFmtId="174" fontId="25" fillId="10" borderId="0" xfId="7" applyNumberFormat="1" applyFont="1" applyFill="1" applyAlignment="1">
      <alignment horizontal="left"/>
    </xf>
    <xf numFmtId="174" fontId="16" fillId="11" borderId="0" xfId="7" applyNumberFormat="1" applyFont="1" applyFill="1"/>
    <xf numFmtId="174" fontId="16" fillId="10" borderId="0" xfId="7" applyNumberFormat="1" applyFont="1" applyFill="1"/>
    <xf numFmtId="165" fontId="22" fillId="4" borderId="0" xfId="22" applyNumberFormat="1" applyFont="1" applyFill="1" applyBorder="1" applyProtection="1"/>
    <xf numFmtId="174" fontId="86" fillId="4" borderId="0" xfId="7" applyNumberFormat="1" applyFont="1" applyFill="1"/>
    <xf numFmtId="174" fontId="86" fillId="18" borderId="0" xfId="7" applyNumberFormat="1" applyFont="1" applyFill="1"/>
    <xf numFmtId="174" fontId="95" fillId="4" borderId="0" xfId="7" applyNumberFormat="1" applyFont="1" applyFill="1" applyBorder="1" applyProtection="1"/>
    <xf numFmtId="0" fontId="16" fillId="0" borderId="0" xfId="40" applyFont="1" applyFill="1" applyBorder="1" applyAlignment="1">
      <alignment horizontal="center" vertical="top"/>
    </xf>
    <xf numFmtId="9" fontId="22" fillId="16" borderId="0" xfId="22" applyFont="1" applyFill="1" applyAlignment="1">
      <alignment horizontal="right"/>
    </xf>
    <xf numFmtId="6" fontId="21" fillId="0" borderId="21" xfId="17" applyNumberFormat="1" applyFont="1" applyBorder="1" applyAlignment="1">
      <alignment horizontal="center"/>
    </xf>
    <xf numFmtId="0" fontId="25" fillId="0" borderId="0" xfId="17" applyFont="1" applyBorder="1" applyAlignment="1">
      <alignment horizontal="left" indent="1"/>
    </xf>
    <xf numFmtId="174" fontId="84" fillId="4" borderId="0" xfId="7" applyNumberFormat="1" applyFont="1" applyFill="1" applyBorder="1"/>
    <xf numFmtId="174" fontId="84" fillId="0" borderId="0" xfId="7" applyNumberFormat="1" applyFont="1" applyFill="1" applyBorder="1" applyProtection="1"/>
    <xf numFmtId="174" fontId="84" fillId="0" borderId="14" xfId="7" applyNumberFormat="1" applyFont="1" applyFill="1" applyBorder="1" applyProtection="1"/>
    <xf numFmtId="174" fontId="84" fillId="0" borderId="20" xfId="7" applyNumberFormat="1" applyFont="1" applyFill="1" applyBorder="1" applyProtection="1"/>
    <xf numFmtId="174" fontId="25" fillId="0" borderId="0" xfId="7" applyNumberFormat="1" applyFont="1" applyFill="1" applyBorder="1" applyProtection="1"/>
    <xf numFmtId="44" fontId="25" fillId="0" borderId="0" xfId="8" applyFont="1"/>
    <xf numFmtId="0" fontId="39" fillId="0" borderId="0" xfId="17" applyFont="1" applyAlignment="1" applyProtection="1">
      <alignment horizontal="left"/>
    </xf>
    <xf numFmtId="165" fontId="39" fillId="4" borderId="0" xfId="17" applyNumberFormat="1" applyFont="1" applyFill="1"/>
    <xf numFmtId="165" fontId="39" fillId="0" borderId="0" xfId="17" applyNumberFormat="1" applyFont="1" applyFill="1"/>
    <xf numFmtId="165" fontId="39" fillId="0" borderId="14" xfId="17" applyNumberFormat="1" applyFont="1" applyFill="1" applyBorder="1"/>
    <xf numFmtId="165" fontId="39" fillId="0" borderId="20" xfId="17" applyNumberFormat="1" applyFont="1" applyFill="1" applyBorder="1"/>
    <xf numFmtId="165" fontId="39" fillId="18" borderId="0" xfId="17" applyNumberFormat="1" applyFont="1" applyFill="1"/>
    <xf numFmtId="0" fontId="21" fillId="0" borderId="0" xfId="40" applyFont="1" applyFill="1" applyBorder="1" applyAlignment="1">
      <alignment horizontal="center" vertical="top"/>
    </xf>
    <xf numFmtId="0" fontId="16" fillId="0" borderId="0" xfId="17" applyFont="1" applyFill="1" applyBorder="1" applyAlignment="1">
      <alignment horizontal="left" vertical="top" wrapText="1"/>
    </xf>
    <xf numFmtId="0" fontId="16" fillId="20" borderId="0" xfId="17" applyFont="1" applyFill="1" applyBorder="1" applyAlignment="1">
      <alignment vertical="top" wrapText="1"/>
    </xf>
    <xf numFmtId="9" fontId="22" fillId="18" borderId="0" xfId="17" applyNumberFormat="1" applyFont="1" applyFill="1"/>
    <xf numFmtId="9" fontId="22" fillId="18" borderId="0" xfId="17" applyNumberFormat="1" applyFont="1" applyFill="1" applyBorder="1"/>
    <xf numFmtId="165" fontId="22" fillId="18" borderId="0" xfId="17" applyNumberFormat="1" applyFont="1" applyFill="1" applyBorder="1" applyProtection="1"/>
    <xf numFmtId="0" fontId="16" fillId="20" borderId="0" xfId="40" applyFont="1" applyFill="1" applyBorder="1" applyAlignment="1">
      <alignment horizontal="center" vertical="top"/>
    </xf>
    <xf numFmtId="0" fontId="21" fillId="20" borderId="0" xfId="40" applyFont="1" applyFill="1" applyBorder="1" applyAlignment="1">
      <alignment horizontal="center" vertical="top"/>
    </xf>
    <xf numFmtId="174" fontId="16" fillId="18" borderId="6" xfId="7" applyNumberFormat="1" applyFont="1" applyFill="1" applyBorder="1"/>
    <xf numFmtId="174" fontId="16" fillId="18" borderId="0" xfId="7" applyNumberFormat="1" applyFont="1" applyFill="1" applyBorder="1"/>
    <xf numFmtId="0" fontId="52" fillId="0" borderId="0" xfId="19" applyNumberFormat="1" applyFont="1" applyFill="1" applyBorder="1" applyAlignment="1" applyProtection="1">
      <alignment horizontal="left"/>
      <protection locked="0"/>
    </xf>
    <xf numFmtId="174" fontId="22" fillId="0" borderId="0" xfId="7" applyNumberFormat="1" applyFont="1" applyFill="1" applyAlignment="1" applyProtection="1">
      <alignment horizontal="right"/>
      <protection locked="0"/>
    </xf>
    <xf numFmtId="9" fontId="22" fillId="0" borderId="0" xfId="22" applyNumberFormat="1" applyFont="1" applyFill="1" applyAlignment="1" applyProtection="1">
      <alignment horizontal="right"/>
      <protection locked="0"/>
    </xf>
    <xf numFmtId="0" fontId="96" fillId="3" borderId="0" xfId="17" applyFont="1" applyFill="1"/>
    <xf numFmtId="14" fontId="96" fillId="7" borderId="0" xfId="16" applyNumberFormat="1" applyFont="1" applyFill="1"/>
    <xf numFmtId="37" fontId="96" fillId="0" borderId="0" xfId="17" applyNumberFormat="1" applyFont="1"/>
    <xf numFmtId="0" fontId="96" fillId="0" borderId="0" xfId="17" applyFont="1"/>
    <xf numFmtId="14" fontId="97" fillId="7" borderId="0" xfId="16" applyNumberFormat="1" applyFont="1" applyFill="1"/>
    <xf numFmtId="174" fontId="21" fillId="0" borderId="0" xfId="17" applyNumberFormat="1" applyFont="1" applyBorder="1"/>
    <xf numFmtId="9" fontId="21" fillId="11" borderId="0" xfId="22" applyFont="1" applyFill="1" applyBorder="1" applyAlignment="1">
      <alignment horizontal="right"/>
    </xf>
    <xf numFmtId="174" fontId="21" fillId="11" borderId="0" xfId="17" applyNumberFormat="1" applyFont="1" applyFill="1" applyBorder="1" applyAlignment="1">
      <alignment horizontal="right"/>
    </xf>
    <xf numFmtId="174" fontId="86" fillId="11" borderId="0" xfId="17" applyNumberFormat="1" applyFont="1" applyFill="1" applyBorder="1" applyAlignment="1">
      <alignment horizontal="right"/>
    </xf>
    <xf numFmtId="174" fontId="86" fillId="11" borderId="0" xfId="7" applyNumberFormat="1" applyFont="1" applyFill="1"/>
    <xf numFmtId="174" fontId="16" fillId="68" borderId="0" xfId="7" applyNumberFormat="1" applyFont="1" applyFill="1" applyAlignment="1">
      <alignment horizontal="right"/>
    </xf>
    <xf numFmtId="9" fontId="16" fillId="20" borderId="0" xfId="22" applyFont="1" applyFill="1" applyBorder="1" applyAlignment="1">
      <alignment horizontal="left" vertical="top" wrapText="1"/>
    </xf>
    <xf numFmtId="174" fontId="80" fillId="4" borderId="0" xfId="7" applyNumberFormat="1" applyFont="1" applyFill="1" applyAlignment="1">
      <alignment horizontal="right"/>
    </xf>
    <xf numFmtId="0" fontId="16" fillId="0" borderId="0" xfId="17" applyFont="1" applyFill="1" applyBorder="1" applyAlignment="1">
      <alignment horizontal="left" vertical="top" wrapText="1"/>
    </xf>
    <xf numFmtId="0" fontId="2" fillId="0" borderId="0" xfId="3422"/>
    <xf numFmtId="0" fontId="2" fillId="69" borderId="0" xfId="3961" applyFont="1" applyFill="1" applyAlignment="1">
      <alignment vertical="top"/>
    </xf>
    <xf numFmtId="0" fontId="2" fillId="69" borderId="0" xfId="3422" applyFill="1" applyAlignment="1">
      <alignment vertical="top"/>
    </xf>
    <xf numFmtId="0" fontId="2" fillId="69" borderId="0" xfId="3422" applyFill="1"/>
    <xf numFmtId="0" fontId="73" fillId="69" borderId="0" xfId="3961" applyFont="1" applyFill="1" applyAlignment="1">
      <alignment horizontal="left" vertical="top"/>
    </xf>
    <xf numFmtId="0" fontId="2" fillId="69" borderId="0" xfId="3422" applyFont="1" applyFill="1" applyAlignment="1">
      <alignment vertical="top"/>
    </xf>
    <xf numFmtId="0" fontId="246" fillId="69" borderId="0" xfId="3961" applyFont="1" applyFill="1" applyAlignment="1">
      <alignment vertical="top"/>
    </xf>
    <xf numFmtId="0" fontId="0" fillId="69" borderId="0" xfId="0" applyFill="1" applyAlignment="1">
      <alignment vertical="top"/>
    </xf>
    <xf numFmtId="0" fontId="247" fillId="69" borderId="0" xfId="0" applyFont="1" applyFill="1" applyAlignment="1">
      <alignment vertical="top"/>
    </xf>
    <xf numFmtId="0" fontId="248" fillId="69" borderId="0" xfId="0" applyFont="1" applyFill="1" applyAlignment="1">
      <alignment vertical="top"/>
    </xf>
    <xf numFmtId="0" fontId="248" fillId="69" borderId="0" xfId="0" applyFont="1" applyFill="1" applyAlignment="1">
      <alignment vertical="top"/>
    </xf>
    <xf numFmtId="0" fontId="247" fillId="69" borderId="0" xfId="0" applyFont="1" applyFill="1" applyAlignment="1">
      <alignment vertical="top"/>
    </xf>
    <xf numFmtId="0" fontId="0" fillId="69" borderId="0" xfId="0" applyFill="1" applyAlignment="1">
      <alignment vertical="top"/>
    </xf>
    <xf numFmtId="0" fontId="0" fillId="69" borderId="72" xfId="0" applyFill="1" applyBorder="1" applyAlignment="1">
      <alignment vertical="top"/>
    </xf>
    <xf numFmtId="0" fontId="247" fillId="69" borderId="68" xfId="0" applyFont="1" applyFill="1" applyBorder="1" applyAlignment="1">
      <alignment vertical="top"/>
    </xf>
    <xf numFmtId="0" fontId="247" fillId="69" borderId="69" xfId="0" applyFont="1" applyFill="1" applyBorder="1" applyAlignment="1">
      <alignment vertical="top"/>
    </xf>
    <xf numFmtId="0" fontId="247" fillId="69" borderId="70" xfId="0" applyFont="1" applyFill="1" applyBorder="1" applyAlignment="1">
      <alignment vertical="top"/>
    </xf>
    <xf numFmtId="0" fontId="247" fillId="69" borderId="71" xfId="0" applyFont="1" applyFill="1" applyBorder="1" applyAlignment="1">
      <alignment vertical="top"/>
    </xf>
    <xf numFmtId="9" fontId="247" fillId="69" borderId="68" xfId="0" applyNumberFormat="1" applyFont="1" applyFill="1" applyBorder="1" applyAlignment="1">
      <alignment vertical="top"/>
    </xf>
    <xf numFmtId="3" fontId="247" fillId="69" borderId="68" xfId="0" applyNumberFormat="1" applyFont="1" applyFill="1" applyBorder="1" applyAlignment="1">
      <alignment vertical="top"/>
    </xf>
    <xf numFmtId="0" fontId="0" fillId="69" borderId="73" xfId="0" applyFill="1" applyBorder="1" applyAlignment="1">
      <alignment vertical="top"/>
    </xf>
    <xf numFmtId="2" fontId="2" fillId="0" borderId="0" xfId="3422" applyNumberFormat="1" applyAlignment="1">
      <alignment horizontal="left"/>
    </xf>
    <xf numFmtId="0" fontId="2" fillId="0" borderId="0" xfId="3422" applyNumberFormat="1" applyAlignment="1">
      <alignment horizontal="left"/>
    </xf>
    <xf numFmtId="1" fontId="2" fillId="0" borderId="0" xfId="3422" applyNumberFormat="1" applyAlignment="1">
      <alignment horizontal="left"/>
    </xf>
    <xf numFmtId="0" fontId="2" fillId="0" borderId="0" xfId="3422" applyFont="1"/>
    <xf numFmtId="274" fontId="2" fillId="0" borderId="0" xfId="3422" applyNumberFormat="1" applyAlignment="1">
      <alignment horizontal="left"/>
    </xf>
    <xf numFmtId="49" fontId="2" fillId="0" borderId="0" xfId="3422" applyNumberFormat="1"/>
  </cellXfs>
  <cellStyles count="3962">
    <cellStyle name=" 1" xfId="30"/>
    <cellStyle name=" Writer Import]_x000d__x000a_Display Dialog=No_x000d__x000a__x000d__x000a_[Horizontal Arrange]_x000d__x000a_Dimensions Interlocking=Yes_x000d__x000a_Sum Hierarchy=Yes_x000d__x000a_Generate" xfId="31"/>
    <cellStyle name="_Currency_Sheet1_SPEC Rx trend vs est " xfId="43"/>
    <cellStyle name="_Currency_Sheet1_SPEC Rx trend vs est  2" xfId="44"/>
    <cellStyle name="_Currency_Sheet1_SPEC Rx trend vs est  2 2" xfId="45"/>
    <cellStyle name="_Currency_Sheet1_SPEC Rx trend vs est  3" xfId="46"/>
    <cellStyle name="_Currency_Sheet1_SPEC Rx trend vs est  3 2" xfId="47"/>
    <cellStyle name="_Currency_Sheet1_SPEC Rx trend vs est  4" xfId="48"/>
    <cellStyle name="_Currency_Sheet1_SPEC Rx trend vs est _Abbott Model" xfId="49"/>
    <cellStyle name="_Currency_Sheet1_SPEC Rx trend vs est _Abbott Model 2" xfId="50"/>
    <cellStyle name="_Currency_Sheet1_SPEC Rx trend vs est _Book2" xfId="51"/>
    <cellStyle name="_Currency_Sheet1_SPEC Rx trend vs est _Book2 2" xfId="52"/>
    <cellStyle name="_Currency_Sheet1_Stanicky - Biovail 12-7-2006 FINAL" xfId="53"/>
    <cellStyle name="_Currency_Sheet1_Stanicky - Biovail 12-7-2006 FINAL 2" xfId="54"/>
    <cellStyle name="_Currency_Sheet1_Stanicky - Biovail 12-7-2006 FINAL 2 2" xfId="55"/>
    <cellStyle name="_Currency_Sheet1_Stanicky - Biovail 12-7-2006 FINAL 3" xfId="56"/>
    <cellStyle name="_Currency_Sheet1_Stanicky - Biovail 12-7-2006 FINAL_Abbott Model" xfId="57"/>
    <cellStyle name="_Currency_Sheet1_Stanicky - Biovail 12-7-2006 FINAL_Abbott Model 2" xfId="58"/>
    <cellStyle name="_Currency_Sheet1_Stanicky - Biovail 12-7-2006 FINAL_Book2" xfId="59"/>
    <cellStyle name="_Currency_Sheet1_Stanicky - Biovail 12-7-2006 FINAL_Book2 2" xfId="60"/>
    <cellStyle name="_Currency_Sheet1_WC Ovcon forecast" xfId="61"/>
    <cellStyle name="_Currency_Sheet1_WC Ovcon forecast 2" xfId="62"/>
    <cellStyle name="_Currency_Sheet1_WC Ovcon forecast 2 2" xfId="63"/>
    <cellStyle name="_Currency_Sheet1_WC Ovcon forecast 3" xfId="64"/>
    <cellStyle name="_Currency_Sheet1_WC Ovcon forecast_Abbott Model" xfId="65"/>
    <cellStyle name="_Currency_Sheet1_WC Ovcon forecast_Abbott Model 2" xfId="66"/>
    <cellStyle name="_Currency_Sheet1_WC Ovcon forecast_Book2" xfId="67"/>
    <cellStyle name="_Currency_Sheet1_WC Ovcon forecast_Book2 2" xfId="68"/>
    <cellStyle name="_Currency_Sheet1_WCRX working" xfId="69"/>
    <cellStyle name="_Currency_Sheet1_WCRX working 2" xfId="70"/>
    <cellStyle name="_Currency_Sheet1_WCRX working 2 2" xfId="71"/>
    <cellStyle name="_Currency_Sheet1_WCRX working 3" xfId="72"/>
    <cellStyle name="_Currency_Sheet1_WCRX working_Abbott Model" xfId="73"/>
    <cellStyle name="_Currency_Sheet1_WCRX working_Abbott Model 2" xfId="74"/>
    <cellStyle name="_Currency_Sheet1_WCRX working_Book2" xfId="75"/>
    <cellStyle name="_Currency_Sheet1_WCRX working_Book2 2" xfId="76"/>
    <cellStyle name="_Currency_Sheet13" xfId="77"/>
    <cellStyle name="_Currency_Sheet13 2" xfId="78"/>
    <cellStyle name="_Currency_Sheet13 2 2" xfId="79"/>
    <cellStyle name="_Currency_Sheet13 3" xfId="80"/>
    <cellStyle name="_Currency_Sheet13_Abbott Model" xfId="81"/>
    <cellStyle name="_Currency_Sheet13_Abbott Model 2" xfId="82"/>
    <cellStyle name="_Currency_Sheet13_Book2" xfId="83"/>
    <cellStyle name="_Currency_Sheet13_Book2 2" xfId="84"/>
    <cellStyle name="_Currency_Sheet3" xfId="85"/>
    <cellStyle name="_Currency_Sheet3 2" xfId="86"/>
    <cellStyle name="_Currency_Sheet3 2 2" xfId="87"/>
    <cellStyle name="_Currency_Sheet3 3" xfId="88"/>
    <cellStyle name="_Currency_Sheet3_Abbott Model" xfId="89"/>
    <cellStyle name="_Currency_Sheet3_Abbott Model 2" xfId="90"/>
    <cellStyle name="_Currency_Sheet3_Book2" xfId="91"/>
    <cellStyle name="_Currency_Sheet3_Book2 2" xfId="92"/>
    <cellStyle name="_Currency_Sheet6" xfId="93"/>
    <cellStyle name="_Currency_Sheet6 2" xfId="94"/>
    <cellStyle name="_Currency_Sheet6 2 2" xfId="95"/>
    <cellStyle name="_Currency_Sheet6 3" xfId="96"/>
    <cellStyle name="_Currency_Sheet6_Abbott Model" xfId="97"/>
    <cellStyle name="_Currency_Sheet6_Abbott Model 2" xfId="98"/>
    <cellStyle name="_Currency_Sheet6_Book2" xfId="99"/>
    <cellStyle name="_Currency_Sheet6_Book2 2" xfId="100"/>
    <cellStyle name="_Currency_Snapshot" xfId="101"/>
    <cellStyle name="_Currency_Snapshot 2" xfId="102"/>
    <cellStyle name="_Currency_Snapshot 2 2" xfId="103"/>
    <cellStyle name="_Currency_Snapshot 3" xfId="104"/>
    <cellStyle name="_Currency_Snapshot_Abbott Model" xfId="105"/>
    <cellStyle name="_Currency_Snapshot_Abbott Model 2" xfId="106"/>
    <cellStyle name="_Currency_Snapshot_Book2" xfId="107"/>
    <cellStyle name="_Currency_Snapshot_Book2 2" xfId="108"/>
    <cellStyle name="_Currency_Special situation" xfId="109"/>
    <cellStyle name="_Currency_Special situation 2" xfId="110"/>
    <cellStyle name="_Currency_Special situation 2 2" xfId="111"/>
    <cellStyle name="_Currency_Special situation 3" xfId="112"/>
    <cellStyle name="_Currency_Special situation_Abbott Model" xfId="113"/>
    <cellStyle name="_Currency_Special situation_Abbott Model 2" xfId="114"/>
    <cellStyle name="_Currency_Special situation_Book2" xfId="115"/>
    <cellStyle name="_Currency_Special situation_Book2 2" xfId="116"/>
    <cellStyle name="_Currency_SSP" xfId="117"/>
    <cellStyle name="_Currency_SSP 2" xfId="118"/>
    <cellStyle name="_Currency_SSP 2 2" xfId="119"/>
    <cellStyle name="_Currency_SSP 3" xfId="120"/>
    <cellStyle name="_Currency_SSP_Abbott Model" xfId="121"/>
    <cellStyle name="_Currency_SSP_Abbott Model 2" xfId="122"/>
    <cellStyle name="_Currency_SSP_Book2" xfId="123"/>
    <cellStyle name="_Currency_SSP_Book2 2" xfId="124"/>
    <cellStyle name="_Currency_Taclonex - dovonex" xfId="125"/>
    <cellStyle name="_Currency_Taclonex - dovonex 2" xfId="126"/>
    <cellStyle name="_Currency_Taclonex - dovonex 2 2" xfId="127"/>
    <cellStyle name="_Currency_Taclonex - dovonex 3" xfId="128"/>
    <cellStyle name="_Currency_Taclonex - dovonex_Abbott Model" xfId="129"/>
    <cellStyle name="_Currency_Taclonex - dovonex_Abbott Model 2" xfId="130"/>
    <cellStyle name="_Currency_Taclonex - dovonex_Book2" xfId="131"/>
    <cellStyle name="_Currency_Taclonex - dovonex_Book2 2" xfId="132"/>
    <cellStyle name="_Currency_taro DSO 4-29-06" xfId="133"/>
    <cellStyle name="_Currency_taro DSO 4-29-06 2" xfId="134"/>
    <cellStyle name="_Currency_taro DSO 4-29-06 2 2" xfId="135"/>
    <cellStyle name="_Currency_taro DSO 4-29-06 3" xfId="136"/>
    <cellStyle name="_Currency_taro DSO 4-29-06_Abbott Model" xfId="137"/>
    <cellStyle name="_Currency_taro DSO 4-29-06_Abbott Model 2" xfId="138"/>
    <cellStyle name="_Currency_taro DSO 4-29-06_Book2" xfId="139"/>
    <cellStyle name="_Currency_taro DSO 4-29-06_Book2 2" xfId="140"/>
    <cellStyle name="_Currency_Tearsheet" xfId="141"/>
    <cellStyle name="_Currency_Tearsheet 2" xfId="142"/>
    <cellStyle name="_Currency_Tearsheet 2 2" xfId="143"/>
    <cellStyle name="_Currency_Tearsheet 3" xfId="144"/>
    <cellStyle name="_Currency_Tearsheet_Abbott Model" xfId="145"/>
    <cellStyle name="_Currency_Tearsheet_Abbott Model 2" xfId="146"/>
    <cellStyle name="_Currency_Tearsheet_Book2" xfId="147"/>
    <cellStyle name="_Currency_Tearsheet_Book2 2" xfId="148"/>
    <cellStyle name="_Currency_Testim" xfId="149"/>
    <cellStyle name="_Currency_Testim 2" xfId="150"/>
    <cellStyle name="_Currency_Testim 2 2" xfId="151"/>
    <cellStyle name="_Currency_Testim 3" xfId="152"/>
    <cellStyle name="_Currency_Testim_Abbott Model" xfId="153"/>
    <cellStyle name="_Currency_Testim_Abbott Model 2" xfId="154"/>
    <cellStyle name="_Currency_Testim_Book2" xfId="155"/>
    <cellStyle name="_Currency_Testim_Book2 2" xfId="156"/>
    <cellStyle name="_Currency_Teva - Qtrly IS" xfId="157"/>
    <cellStyle name="_Currency_Teva - Qtrly IS 2" xfId="158"/>
    <cellStyle name="_Currency_Teva - Qtrly IS 2 2" xfId="159"/>
    <cellStyle name="_Currency_Teva - Qtrly IS 3" xfId="160"/>
    <cellStyle name="_Currency_Teva - Qtrly IS_Abbott Model" xfId="161"/>
    <cellStyle name="_Currency_Teva - Qtrly IS_Abbott Model 2" xfId="162"/>
    <cellStyle name="_Currency_Teva - Qtrly IS_Book2" xfId="163"/>
    <cellStyle name="_Currency_Teva - Qtrly IS_Book2 2" xfId="164"/>
    <cellStyle name="_Currency_Teva main sheet" xfId="165"/>
    <cellStyle name="_Currency_Teva main sheet 2" xfId="166"/>
    <cellStyle name="_Currency_Teva main sheet 2 2" xfId="167"/>
    <cellStyle name="_Currency_Teva main sheet 3" xfId="168"/>
    <cellStyle name="_Currency_Teva main sheet_Abbott Model" xfId="169"/>
    <cellStyle name="_Currency_Teva main sheet_Abbott Model 2" xfId="170"/>
    <cellStyle name="_Currency_Teva main sheet_Book2" xfId="171"/>
    <cellStyle name="_Currency_Teva main sheet_Book2 2" xfId="172"/>
    <cellStyle name="_Currency_WC Ovcon forecast" xfId="173"/>
    <cellStyle name="_Currency_WC Ovcon forecast 2" xfId="174"/>
    <cellStyle name="_Currency_WC Ovcon forecast 2 2" xfId="175"/>
    <cellStyle name="_Currency_WC Ovcon forecast 3" xfId="176"/>
    <cellStyle name="_Currency_WC Ovcon forecast_Abbott Model" xfId="177"/>
    <cellStyle name="_Currency_WC Ovcon forecast_Abbott Model 2" xfId="178"/>
    <cellStyle name="_Currency_WC Ovcon forecast_Book2" xfId="179"/>
    <cellStyle name="_Currency_WC Ovcon forecast_Book2 2" xfId="180"/>
    <cellStyle name="_CurrencySpace" xfId="181"/>
    <cellStyle name="_CurrencySpace 2" xfId="182"/>
    <cellStyle name="_CurrencySpace 2 2" xfId="183"/>
    <cellStyle name="_CurrencySpace 3" xfId="184"/>
    <cellStyle name="_CurrencySpace_EEEE" xfId="185"/>
    <cellStyle name="_CurrencySpace_EEEE 2" xfId="186"/>
    <cellStyle name="_CurrencySpace_EEEE 2 2" xfId="187"/>
    <cellStyle name="_CurrencySpace_EEEE 3" xfId="188"/>
    <cellStyle name="_CurrencySpace_EEEE_Abbott Model" xfId="189"/>
    <cellStyle name="_CurrencySpace_EEEE_Abbott Model 2" xfId="190"/>
    <cellStyle name="_CurrencySpace_EEEE_Book2" xfId="191"/>
    <cellStyle name="_CurrencySpace_EEEE_Book2 2" xfId="192"/>
    <cellStyle name="_CurrencySpace_GCI" xfId="193"/>
    <cellStyle name="_CurrencySpace_GCI 2" xfId="194"/>
    <cellStyle name="_CurrencySpace_GCI 2 2" xfId="195"/>
    <cellStyle name="_CurrencySpace_GCI 3" xfId="196"/>
    <cellStyle name="_CurrencySpace_MNST" xfId="197"/>
    <cellStyle name="_CurrencySpace_MNST 2" xfId="198"/>
    <cellStyle name="_CurrencySpace_MNST 2 2" xfId="199"/>
    <cellStyle name="_CurrencySpace_MNST 3" xfId="200"/>
    <cellStyle name="_CurrencySpace_MNST_Abbott Model" xfId="201"/>
    <cellStyle name="_CurrencySpace_MNST_Abbott Model 2" xfId="202"/>
    <cellStyle name="_CurrencySpace_MNST_Book2" xfId="203"/>
    <cellStyle name="_CurrencySpace_MNST_Book2 2" xfId="204"/>
    <cellStyle name="_CurrencySpace_SSP" xfId="205"/>
    <cellStyle name="_CurrencySpace_SSP 2" xfId="206"/>
    <cellStyle name="_CurrencySpace_SSP 2 2" xfId="207"/>
    <cellStyle name="_CurrencySpace_SSP 3" xfId="208"/>
    <cellStyle name="_DCF" xfId="209"/>
    <cellStyle name="_EEEE" xfId="210"/>
    <cellStyle name="_EEEE_BMY DCF" xfId="211"/>
    <cellStyle name="_EEEE_BMY DCF 2" xfId="212"/>
    <cellStyle name="_EEEE_BMY DCF_Income Statement" xfId="213"/>
    <cellStyle name="_EEEE_BMY DCF_Sales Model" xfId="214"/>
    <cellStyle name="_EEEE_BMY for Client" xfId="215"/>
    <cellStyle name="_EEEE_BMY for Client 2" xfId="216"/>
    <cellStyle name="_EEEE_BMY for Client_Income Statement" xfId="217"/>
    <cellStyle name="_EEEE_BMY for Client_Sales Model" xfId="218"/>
    <cellStyle name="_EEEE_BMY working" xfId="219"/>
    <cellStyle name="_EEEE_BMY working 2" xfId="220"/>
    <cellStyle name="_EEEE_BMY working_Income Statement" xfId="221"/>
    <cellStyle name="_EEEE_BMY working_Sales Model" xfId="222"/>
    <cellStyle name="_EEEE_CF" xfId="223"/>
    <cellStyle name="_EEEE_CF 2" xfId="224"/>
    <cellStyle name="_EEEE_CF_Income Statement" xfId="225"/>
    <cellStyle name="_EEEE_CF_Sales Model" xfId="226"/>
    <cellStyle name="_EEEE_Check" xfId="227"/>
    <cellStyle name="_EEEE_Check 2" xfId="228"/>
    <cellStyle name="_EEEE_Check_Income Statement" xfId="229"/>
    <cellStyle name="_EEEE_Check_Sales Model" xfId="230"/>
    <cellStyle name="_EEEE_JNJ DCF" xfId="231"/>
    <cellStyle name="_EEEE_JNJ DCF 2" xfId="232"/>
    <cellStyle name="_EEEE_JNJ DCF published 8.13.2009" xfId="233"/>
    <cellStyle name="_EEEE_JNJ DCF published 8.13.2009 2" xfId="234"/>
    <cellStyle name="_EEEE_JNJ DCF published 8.13.2009_Income Statement" xfId="235"/>
    <cellStyle name="_EEEE_JNJ DCF published 8.13.2009_Sales Model" xfId="236"/>
    <cellStyle name="_EEEE_JNJ DCF_Income Statement" xfId="237"/>
    <cellStyle name="_EEEE_JNJ DCF_Sales Model" xfId="238"/>
    <cellStyle name="_EEEE_LC Rx trend vs est" xfId="239"/>
    <cellStyle name="_EEEE_LC Rx trend vs est 2" xfId="240"/>
    <cellStyle name="_EEEE_LC Rx trend vs est_Income Statement" xfId="241"/>
    <cellStyle name="_EEEE_LC Rx trend vs est_Sales Model" xfId="242"/>
    <cellStyle name="_EEEE_LLY working" xfId="243"/>
    <cellStyle name="_EEEE_LLY working 2" xfId="244"/>
    <cellStyle name="_EEEE_LLY working_Income Statement" xfId="245"/>
    <cellStyle name="_EEEE_LLY working_Sales Model" xfId="246"/>
    <cellStyle name="_EEEE_PFE working" xfId="247"/>
    <cellStyle name="_EEEE_PFE working 2" xfId="248"/>
    <cellStyle name="_EEEE_PFE working_Income Statement" xfId="249"/>
    <cellStyle name="_EEEE_PFE working_Sales Model" xfId="250"/>
    <cellStyle name="_Euro" xfId="251"/>
    <cellStyle name="_Euro 2" xfId="252"/>
    <cellStyle name="_Euro 2 2" xfId="253"/>
    <cellStyle name="_Euro 3" xfId="254"/>
    <cellStyle name="_Euro_Abbott Model" xfId="255"/>
    <cellStyle name="_Euro_Abbott Model 2" xfId="256"/>
    <cellStyle name="_Euro_Book2" xfId="257"/>
    <cellStyle name="_Euro_Book2 2" xfId="258"/>
    <cellStyle name="_GCI" xfId="259"/>
    <cellStyle name="_GCI 2" xfId="260"/>
    <cellStyle name="_GCI 2 2" xfId="261"/>
    <cellStyle name="_GCI 3" xfId="262"/>
    <cellStyle name="_Heading" xfId="263"/>
    <cellStyle name="_Heading_BMY DCF" xfId="264"/>
    <cellStyle name="_Heading_BMY DCF 2" xfId="265"/>
    <cellStyle name="_Heading_BMY DCF_Income Statement" xfId="266"/>
    <cellStyle name="_Heading_BMY DCF_Sales Model" xfId="267"/>
    <cellStyle name="_Heading_BMY for Client" xfId="268"/>
    <cellStyle name="_Heading_BMY for Client 2" xfId="269"/>
    <cellStyle name="_Heading_BMY for Client_Income Statement" xfId="270"/>
    <cellStyle name="_Heading_BMY for Client_Sales Model" xfId="271"/>
    <cellStyle name="_Heading_BMY working" xfId="272"/>
    <cellStyle name="_Heading_BMY working 2" xfId="273"/>
    <cellStyle name="_Heading_BMY working_Income Statement" xfId="274"/>
    <cellStyle name="_Heading_BMY working_Sales Model" xfId="275"/>
    <cellStyle name="_Heading_CF" xfId="276"/>
    <cellStyle name="_Heading_CF 2" xfId="277"/>
    <cellStyle name="_Heading_CF_Income Statement" xfId="278"/>
    <cellStyle name="_Heading_CF_Sales Model" xfId="279"/>
    <cellStyle name="_Heading_Check" xfId="280"/>
    <cellStyle name="_Heading_Check 2" xfId="281"/>
    <cellStyle name="_Heading_Check_Sales Model" xfId="282"/>
    <cellStyle name="_Heading_JNJ DCF" xfId="283"/>
    <cellStyle name="_Heading_JNJ DCF 2" xfId="284"/>
    <cellStyle name="_Heading_JNJ DCF published 8.13.2009" xfId="285"/>
    <cellStyle name="_Heading_JNJ DCF published 8.13.2009 2" xfId="286"/>
    <cellStyle name="_Heading_JNJ DCF published 8.13.2009_Sales Model" xfId="287"/>
    <cellStyle name="_Heading_JNJ DCF_Sales Model" xfId="288"/>
    <cellStyle name="_Heading_LC Rx trend vs est" xfId="289"/>
    <cellStyle name="_Heading_LC Rx trend vs est 2" xfId="290"/>
    <cellStyle name="_Heading_LC Rx trend vs est_Sales Model" xfId="291"/>
    <cellStyle name="_Heading_LLY working" xfId="292"/>
    <cellStyle name="_Heading_LLY working 2" xfId="293"/>
    <cellStyle name="_Heading_LLY working_Sales Model" xfId="294"/>
    <cellStyle name="_Heading_PFE working" xfId="295"/>
    <cellStyle name="_Heading_PFE working 2" xfId="296"/>
    <cellStyle name="_Heading_PFE working_Sales Model" xfId="297"/>
    <cellStyle name="_Highlight" xfId="298"/>
    <cellStyle name="_Highlight 2" xfId="299"/>
    <cellStyle name="_Highlight 2 2" xfId="300"/>
    <cellStyle name="_Highlight 3" xfId="301"/>
    <cellStyle name="_India Strategic Partner DCF model - DN" xfId="302"/>
    <cellStyle name="_India Strategic Partner DCF model - DN 2" xfId="303"/>
    <cellStyle name="_India Strategic Partner DCF model - DN_Q1'10 Product Revenues - By BU &amp; Geo" xfId="304"/>
    <cellStyle name="_India Strategic Partner DCF model - DN_Q1'10 Product Revenues - By BU &amp; Geo 2" xfId="305"/>
    <cellStyle name="_MNST" xfId="306"/>
    <cellStyle name="_MNST_BMY DCF" xfId="307"/>
    <cellStyle name="_MNST_BMY DCF 2" xfId="308"/>
    <cellStyle name="_MNST_BMY DCF_Sales Model" xfId="309"/>
    <cellStyle name="_MNST_BMY for Client" xfId="310"/>
    <cellStyle name="_MNST_BMY for Client 2" xfId="311"/>
    <cellStyle name="_MNST_BMY for Client_Sales Model" xfId="312"/>
    <cellStyle name="_MNST_BMY working" xfId="313"/>
    <cellStyle name="_MNST_BMY working 2" xfId="314"/>
    <cellStyle name="_MNST_BMY working_Sales Model" xfId="315"/>
    <cellStyle name="_MNST_CF" xfId="316"/>
    <cellStyle name="_MNST_CF 2" xfId="317"/>
    <cellStyle name="_MNST_CF_Sales Model" xfId="318"/>
    <cellStyle name="_MNST_Check" xfId="319"/>
    <cellStyle name="_MNST_Check 2" xfId="320"/>
    <cellStyle name="_MNST_Check_Sales Model" xfId="321"/>
    <cellStyle name="_MNST_JNJ DCF" xfId="322"/>
    <cellStyle name="_MNST_JNJ DCF 2" xfId="323"/>
    <cellStyle name="_MNST_JNJ DCF published 8.13.2009" xfId="324"/>
    <cellStyle name="_MNST_JNJ DCF published 8.13.2009 2" xfId="325"/>
    <cellStyle name="_MNST_JNJ DCF published 8.13.2009_Sales Model" xfId="326"/>
    <cellStyle name="_MNST_JNJ DCF_Sales Model" xfId="327"/>
    <cellStyle name="_MNST_LC Rx trend vs est" xfId="328"/>
    <cellStyle name="_MNST_LC Rx trend vs est 2" xfId="329"/>
    <cellStyle name="_MNST_LC Rx trend vs est_Sales Model" xfId="330"/>
    <cellStyle name="_MNST_LLY working" xfId="331"/>
    <cellStyle name="_MNST_LLY working 2" xfId="332"/>
    <cellStyle name="_MNST_LLY working_Sales Model" xfId="333"/>
    <cellStyle name="_MNST_PFE working" xfId="334"/>
    <cellStyle name="_MNST_PFE working 2" xfId="335"/>
    <cellStyle name="_MNST_PFE working_Sales Model" xfId="336"/>
    <cellStyle name="_msft-dcf" xfId="337"/>
    <cellStyle name="_Multiple" xfId="338"/>
    <cellStyle name="_Multiple 2" xfId="339"/>
    <cellStyle name="_Multiple 2 2" xfId="340"/>
    <cellStyle name="_Multiple 3" xfId="341"/>
    <cellStyle name="_Multiple_1 Loestrin 24" xfId="342"/>
    <cellStyle name="_Multiple_1 Loestrin 24 2" xfId="343"/>
    <cellStyle name="_Multiple_1 Loestrin 24 2 2" xfId="344"/>
    <cellStyle name="_Multiple_1 Loestrin 24 3" xfId="345"/>
    <cellStyle name="_Multiple_1 Loestrin 24_Abbott Model" xfId="346"/>
    <cellStyle name="_Multiple_1 Loestrin 24_Abbott Model 2" xfId="347"/>
    <cellStyle name="_Multiple_1 Loestrin 24_Book2" xfId="348"/>
    <cellStyle name="_Multiple_1 Loestrin 24_Book2 2" xfId="349"/>
    <cellStyle name="_Multiple_1 Ovcon" xfId="350"/>
    <cellStyle name="_Multiple_1 Ovcon 2" xfId="351"/>
    <cellStyle name="_Multiple_1 Ovcon 2 2" xfId="352"/>
    <cellStyle name="_Multiple_1 Ovcon 3" xfId="353"/>
    <cellStyle name="_Multiple_1 Ovcon_Abbott Model" xfId="354"/>
    <cellStyle name="_Multiple_1 Ovcon_Abbott Model 2" xfId="355"/>
    <cellStyle name="_Multiple_1 Ovcon_Book2" xfId="356"/>
    <cellStyle name="_Multiple_1 Ovcon_Book2 2" xfId="357"/>
    <cellStyle name="_Multiple_1 Taclonex" xfId="358"/>
    <cellStyle name="_Multiple_1 Taclonex 2" xfId="359"/>
    <cellStyle name="_Multiple_1 Taclonex 2 2" xfId="360"/>
    <cellStyle name="_Multiple_1 Taclonex 3" xfId="361"/>
    <cellStyle name="_Multiple_1 Taclonex_Abbott Model" xfId="362"/>
    <cellStyle name="_Multiple_1 Taclonex_Abbott Model 2" xfId="363"/>
    <cellStyle name="_Multiple_1 Taclonex_Book2" xfId="364"/>
    <cellStyle name="_Multiple_1 Taclonex_Book2 2" xfId="365"/>
    <cellStyle name="_Multiple_4VAL DCF2" xfId="366"/>
    <cellStyle name="_Multiple_4VAL DCF2 2" xfId="367"/>
    <cellStyle name="_Multiple_4VAL DCF2 2 2" xfId="368"/>
    <cellStyle name="_Multiple_4VAL DCF2 3" xfId="369"/>
    <cellStyle name="_Multiple_4VAL DCF2_Abbott Model" xfId="370"/>
    <cellStyle name="_Multiple_4VAL DCF2_Abbott Model 2" xfId="371"/>
    <cellStyle name="_Multiple_4VAL DCF2_Book2" xfId="372"/>
    <cellStyle name="_Multiple_4VAL DCF2_Book2 2" xfId="373"/>
    <cellStyle name="_Multiple_Abbott Model" xfId="374"/>
    <cellStyle name="_Multiple_Abbott Model 2" xfId="375"/>
    <cellStyle name="_Multiple_Actiq" xfId="376"/>
    <cellStyle name="_Multiple_Actiq 2" xfId="377"/>
    <cellStyle name="_Multiple_Actiq 2 2" xfId="378"/>
    <cellStyle name="_Multiple_Actiq 3" xfId="379"/>
    <cellStyle name="_Multiple_Actiq_Abbott Model" xfId="380"/>
    <cellStyle name="_Multiple_Actiq_Abbott Model 2" xfId="381"/>
    <cellStyle name="_Multiple_Actiq_Book2" xfId="382"/>
    <cellStyle name="_Multiple_Actiq_Book2 2" xfId="383"/>
    <cellStyle name="_Multiple_Agis" xfId="384"/>
    <cellStyle name="_Multiple_Agis 2" xfId="385"/>
    <cellStyle name="_Multiple_Agis 2 2" xfId="386"/>
    <cellStyle name="_Multiple_Agis 3" xfId="387"/>
    <cellStyle name="_Multiple_Agis_Abbott Model" xfId="388"/>
    <cellStyle name="_Multiple_Agis_Abbott Model 2" xfId="389"/>
    <cellStyle name="_Multiple_Agis_Book2" xfId="390"/>
    <cellStyle name="_Multiple_Agis_Book2 2" xfId="391"/>
    <cellStyle name="_Multiple_ANDAs" xfId="392"/>
    <cellStyle name="_Multiple_ANDAs 2" xfId="393"/>
    <cellStyle name="_Multiple_ANDAs 2 2" xfId="394"/>
    <cellStyle name="_Multiple_ANDAs 3" xfId="395"/>
    <cellStyle name="_Multiple_ANDAs summary sheet" xfId="396"/>
    <cellStyle name="_Multiple_ANDAs summary sheet 2" xfId="397"/>
    <cellStyle name="_Multiple_ANDAs summary sheet 2 2" xfId="398"/>
    <cellStyle name="_Multiple_ANDAs summary sheet 3" xfId="399"/>
    <cellStyle name="_Multiple_ANDAs summary sheet_Abbott Model" xfId="400"/>
    <cellStyle name="_Multiple_ANDAs summary sheet_Abbott Model 2" xfId="401"/>
    <cellStyle name="_Multiple_ANDAs summary sheet_Book2" xfId="402"/>
    <cellStyle name="_Multiple_ANDAs summary sheet_Book2 2" xfId="403"/>
    <cellStyle name="_Multiple_ANDAs_Abbott Model" xfId="404"/>
    <cellStyle name="_Multiple_ANDAs_Abbott Model 2" xfId="405"/>
    <cellStyle name="_Multiple_ANDAs_Book2" xfId="406"/>
    <cellStyle name="_Multiple_ANDAs_Book2 2" xfId="407"/>
    <cellStyle name="_Multiple_ANDRX DDT" xfId="408"/>
    <cellStyle name="_Multiple_ANDRX DDT 2" xfId="409"/>
    <cellStyle name="_Multiple_ANDRX DDT 2 2" xfId="410"/>
    <cellStyle name="_Multiple_ANDRX DDT 3" xfId="411"/>
    <cellStyle name="_Multiple_ANDRX DDT_Abbott Model" xfId="412"/>
    <cellStyle name="_Multiple_ANDRX DDT_Abbott Model 2" xfId="413"/>
    <cellStyle name="_Multiple_ANDRX DDT_Book2" xfId="414"/>
    <cellStyle name="_Multiple_ANDRX DDT_Book2 2" xfId="415"/>
    <cellStyle name="_Multiple_Book2" xfId="416"/>
    <cellStyle name="_Multiple_Book2 2" xfId="417"/>
    <cellStyle name="_Multiple_CAPEX spend" xfId="418"/>
    <cellStyle name="_Multiple_CAPEX spend 2" xfId="419"/>
    <cellStyle name="_Multiple_CAPEX spend 2 2" xfId="420"/>
    <cellStyle name="_Multiple_CAPEX spend 3" xfId="421"/>
    <cellStyle name="_Multiple_CAPEX spend_Abbott Model" xfId="422"/>
    <cellStyle name="_Multiple_CAPEX spend_Abbott Model 2" xfId="423"/>
    <cellStyle name="_Multiple_CAPEX spend_Book2" xfId="424"/>
    <cellStyle name="_Multiple_CAPEX spend_Book2 2" xfId="425"/>
    <cellStyle name="_Multiple_Consolidation" xfId="426"/>
    <cellStyle name="_Multiple_Consolidation 2" xfId="427"/>
    <cellStyle name="_Multiple_Consolidation 2 2" xfId="428"/>
    <cellStyle name="_Multiple_Consolidation 3" xfId="429"/>
    <cellStyle name="_Multiple_Consolidation_Abbott Model" xfId="430"/>
    <cellStyle name="_Multiple_Consolidation_Abbott Model 2" xfId="431"/>
    <cellStyle name="_Multiple_Consolidation_Book2" xfId="432"/>
    <cellStyle name="_Multiple_Consolidation_Book2 2" xfId="433"/>
    <cellStyle name="_Multiple_Debt schedule" xfId="434"/>
    <cellStyle name="_Multiple_Debt schedule 2" xfId="435"/>
    <cellStyle name="_Multiple_Debt schedule 2 2" xfId="436"/>
    <cellStyle name="_Multiple_Debt schedule 3" xfId="437"/>
    <cellStyle name="_Multiple_Debt schedule_Abbott Model" xfId="438"/>
    <cellStyle name="_Multiple_Debt schedule_Abbott Model 2" xfId="439"/>
    <cellStyle name="_Multiple_Debt schedule_Book2" xfId="440"/>
    <cellStyle name="_Multiple_Debt schedule_Book2 2" xfId="441"/>
    <cellStyle name="_Multiple_DSO" xfId="442"/>
    <cellStyle name="_Multiple_DSO 2" xfId="443"/>
    <cellStyle name="_Multiple_DSO 2 2" xfId="444"/>
    <cellStyle name="_Multiple_DSO 3" xfId="445"/>
    <cellStyle name="_Multiple_DSO_Abbott Model" xfId="446"/>
    <cellStyle name="_Multiple_DSO_Abbott Model 2" xfId="447"/>
    <cellStyle name="_Multiple_DSO_Book2" xfId="448"/>
    <cellStyle name="_Multiple_DSO_Book2 2" xfId="449"/>
    <cellStyle name="_Multiple_EEEE" xfId="450"/>
    <cellStyle name="_Multiple_EEEE 2" xfId="451"/>
    <cellStyle name="_Multiple_EEEE 2 2" xfId="452"/>
    <cellStyle name="_Multiple_EEEE 3" xfId="453"/>
    <cellStyle name="_Multiple_EEEE_Abbott Model" xfId="454"/>
    <cellStyle name="_Multiple_EEEE_Abbott Model 2" xfId="455"/>
    <cellStyle name="_Multiple_EEEE_Book2" xfId="456"/>
    <cellStyle name="_Multiple_EEEE_Book2 2" xfId="457"/>
    <cellStyle name="_Multiple_EPS revision" xfId="458"/>
    <cellStyle name="_Multiple_EPS revision 2" xfId="459"/>
    <cellStyle name="_Multiple_EPS revision 2 2" xfId="460"/>
    <cellStyle name="_Multiple_EPS revision 3" xfId="461"/>
    <cellStyle name="_Multiple_EPS revision_Abbott Model" xfId="462"/>
    <cellStyle name="_Multiple_EPS revision_Abbott Model 2" xfId="463"/>
    <cellStyle name="_Multiple_EPS revision_Book2" xfId="464"/>
    <cellStyle name="_Multiple_EPS revision_Book2 2" xfId="465"/>
    <cellStyle name="_Multiple_EPS sensitivity" xfId="466"/>
    <cellStyle name="_Multiple_EPS sensitivity 2" xfId="467"/>
    <cellStyle name="_Multiple_EPS sensitivity 2 2" xfId="468"/>
    <cellStyle name="_Multiple_EPS sensitivity 3" xfId="469"/>
    <cellStyle name="_Multiple_EPS sensitivity_Abbott Model" xfId="470"/>
    <cellStyle name="_Multiple_EPS sensitivity_Abbott Model 2" xfId="471"/>
    <cellStyle name="_Multiple_EPS sensitivity_Book2" xfId="472"/>
    <cellStyle name="_Multiple_EPS sensitivity_Book2 2" xfId="473"/>
    <cellStyle name="_Multiple_FBANDAs" xfId="474"/>
    <cellStyle name="_Multiple_FBANDAs 2" xfId="475"/>
    <cellStyle name="_Multiple_FBANDAs 2 2" xfId="476"/>
    <cellStyle name="_Multiple_FBANDAs 3" xfId="477"/>
    <cellStyle name="_Multiple_FBANDAs_Abbott Model" xfId="478"/>
    <cellStyle name="_Multiple_FBANDAs_Abbott Model 2" xfId="479"/>
    <cellStyle name="_Multiple_FBANDAs_Book2" xfId="480"/>
    <cellStyle name="_Multiple_FBANDAs_Book2 2" xfId="481"/>
    <cellStyle name="_Multiple_Ferrlecit" xfId="482"/>
    <cellStyle name="_Multiple_Ferrlecit 2" xfId="483"/>
    <cellStyle name="_Multiple_Ferrlecit 2 2" xfId="484"/>
    <cellStyle name="_Multiple_Ferrlecit 3" xfId="485"/>
    <cellStyle name="_Multiple_Ferrlecit_Abbott Model" xfId="486"/>
    <cellStyle name="_Multiple_Ferrlecit_Abbott Model 2" xfId="487"/>
    <cellStyle name="_Multiple_Ferrlecit_Book2" xfId="488"/>
    <cellStyle name="_Multiple_Ferrlecit_Book2 2" xfId="489"/>
    <cellStyle name="_Multiple_For charts" xfId="490"/>
    <cellStyle name="_Multiple_For charts 2" xfId="491"/>
    <cellStyle name="_Multiple_For charts 2 2" xfId="492"/>
    <cellStyle name="_Multiple_For charts 3" xfId="493"/>
    <cellStyle name="_Multiple_For charts_Abbott Model" xfId="494"/>
    <cellStyle name="_Multiple_For charts_Abbott Model 2" xfId="495"/>
    <cellStyle name="_Multiple_For charts_Book2" xfId="496"/>
    <cellStyle name="_Multiple_For charts_Book2 2" xfId="497"/>
    <cellStyle name="_Multiple_GCI" xfId="498"/>
    <cellStyle name="_Multiple_GCI 2" xfId="499"/>
    <cellStyle name="_Multiple_GCI 2 2" xfId="500"/>
    <cellStyle name="_Multiple_GCI 3" xfId="501"/>
    <cellStyle name="_Multiple_GCI_Abbott Model" xfId="502"/>
    <cellStyle name="_Multiple_GCI_Abbott Model 2" xfId="503"/>
    <cellStyle name="_Multiple_GCI_Book2" xfId="504"/>
    <cellStyle name="_Multiple_GCI_Book2 2" xfId="505"/>
    <cellStyle name="_Multiple_Gen pipe" xfId="506"/>
    <cellStyle name="_Multiple_Gen pipe 2" xfId="507"/>
    <cellStyle name="_Multiple_Gen pipe 2 2" xfId="508"/>
    <cellStyle name="_Multiple_Gen pipe 3" xfId="509"/>
    <cellStyle name="_Multiple_Gen pipe_Abbott Model" xfId="510"/>
    <cellStyle name="_Multiple_Gen pipe_Abbott Model 2" xfId="511"/>
    <cellStyle name="_Multiple_Gen pipe_Book2" xfId="512"/>
    <cellStyle name="_Multiple_Gen pipe_Book2 2" xfId="513"/>
    <cellStyle name="_Multiple_Gross Margin" xfId="514"/>
    <cellStyle name="_Multiple_Gross Margin 2" xfId="515"/>
    <cellStyle name="_Multiple_Gross Margin 2 2" xfId="516"/>
    <cellStyle name="_Multiple_Gross Margin 3" xfId="517"/>
    <cellStyle name="_Multiple_Gross Margin_Abbott Model" xfId="518"/>
    <cellStyle name="_Multiple_Gross Margin_Abbott Model 2" xfId="519"/>
    <cellStyle name="_Multiple_Gross Margin_Book2" xfId="520"/>
    <cellStyle name="_Multiple_Gross Margin_Book2 2" xfId="521"/>
    <cellStyle name="_Multiple_GS_McFadden_CRL_4-1-05 RS" xfId="522"/>
    <cellStyle name="_Multiple_GS_McFadden_CRL_4-1-05 RS 2" xfId="523"/>
    <cellStyle name="_Multiple_GS_McFadden_CRL_4-1-05 RS 2 2" xfId="524"/>
    <cellStyle name="_Multiple_GS_McFadden_CRL_4-1-05 RS 3" xfId="525"/>
    <cellStyle name="_Multiple_GS_McFadden_CRL_4-1-05 RS_Abbott Model" xfId="526"/>
    <cellStyle name="_Multiple_GS_McFadden_CRL_4-1-05 RS_Abbott Model 2" xfId="527"/>
    <cellStyle name="_Multiple_GS_McFadden_CRL_4-1-05 RS_Book2" xfId="528"/>
    <cellStyle name="_Multiple_GS_McFadden_CRL_4-1-05 RS_Book2 2" xfId="529"/>
    <cellStyle name="_Multiple_GS_MDZ_ MASTER model 4-01-05 RS" xfId="530"/>
    <cellStyle name="_Multiple_GS_MDZ_ MASTER model 4-01-05 RS 2" xfId="531"/>
    <cellStyle name="_Multiple_GS_MDZ_ MASTER model 4-01-05 RS 2 2" xfId="532"/>
    <cellStyle name="_Multiple_GS_MDZ_ MASTER model 4-01-05 RS 3" xfId="533"/>
    <cellStyle name="_Multiple_GS_MDZ_ MASTER model 4-01-05 RS_Abbott Model" xfId="534"/>
    <cellStyle name="_Multiple_GS_MDZ_ MASTER model 4-01-05 RS_Abbott Model 2" xfId="535"/>
    <cellStyle name="_Multiple_GS_MDZ_ MASTER model 4-01-05 RS_Book2" xfId="536"/>
    <cellStyle name="_Multiple_GS_MDZ_ MASTER model 4-01-05 RS_Book2 2" xfId="537"/>
    <cellStyle name="_Multiple_Indian companies" xfId="538"/>
    <cellStyle name="_Multiple_Indian companies 2" xfId="539"/>
    <cellStyle name="_Multiple_Indian companies 2 2" xfId="540"/>
    <cellStyle name="_Multiple_Indian companies 3" xfId="541"/>
    <cellStyle name="_Multiple_Indian companies_Abbott Model" xfId="542"/>
    <cellStyle name="_Multiple_Indian companies_Abbott Model 2" xfId="543"/>
    <cellStyle name="_Multiple_Indian companies_Book2" xfId="544"/>
    <cellStyle name="_Multiple_Indian companies_Book2 2" xfId="545"/>
    <cellStyle name="_Multiple_Key poduct model" xfId="546"/>
    <cellStyle name="_Multiple_Key poduct model 2" xfId="547"/>
    <cellStyle name="_Multiple_Key poduct model 2 2" xfId="548"/>
    <cellStyle name="_Multiple_Key poduct model 3" xfId="549"/>
    <cellStyle name="_Multiple_Key poduct model_Abbott Model" xfId="550"/>
    <cellStyle name="_Multiple_Key poduct model_Abbott Model 2" xfId="551"/>
    <cellStyle name="_Multiple_Key poduct model_Book2" xfId="552"/>
    <cellStyle name="_Multiple_Key poduct model_Book2 2" xfId="553"/>
    <cellStyle name="_Multiple_Loestrin 24" xfId="554"/>
    <cellStyle name="_Multiple_Loestrin 24 2" xfId="555"/>
    <cellStyle name="_Multiple_Loestrin 24 2 2" xfId="556"/>
    <cellStyle name="_Multiple_Loestrin 24 3" xfId="557"/>
    <cellStyle name="_Multiple_Loestrin 24_Abbott Model" xfId="558"/>
    <cellStyle name="_Multiple_Loestrin 24_Abbott Model 2" xfId="559"/>
    <cellStyle name="_Multiple_Loestrin 24_Book2" xfId="560"/>
    <cellStyle name="_Multiple_Loestrin 24_Book2 2" xfId="561"/>
    <cellStyle name="_Multiple_major holders 5-04" xfId="562"/>
    <cellStyle name="_Multiple_major holders 5-04 2" xfId="563"/>
    <cellStyle name="_Multiple_major holders 5-04 2 2" xfId="564"/>
    <cellStyle name="_Multiple_major holders 5-04 3" xfId="565"/>
    <cellStyle name="_Multiple_major holders 5-04_Abbott Model" xfId="566"/>
    <cellStyle name="_Multiple_major holders 5-04_Abbott Model 2" xfId="567"/>
    <cellStyle name="_Multiple_major holders 5-04_Book2" xfId="568"/>
    <cellStyle name="_Multiple_major holders 5-04_Book2 2" xfId="569"/>
    <cellStyle name="_Multiple_Megace channel data" xfId="570"/>
    <cellStyle name="_Multiple_Megace channel data 2" xfId="571"/>
    <cellStyle name="_Multiple_Megace channel data 2 2" xfId="572"/>
    <cellStyle name="_Multiple_Megace channel data 3" xfId="573"/>
    <cellStyle name="_Multiple_Megace channel data_Abbott Model" xfId="574"/>
    <cellStyle name="_Multiple_Megace channel data_Abbott Model 2" xfId="575"/>
    <cellStyle name="_Multiple_Megace channel data_Book2" xfId="576"/>
    <cellStyle name="_Multiple_Megace channel data_Book2 2" xfId="577"/>
    <cellStyle name="_Multiple_Megace ES estimates" xfId="578"/>
    <cellStyle name="_Multiple_Megace ES estimates 2" xfId="579"/>
    <cellStyle name="_Multiple_Megace ES estimates 2 2" xfId="580"/>
    <cellStyle name="_Multiple_Megace ES estimates 3" xfId="581"/>
    <cellStyle name="_Multiple_Megace ES estimates_Abbott Model" xfId="582"/>
    <cellStyle name="_Multiple_Megace ES estimates_Abbott Model 2" xfId="583"/>
    <cellStyle name="_Multiple_Megace ES estimates_Book2" xfId="584"/>
    <cellStyle name="_Multiple_Megace ES estimates_Book2 2" xfId="585"/>
    <cellStyle name="_Multiple_Megace ES sales data" xfId="586"/>
    <cellStyle name="_Multiple_Megace ES sales data 2" xfId="587"/>
    <cellStyle name="_Multiple_Megace ES sales data 2 2" xfId="588"/>
    <cellStyle name="_Multiple_Megace ES sales data 3" xfId="589"/>
    <cellStyle name="_Multiple_Megace ES sales data_Abbott Model" xfId="590"/>
    <cellStyle name="_Multiple_Megace ES sales data_Abbott Model 2" xfId="591"/>
    <cellStyle name="_Multiple_Megace ES sales data_Book2" xfId="592"/>
    <cellStyle name="_Multiple_Megace ES sales data_Book2 2" xfId="593"/>
    <cellStyle name="_Multiple_Megace Market IMS" xfId="594"/>
    <cellStyle name="_Multiple_Megace Market IMS 2" xfId="595"/>
    <cellStyle name="_Multiple_Megace Market IMS 2 2" xfId="596"/>
    <cellStyle name="_Multiple_Megace Market IMS 3" xfId="597"/>
    <cellStyle name="_Multiple_Megace Market IMS_Abbott Model" xfId="598"/>
    <cellStyle name="_Multiple_Megace Market IMS_Abbott Model 2" xfId="599"/>
    <cellStyle name="_Multiple_Megace Market IMS_Book2" xfId="600"/>
    <cellStyle name="_Multiple_Megace Market IMS_Book2 2" xfId="601"/>
    <cellStyle name="_Multiple_Megace NRx weekly" xfId="602"/>
    <cellStyle name="_Multiple_Megace NRx weekly 2" xfId="603"/>
    <cellStyle name="_Multiple_Megace NRx weekly 2 2" xfId="604"/>
    <cellStyle name="_Multiple_Megace NRx weekly 3" xfId="605"/>
    <cellStyle name="_Multiple_Megace NRx weekly_Abbott Model" xfId="606"/>
    <cellStyle name="_Multiple_Megace NRx weekly_Abbott Model 2" xfId="607"/>
    <cellStyle name="_Multiple_Megace NRx weekly_Book2" xfId="608"/>
    <cellStyle name="_Multiple_Megace NRx weekly_Book2 2" xfId="609"/>
    <cellStyle name="_Multiple_Megace TRx weekly" xfId="610"/>
    <cellStyle name="_Multiple_Megace TRx weekly 2" xfId="611"/>
    <cellStyle name="_Multiple_Megace TRx weekly 2 2" xfId="612"/>
    <cellStyle name="_Multiple_Megace TRx weekly 3" xfId="613"/>
    <cellStyle name="_Multiple_Megace TRx weekly_Abbott Model" xfId="614"/>
    <cellStyle name="_Multiple_Megace TRx weekly_Abbott Model 2" xfId="615"/>
    <cellStyle name="_Multiple_Megace TRx weekly_Book2" xfId="616"/>
    <cellStyle name="_Multiple_Megace TRx weekly_Book2 2" xfId="617"/>
    <cellStyle name="_Multiple_MNST" xfId="618"/>
    <cellStyle name="_Multiple_MNST 2" xfId="619"/>
    <cellStyle name="_Multiple_MNST 2 2" xfId="620"/>
    <cellStyle name="_Multiple_MNST 3" xfId="621"/>
    <cellStyle name="_Multiple_MNST_Abbott Model" xfId="622"/>
    <cellStyle name="_Multiple_MNST_Abbott Model 2" xfId="623"/>
    <cellStyle name="_Multiple_MNST_Book2" xfId="624"/>
    <cellStyle name="_Multiple_MNST_Book2 2" xfId="625"/>
    <cellStyle name="_Multiple_PRGO TEMPLATE 5-13-06" xfId="626"/>
    <cellStyle name="_Multiple_PRGO TEMPLATE 5-13-06 2" xfId="627"/>
    <cellStyle name="_Multiple_PRGO TEMPLATE 5-13-06 2 2" xfId="628"/>
    <cellStyle name="_Multiple_PRGO TEMPLATE 5-13-06 3" xfId="629"/>
    <cellStyle name="_Multiple_PRGO TEMPLATE 5-13-06_Abbott Model" xfId="630"/>
    <cellStyle name="_Multiple_PRGO TEMPLATE 5-13-06_Abbott Model 2" xfId="631"/>
    <cellStyle name="_Multiple_PRGO TEMPLATE 5-13-06_Book2" xfId="632"/>
    <cellStyle name="_Multiple_PRGO TEMPLATE 5-13-06_Book2 2" xfId="633"/>
    <cellStyle name="_Multiple_quarterly preview" xfId="634"/>
    <cellStyle name="_Multiple_quarterly preview 2" xfId="635"/>
    <cellStyle name="_Multiple_quarterly preview 2 2" xfId="636"/>
    <cellStyle name="_Multiple_quarterly preview 3" xfId="637"/>
    <cellStyle name="_Multiple_quarterly preview_Abbott Model" xfId="638"/>
    <cellStyle name="_Multiple_quarterly preview_Abbott Model 2" xfId="639"/>
    <cellStyle name="_Multiple_quarterly preview_Book2" xfId="640"/>
    <cellStyle name="_Multiple_quarterly preview_Book2 2" xfId="641"/>
    <cellStyle name="_Multiple_Rev" xfId="642"/>
    <cellStyle name="_Multiple_Rev 2" xfId="643"/>
    <cellStyle name="_Multiple_Rev 2 2" xfId="644"/>
    <cellStyle name="_Multiple_Rev 3" xfId="645"/>
    <cellStyle name="_Multiple_Rev_Abbott Model" xfId="646"/>
    <cellStyle name="_Multiple_Rev_Abbott Model 2" xfId="647"/>
    <cellStyle name="_Multiple_Rev_Book2" xfId="648"/>
    <cellStyle name="_Multiple_Rev_Book2 2" xfId="649"/>
    <cellStyle name="_Multiple_ROE" xfId="650"/>
    <cellStyle name="_Multiple_ROE 2" xfId="651"/>
    <cellStyle name="_Multiple_ROE 2 2" xfId="652"/>
    <cellStyle name="_Multiple_ROE 3" xfId="653"/>
    <cellStyle name="_Multiple_ROE_Abbott Model" xfId="654"/>
    <cellStyle name="_Multiple_ROE_Abbott Model 2" xfId="655"/>
    <cellStyle name="_Multiple_ROE_Book2" xfId="656"/>
    <cellStyle name="_Multiple_ROE_Book2 2" xfId="657"/>
    <cellStyle name="_Multiple_Seasonale" xfId="658"/>
    <cellStyle name="_Multiple_Seasonale 2" xfId="659"/>
    <cellStyle name="_Multiple_Seasonale 2 2" xfId="660"/>
    <cellStyle name="_Multiple_Seasonale 3" xfId="661"/>
    <cellStyle name="_Multiple_Seasonale_Abbott Model" xfId="662"/>
    <cellStyle name="_Multiple_Seasonale_Abbott Model 2" xfId="663"/>
    <cellStyle name="_Multiple_Seasonale_Book2" xfId="664"/>
    <cellStyle name="_Multiple_Seasonale_Book2 2" xfId="665"/>
    <cellStyle name="_Multiple_Segment breakout" xfId="666"/>
    <cellStyle name="_Multiple_Segment breakout 2" xfId="667"/>
    <cellStyle name="_Multiple_Segment breakout 2 2" xfId="668"/>
    <cellStyle name="_Multiple_Segment breakout 3" xfId="669"/>
    <cellStyle name="_Multiple_Segment breakout_Abbott Model" xfId="670"/>
    <cellStyle name="_Multiple_Segment breakout_Abbott Model 2" xfId="671"/>
    <cellStyle name="_Multiple_Segment breakout_Book2" xfId="672"/>
    <cellStyle name="_Multiple_Segment breakout_Book2 2" xfId="673"/>
    <cellStyle name="_Multiple_segment graph data" xfId="674"/>
    <cellStyle name="_Multiple_segment graph data 2" xfId="675"/>
    <cellStyle name="_Multiple_segment graph data 2 2" xfId="676"/>
    <cellStyle name="_Multiple_segment graph data 3" xfId="677"/>
    <cellStyle name="_Multiple_segment graph data_Abbott Model" xfId="678"/>
    <cellStyle name="_Multiple_segment graph data_Abbott Model 2" xfId="679"/>
    <cellStyle name="_Multiple_segment graph data_Book2" xfId="680"/>
    <cellStyle name="_Multiple_segment graph data_Book2 2" xfId="681"/>
    <cellStyle name="_Multiple_Sheet1" xfId="682"/>
    <cellStyle name="_Multiple_Sheet1 2" xfId="683"/>
    <cellStyle name="_Multiple_Sheet1 2 2" xfId="684"/>
    <cellStyle name="_Multiple_Sheet1 3" xfId="685"/>
    <cellStyle name="_Multiple_Sheet1_Abbott Model" xfId="686"/>
    <cellStyle name="_Multiple_Sheet1_Abbott Model 2" xfId="687"/>
    <cellStyle name="_Multiple_Sheet1_Agis" xfId="688"/>
    <cellStyle name="_Multiple_Sheet1_Agis 2" xfId="689"/>
    <cellStyle name="_Multiple_Sheet1_Agis 2 2" xfId="690"/>
    <cellStyle name="_Multiple_Sheet1_Agis 3" xfId="691"/>
    <cellStyle name="_Multiple_Sheet1_Agis_Abbott Model" xfId="692"/>
    <cellStyle name="_Multiple_Sheet1_Agis_Abbott Model 2" xfId="693"/>
    <cellStyle name="_Multiple_Sheet1_Agis_Book2" xfId="694"/>
    <cellStyle name="_Multiple_Sheet1_Agis_Book2 2" xfId="695"/>
    <cellStyle name="_Multiple_Sheet1_Book2" xfId="696"/>
    <cellStyle name="_Multiple_Sheet1_Book2 2" xfId="697"/>
    <cellStyle name="_Multiple_Sheet1_CEPH working" xfId="698"/>
    <cellStyle name="_Multiple_Sheet1_CEPH working 2" xfId="699"/>
    <cellStyle name="_Multiple_Sheet1_GQ" xfId="700"/>
    <cellStyle name="_Multiple_Sheet1_GQ 2" xfId="701"/>
    <cellStyle name="_Multiple_Sheet1_GQ 2 2" xfId="702"/>
    <cellStyle name="_Multiple_Sheet1_GQ 3" xfId="703"/>
    <cellStyle name="_Multiple_Sheet1_GQ_Abbott Model" xfId="704"/>
    <cellStyle name="_Multiple_Sheet1_GQ_Abbott Model 2" xfId="705"/>
    <cellStyle name="_Multiple_Sheet1_GQ_Book2" xfId="706"/>
    <cellStyle name="_Multiple_Sheet1_GQ_Book2 2" xfId="707"/>
    <cellStyle name="_Multiple_Sheet1_IS" xfId="708"/>
    <cellStyle name="_Multiple_Sheet1_IS 2" xfId="709"/>
    <cellStyle name="_Multiple_Sheet1_IS 2 2" xfId="710"/>
    <cellStyle name="_Multiple_Sheet1_IS 3" xfId="711"/>
    <cellStyle name="_Multiple_Sheet1_IS_Abbott Model" xfId="712"/>
    <cellStyle name="_Multiple_Sheet1_IS_Abbott Model 2" xfId="713"/>
    <cellStyle name="_Multiple_Sheet1_IS_Book2" xfId="714"/>
    <cellStyle name="_Multiple_Sheet1_IS_Book2 2" xfId="715"/>
    <cellStyle name="_Multiple_Sheet1_Key poduct model" xfId="716"/>
    <cellStyle name="_Multiple_Sheet1_Key poduct model 2" xfId="717"/>
    <cellStyle name="_Multiple_Sheet1_Key poduct model 2 2" xfId="718"/>
    <cellStyle name="_Multiple_Sheet1_Key poduct model 3" xfId="719"/>
    <cellStyle name="_Multiple_Sheet1_Key poduct model_Abbott Model" xfId="720"/>
    <cellStyle name="_Multiple_Sheet1_Key poduct model_Abbott Model 2" xfId="721"/>
    <cellStyle name="_Multiple_Sheet1_Key poduct model_Book2" xfId="722"/>
    <cellStyle name="_Multiple_Sheet1_Key poduct model_Book2 2" xfId="723"/>
    <cellStyle name="_Multiple_Sheet1_Mainsheet - consolidated" xfId="724"/>
    <cellStyle name="_Multiple_Sheet1_Mainsheet - consolidated 2" xfId="725"/>
    <cellStyle name="_Multiple_Sheet1_Mainsheet - consolidated 2 2" xfId="726"/>
    <cellStyle name="_Multiple_Sheet1_Mainsheet - consolidated 3" xfId="727"/>
    <cellStyle name="_Multiple_Sheet1_Mainsheet - consolidated_Abbott Model" xfId="728"/>
    <cellStyle name="_Multiple_Sheet1_Mainsheet - consolidated_Abbott Model 2" xfId="729"/>
    <cellStyle name="_Multiple_Sheet1_Mainsheet - consolidated_Book2" xfId="730"/>
    <cellStyle name="_Multiple_Sheet1_Mainsheet - consolidated_Book2 2" xfId="731"/>
    <cellStyle name="_Multiple_Sheet1_MASTER Stanicky-WC 10-28-06 LAUNCH" xfId="732"/>
    <cellStyle name="_Multiple_Sheet1_MASTER Stanicky-WC 10-28-06 LAUNCH 2" xfId="733"/>
    <cellStyle name="_Multiple_Sheet1_MASTER Stanicky-WC 10-28-06 LAUNCH 2 2" xfId="734"/>
    <cellStyle name="_Multiple_Sheet1_MASTER Stanicky-WC 10-28-06 LAUNCH 3" xfId="735"/>
    <cellStyle name="_Multiple_Sheet1_MASTER Stanicky-WC 10-28-06 LAUNCH_Abbott Model" xfId="736"/>
    <cellStyle name="_Multiple_Sheet1_MASTER Stanicky-WC 10-28-06 LAUNCH_Abbott Model 2" xfId="737"/>
    <cellStyle name="_Multiple_Sheet1_MASTER Stanicky-WC 10-28-06 LAUNCH_Book2" xfId="738"/>
    <cellStyle name="_Multiple_Sheet1_MASTER Stanicky-WC 10-28-06 LAUNCH_Book2 2" xfId="739"/>
    <cellStyle name="_Multiple_Sheet1_SEPR working" xfId="740"/>
    <cellStyle name="_Multiple_Sheet1_SEPR working 2" xfId="741"/>
    <cellStyle name="_Multiple_Sheet1_Sheet3" xfId="742"/>
    <cellStyle name="_Multiple_Sheet1_Sheet3 2" xfId="743"/>
    <cellStyle name="_Multiple_Sheet1_Sheet3 2 2" xfId="744"/>
    <cellStyle name="_Multiple_Sheet1_Sheet3 3" xfId="745"/>
    <cellStyle name="_Multiple_Sheet1_Sheet3_Abbott Model" xfId="746"/>
    <cellStyle name="_Multiple_Sheet1_Sheet3_Abbott Model 2" xfId="747"/>
    <cellStyle name="_Multiple_Sheet1_Sheet3_Book2" xfId="748"/>
    <cellStyle name="_Multiple_Sheet1_Sheet3_Book2 2" xfId="749"/>
    <cellStyle name="_Multiple_Sheet1_Sheet3_WC Ovcon forecast" xfId="750"/>
    <cellStyle name="_Multiple_Sheet1_Sheet3_WC Ovcon forecast 2" xfId="751"/>
    <cellStyle name="_Multiple_Sheet1_Sheet3_WC Ovcon forecast 2 2" xfId="752"/>
    <cellStyle name="_Multiple_Sheet1_Sheet3_WC Ovcon forecast 3" xfId="753"/>
    <cellStyle name="_Multiple_Sheet1_Sheet3_WC Ovcon forecast_Abbott Model" xfId="754"/>
    <cellStyle name="_Multiple_Sheet1_Sheet3_WC Ovcon forecast_Abbott Model 2" xfId="755"/>
    <cellStyle name="_Multiple_Sheet1_Sheet3_WC Ovcon forecast_Book2" xfId="756"/>
    <cellStyle name="_Multiple_Sheet1_Sheet3_WC Ovcon forecast_Book2 2" xfId="757"/>
    <cellStyle name="_Multiple_Sheet1_SPEC Rx trend vs est " xfId="758"/>
    <cellStyle name="_Multiple_Sheet1_SPEC Rx trend vs est  2" xfId="759"/>
    <cellStyle name="_Multiple_Sheet1_SPEC Rx trend vs est  2 2" xfId="760"/>
    <cellStyle name="_Multiple_Sheet1_SPEC Rx trend vs est  3" xfId="761"/>
    <cellStyle name="_Multiple_Sheet1_SPEC Rx trend vs est  3 2" xfId="762"/>
    <cellStyle name="_Multiple_Sheet1_SPEC Rx trend vs est  4" xfId="763"/>
    <cellStyle name="_Multiple_Sheet1_SPEC Rx trend vs est _Abbott Model" xfId="764"/>
    <cellStyle name="_Multiple_Sheet1_SPEC Rx trend vs est _Abbott Model 2" xfId="765"/>
    <cellStyle name="_Multiple_Sheet1_SPEC Rx trend vs est _Book2" xfId="766"/>
    <cellStyle name="_Multiple_Sheet1_SPEC Rx trend vs est _Book2 2" xfId="767"/>
    <cellStyle name="_Multiple_Sheet1_Stanicky - Biovail 12-7-2006 FINAL" xfId="768"/>
    <cellStyle name="_Multiple_Sheet1_Stanicky - Biovail 12-7-2006 FINAL 2" xfId="769"/>
    <cellStyle name="_Multiple_Sheet1_Stanicky - Biovail 12-7-2006 FINAL 2 2" xfId="770"/>
    <cellStyle name="_Multiple_Sheet1_Stanicky - Biovail 12-7-2006 FINAL 3" xfId="771"/>
    <cellStyle name="_Multiple_Sheet1_Stanicky - Biovail 12-7-2006 FINAL_Abbott Model" xfId="772"/>
    <cellStyle name="_Multiple_Sheet1_Stanicky - Biovail 12-7-2006 FINAL_Abbott Model 2" xfId="773"/>
    <cellStyle name="_Multiple_Sheet1_Stanicky - Biovail 12-7-2006 FINAL_Book2" xfId="774"/>
    <cellStyle name="_Multiple_Sheet1_Stanicky - Biovail 12-7-2006 FINAL_Book2 2" xfId="775"/>
    <cellStyle name="_Multiple_Sheet1_WC Ovcon forecast" xfId="776"/>
    <cellStyle name="_Multiple_Sheet1_WC Ovcon forecast 2" xfId="777"/>
    <cellStyle name="_Multiple_Sheet1_WC Ovcon forecast 2 2" xfId="778"/>
    <cellStyle name="_Multiple_Sheet1_WC Ovcon forecast 3" xfId="779"/>
    <cellStyle name="_Multiple_Sheet1_WC Ovcon forecast_Abbott Model" xfId="780"/>
    <cellStyle name="_Multiple_Sheet1_WC Ovcon forecast_Abbott Model 2" xfId="781"/>
    <cellStyle name="_Multiple_Sheet1_WC Ovcon forecast_Book2" xfId="782"/>
    <cellStyle name="_Multiple_Sheet1_WC Ovcon forecast_Book2 2" xfId="783"/>
    <cellStyle name="_Multiple_Sheet1_WCRX working" xfId="784"/>
    <cellStyle name="_Multiple_Sheet1_WCRX working 2" xfId="785"/>
    <cellStyle name="_Multiple_Sheet1_WCRX working 2 2" xfId="786"/>
    <cellStyle name="_Multiple_Sheet1_WCRX working 3" xfId="787"/>
    <cellStyle name="_Multiple_Sheet1_WCRX working_Abbott Model" xfId="788"/>
    <cellStyle name="_Multiple_Sheet1_WCRX working_Abbott Model 2" xfId="789"/>
    <cellStyle name="_Multiple_Sheet1_WCRX working_Book2" xfId="790"/>
    <cellStyle name="_Multiple_Sheet1_WCRX working_Book2 2" xfId="791"/>
    <cellStyle name="_Multiple_Sheet13" xfId="792"/>
    <cellStyle name="_Multiple_Sheet13 2" xfId="793"/>
    <cellStyle name="_Multiple_Sheet13 2 2" xfId="794"/>
    <cellStyle name="_Multiple_Sheet13 3" xfId="795"/>
    <cellStyle name="_Multiple_Sheet13_Abbott Model" xfId="796"/>
    <cellStyle name="_Multiple_Sheet13_Abbott Model 2" xfId="797"/>
    <cellStyle name="_Multiple_Sheet13_Book2" xfId="798"/>
    <cellStyle name="_Multiple_Sheet13_Book2 2" xfId="799"/>
    <cellStyle name="_Multiple_Sheet3" xfId="800"/>
    <cellStyle name="_Multiple_Sheet3 2" xfId="801"/>
    <cellStyle name="_Multiple_Sheet3 2 2" xfId="802"/>
    <cellStyle name="_Multiple_Sheet3 3" xfId="803"/>
    <cellStyle name="_Multiple_Sheet3_Abbott Model" xfId="804"/>
    <cellStyle name="_Multiple_Sheet3_Abbott Model 2" xfId="805"/>
    <cellStyle name="_Multiple_Sheet3_Book2" xfId="806"/>
    <cellStyle name="_Multiple_Sheet3_Book2 2" xfId="807"/>
    <cellStyle name="_Multiple_Sheet6" xfId="808"/>
    <cellStyle name="_Multiple_Sheet6 2" xfId="809"/>
    <cellStyle name="_Multiple_Sheet6 2 2" xfId="810"/>
    <cellStyle name="_Multiple_Sheet6 3" xfId="811"/>
    <cellStyle name="_Multiple_Sheet6_Abbott Model" xfId="812"/>
    <cellStyle name="_Multiple_Sheet6_Abbott Model 2" xfId="813"/>
    <cellStyle name="_Multiple_Sheet6_Book2" xfId="814"/>
    <cellStyle name="_Multiple_Sheet6_Book2 2" xfId="815"/>
    <cellStyle name="_Multiple_Snapshot" xfId="816"/>
    <cellStyle name="_Multiple_Snapshot 2" xfId="817"/>
    <cellStyle name="_Multiple_Snapshot 2 2" xfId="818"/>
    <cellStyle name="_Multiple_Snapshot 3" xfId="819"/>
    <cellStyle name="_Multiple_Snapshot_Abbott Model" xfId="820"/>
    <cellStyle name="_Multiple_Snapshot_Abbott Model 2" xfId="821"/>
    <cellStyle name="_Multiple_Snapshot_Book2" xfId="822"/>
    <cellStyle name="_Multiple_Snapshot_Book2 2" xfId="823"/>
    <cellStyle name="_Multiple_Special situation" xfId="824"/>
    <cellStyle name="_Multiple_Special situation 2" xfId="825"/>
    <cellStyle name="_Multiple_Special situation 2 2" xfId="826"/>
    <cellStyle name="_Multiple_Special situation 3" xfId="827"/>
    <cellStyle name="_Multiple_Special situation_Abbott Model" xfId="828"/>
    <cellStyle name="_Multiple_Special situation_Abbott Model 2" xfId="829"/>
    <cellStyle name="_Multiple_Special situation_Book2" xfId="830"/>
    <cellStyle name="_Multiple_Special situation_Book2 2" xfId="831"/>
    <cellStyle name="_Multiple_SSP" xfId="832"/>
    <cellStyle name="_Multiple_SSP 2" xfId="833"/>
    <cellStyle name="_Multiple_SSP 2 2" xfId="834"/>
    <cellStyle name="_Multiple_SSP 3" xfId="835"/>
    <cellStyle name="_Multiple_SSP_Abbott Model" xfId="836"/>
    <cellStyle name="_Multiple_SSP_Abbott Model 2" xfId="837"/>
    <cellStyle name="_Multiple_SSP_Book2" xfId="838"/>
    <cellStyle name="_Multiple_SSP_Book2 2" xfId="839"/>
    <cellStyle name="_Multiple_Taclonex - dovonex" xfId="840"/>
    <cellStyle name="_Multiple_Taclonex - dovonex 2" xfId="841"/>
    <cellStyle name="_Multiple_Taclonex - dovonex 2 2" xfId="842"/>
    <cellStyle name="_Multiple_Taclonex - dovonex 3" xfId="843"/>
    <cellStyle name="_Multiple_Taclonex - dovonex_Abbott Model" xfId="844"/>
    <cellStyle name="_Multiple_Taclonex - dovonex_Abbott Model 2" xfId="845"/>
    <cellStyle name="_Multiple_Taclonex - dovonex_Book2" xfId="846"/>
    <cellStyle name="_Multiple_Taclonex - dovonex_Book2 2" xfId="847"/>
    <cellStyle name="_Multiple_taro DSO 4-29-06" xfId="848"/>
    <cellStyle name="_Multiple_taro DSO 4-29-06 2" xfId="849"/>
    <cellStyle name="_Multiple_taro DSO 4-29-06 2 2" xfId="850"/>
    <cellStyle name="_Multiple_taro DSO 4-29-06 3" xfId="851"/>
    <cellStyle name="_Multiple_taro DSO 4-29-06_Abbott Model" xfId="852"/>
    <cellStyle name="_Multiple_taro DSO 4-29-06_Abbott Model 2" xfId="853"/>
    <cellStyle name="_Multiple_taro DSO 4-29-06_Book2" xfId="854"/>
    <cellStyle name="_Multiple_taro DSO 4-29-06_Book2 2" xfId="855"/>
    <cellStyle name="_Multiple_Tearsheet" xfId="856"/>
    <cellStyle name="_Multiple_Tearsheet 2" xfId="857"/>
    <cellStyle name="_Multiple_Tearsheet 2 2" xfId="858"/>
    <cellStyle name="_Multiple_Tearsheet 3" xfId="859"/>
    <cellStyle name="_Multiple_Tearsheet_Abbott Model" xfId="860"/>
    <cellStyle name="_Multiple_Tearsheet_Abbott Model 2" xfId="861"/>
    <cellStyle name="_Multiple_Tearsheet_Book2" xfId="862"/>
    <cellStyle name="_Multiple_Tearsheet_Book2 2" xfId="863"/>
    <cellStyle name="_Multiple_Testim" xfId="864"/>
    <cellStyle name="_Multiple_Testim 2" xfId="865"/>
    <cellStyle name="_Multiple_Testim 2 2" xfId="866"/>
    <cellStyle name="_Multiple_Testim 3" xfId="867"/>
    <cellStyle name="_Multiple_Testim_Abbott Model" xfId="868"/>
    <cellStyle name="_Multiple_Testim_Abbott Model 2" xfId="869"/>
    <cellStyle name="_Multiple_Testim_Book2" xfId="870"/>
    <cellStyle name="_Multiple_Testim_Book2 2" xfId="871"/>
    <cellStyle name="_Multiple_Teva - Qtrly IS" xfId="872"/>
    <cellStyle name="_Multiple_Teva - Qtrly IS 2" xfId="873"/>
    <cellStyle name="_Multiple_Teva - Qtrly IS 2 2" xfId="874"/>
    <cellStyle name="_Multiple_Teva - Qtrly IS 3" xfId="875"/>
    <cellStyle name="_Multiple_Teva - Qtrly IS_Abbott Model" xfId="876"/>
    <cellStyle name="_Multiple_Teva - Qtrly IS_Abbott Model 2" xfId="877"/>
    <cellStyle name="_Multiple_Teva - Qtrly IS_Book2" xfId="878"/>
    <cellStyle name="_Multiple_Teva - Qtrly IS_Book2 2" xfId="879"/>
    <cellStyle name="_Multiple_Teva main sheet" xfId="880"/>
    <cellStyle name="_Multiple_Teva main sheet 2" xfId="881"/>
    <cellStyle name="_Multiple_Teva main sheet 2 2" xfId="882"/>
    <cellStyle name="_Multiple_Teva main sheet 3" xfId="883"/>
    <cellStyle name="_Multiple_Teva main sheet_Abbott Model" xfId="884"/>
    <cellStyle name="_Multiple_Teva main sheet_Abbott Model 2" xfId="885"/>
    <cellStyle name="_Multiple_Teva main sheet_Book2" xfId="886"/>
    <cellStyle name="_Multiple_Teva main sheet_Book2 2" xfId="887"/>
    <cellStyle name="_Multiple_WC Ovcon forecast" xfId="888"/>
    <cellStyle name="_Multiple_WC Ovcon forecast 2" xfId="889"/>
    <cellStyle name="_Multiple_WC Ovcon forecast 2 2" xfId="890"/>
    <cellStyle name="_Multiple_WC Ovcon forecast 3" xfId="891"/>
    <cellStyle name="_Multiple_WC Ovcon forecast_Abbott Model" xfId="892"/>
    <cellStyle name="_Multiple_WC Ovcon forecast_Abbott Model 2" xfId="893"/>
    <cellStyle name="_Multiple_WC Ovcon forecast_Book2" xfId="894"/>
    <cellStyle name="_Multiple_WC Ovcon forecast_Book2 2" xfId="895"/>
    <cellStyle name="_MultipleSpace" xfId="896"/>
    <cellStyle name="_MultipleSpace 2" xfId="897"/>
    <cellStyle name="_MultipleSpace 2 2" xfId="898"/>
    <cellStyle name="_MultipleSpace 3" xfId="899"/>
    <cellStyle name="_MultipleSpace_1 Loestrin 24" xfId="900"/>
    <cellStyle name="_MultipleSpace_1 Loestrin 24 2" xfId="901"/>
    <cellStyle name="_MultipleSpace_1 Loestrin 24 2 2" xfId="902"/>
    <cellStyle name="_MultipleSpace_1 Loestrin 24 3" xfId="903"/>
    <cellStyle name="_MultipleSpace_1 Loestrin 24_Abbott Model" xfId="904"/>
    <cellStyle name="_MultipleSpace_1 Loestrin 24_Abbott Model 2" xfId="905"/>
    <cellStyle name="_MultipleSpace_1 Loestrin 24_Book2" xfId="906"/>
    <cellStyle name="_MultipleSpace_1 Loestrin 24_Book2 2" xfId="907"/>
    <cellStyle name="_MultipleSpace_1 Ovcon" xfId="908"/>
    <cellStyle name="_MultipleSpace_1 Ovcon 2" xfId="909"/>
    <cellStyle name="_MultipleSpace_1 Ovcon 2 2" xfId="910"/>
    <cellStyle name="_MultipleSpace_1 Ovcon 3" xfId="911"/>
    <cellStyle name="_MultipleSpace_1 Ovcon_Abbott Model" xfId="912"/>
    <cellStyle name="_MultipleSpace_1 Ovcon_Abbott Model 2" xfId="913"/>
    <cellStyle name="_MultipleSpace_1 Ovcon_Book2" xfId="914"/>
    <cellStyle name="_MultipleSpace_1 Ovcon_Book2 2" xfId="915"/>
    <cellStyle name="_MultipleSpace_1 Taclonex" xfId="916"/>
    <cellStyle name="_MultipleSpace_1 Taclonex 2" xfId="917"/>
    <cellStyle name="_MultipleSpace_1 Taclonex 2 2" xfId="918"/>
    <cellStyle name="_MultipleSpace_1 Taclonex 3" xfId="919"/>
    <cellStyle name="_MultipleSpace_1 Taclonex_Abbott Model" xfId="920"/>
    <cellStyle name="_MultipleSpace_1 Taclonex_Abbott Model 2" xfId="921"/>
    <cellStyle name="_MultipleSpace_1 Taclonex_Book2" xfId="922"/>
    <cellStyle name="_MultipleSpace_1 Taclonex_Book2 2" xfId="923"/>
    <cellStyle name="_MultipleSpace_4VAL DCF2" xfId="924"/>
    <cellStyle name="_MultipleSpace_4VAL DCF2 2" xfId="925"/>
    <cellStyle name="_MultipleSpace_4VAL DCF2 2 2" xfId="926"/>
    <cellStyle name="_MultipleSpace_4VAL DCF2 3" xfId="927"/>
    <cellStyle name="_MultipleSpace_4VAL DCF2_Abbott Model" xfId="928"/>
    <cellStyle name="_MultipleSpace_4VAL DCF2_Abbott Model 2" xfId="929"/>
    <cellStyle name="_MultipleSpace_4VAL DCF2_Book2" xfId="930"/>
    <cellStyle name="_MultipleSpace_4VAL DCF2_Book2 2" xfId="931"/>
    <cellStyle name="_MultipleSpace_Abbott Model" xfId="932"/>
    <cellStyle name="_MultipleSpace_Abbott Model 2" xfId="933"/>
    <cellStyle name="_MultipleSpace_Actiq" xfId="934"/>
    <cellStyle name="_MultipleSpace_Actiq 2" xfId="935"/>
    <cellStyle name="_MultipleSpace_Actiq 2 2" xfId="936"/>
    <cellStyle name="_MultipleSpace_Actiq 3" xfId="937"/>
    <cellStyle name="_MultipleSpace_Actiq_Abbott Model" xfId="938"/>
    <cellStyle name="_MultipleSpace_Actiq_Abbott Model 2" xfId="939"/>
    <cellStyle name="_MultipleSpace_Actiq_Book2" xfId="940"/>
    <cellStyle name="_MultipleSpace_Actiq_Book2 2" xfId="941"/>
    <cellStyle name="_MultipleSpace_Agis" xfId="942"/>
    <cellStyle name="_MultipleSpace_Agis 2" xfId="943"/>
    <cellStyle name="_MultipleSpace_Agis 2 2" xfId="944"/>
    <cellStyle name="_MultipleSpace_Agis 3" xfId="945"/>
    <cellStyle name="_MultipleSpace_Agis_Abbott Model" xfId="946"/>
    <cellStyle name="_MultipleSpace_Agis_Abbott Model 2" xfId="947"/>
    <cellStyle name="_MultipleSpace_Agis_Book2" xfId="948"/>
    <cellStyle name="_MultipleSpace_Agis_Book2 2" xfId="949"/>
    <cellStyle name="_MultipleSpace_ANDAs" xfId="950"/>
    <cellStyle name="_MultipleSpace_ANDAs 2" xfId="951"/>
    <cellStyle name="_MultipleSpace_ANDAs 2 2" xfId="952"/>
    <cellStyle name="_MultipleSpace_ANDAs 3" xfId="953"/>
    <cellStyle name="_MultipleSpace_ANDAs summary sheet" xfId="954"/>
    <cellStyle name="_MultipleSpace_ANDAs summary sheet 2" xfId="955"/>
    <cellStyle name="_MultipleSpace_ANDAs summary sheet 2 2" xfId="956"/>
    <cellStyle name="_MultipleSpace_ANDAs summary sheet 3" xfId="957"/>
    <cellStyle name="_MultipleSpace_ANDAs summary sheet_Abbott Model" xfId="958"/>
    <cellStyle name="_MultipleSpace_ANDAs summary sheet_Abbott Model 2" xfId="959"/>
    <cellStyle name="_MultipleSpace_ANDAs summary sheet_Book2" xfId="960"/>
    <cellStyle name="_MultipleSpace_ANDAs summary sheet_Book2 2" xfId="961"/>
    <cellStyle name="_MultipleSpace_ANDAs_Abbott Model" xfId="962"/>
    <cellStyle name="_MultipleSpace_ANDAs_Abbott Model 2" xfId="963"/>
    <cellStyle name="_MultipleSpace_ANDAs_Book2" xfId="964"/>
    <cellStyle name="_MultipleSpace_ANDAs_Book2 2" xfId="965"/>
    <cellStyle name="_MultipleSpace_ANDRX DDT" xfId="966"/>
    <cellStyle name="_MultipleSpace_ANDRX DDT 2" xfId="967"/>
    <cellStyle name="_MultipleSpace_ANDRX DDT 2 2" xfId="968"/>
    <cellStyle name="_MultipleSpace_ANDRX DDT 3" xfId="969"/>
    <cellStyle name="_MultipleSpace_ANDRX DDT_Abbott Model" xfId="970"/>
    <cellStyle name="_MultipleSpace_ANDRX DDT_Abbott Model 2" xfId="971"/>
    <cellStyle name="_MultipleSpace_ANDRX DDT_Book2" xfId="972"/>
    <cellStyle name="_MultipleSpace_ANDRX DDT_Book2 2" xfId="973"/>
    <cellStyle name="_MultipleSpace_Book2" xfId="974"/>
    <cellStyle name="_MultipleSpace_Book2 2" xfId="975"/>
    <cellStyle name="_MultipleSpace_CAPEX spend" xfId="976"/>
    <cellStyle name="_MultipleSpace_CAPEX spend 2" xfId="977"/>
    <cellStyle name="_MultipleSpace_CAPEX spend 2 2" xfId="978"/>
    <cellStyle name="_MultipleSpace_CAPEX spend 3" xfId="979"/>
    <cellStyle name="_MultipleSpace_CAPEX spend_Abbott Model" xfId="980"/>
    <cellStyle name="_MultipleSpace_CAPEX spend_Abbott Model 2" xfId="981"/>
    <cellStyle name="_MultipleSpace_CAPEX spend_Book2" xfId="982"/>
    <cellStyle name="_MultipleSpace_CAPEX spend_Book2 2" xfId="983"/>
    <cellStyle name="_MultipleSpace_Consolidation" xfId="984"/>
    <cellStyle name="_MultipleSpace_Consolidation 2" xfId="985"/>
    <cellStyle name="_MultipleSpace_Consolidation 2 2" xfId="986"/>
    <cellStyle name="_MultipleSpace_Consolidation 3" xfId="987"/>
    <cellStyle name="_MultipleSpace_Consolidation_Abbott Model" xfId="988"/>
    <cellStyle name="_MultipleSpace_Consolidation_Abbott Model 2" xfId="989"/>
    <cellStyle name="_MultipleSpace_Consolidation_Book2" xfId="990"/>
    <cellStyle name="_MultipleSpace_Consolidation_Book2 2" xfId="991"/>
    <cellStyle name="_MultipleSpace_Debt schedule" xfId="992"/>
    <cellStyle name="_MultipleSpace_Debt schedule 2" xfId="993"/>
    <cellStyle name="_MultipleSpace_Debt schedule 2 2" xfId="994"/>
    <cellStyle name="_MultipleSpace_Debt schedule 3" xfId="995"/>
    <cellStyle name="_MultipleSpace_Debt schedule_Abbott Model" xfId="996"/>
    <cellStyle name="_MultipleSpace_Debt schedule_Abbott Model 2" xfId="997"/>
    <cellStyle name="_MultipleSpace_Debt schedule_Book2" xfId="998"/>
    <cellStyle name="_MultipleSpace_Debt schedule_Book2 2" xfId="999"/>
    <cellStyle name="_MultipleSpace_DSO" xfId="1000"/>
    <cellStyle name="_MultipleSpace_DSO 2" xfId="1001"/>
    <cellStyle name="_MultipleSpace_DSO 2 2" xfId="1002"/>
    <cellStyle name="_MultipleSpace_DSO 3" xfId="1003"/>
    <cellStyle name="_MultipleSpace_DSO_Abbott Model" xfId="1004"/>
    <cellStyle name="_MultipleSpace_DSO_Abbott Model 2" xfId="1005"/>
    <cellStyle name="_MultipleSpace_DSO_Book2" xfId="1006"/>
    <cellStyle name="_MultipleSpace_DSO_Book2 2" xfId="1007"/>
    <cellStyle name="_MultipleSpace_EEEE" xfId="1008"/>
    <cellStyle name="_MultipleSpace_EEEE 2" xfId="1009"/>
    <cellStyle name="_MultipleSpace_EEEE 2 2" xfId="1010"/>
    <cellStyle name="_MultipleSpace_EEEE 3" xfId="1011"/>
    <cellStyle name="_MultipleSpace_EEEE_Abbott Model" xfId="1012"/>
    <cellStyle name="_MultipleSpace_EEEE_Abbott Model 2" xfId="1013"/>
    <cellStyle name="_MultipleSpace_EEEE_Book2" xfId="1014"/>
    <cellStyle name="_MultipleSpace_EEEE_Book2 2" xfId="1015"/>
    <cellStyle name="_MultipleSpace_EPS revision" xfId="1016"/>
    <cellStyle name="_MultipleSpace_EPS revision 2" xfId="1017"/>
    <cellStyle name="_MultipleSpace_EPS revision 2 2" xfId="1018"/>
    <cellStyle name="_MultipleSpace_EPS revision 3" xfId="1019"/>
    <cellStyle name="_MultipleSpace_EPS revision_Abbott Model" xfId="1020"/>
    <cellStyle name="_MultipleSpace_EPS revision_Abbott Model 2" xfId="1021"/>
    <cellStyle name="_MultipleSpace_EPS revision_Book2" xfId="1022"/>
    <cellStyle name="_MultipleSpace_EPS revision_Book2 2" xfId="1023"/>
    <cellStyle name="_MultipleSpace_EPS sensitivity" xfId="1024"/>
    <cellStyle name="_MultipleSpace_EPS sensitivity 2" xfId="1025"/>
    <cellStyle name="_MultipleSpace_EPS sensitivity 2 2" xfId="1026"/>
    <cellStyle name="_MultipleSpace_EPS sensitivity 3" xfId="1027"/>
    <cellStyle name="_MultipleSpace_EPS sensitivity_Abbott Model" xfId="1028"/>
    <cellStyle name="_MultipleSpace_EPS sensitivity_Abbott Model 2" xfId="1029"/>
    <cellStyle name="_MultipleSpace_EPS sensitivity_Book2" xfId="1030"/>
    <cellStyle name="_MultipleSpace_EPS sensitivity_Book2 2" xfId="1031"/>
    <cellStyle name="_MultipleSpace_FBANDAs" xfId="1032"/>
    <cellStyle name="_MultipleSpace_FBANDAs 2" xfId="1033"/>
    <cellStyle name="_MultipleSpace_FBANDAs 2 2" xfId="1034"/>
    <cellStyle name="_MultipleSpace_FBANDAs 3" xfId="1035"/>
    <cellStyle name="_MultipleSpace_FBANDAs_Abbott Model" xfId="1036"/>
    <cellStyle name="_MultipleSpace_FBANDAs_Abbott Model 2" xfId="1037"/>
    <cellStyle name="_MultipleSpace_FBANDAs_Book2" xfId="1038"/>
    <cellStyle name="_MultipleSpace_FBANDAs_Book2 2" xfId="1039"/>
    <cellStyle name="_MultipleSpace_Ferrlecit" xfId="1040"/>
    <cellStyle name="_MultipleSpace_Ferrlecit 2" xfId="1041"/>
    <cellStyle name="_MultipleSpace_Ferrlecit 2 2" xfId="1042"/>
    <cellStyle name="_MultipleSpace_Ferrlecit 3" xfId="1043"/>
    <cellStyle name="_MultipleSpace_Ferrlecit_Abbott Model" xfId="1044"/>
    <cellStyle name="_MultipleSpace_Ferrlecit_Abbott Model 2" xfId="1045"/>
    <cellStyle name="_MultipleSpace_Ferrlecit_Book2" xfId="1046"/>
    <cellStyle name="_MultipleSpace_Ferrlecit_Book2 2" xfId="1047"/>
    <cellStyle name="_MultipleSpace_For charts" xfId="1048"/>
    <cellStyle name="_MultipleSpace_For charts 2" xfId="1049"/>
    <cellStyle name="_MultipleSpace_For charts 2 2" xfId="1050"/>
    <cellStyle name="_MultipleSpace_For charts 3" xfId="1051"/>
    <cellStyle name="_MultipleSpace_For charts_Abbott Model" xfId="1052"/>
    <cellStyle name="_MultipleSpace_For charts_Abbott Model 2" xfId="1053"/>
    <cellStyle name="_MultipleSpace_For charts_Book2" xfId="1054"/>
    <cellStyle name="_MultipleSpace_For charts_Book2 2" xfId="1055"/>
    <cellStyle name="_MultipleSpace_GCI" xfId="1056"/>
    <cellStyle name="_MultipleSpace_GCI 2" xfId="1057"/>
    <cellStyle name="_MultipleSpace_GCI 2 2" xfId="1058"/>
    <cellStyle name="_MultipleSpace_GCI 3" xfId="1059"/>
    <cellStyle name="_MultipleSpace_GCI_Abbott Model" xfId="1060"/>
    <cellStyle name="_MultipleSpace_GCI_Abbott Model 2" xfId="1061"/>
    <cellStyle name="_MultipleSpace_GCI_Book2" xfId="1062"/>
    <cellStyle name="_MultipleSpace_GCI_Book2 2" xfId="1063"/>
    <cellStyle name="_MultipleSpace_Gen pipe" xfId="1064"/>
    <cellStyle name="_MultipleSpace_Gen pipe 2" xfId="1065"/>
    <cellStyle name="_MultipleSpace_Gen pipe 2 2" xfId="1066"/>
    <cellStyle name="_MultipleSpace_Gen pipe 3" xfId="1067"/>
    <cellStyle name="_MultipleSpace_Gen pipe_Abbott Model" xfId="1068"/>
    <cellStyle name="_MultipleSpace_Gen pipe_Abbott Model 2" xfId="1069"/>
    <cellStyle name="_MultipleSpace_Gen pipe_Book2" xfId="1070"/>
    <cellStyle name="_MultipleSpace_Gen pipe_Book2 2" xfId="1071"/>
    <cellStyle name="_MultipleSpace_Gross Margin" xfId="1072"/>
    <cellStyle name="_MultipleSpace_Gross Margin 2" xfId="1073"/>
    <cellStyle name="_MultipleSpace_Gross Margin 2 2" xfId="1074"/>
    <cellStyle name="_MultipleSpace_Gross Margin 3" xfId="1075"/>
    <cellStyle name="_MultipleSpace_Gross Margin_Abbott Model" xfId="1076"/>
    <cellStyle name="_MultipleSpace_Gross Margin_Abbott Model 2" xfId="1077"/>
    <cellStyle name="_MultipleSpace_Gross Margin_Book2" xfId="1078"/>
    <cellStyle name="_MultipleSpace_Gross Margin_Book2 2" xfId="1079"/>
    <cellStyle name="_MultipleSpace_GS_McFadden_CRL_4-1-05 RS" xfId="1080"/>
    <cellStyle name="_MultipleSpace_GS_McFadden_CRL_4-1-05 RS 2" xfId="1081"/>
    <cellStyle name="_MultipleSpace_GS_McFadden_CRL_4-1-05 RS 2 2" xfId="1082"/>
    <cellStyle name="_MultipleSpace_GS_McFadden_CRL_4-1-05 RS 3" xfId="1083"/>
    <cellStyle name="_MultipleSpace_GS_McFadden_CRL_4-1-05 RS_Abbott Model" xfId="1084"/>
    <cellStyle name="_MultipleSpace_GS_McFadden_CRL_4-1-05 RS_Abbott Model 2" xfId="1085"/>
    <cellStyle name="_MultipleSpace_GS_McFadden_CRL_4-1-05 RS_Book2" xfId="1086"/>
    <cellStyle name="_MultipleSpace_GS_McFadden_CRL_4-1-05 RS_Book2 2" xfId="1087"/>
    <cellStyle name="_MultipleSpace_GS_MDZ_ MASTER model 4-01-05 RS" xfId="1088"/>
    <cellStyle name="_MultipleSpace_GS_MDZ_ MASTER model 4-01-05 RS 2" xfId="1089"/>
    <cellStyle name="_MultipleSpace_GS_MDZ_ MASTER model 4-01-05 RS 2 2" xfId="1090"/>
    <cellStyle name="_MultipleSpace_GS_MDZ_ MASTER model 4-01-05 RS 3" xfId="1091"/>
    <cellStyle name="_MultipleSpace_GS_MDZ_ MASTER model 4-01-05 RS_Abbott Model" xfId="1092"/>
    <cellStyle name="_MultipleSpace_GS_MDZ_ MASTER model 4-01-05 RS_Abbott Model 2" xfId="1093"/>
    <cellStyle name="_MultipleSpace_GS_MDZ_ MASTER model 4-01-05 RS_Book2" xfId="1094"/>
    <cellStyle name="_MultipleSpace_GS_MDZ_ MASTER model 4-01-05 RS_Book2 2" xfId="1095"/>
    <cellStyle name="_MultipleSpace_Indian companies" xfId="1096"/>
    <cellStyle name="_MultipleSpace_Indian companies 2" xfId="1097"/>
    <cellStyle name="_MultipleSpace_Indian companies 2 2" xfId="1098"/>
    <cellStyle name="_MultipleSpace_Indian companies 3" xfId="1099"/>
    <cellStyle name="_MultipleSpace_Indian companies_Abbott Model" xfId="1100"/>
    <cellStyle name="_MultipleSpace_Indian companies_Abbott Model 2" xfId="1101"/>
    <cellStyle name="_MultipleSpace_Indian companies_Book2" xfId="1102"/>
    <cellStyle name="_MultipleSpace_Indian companies_Book2 2" xfId="1103"/>
    <cellStyle name="_MultipleSpace_Key poduct model" xfId="1104"/>
    <cellStyle name="_MultipleSpace_Key poduct model 2" xfId="1105"/>
    <cellStyle name="_MultipleSpace_Key poduct model 2 2" xfId="1106"/>
    <cellStyle name="_MultipleSpace_Key poduct model 3" xfId="1107"/>
    <cellStyle name="_MultipleSpace_Key poduct model_Abbott Model" xfId="1108"/>
    <cellStyle name="_MultipleSpace_Key poduct model_Abbott Model 2" xfId="1109"/>
    <cellStyle name="_MultipleSpace_Key poduct model_Book2" xfId="1110"/>
    <cellStyle name="_MultipleSpace_Key poduct model_Book2 2" xfId="1111"/>
    <cellStyle name="_MultipleSpace_Loestrin 24" xfId="1112"/>
    <cellStyle name="_MultipleSpace_Loestrin 24 2" xfId="1113"/>
    <cellStyle name="_MultipleSpace_Loestrin 24 2 2" xfId="1114"/>
    <cellStyle name="_MultipleSpace_Loestrin 24 3" xfId="1115"/>
    <cellStyle name="_MultipleSpace_Loestrin 24_Abbott Model" xfId="1116"/>
    <cellStyle name="_MultipleSpace_Loestrin 24_Abbott Model 2" xfId="1117"/>
    <cellStyle name="_MultipleSpace_Loestrin 24_Book2" xfId="1118"/>
    <cellStyle name="_MultipleSpace_Loestrin 24_Book2 2" xfId="1119"/>
    <cellStyle name="_MultipleSpace_major holders 5-04" xfId="1120"/>
    <cellStyle name="_MultipleSpace_major holders 5-04 2" xfId="1121"/>
    <cellStyle name="_MultipleSpace_major holders 5-04 2 2" xfId="1122"/>
    <cellStyle name="_MultipleSpace_major holders 5-04 3" xfId="1123"/>
    <cellStyle name="_MultipleSpace_major holders 5-04_Abbott Model" xfId="1124"/>
    <cellStyle name="_MultipleSpace_major holders 5-04_Abbott Model 2" xfId="1125"/>
    <cellStyle name="_MultipleSpace_major holders 5-04_Book2" xfId="1126"/>
    <cellStyle name="_MultipleSpace_major holders 5-04_Book2 2" xfId="1127"/>
    <cellStyle name="_MultipleSpace_Megace channel data" xfId="1128"/>
    <cellStyle name="_MultipleSpace_Megace channel data 2" xfId="1129"/>
    <cellStyle name="_MultipleSpace_Megace channel data 2 2" xfId="1130"/>
    <cellStyle name="_MultipleSpace_Megace channel data 3" xfId="1131"/>
    <cellStyle name="_MultipleSpace_Megace channel data_Abbott Model" xfId="1132"/>
    <cellStyle name="_MultipleSpace_Megace channel data_Abbott Model 2" xfId="1133"/>
    <cellStyle name="_MultipleSpace_Megace channel data_Book2" xfId="1134"/>
    <cellStyle name="_MultipleSpace_Megace channel data_Book2 2" xfId="1135"/>
    <cellStyle name="_MultipleSpace_Megace ES estimates" xfId="1136"/>
    <cellStyle name="_MultipleSpace_Megace ES estimates 2" xfId="1137"/>
    <cellStyle name="_MultipleSpace_Megace ES estimates 2 2" xfId="1138"/>
    <cellStyle name="_MultipleSpace_Megace ES estimates 3" xfId="1139"/>
    <cellStyle name="_MultipleSpace_Megace ES estimates_Abbott Model" xfId="1140"/>
    <cellStyle name="_MultipleSpace_Megace ES estimates_Abbott Model 2" xfId="1141"/>
    <cellStyle name="_MultipleSpace_Megace ES estimates_Book2" xfId="1142"/>
    <cellStyle name="_MultipleSpace_Megace ES estimates_Book2 2" xfId="1143"/>
    <cellStyle name="_MultipleSpace_Megace ES sales data" xfId="1144"/>
    <cellStyle name="_MultipleSpace_Megace ES sales data 2" xfId="1145"/>
    <cellStyle name="_MultipleSpace_Megace ES sales data 2 2" xfId="1146"/>
    <cellStyle name="_MultipleSpace_Megace ES sales data 3" xfId="1147"/>
    <cellStyle name="_MultipleSpace_Megace ES sales data_Abbott Model" xfId="1148"/>
    <cellStyle name="_MultipleSpace_Megace ES sales data_Abbott Model 2" xfId="1149"/>
    <cellStyle name="_MultipleSpace_Megace ES sales data_Book2" xfId="1150"/>
    <cellStyle name="_MultipleSpace_Megace ES sales data_Book2 2" xfId="1151"/>
    <cellStyle name="_MultipleSpace_Megace Market IMS" xfId="1152"/>
    <cellStyle name="_MultipleSpace_Megace Market IMS 2" xfId="1153"/>
    <cellStyle name="_MultipleSpace_Megace Market IMS 2 2" xfId="1154"/>
    <cellStyle name="_MultipleSpace_Megace Market IMS 3" xfId="1155"/>
    <cellStyle name="_MultipleSpace_Megace Market IMS_Abbott Model" xfId="1156"/>
    <cellStyle name="_MultipleSpace_Megace Market IMS_Abbott Model 2" xfId="1157"/>
    <cellStyle name="_MultipleSpace_Megace Market IMS_Book2" xfId="1158"/>
    <cellStyle name="_MultipleSpace_Megace Market IMS_Book2 2" xfId="1159"/>
    <cellStyle name="_MultipleSpace_Megace NRx weekly" xfId="1160"/>
    <cellStyle name="_MultipleSpace_Megace NRx weekly 2" xfId="1161"/>
    <cellStyle name="_MultipleSpace_Megace NRx weekly 2 2" xfId="1162"/>
    <cellStyle name="_MultipleSpace_Megace NRx weekly 3" xfId="1163"/>
    <cellStyle name="_MultipleSpace_Megace NRx weekly_Abbott Model" xfId="1164"/>
    <cellStyle name="_MultipleSpace_Megace NRx weekly_Abbott Model 2" xfId="1165"/>
    <cellStyle name="_MultipleSpace_Megace NRx weekly_Book2" xfId="1166"/>
    <cellStyle name="_MultipleSpace_Megace NRx weekly_Book2 2" xfId="1167"/>
    <cellStyle name="_MultipleSpace_Megace TRx weekly" xfId="1168"/>
    <cellStyle name="_MultipleSpace_Megace TRx weekly 2" xfId="1169"/>
    <cellStyle name="_MultipleSpace_Megace TRx weekly 2 2" xfId="1170"/>
    <cellStyle name="_MultipleSpace_Megace TRx weekly 3" xfId="1171"/>
    <cellStyle name="_MultipleSpace_Megace TRx weekly_Abbott Model" xfId="1172"/>
    <cellStyle name="_MultipleSpace_Megace TRx weekly_Abbott Model 2" xfId="1173"/>
    <cellStyle name="_MultipleSpace_Megace TRx weekly_Book2" xfId="1174"/>
    <cellStyle name="_MultipleSpace_Megace TRx weekly_Book2 2" xfId="1175"/>
    <cellStyle name="_MultipleSpace_MNST" xfId="1176"/>
    <cellStyle name="_MultipleSpace_MNST 2" xfId="1177"/>
    <cellStyle name="_MultipleSpace_MNST 2 2" xfId="1178"/>
    <cellStyle name="_MultipleSpace_MNST 3" xfId="1179"/>
    <cellStyle name="_MultipleSpace_MNST_Abbott Model" xfId="1180"/>
    <cellStyle name="_MultipleSpace_MNST_Abbott Model 2" xfId="1181"/>
    <cellStyle name="_MultipleSpace_MNST_Book2" xfId="1182"/>
    <cellStyle name="_MultipleSpace_MNST_Book2 2" xfId="1183"/>
    <cellStyle name="_MultipleSpace_PRGO TEMPLATE 5-13-06" xfId="1184"/>
    <cellStyle name="_MultipleSpace_PRGO TEMPLATE 5-13-06 2" xfId="1185"/>
    <cellStyle name="_MultipleSpace_PRGO TEMPLATE 5-13-06 2 2" xfId="1186"/>
    <cellStyle name="_MultipleSpace_PRGO TEMPLATE 5-13-06 3" xfId="1187"/>
    <cellStyle name="_MultipleSpace_PRGO TEMPLATE 5-13-06_Abbott Model" xfId="1188"/>
    <cellStyle name="_MultipleSpace_PRGO TEMPLATE 5-13-06_Abbott Model 2" xfId="1189"/>
    <cellStyle name="_MultipleSpace_PRGO TEMPLATE 5-13-06_Book2" xfId="1190"/>
    <cellStyle name="_MultipleSpace_PRGO TEMPLATE 5-13-06_Book2 2" xfId="1191"/>
    <cellStyle name="_MultipleSpace_quarterly preview" xfId="1192"/>
    <cellStyle name="_MultipleSpace_quarterly preview 2" xfId="1193"/>
    <cellStyle name="_MultipleSpace_quarterly preview 2 2" xfId="1194"/>
    <cellStyle name="_MultipleSpace_quarterly preview 3" xfId="1195"/>
    <cellStyle name="_MultipleSpace_quarterly preview_Abbott Model" xfId="1196"/>
    <cellStyle name="_MultipleSpace_quarterly preview_Abbott Model 2" xfId="1197"/>
    <cellStyle name="_MultipleSpace_quarterly preview_Book2" xfId="1198"/>
    <cellStyle name="_MultipleSpace_quarterly preview_Book2 2" xfId="1199"/>
    <cellStyle name="_MultipleSpace_Rev" xfId="1200"/>
    <cellStyle name="_MultipleSpace_Rev 2" xfId="1201"/>
    <cellStyle name="_MultipleSpace_Rev 2 2" xfId="1202"/>
    <cellStyle name="_MultipleSpace_Rev 3" xfId="1203"/>
    <cellStyle name="_MultipleSpace_Rev_Abbott Model" xfId="1204"/>
    <cellStyle name="_MultipleSpace_Rev_Abbott Model 2" xfId="1205"/>
    <cellStyle name="_MultipleSpace_Rev_Book2" xfId="1206"/>
    <cellStyle name="_MultipleSpace_Rev_Book2 2" xfId="1207"/>
    <cellStyle name="_MultipleSpace_ROE" xfId="1208"/>
    <cellStyle name="_MultipleSpace_ROE 2" xfId="1209"/>
    <cellStyle name="_MultipleSpace_ROE 2 2" xfId="1210"/>
    <cellStyle name="_MultipleSpace_ROE 3" xfId="1211"/>
    <cellStyle name="_MultipleSpace_ROE_Abbott Model" xfId="1212"/>
    <cellStyle name="_MultipleSpace_ROE_Abbott Model 2" xfId="1213"/>
    <cellStyle name="_MultipleSpace_ROE_Book2" xfId="1214"/>
    <cellStyle name="_MultipleSpace_ROE_Book2 2" xfId="1215"/>
    <cellStyle name="_MultipleSpace_Seasonale" xfId="1216"/>
    <cellStyle name="_MultipleSpace_Seasonale 2" xfId="1217"/>
    <cellStyle name="_MultipleSpace_Seasonale 2 2" xfId="1218"/>
    <cellStyle name="_MultipleSpace_Seasonale 3" xfId="1219"/>
    <cellStyle name="_MultipleSpace_Seasonale_Abbott Model" xfId="1220"/>
    <cellStyle name="_MultipleSpace_Seasonale_Abbott Model 2" xfId="1221"/>
    <cellStyle name="_MultipleSpace_Seasonale_Book2" xfId="1222"/>
    <cellStyle name="_MultipleSpace_Seasonale_Book2 2" xfId="1223"/>
    <cellStyle name="_MultipleSpace_Segment breakout" xfId="1224"/>
    <cellStyle name="_MultipleSpace_Segment breakout 2" xfId="1225"/>
    <cellStyle name="_MultipleSpace_Segment breakout 2 2" xfId="1226"/>
    <cellStyle name="_MultipleSpace_Segment breakout 3" xfId="1227"/>
    <cellStyle name="_MultipleSpace_Segment breakout_Abbott Model" xfId="1228"/>
    <cellStyle name="_MultipleSpace_Segment breakout_Abbott Model 2" xfId="1229"/>
    <cellStyle name="_MultipleSpace_Segment breakout_Book2" xfId="1230"/>
    <cellStyle name="_MultipleSpace_Segment breakout_Book2 2" xfId="1231"/>
    <cellStyle name="_MultipleSpace_segment graph data" xfId="1232"/>
    <cellStyle name="_MultipleSpace_segment graph data 2" xfId="1233"/>
    <cellStyle name="_MultipleSpace_segment graph data 2 2" xfId="1234"/>
    <cellStyle name="_MultipleSpace_segment graph data 3" xfId="1235"/>
    <cellStyle name="_MultipleSpace_segment graph data_Abbott Model" xfId="1236"/>
    <cellStyle name="_MultipleSpace_segment graph data_Abbott Model 2" xfId="1237"/>
    <cellStyle name="_MultipleSpace_segment graph data_Book2" xfId="1238"/>
    <cellStyle name="_MultipleSpace_segment graph data_Book2 2" xfId="1239"/>
    <cellStyle name="_MultipleSpace_Sheet1" xfId="1240"/>
    <cellStyle name="_MultipleSpace_Sheet1 2" xfId="1241"/>
    <cellStyle name="_MultipleSpace_Sheet1 2 2" xfId="1242"/>
    <cellStyle name="_MultipleSpace_Sheet1 3" xfId="1243"/>
    <cellStyle name="_MultipleSpace_Sheet1_Abbott Model" xfId="1244"/>
    <cellStyle name="_MultipleSpace_Sheet1_Abbott Model 2" xfId="1245"/>
    <cellStyle name="_MultipleSpace_Sheet1_Agis" xfId="1246"/>
    <cellStyle name="_MultipleSpace_Sheet1_Agis 2" xfId="1247"/>
    <cellStyle name="_MultipleSpace_Sheet1_Agis 2 2" xfId="1248"/>
    <cellStyle name="_MultipleSpace_Sheet1_Agis 3" xfId="1249"/>
    <cellStyle name="_MultipleSpace_Sheet1_Agis_Abbott Model" xfId="1250"/>
    <cellStyle name="_MultipleSpace_Sheet1_Agis_Abbott Model 2" xfId="1251"/>
    <cellStyle name="_MultipleSpace_Sheet1_Agis_Book2" xfId="1252"/>
    <cellStyle name="_MultipleSpace_Sheet1_Agis_Book2 2" xfId="1253"/>
    <cellStyle name="_MultipleSpace_Sheet1_Book2" xfId="1254"/>
    <cellStyle name="_MultipleSpace_Sheet1_Book2 2" xfId="1255"/>
    <cellStyle name="_MultipleSpace_Sheet1_CEPH working" xfId="1256"/>
    <cellStyle name="_MultipleSpace_Sheet1_CEPH working 2" xfId="1257"/>
    <cellStyle name="_MultipleSpace_Sheet1_GQ" xfId="1258"/>
    <cellStyle name="_MultipleSpace_Sheet1_GQ 2" xfId="1259"/>
    <cellStyle name="_MultipleSpace_Sheet1_GQ 2 2" xfId="1260"/>
    <cellStyle name="_MultipleSpace_Sheet1_GQ 3" xfId="1261"/>
    <cellStyle name="_MultipleSpace_Sheet1_GQ_Abbott Model" xfId="1262"/>
    <cellStyle name="_MultipleSpace_Sheet1_GQ_Abbott Model 2" xfId="1263"/>
    <cellStyle name="_MultipleSpace_Sheet1_GQ_Book2" xfId="1264"/>
    <cellStyle name="_MultipleSpace_Sheet1_GQ_Book2 2" xfId="1265"/>
    <cellStyle name="_MultipleSpace_Sheet1_IS" xfId="1266"/>
    <cellStyle name="_MultipleSpace_Sheet1_IS 2" xfId="1267"/>
    <cellStyle name="_MultipleSpace_Sheet1_IS 2 2" xfId="1268"/>
    <cellStyle name="_MultipleSpace_Sheet1_IS 3" xfId="1269"/>
    <cellStyle name="_MultipleSpace_Sheet1_IS_Abbott Model" xfId="1270"/>
    <cellStyle name="_MultipleSpace_Sheet1_IS_Abbott Model 2" xfId="1271"/>
    <cellStyle name="_MultipleSpace_Sheet1_IS_Book2" xfId="1272"/>
    <cellStyle name="_MultipleSpace_Sheet1_IS_Book2 2" xfId="1273"/>
    <cellStyle name="_MultipleSpace_Sheet1_Key poduct model" xfId="1274"/>
    <cellStyle name="_MultipleSpace_Sheet1_Key poduct model 2" xfId="1275"/>
    <cellStyle name="_MultipleSpace_Sheet1_Key poduct model 2 2" xfId="1276"/>
    <cellStyle name="_MultipleSpace_Sheet1_Key poduct model 3" xfId="1277"/>
    <cellStyle name="_MultipleSpace_Sheet1_Key poduct model_Abbott Model" xfId="1278"/>
    <cellStyle name="_MultipleSpace_Sheet1_Key poduct model_Abbott Model 2" xfId="1279"/>
    <cellStyle name="_MultipleSpace_Sheet1_Key poduct model_Book2" xfId="1280"/>
    <cellStyle name="_MultipleSpace_Sheet1_Key poduct model_Book2 2" xfId="1281"/>
    <cellStyle name="_MultipleSpace_Sheet1_Mainsheet - consolidated" xfId="1282"/>
    <cellStyle name="_MultipleSpace_Sheet1_Mainsheet - consolidated 2" xfId="1283"/>
    <cellStyle name="_MultipleSpace_Sheet1_Mainsheet - consolidated 2 2" xfId="1284"/>
    <cellStyle name="_MultipleSpace_Sheet1_Mainsheet - consolidated 3" xfId="1285"/>
    <cellStyle name="_MultipleSpace_Sheet1_Mainsheet - consolidated_Abbott Model" xfId="1286"/>
    <cellStyle name="_MultipleSpace_Sheet1_Mainsheet - consolidated_Abbott Model 2" xfId="1287"/>
    <cellStyle name="_MultipleSpace_Sheet1_Mainsheet - consolidated_Book2" xfId="1288"/>
    <cellStyle name="_MultipleSpace_Sheet1_Mainsheet - consolidated_Book2 2" xfId="1289"/>
    <cellStyle name="_MultipleSpace_Sheet1_MASTER Stanicky-WC 10-28-06 LAUNCH" xfId="1290"/>
    <cellStyle name="_MultipleSpace_Sheet1_MASTER Stanicky-WC 10-28-06 LAUNCH 2" xfId="1291"/>
    <cellStyle name="_MultipleSpace_Sheet1_MASTER Stanicky-WC 10-28-06 LAUNCH 2 2" xfId="1292"/>
    <cellStyle name="_MultipleSpace_Sheet1_MASTER Stanicky-WC 10-28-06 LAUNCH 3" xfId="1293"/>
    <cellStyle name="_MultipleSpace_Sheet1_MASTER Stanicky-WC 10-28-06 LAUNCH_Abbott Model" xfId="1294"/>
    <cellStyle name="_MultipleSpace_Sheet1_MASTER Stanicky-WC 10-28-06 LAUNCH_Abbott Model 2" xfId="1295"/>
    <cellStyle name="_MultipleSpace_Sheet1_MASTER Stanicky-WC 10-28-06 LAUNCH_Book2" xfId="1296"/>
    <cellStyle name="_MultipleSpace_Sheet1_MASTER Stanicky-WC 10-28-06 LAUNCH_Book2 2" xfId="1297"/>
    <cellStyle name="_MultipleSpace_Sheet1_SEPR working" xfId="1298"/>
    <cellStyle name="_MultipleSpace_Sheet1_SEPR working 2" xfId="1299"/>
    <cellStyle name="_MultipleSpace_Sheet1_Sheet3" xfId="1300"/>
    <cellStyle name="_MultipleSpace_Sheet1_Sheet3 2" xfId="1301"/>
    <cellStyle name="_MultipleSpace_Sheet1_Sheet3 2 2" xfId="1302"/>
    <cellStyle name="_MultipleSpace_Sheet1_Sheet3 3" xfId="1303"/>
    <cellStyle name="_MultipleSpace_Sheet1_Sheet3_Abbott Model" xfId="1304"/>
    <cellStyle name="_MultipleSpace_Sheet1_Sheet3_Abbott Model 2" xfId="1305"/>
    <cellStyle name="_MultipleSpace_Sheet1_Sheet3_Book2" xfId="1306"/>
    <cellStyle name="_MultipleSpace_Sheet1_Sheet3_Book2 2" xfId="1307"/>
    <cellStyle name="_MultipleSpace_Sheet1_Sheet3_WC Ovcon forecast" xfId="1308"/>
    <cellStyle name="_MultipleSpace_Sheet1_Sheet3_WC Ovcon forecast 2" xfId="1309"/>
    <cellStyle name="_MultipleSpace_Sheet1_Sheet3_WC Ovcon forecast 2 2" xfId="1310"/>
    <cellStyle name="_MultipleSpace_Sheet1_Sheet3_WC Ovcon forecast 3" xfId="1311"/>
    <cellStyle name="_MultipleSpace_Sheet1_Sheet3_WC Ovcon forecast_Abbott Model" xfId="1312"/>
    <cellStyle name="_MultipleSpace_Sheet1_Sheet3_WC Ovcon forecast_Abbott Model 2" xfId="1313"/>
    <cellStyle name="_MultipleSpace_Sheet1_Sheet3_WC Ovcon forecast_Book2" xfId="1314"/>
    <cellStyle name="_MultipleSpace_Sheet1_Sheet3_WC Ovcon forecast_Book2 2" xfId="1315"/>
    <cellStyle name="_MultipleSpace_Sheet1_SPEC Rx trend vs est " xfId="1316"/>
    <cellStyle name="_MultipleSpace_Sheet1_SPEC Rx trend vs est  2" xfId="1317"/>
    <cellStyle name="_MultipleSpace_Sheet1_SPEC Rx trend vs est  2 2" xfId="1318"/>
    <cellStyle name="_MultipleSpace_Sheet1_SPEC Rx trend vs est  3" xfId="1319"/>
    <cellStyle name="_MultipleSpace_Sheet1_SPEC Rx trend vs est  3 2" xfId="1320"/>
    <cellStyle name="_MultipleSpace_Sheet1_SPEC Rx trend vs est  4" xfId="1321"/>
    <cellStyle name="_MultipleSpace_Sheet1_SPEC Rx trend vs est _Abbott Model" xfId="1322"/>
    <cellStyle name="_MultipleSpace_Sheet1_SPEC Rx trend vs est _Abbott Model 2" xfId="1323"/>
    <cellStyle name="_MultipleSpace_Sheet1_SPEC Rx trend vs est _Book2" xfId="1324"/>
    <cellStyle name="_MultipleSpace_Sheet1_SPEC Rx trend vs est _Book2 2" xfId="1325"/>
    <cellStyle name="_MultipleSpace_Sheet1_Stanicky - Biovail 12-7-2006 FINAL" xfId="1326"/>
    <cellStyle name="_MultipleSpace_Sheet1_Stanicky - Biovail 12-7-2006 FINAL 2" xfId="1327"/>
    <cellStyle name="_MultipleSpace_Sheet1_Stanicky - Biovail 12-7-2006 FINAL 2 2" xfId="1328"/>
    <cellStyle name="_MultipleSpace_Sheet1_Stanicky - Biovail 12-7-2006 FINAL 3" xfId="1329"/>
    <cellStyle name="_MultipleSpace_Sheet1_Stanicky - Biovail 12-7-2006 FINAL_Abbott Model" xfId="1330"/>
    <cellStyle name="_MultipleSpace_Sheet1_Stanicky - Biovail 12-7-2006 FINAL_Abbott Model 2" xfId="1331"/>
    <cellStyle name="_MultipleSpace_Sheet1_Stanicky - Biovail 12-7-2006 FINAL_Book2" xfId="1332"/>
    <cellStyle name="_MultipleSpace_Sheet1_Stanicky - Biovail 12-7-2006 FINAL_Book2 2" xfId="1333"/>
    <cellStyle name="_MultipleSpace_Sheet1_WC Ovcon forecast" xfId="1334"/>
    <cellStyle name="_MultipleSpace_Sheet1_WC Ovcon forecast 2" xfId="1335"/>
    <cellStyle name="_MultipleSpace_Sheet1_WC Ovcon forecast 2 2" xfId="1336"/>
    <cellStyle name="_MultipleSpace_Sheet1_WC Ovcon forecast 3" xfId="1337"/>
    <cellStyle name="_MultipleSpace_Sheet1_WC Ovcon forecast_Abbott Model" xfId="1338"/>
    <cellStyle name="_MultipleSpace_Sheet1_WC Ovcon forecast_Abbott Model 2" xfId="1339"/>
    <cellStyle name="_MultipleSpace_Sheet1_WC Ovcon forecast_Book2" xfId="1340"/>
    <cellStyle name="_MultipleSpace_Sheet1_WC Ovcon forecast_Book2 2" xfId="1341"/>
    <cellStyle name="_MultipleSpace_Sheet1_WCRX working" xfId="1342"/>
    <cellStyle name="_MultipleSpace_Sheet1_WCRX working 2" xfId="1343"/>
    <cellStyle name="_MultipleSpace_Sheet1_WCRX working 2 2" xfId="1344"/>
    <cellStyle name="_MultipleSpace_Sheet1_WCRX working 3" xfId="1345"/>
    <cellStyle name="_MultipleSpace_Sheet1_WCRX working_Abbott Model" xfId="1346"/>
    <cellStyle name="_MultipleSpace_Sheet1_WCRX working_Abbott Model 2" xfId="1347"/>
    <cellStyle name="_MultipleSpace_Sheet1_WCRX working_Book2" xfId="1348"/>
    <cellStyle name="_MultipleSpace_Sheet1_WCRX working_Book2 2" xfId="1349"/>
    <cellStyle name="_MultipleSpace_Sheet13" xfId="1350"/>
    <cellStyle name="_MultipleSpace_Sheet13 2" xfId="1351"/>
    <cellStyle name="_MultipleSpace_Sheet13 2 2" xfId="1352"/>
    <cellStyle name="_MultipleSpace_Sheet13 3" xfId="1353"/>
    <cellStyle name="_MultipleSpace_Sheet13_Abbott Model" xfId="1354"/>
    <cellStyle name="_MultipleSpace_Sheet13_Abbott Model 2" xfId="1355"/>
    <cellStyle name="_MultipleSpace_Sheet13_Book2" xfId="1356"/>
    <cellStyle name="_MultipleSpace_Sheet13_Book2 2" xfId="1357"/>
    <cellStyle name="_MultipleSpace_Sheet3" xfId="1358"/>
    <cellStyle name="_MultipleSpace_Sheet3 2" xfId="1359"/>
    <cellStyle name="_MultipleSpace_Sheet3 2 2" xfId="1360"/>
    <cellStyle name="_MultipleSpace_Sheet3 3" xfId="1361"/>
    <cellStyle name="_MultipleSpace_Sheet3_Abbott Model" xfId="1362"/>
    <cellStyle name="_MultipleSpace_Sheet3_Abbott Model 2" xfId="1363"/>
    <cellStyle name="_MultipleSpace_Sheet3_Book2" xfId="1364"/>
    <cellStyle name="_MultipleSpace_Sheet3_Book2 2" xfId="1365"/>
    <cellStyle name="_MultipleSpace_Sheet6" xfId="1366"/>
    <cellStyle name="_MultipleSpace_Sheet6 2" xfId="1367"/>
    <cellStyle name="_MultipleSpace_Sheet6 2 2" xfId="1368"/>
    <cellStyle name="_MultipleSpace_Sheet6 3" xfId="1369"/>
    <cellStyle name="_MultipleSpace_Sheet6_Abbott Model" xfId="1370"/>
    <cellStyle name="_MultipleSpace_Sheet6_Abbott Model 2" xfId="1371"/>
    <cellStyle name="_MultipleSpace_Sheet6_Book2" xfId="1372"/>
    <cellStyle name="_MultipleSpace_Sheet6_Book2 2" xfId="1373"/>
    <cellStyle name="_MultipleSpace_Snapshot" xfId="1374"/>
    <cellStyle name="_MultipleSpace_Snapshot 2" xfId="1375"/>
    <cellStyle name="_MultipleSpace_Snapshot 2 2" xfId="1376"/>
    <cellStyle name="_MultipleSpace_Snapshot 3" xfId="1377"/>
    <cellStyle name="_MultipleSpace_Snapshot_Abbott Model" xfId="1378"/>
    <cellStyle name="_MultipleSpace_Snapshot_Abbott Model 2" xfId="1379"/>
    <cellStyle name="_MultipleSpace_Snapshot_Book2" xfId="1380"/>
    <cellStyle name="_MultipleSpace_Snapshot_Book2 2" xfId="1381"/>
    <cellStyle name="_MultipleSpace_Special situation" xfId="1382"/>
    <cellStyle name="_MultipleSpace_Special situation 2" xfId="1383"/>
    <cellStyle name="_MultipleSpace_Special situation 2 2" xfId="1384"/>
    <cellStyle name="_MultipleSpace_Special situation 3" xfId="1385"/>
    <cellStyle name="_MultipleSpace_Special situation_Abbott Model" xfId="1386"/>
    <cellStyle name="_MultipleSpace_Special situation_Abbott Model 2" xfId="1387"/>
    <cellStyle name="_MultipleSpace_Special situation_Book2" xfId="1388"/>
    <cellStyle name="_MultipleSpace_Special situation_Book2 2" xfId="1389"/>
    <cellStyle name="_MultipleSpace_SSP" xfId="1390"/>
    <cellStyle name="_MultipleSpace_SSP 2" xfId="1391"/>
    <cellStyle name="_MultipleSpace_SSP 2 2" xfId="1392"/>
    <cellStyle name="_MultipleSpace_SSP 3" xfId="1393"/>
    <cellStyle name="_MultipleSpace_SSP_Abbott Model" xfId="1394"/>
    <cellStyle name="_MultipleSpace_SSP_Abbott Model 2" xfId="1395"/>
    <cellStyle name="_MultipleSpace_SSP_Book2" xfId="1396"/>
    <cellStyle name="_MultipleSpace_SSP_Book2 2" xfId="1397"/>
    <cellStyle name="_MultipleSpace_Taclonex - dovonex" xfId="1398"/>
    <cellStyle name="_MultipleSpace_Taclonex - dovonex 2" xfId="1399"/>
    <cellStyle name="_MultipleSpace_Taclonex - dovonex 2 2" xfId="1400"/>
    <cellStyle name="_MultipleSpace_Taclonex - dovonex 3" xfId="1401"/>
    <cellStyle name="_MultipleSpace_Taclonex - dovonex_Abbott Model" xfId="1402"/>
    <cellStyle name="_MultipleSpace_Taclonex - dovonex_Abbott Model 2" xfId="1403"/>
    <cellStyle name="_MultipleSpace_Taclonex - dovonex_Book2" xfId="1404"/>
    <cellStyle name="_MultipleSpace_Taclonex - dovonex_Book2 2" xfId="1405"/>
    <cellStyle name="_MultipleSpace_taro DSO 4-29-06" xfId="1406"/>
    <cellStyle name="_MultipleSpace_taro DSO 4-29-06 2" xfId="1407"/>
    <cellStyle name="_MultipleSpace_taro DSO 4-29-06 2 2" xfId="1408"/>
    <cellStyle name="_MultipleSpace_taro DSO 4-29-06 3" xfId="1409"/>
    <cellStyle name="_MultipleSpace_taro DSO 4-29-06_Abbott Model" xfId="1410"/>
    <cellStyle name="_MultipleSpace_taro DSO 4-29-06_Abbott Model 2" xfId="1411"/>
    <cellStyle name="_MultipleSpace_taro DSO 4-29-06_Book2" xfId="1412"/>
    <cellStyle name="_MultipleSpace_taro DSO 4-29-06_Book2 2" xfId="1413"/>
    <cellStyle name="_MultipleSpace_Tearsheet" xfId="1414"/>
    <cellStyle name="_MultipleSpace_Tearsheet 2" xfId="1415"/>
    <cellStyle name="_MultipleSpace_Tearsheet 2 2" xfId="1416"/>
    <cellStyle name="_MultipleSpace_Tearsheet 3" xfId="1417"/>
    <cellStyle name="_MultipleSpace_Tearsheet_Abbott Model" xfId="1418"/>
    <cellStyle name="_MultipleSpace_Tearsheet_Abbott Model 2" xfId="1419"/>
    <cellStyle name="_MultipleSpace_Tearsheet_Book2" xfId="1420"/>
    <cellStyle name="_MultipleSpace_Tearsheet_Book2 2" xfId="1421"/>
    <cellStyle name="_MultipleSpace_Testim" xfId="1422"/>
    <cellStyle name="_MultipleSpace_Testim 2" xfId="1423"/>
    <cellStyle name="_MultipleSpace_Testim 2 2" xfId="1424"/>
    <cellStyle name="_MultipleSpace_Testim 3" xfId="1425"/>
    <cellStyle name="_MultipleSpace_Testim_Abbott Model" xfId="1426"/>
    <cellStyle name="_MultipleSpace_Testim_Abbott Model 2" xfId="1427"/>
    <cellStyle name="_MultipleSpace_Testim_Book2" xfId="1428"/>
    <cellStyle name="_MultipleSpace_Testim_Book2 2" xfId="1429"/>
    <cellStyle name="_MultipleSpace_Teva - Qtrly IS" xfId="1430"/>
    <cellStyle name="_MultipleSpace_Teva - Qtrly IS 2" xfId="1431"/>
    <cellStyle name="_MultipleSpace_Teva - Qtrly IS 2 2" xfId="1432"/>
    <cellStyle name="_MultipleSpace_Teva - Qtrly IS 3" xfId="1433"/>
    <cellStyle name="_MultipleSpace_Teva - Qtrly IS_Abbott Model" xfId="1434"/>
    <cellStyle name="_MultipleSpace_Teva - Qtrly IS_Abbott Model 2" xfId="1435"/>
    <cellStyle name="_MultipleSpace_Teva - Qtrly IS_Book2" xfId="1436"/>
    <cellStyle name="_MultipleSpace_Teva - Qtrly IS_Book2 2" xfId="1437"/>
    <cellStyle name="_MultipleSpace_Teva main sheet" xfId="1438"/>
    <cellStyle name="_MultipleSpace_Teva main sheet 2" xfId="1439"/>
    <cellStyle name="_MultipleSpace_Teva main sheet 2 2" xfId="1440"/>
    <cellStyle name="_MultipleSpace_Teva main sheet 3" xfId="1441"/>
    <cellStyle name="_MultipleSpace_Teva main sheet_Abbott Model" xfId="1442"/>
    <cellStyle name="_MultipleSpace_Teva main sheet_Abbott Model 2" xfId="1443"/>
    <cellStyle name="_MultipleSpace_Teva main sheet_Book2" xfId="1444"/>
    <cellStyle name="_MultipleSpace_Teva main sheet_Book2 2" xfId="1445"/>
    <cellStyle name="_MultipleSpace_WC Ovcon forecast" xfId="1446"/>
    <cellStyle name="_MultipleSpace_WC Ovcon forecast 2" xfId="1447"/>
    <cellStyle name="_MultipleSpace_WC Ovcon forecast 2 2" xfId="1448"/>
    <cellStyle name="_MultipleSpace_WC Ovcon forecast 3" xfId="1449"/>
    <cellStyle name="_MultipleSpace_WC Ovcon forecast_Abbott Model" xfId="1450"/>
    <cellStyle name="_MultipleSpace_WC Ovcon forecast_Abbott Model 2" xfId="1451"/>
    <cellStyle name="_MultipleSpace_WC Ovcon forecast_Book2" xfId="1452"/>
    <cellStyle name="_MultipleSpace_WC Ovcon forecast_Book2 2" xfId="1453"/>
    <cellStyle name="_Percent" xfId="1454"/>
    <cellStyle name="_Percent 2" xfId="1455"/>
    <cellStyle name="_Percent 2 2" xfId="1456"/>
    <cellStyle name="_Percent 3" xfId="1457"/>
    <cellStyle name="_Percent_1 Loestrin 24" xfId="1458"/>
    <cellStyle name="_Percent_1 Loestrin 24 2" xfId="1459"/>
    <cellStyle name="_Percent_1 Loestrin 24 2 2" xfId="1460"/>
    <cellStyle name="_Percent_1 Loestrin 24 3" xfId="1461"/>
    <cellStyle name="_Percent_1 Loestrin 24_Abbott Model" xfId="1462"/>
    <cellStyle name="_Percent_1 Loestrin 24_Abbott Model 2" xfId="1463"/>
    <cellStyle name="_Percent_1 Loestrin 24_Book2" xfId="1464"/>
    <cellStyle name="_Percent_1 Loestrin 24_Book2 2" xfId="1465"/>
    <cellStyle name="_Percent_1 Ovcon" xfId="1466"/>
    <cellStyle name="_Percent_1 Ovcon 2" xfId="1467"/>
    <cellStyle name="_Percent_1 Ovcon 2 2" xfId="1468"/>
    <cellStyle name="_Percent_1 Ovcon 3" xfId="1469"/>
    <cellStyle name="_Percent_1 Ovcon_Abbott Model" xfId="1470"/>
    <cellStyle name="_Percent_1 Ovcon_Abbott Model 2" xfId="1471"/>
    <cellStyle name="_Percent_1 Ovcon_Book2" xfId="1472"/>
    <cellStyle name="_Percent_1 Ovcon_Book2 2" xfId="1473"/>
    <cellStyle name="_Percent_1 Taclonex" xfId="1474"/>
    <cellStyle name="_Percent_1 Taclonex 2" xfId="1475"/>
    <cellStyle name="_Percent_1 Taclonex 2 2" xfId="1476"/>
    <cellStyle name="_Percent_1 Taclonex 3" xfId="1477"/>
    <cellStyle name="_Percent_1 Taclonex_Abbott Model" xfId="1478"/>
    <cellStyle name="_Percent_1 Taclonex_Abbott Model 2" xfId="1479"/>
    <cellStyle name="_Percent_1 Taclonex_Book2" xfId="1480"/>
    <cellStyle name="_Percent_1 Taclonex_Book2 2" xfId="1481"/>
    <cellStyle name="_Percent_4VAL DCF2" xfId="1482"/>
    <cellStyle name="_Percent_4VAL DCF2 2" xfId="1483"/>
    <cellStyle name="_Percent_4VAL DCF2 2 2" xfId="1484"/>
    <cellStyle name="_Percent_4VAL DCF2 3" xfId="1485"/>
    <cellStyle name="_Percent_4VAL DCF2_Abbott Model" xfId="1486"/>
    <cellStyle name="_Percent_4VAL DCF2_Abbott Model 2" xfId="1487"/>
    <cellStyle name="_Percent_4VAL DCF2_Book2" xfId="1488"/>
    <cellStyle name="_Percent_4VAL DCF2_Book2 2" xfId="1489"/>
    <cellStyle name="_Percent_Abbott Model" xfId="1490"/>
    <cellStyle name="_Percent_Abbott Model 2" xfId="1491"/>
    <cellStyle name="_Percent_Actiq" xfId="1492"/>
    <cellStyle name="_Percent_Actiq 2" xfId="1493"/>
    <cellStyle name="_Percent_Actiq 2 2" xfId="1494"/>
    <cellStyle name="_Percent_Actiq 3" xfId="1495"/>
    <cellStyle name="_Percent_Actiq_Abbott Model" xfId="1496"/>
    <cellStyle name="_Percent_Actiq_Abbott Model 2" xfId="1497"/>
    <cellStyle name="_Percent_Actiq_Book2" xfId="1498"/>
    <cellStyle name="_Percent_Actiq_Book2 2" xfId="1499"/>
    <cellStyle name="_Percent_Agis" xfId="1500"/>
    <cellStyle name="_Percent_Agis 2" xfId="1501"/>
    <cellStyle name="_Percent_Agis 2 2" xfId="1502"/>
    <cellStyle name="_Percent_Agis 3" xfId="1503"/>
    <cellStyle name="_Percent_Agis_Abbott Model" xfId="1504"/>
    <cellStyle name="_Percent_Agis_Abbott Model 2" xfId="1505"/>
    <cellStyle name="_Percent_Agis_Book2" xfId="1506"/>
    <cellStyle name="_Percent_Agis_Book2 2" xfId="1507"/>
    <cellStyle name="_Percent_ANDAs" xfId="1508"/>
    <cellStyle name="_Percent_ANDAs 2" xfId="1509"/>
    <cellStyle name="_Percent_ANDAs 2 2" xfId="1510"/>
    <cellStyle name="_Percent_ANDAs 3" xfId="1511"/>
    <cellStyle name="_Percent_ANDAs summary sheet" xfId="1512"/>
    <cellStyle name="_Percent_ANDAs summary sheet 2" xfId="1513"/>
    <cellStyle name="_Percent_ANDAs summary sheet 2 2" xfId="1514"/>
    <cellStyle name="_Percent_ANDAs summary sheet 3" xfId="1515"/>
    <cellStyle name="_Percent_ANDAs summary sheet_Abbott Model" xfId="1516"/>
    <cellStyle name="_Percent_ANDAs summary sheet_Abbott Model 2" xfId="1517"/>
    <cellStyle name="_Percent_ANDAs summary sheet_Book2" xfId="1518"/>
    <cellStyle name="_Percent_ANDAs summary sheet_Book2 2" xfId="1519"/>
    <cellStyle name="_Percent_ANDAs_Abbott Model" xfId="1520"/>
    <cellStyle name="_Percent_ANDAs_Abbott Model 2" xfId="1521"/>
    <cellStyle name="_Percent_ANDAs_Book2" xfId="1522"/>
    <cellStyle name="_Percent_ANDAs_Book2 2" xfId="1523"/>
    <cellStyle name="_Percent_ANDRX DDT" xfId="1524"/>
    <cellStyle name="_Percent_ANDRX DDT 2" xfId="1525"/>
    <cellStyle name="_Percent_ANDRX DDT 2 2" xfId="1526"/>
    <cellStyle name="_Percent_ANDRX DDT 3" xfId="1527"/>
    <cellStyle name="_Percent_ANDRX DDT_Abbott Model" xfId="1528"/>
    <cellStyle name="_Percent_ANDRX DDT_Abbott Model 2" xfId="1529"/>
    <cellStyle name="_Percent_ANDRX DDT_Book2" xfId="1530"/>
    <cellStyle name="_Percent_ANDRX DDT_Book2 2" xfId="1531"/>
    <cellStyle name="_Percent_Book2" xfId="1532"/>
    <cellStyle name="_Percent_Book2 2" xfId="1533"/>
    <cellStyle name="_Percent_CAPEX spend" xfId="1534"/>
    <cellStyle name="_Percent_CAPEX spend 2" xfId="1535"/>
    <cellStyle name="_Percent_CAPEX spend 2 2" xfId="1536"/>
    <cellStyle name="_Percent_CAPEX spend 3" xfId="1537"/>
    <cellStyle name="_Percent_CAPEX spend_Abbott Model" xfId="1538"/>
    <cellStyle name="_Percent_CAPEX spend_Abbott Model 2" xfId="1539"/>
    <cellStyle name="_Percent_CAPEX spend_Book2" xfId="1540"/>
    <cellStyle name="_Percent_CAPEX spend_Book2 2" xfId="1541"/>
    <cellStyle name="_Percent_Consolidation" xfId="1542"/>
    <cellStyle name="_Percent_Consolidation 2" xfId="1543"/>
    <cellStyle name="_Percent_Consolidation 2 2" xfId="1544"/>
    <cellStyle name="_Percent_Consolidation 3" xfId="1545"/>
    <cellStyle name="_Percent_Consolidation_Abbott Model" xfId="1546"/>
    <cellStyle name="_Percent_Consolidation_Abbott Model 2" xfId="1547"/>
    <cellStyle name="_Percent_Consolidation_Book2" xfId="1548"/>
    <cellStyle name="_Percent_Consolidation_Book2 2" xfId="1549"/>
    <cellStyle name="_Percent_Debt schedule" xfId="1550"/>
    <cellStyle name="_Percent_Debt schedule 2" xfId="1551"/>
    <cellStyle name="_Percent_Debt schedule 2 2" xfId="1552"/>
    <cellStyle name="_Percent_Debt schedule 3" xfId="1553"/>
    <cellStyle name="_Percent_Debt schedule_Abbott Model" xfId="1554"/>
    <cellStyle name="_Percent_Debt schedule_Abbott Model 2" xfId="1555"/>
    <cellStyle name="_Percent_Debt schedule_Book2" xfId="1556"/>
    <cellStyle name="_Percent_Debt schedule_Book2 2" xfId="1557"/>
    <cellStyle name="_Percent_DSO" xfId="1558"/>
    <cellStyle name="_Percent_DSO 2" xfId="1559"/>
    <cellStyle name="_Percent_DSO 2 2" xfId="1560"/>
    <cellStyle name="_Percent_DSO 3" xfId="1561"/>
    <cellStyle name="_Percent_DSO_Abbott Model" xfId="1562"/>
    <cellStyle name="_Percent_DSO_Abbott Model 2" xfId="1563"/>
    <cellStyle name="_Percent_DSO_Book2" xfId="1564"/>
    <cellStyle name="_Percent_DSO_Book2 2" xfId="1565"/>
    <cellStyle name="_Percent_EPS revision" xfId="1566"/>
    <cellStyle name="_Percent_EPS revision 2" xfId="1567"/>
    <cellStyle name="_Percent_EPS revision 2 2" xfId="1568"/>
    <cellStyle name="_Percent_EPS revision 3" xfId="1569"/>
    <cellStyle name="_Percent_EPS revision_Abbott Model" xfId="1570"/>
    <cellStyle name="_Percent_EPS revision_Abbott Model 2" xfId="1571"/>
    <cellStyle name="_Percent_EPS revision_Book2" xfId="1572"/>
    <cellStyle name="_Percent_EPS revision_Book2 2" xfId="1573"/>
    <cellStyle name="_Percent_EPS sensitivity" xfId="1574"/>
    <cellStyle name="_Percent_EPS sensitivity 2" xfId="1575"/>
    <cellStyle name="_Percent_EPS sensitivity 2 2" xfId="1576"/>
    <cellStyle name="_Percent_EPS sensitivity 3" xfId="1577"/>
    <cellStyle name="_Percent_EPS sensitivity_Abbott Model" xfId="1578"/>
    <cellStyle name="_Percent_EPS sensitivity_Abbott Model 2" xfId="1579"/>
    <cellStyle name="_Percent_EPS sensitivity_Book2" xfId="1580"/>
    <cellStyle name="_Percent_EPS sensitivity_Book2 2" xfId="1581"/>
    <cellStyle name="_Percent_FBANDAs" xfId="1582"/>
    <cellStyle name="_Percent_FBANDAs 2" xfId="1583"/>
    <cellStyle name="_Percent_FBANDAs 2 2" xfId="1584"/>
    <cellStyle name="_Percent_FBANDAs 3" xfId="1585"/>
    <cellStyle name="_Percent_FBANDAs_Abbott Model" xfId="1586"/>
    <cellStyle name="_Percent_FBANDAs_Abbott Model 2" xfId="1587"/>
    <cellStyle name="_Percent_FBANDAs_Book2" xfId="1588"/>
    <cellStyle name="_Percent_FBANDAs_Book2 2" xfId="1589"/>
    <cellStyle name="_Percent_Ferrlecit" xfId="1590"/>
    <cellStyle name="_Percent_Ferrlecit 2" xfId="1591"/>
    <cellStyle name="_Percent_Ferrlecit 2 2" xfId="1592"/>
    <cellStyle name="_Percent_Ferrlecit 3" xfId="1593"/>
    <cellStyle name="_Percent_Ferrlecit_Abbott Model" xfId="1594"/>
    <cellStyle name="_Percent_Ferrlecit_Abbott Model 2" xfId="1595"/>
    <cellStyle name="_Percent_Ferrlecit_Book2" xfId="1596"/>
    <cellStyle name="_Percent_Ferrlecit_Book2 2" xfId="1597"/>
    <cellStyle name="_Percent_For charts" xfId="1598"/>
    <cellStyle name="_Percent_For charts 2" xfId="1599"/>
    <cellStyle name="_Percent_For charts 2 2" xfId="1600"/>
    <cellStyle name="_Percent_For charts 3" xfId="1601"/>
    <cellStyle name="_Percent_For charts_Abbott Model" xfId="1602"/>
    <cellStyle name="_Percent_For charts_Abbott Model 2" xfId="1603"/>
    <cellStyle name="_Percent_For charts_Book2" xfId="1604"/>
    <cellStyle name="_Percent_For charts_Book2 2" xfId="1605"/>
    <cellStyle name="_Percent_Gen pipe" xfId="1606"/>
    <cellStyle name="_Percent_Gen pipe 2" xfId="1607"/>
    <cellStyle name="_Percent_Gen pipe 2 2" xfId="1608"/>
    <cellStyle name="_Percent_Gen pipe 3" xfId="1609"/>
    <cellStyle name="_Percent_Gen pipe_Abbott Model" xfId="1610"/>
    <cellStyle name="_Percent_Gen pipe_Abbott Model 2" xfId="1611"/>
    <cellStyle name="_Percent_Gen pipe_Book2" xfId="1612"/>
    <cellStyle name="_Percent_Gen pipe_Book2 2" xfId="1613"/>
    <cellStyle name="_Percent_Gross Margin" xfId="1614"/>
    <cellStyle name="_Percent_Gross Margin 2" xfId="1615"/>
    <cellStyle name="_Percent_Gross Margin 2 2" xfId="1616"/>
    <cellStyle name="_Percent_Gross Margin 3" xfId="1617"/>
    <cellStyle name="_Percent_Gross Margin_Abbott Model" xfId="1618"/>
    <cellStyle name="_Percent_Gross Margin_Abbott Model 2" xfId="1619"/>
    <cellStyle name="_Percent_Gross Margin_Book2" xfId="1620"/>
    <cellStyle name="_Percent_Gross Margin_Book2 2" xfId="1621"/>
    <cellStyle name="_Percent_GS_McFadden_CRL_4-1-05 RS" xfId="1622"/>
    <cellStyle name="_Percent_GS_McFadden_CRL_4-1-05 RS 2" xfId="1623"/>
    <cellStyle name="_Percent_GS_McFadden_CRL_4-1-05 RS 2 2" xfId="1624"/>
    <cellStyle name="_Percent_GS_McFadden_CRL_4-1-05 RS 3" xfId="1625"/>
    <cellStyle name="_Percent_GS_McFadden_CRL_4-1-05 RS_Abbott Model" xfId="1626"/>
    <cellStyle name="_Percent_GS_McFadden_CRL_4-1-05 RS_Abbott Model 2" xfId="1627"/>
    <cellStyle name="_Percent_GS_McFadden_CRL_4-1-05 RS_Book2" xfId="1628"/>
    <cellStyle name="_Percent_GS_McFadden_CRL_4-1-05 RS_Book2 2" xfId="1629"/>
    <cellStyle name="_Percent_GS_MDZ_ MASTER model 4-01-05 RS" xfId="1630"/>
    <cellStyle name="_Percent_GS_MDZ_ MASTER model 4-01-05 RS 2" xfId="1631"/>
    <cellStyle name="_Percent_GS_MDZ_ MASTER model 4-01-05 RS 2 2" xfId="1632"/>
    <cellStyle name="_Percent_GS_MDZ_ MASTER model 4-01-05 RS 3" xfId="1633"/>
    <cellStyle name="_Percent_GS_MDZ_ MASTER model 4-01-05 RS_Abbott Model" xfId="1634"/>
    <cellStyle name="_Percent_GS_MDZ_ MASTER model 4-01-05 RS_Abbott Model 2" xfId="1635"/>
    <cellStyle name="_Percent_GS_MDZ_ MASTER model 4-01-05 RS_Book2" xfId="1636"/>
    <cellStyle name="_Percent_GS_MDZ_ MASTER model 4-01-05 RS_Book2 2" xfId="1637"/>
    <cellStyle name="_Percent_Indian companies" xfId="1638"/>
    <cellStyle name="_Percent_Indian companies 2" xfId="1639"/>
    <cellStyle name="_Percent_Indian companies 2 2" xfId="1640"/>
    <cellStyle name="_Percent_Indian companies 3" xfId="1641"/>
    <cellStyle name="_Percent_Indian companies_Abbott Model" xfId="1642"/>
    <cellStyle name="_Percent_Indian companies_Abbott Model 2" xfId="1643"/>
    <cellStyle name="_Percent_Indian companies_Book2" xfId="1644"/>
    <cellStyle name="_Percent_Indian companies_Book2 2" xfId="1645"/>
    <cellStyle name="_Percent_Key poduct model" xfId="1646"/>
    <cellStyle name="_Percent_Key poduct model 2" xfId="1647"/>
    <cellStyle name="_Percent_Key poduct model 2 2" xfId="1648"/>
    <cellStyle name="_Percent_Key poduct model 3" xfId="1649"/>
    <cellStyle name="_Percent_Key poduct model_Abbott Model" xfId="1650"/>
    <cellStyle name="_Percent_Key poduct model_Abbott Model 2" xfId="1651"/>
    <cellStyle name="_Percent_Key poduct model_Book2" xfId="1652"/>
    <cellStyle name="_Percent_Key poduct model_Book2 2" xfId="1653"/>
    <cellStyle name="_Percent_Loestrin 24" xfId="1654"/>
    <cellStyle name="_Percent_Loestrin 24 2" xfId="1655"/>
    <cellStyle name="_Percent_Loestrin 24 2 2" xfId="1656"/>
    <cellStyle name="_Percent_Loestrin 24 3" xfId="1657"/>
    <cellStyle name="_Percent_Loestrin 24_Abbott Model" xfId="1658"/>
    <cellStyle name="_Percent_Loestrin 24_Abbott Model 2" xfId="1659"/>
    <cellStyle name="_Percent_Loestrin 24_Book2" xfId="1660"/>
    <cellStyle name="_Percent_Loestrin 24_Book2 2" xfId="1661"/>
    <cellStyle name="_Percent_major holders 5-04" xfId="1662"/>
    <cellStyle name="_Percent_major holders 5-04 2" xfId="1663"/>
    <cellStyle name="_Percent_major holders 5-04 2 2" xfId="1664"/>
    <cellStyle name="_Percent_major holders 5-04 3" xfId="1665"/>
    <cellStyle name="_Percent_major holders 5-04_Abbott Model" xfId="1666"/>
    <cellStyle name="_Percent_major holders 5-04_Abbott Model 2" xfId="1667"/>
    <cellStyle name="_Percent_major holders 5-04_Book2" xfId="1668"/>
    <cellStyle name="_Percent_major holders 5-04_Book2 2" xfId="1669"/>
    <cellStyle name="_Percent_Megace channel data" xfId="1670"/>
    <cellStyle name="_Percent_Megace channel data 2" xfId="1671"/>
    <cellStyle name="_Percent_Megace channel data 2 2" xfId="1672"/>
    <cellStyle name="_Percent_Megace channel data 3" xfId="1673"/>
    <cellStyle name="_Percent_Megace channel data_Abbott Model" xfId="1674"/>
    <cellStyle name="_Percent_Megace channel data_Abbott Model 2" xfId="1675"/>
    <cellStyle name="_Percent_Megace channel data_Book2" xfId="1676"/>
    <cellStyle name="_Percent_Megace channel data_Book2 2" xfId="1677"/>
    <cellStyle name="_Percent_Megace ES estimates" xfId="1678"/>
    <cellStyle name="_Percent_Megace ES estimates 2" xfId="1679"/>
    <cellStyle name="_Percent_Megace ES estimates 2 2" xfId="1680"/>
    <cellStyle name="_Percent_Megace ES estimates 3" xfId="1681"/>
    <cellStyle name="_Percent_Megace ES estimates_Abbott Model" xfId="1682"/>
    <cellStyle name="_Percent_Megace ES estimates_Abbott Model 2" xfId="1683"/>
    <cellStyle name="_Percent_Megace ES estimates_Book2" xfId="1684"/>
    <cellStyle name="_Percent_Megace ES estimates_Book2 2" xfId="1685"/>
    <cellStyle name="_Percent_Megace ES sales data" xfId="1686"/>
    <cellStyle name="_Percent_Megace ES sales data 2" xfId="1687"/>
    <cellStyle name="_Percent_Megace ES sales data 2 2" xfId="1688"/>
    <cellStyle name="_Percent_Megace ES sales data 3" xfId="1689"/>
    <cellStyle name="_Percent_Megace ES sales data_Abbott Model" xfId="1690"/>
    <cellStyle name="_Percent_Megace ES sales data_Abbott Model 2" xfId="1691"/>
    <cellStyle name="_Percent_Megace ES sales data_Book2" xfId="1692"/>
    <cellStyle name="_Percent_Megace ES sales data_Book2 2" xfId="1693"/>
    <cellStyle name="_Percent_Megace Market IMS" xfId="1694"/>
    <cellStyle name="_Percent_Megace Market IMS 2" xfId="1695"/>
    <cellStyle name="_Percent_Megace Market IMS 2 2" xfId="1696"/>
    <cellStyle name="_Percent_Megace Market IMS 3" xfId="1697"/>
    <cellStyle name="_Percent_Megace Market IMS_Abbott Model" xfId="1698"/>
    <cellStyle name="_Percent_Megace Market IMS_Abbott Model 2" xfId="1699"/>
    <cellStyle name="_Percent_Megace Market IMS_Book2" xfId="1700"/>
    <cellStyle name="_Percent_Megace Market IMS_Book2 2" xfId="1701"/>
    <cellStyle name="_Percent_Megace NRx weekly" xfId="1702"/>
    <cellStyle name="_Percent_Megace NRx weekly 2" xfId="1703"/>
    <cellStyle name="_Percent_Megace NRx weekly 2 2" xfId="1704"/>
    <cellStyle name="_Percent_Megace NRx weekly 3" xfId="1705"/>
    <cellStyle name="_Percent_Megace NRx weekly_Abbott Model" xfId="1706"/>
    <cellStyle name="_Percent_Megace NRx weekly_Abbott Model 2" xfId="1707"/>
    <cellStyle name="_Percent_Megace NRx weekly_Book2" xfId="1708"/>
    <cellStyle name="_Percent_Megace NRx weekly_Book2 2" xfId="1709"/>
    <cellStyle name="_Percent_Megace TRx weekly" xfId="1710"/>
    <cellStyle name="_Percent_Megace TRx weekly 2" xfId="1711"/>
    <cellStyle name="_Percent_Megace TRx weekly 2 2" xfId="1712"/>
    <cellStyle name="_Percent_Megace TRx weekly 3" xfId="1713"/>
    <cellStyle name="_Percent_Megace TRx weekly_Abbott Model" xfId="1714"/>
    <cellStyle name="_Percent_Megace TRx weekly_Abbott Model 2" xfId="1715"/>
    <cellStyle name="_Percent_Megace TRx weekly_Book2" xfId="1716"/>
    <cellStyle name="_Percent_Megace TRx weekly_Book2 2" xfId="1717"/>
    <cellStyle name="_Percent_PRGO TEMPLATE 5-13-06" xfId="1718"/>
    <cellStyle name="_Percent_PRGO TEMPLATE 5-13-06 2" xfId="1719"/>
    <cellStyle name="_Percent_PRGO TEMPLATE 5-13-06 2 2" xfId="1720"/>
    <cellStyle name="_Percent_PRGO TEMPLATE 5-13-06 3" xfId="1721"/>
    <cellStyle name="_Percent_PRGO TEMPLATE 5-13-06_Abbott Model" xfId="1722"/>
    <cellStyle name="_Percent_PRGO TEMPLATE 5-13-06_Abbott Model 2" xfId="1723"/>
    <cellStyle name="_Percent_PRGO TEMPLATE 5-13-06_Book2" xfId="1724"/>
    <cellStyle name="_Percent_PRGO TEMPLATE 5-13-06_Book2 2" xfId="1725"/>
    <cellStyle name="_Percent_quarterly preview" xfId="1726"/>
    <cellStyle name="_Percent_quarterly preview 2" xfId="1727"/>
    <cellStyle name="_Percent_quarterly preview 2 2" xfId="1728"/>
    <cellStyle name="_Percent_quarterly preview 3" xfId="1729"/>
    <cellStyle name="_Percent_quarterly preview_Abbott Model" xfId="1730"/>
    <cellStyle name="_Percent_quarterly preview_Abbott Model 2" xfId="1731"/>
    <cellStyle name="_Percent_quarterly preview_Book2" xfId="1732"/>
    <cellStyle name="_Percent_quarterly preview_Book2 2" xfId="1733"/>
    <cellStyle name="_Percent_Rev" xfId="1734"/>
    <cellStyle name="_Percent_Rev 2" xfId="1735"/>
    <cellStyle name="_Percent_Rev 2 2" xfId="1736"/>
    <cellStyle name="_Percent_Rev 3" xfId="1737"/>
    <cellStyle name="_Percent_Rev_Abbott Model" xfId="1738"/>
    <cellStyle name="_Percent_Rev_Abbott Model 2" xfId="1739"/>
    <cellStyle name="_Percent_Rev_Book2" xfId="1740"/>
    <cellStyle name="_Percent_Rev_Book2 2" xfId="1741"/>
    <cellStyle name="_Percent_ROE" xfId="1742"/>
    <cellStyle name="_Percent_ROE 2" xfId="1743"/>
    <cellStyle name="_Percent_ROE 2 2" xfId="1744"/>
    <cellStyle name="_Percent_ROE 3" xfId="1745"/>
    <cellStyle name="_Percent_ROE_Abbott Model" xfId="1746"/>
    <cellStyle name="_Percent_ROE_Abbott Model 2" xfId="1747"/>
    <cellStyle name="_Percent_ROE_Book2" xfId="1748"/>
    <cellStyle name="_Percent_ROE_Book2 2" xfId="1749"/>
    <cellStyle name="_Percent_Seasonale" xfId="1750"/>
    <cellStyle name="_Percent_Seasonale 2" xfId="1751"/>
    <cellStyle name="_Percent_Seasonale 2 2" xfId="1752"/>
    <cellStyle name="_Percent_Seasonale 3" xfId="1753"/>
    <cellStyle name="_Percent_Seasonale_Abbott Model" xfId="1754"/>
    <cellStyle name="_Percent_Seasonale_Abbott Model 2" xfId="1755"/>
    <cellStyle name="_Percent_Seasonale_Book2" xfId="1756"/>
    <cellStyle name="_Percent_Seasonale_Book2 2" xfId="1757"/>
    <cellStyle name="_Percent_Segment breakout" xfId="1758"/>
    <cellStyle name="_Percent_Segment breakout 2" xfId="1759"/>
    <cellStyle name="_Percent_Segment breakout 2 2" xfId="1760"/>
    <cellStyle name="_Percent_Segment breakout 3" xfId="1761"/>
    <cellStyle name="_Percent_Segment breakout_Abbott Model" xfId="1762"/>
    <cellStyle name="_Percent_Segment breakout_Abbott Model 2" xfId="1763"/>
    <cellStyle name="_Percent_Segment breakout_Book2" xfId="1764"/>
    <cellStyle name="_Percent_Segment breakout_Book2 2" xfId="1765"/>
    <cellStyle name="_Percent_segment graph data" xfId="1766"/>
    <cellStyle name="_Percent_segment graph data 2" xfId="1767"/>
    <cellStyle name="_Percent_segment graph data 2 2" xfId="1768"/>
    <cellStyle name="_Percent_segment graph data 3" xfId="1769"/>
    <cellStyle name="_Percent_segment graph data_Abbott Model" xfId="1770"/>
    <cellStyle name="_Percent_segment graph data_Abbott Model 2" xfId="1771"/>
    <cellStyle name="_Percent_segment graph data_Book2" xfId="1772"/>
    <cellStyle name="_Percent_segment graph data_Book2 2" xfId="1773"/>
    <cellStyle name="_Percent_Sheet1" xfId="1774"/>
    <cellStyle name="_Percent_Sheet1 2" xfId="1775"/>
    <cellStyle name="_Percent_Sheet1 2 2" xfId="1776"/>
    <cellStyle name="_Percent_Sheet1 3" xfId="1777"/>
    <cellStyle name="_Percent_Sheet1_Abbott Model" xfId="1778"/>
    <cellStyle name="_Percent_Sheet1_Abbott Model 2" xfId="1779"/>
    <cellStyle name="_Percent_Sheet1_Agis" xfId="1780"/>
    <cellStyle name="_Percent_Sheet1_Agis 2" xfId="1781"/>
    <cellStyle name="_Percent_Sheet1_Agis 2 2" xfId="1782"/>
    <cellStyle name="_Percent_Sheet1_Agis 3" xfId="1783"/>
    <cellStyle name="_Percent_Sheet1_Agis_Abbott Model" xfId="1784"/>
    <cellStyle name="_Percent_Sheet1_Agis_Abbott Model 2" xfId="1785"/>
    <cellStyle name="_Percent_Sheet1_Agis_Book2" xfId="1786"/>
    <cellStyle name="_Percent_Sheet1_Agis_Book2 2" xfId="1787"/>
    <cellStyle name="_Percent_Sheet1_Book2" xfId="1788"/>
    <cellStyle name="_Percent_Sheet1_Book2 2" xfId="1789"/>
    <cellStyle name="_Percent_Sheet1_CEPH working" xfId="1790"/>
    <cellStyle name="_Percent_Sheet1_CEPH working 2" xfId="1791"/>
    <cellStyle name="_Percent_Sheet1_GQ" xfId="1792"/>
    <cellStyle name="_Percent_Sheet1_GQ 2" xfId="1793"/>
    <cellStyle name="_Percent_Sheet1_GQ 2 2" xfId="1794"/>
    <cellStyle name="_Percent_Sheet1_GQ 3" xfId="1795"/>
    <cellStyle name="_Percent_Sheet1_GQ_Abbott Model" xfId="1796"/>
    <cellStyle name="_Percent_Sheet1_GQ_Abbott Model 2" xfId="1797"/>
    <cellStyle name="_Percent_Sheet1_GQ_Book2" xfId="1798"/>
    <cellStyle name="_Percent_Sheet1_GQ_Book2 2" xfId="1799"/>
    <cellStyle name="_Percent_Sheet1_IS" xfId="1800"/>
    <cellStyle name="_Percent_Sheet1_IS 2" xfId="1801"/>
    <cellStyle name="_Percent_Sheet1_IS 2 2" xfId="1802"/>
    <cellStyle name="_Percent_Sheet1_IS 3" xfId="1803"/>
    <cellStyle name="_Percent_Sheet1_IS_Abbott Model" xfId="1804"/>
    <cellStyle name="_Percent_Sheet1_IS_Abbott Model 2" xfId="1805"/>
    <cellStyle name="_Percent_Sheet1_IS_Book2" xfId="1806"/>
    <cellStyle name="_Percent_Sheet1_IS_Book2 2" xfId="1807"/>
    <cellStyle name="_Percent_Sheet1_Key poduct model" xfId="1808"/>
    <cellStyle name="_Percent_Sheet1_Key poduct model 2" xfId="1809"/>
    <cellStyle name="_Percent_Sheet1_Key poduct model 2 2" xfId="1810"/>
    <cellStyle name="_Percent_Sheet1_Key poduct model 3" xfId="1811"/>
    <cellStyle name="_Percent_Sheet1_Key poduct model_Abbott Model" xfId="1812"/>
    <cellStyle name="_Percent_Sheet1_Key poduct model_Abbott Model 2" xfId="1813"/>
    <cellStyle name="_Percent_Sheet1_Key poduct model_Book2" xfId="1814"/>
    <cellStyle name="_Percent_Sheet1_Key poduct model_Book2 2" xfId="1815"/>
    <cellStyle name="_Percent_Sheet1_Mainsheet - consolidated" xfId="1816"/>
    <cellStyle name="_Percent_Sheet1_Mainsheet - consolidated 2" xfId="1817"/>
    <cellStyle name="_Percent_Sheet1_Mainsheet - consolidated 2 2" xfId="1818"/>
    <cellStyle name="_Percent_Sheet1_Mainsheet - consolidated 3" xfId="1819"/>
    <cellStyle name="_Percent_Sheet1_Mainsheet - consolidated_Abbott Model" xfId="1820"/>
    <cellStyle name="_Percent_Sheet1_Mainsheet - consolidated_Abbott Model 2" xfId="1821"/>
    <cellStyle name="_Percent_Sheet1_Mainsheet - consolidated_Book2" xfId="1822"/>
    <cellStyle name="_Percent_Sheet1_Mainsheet - consolidated_Book2 2" xfId="1823"/>
    <cellStyle name="_Percent_Sheet1_MASTER Stanicky-WC 10-28-06 LAUNCH" xfId="1824"/>
    <cellStyle name="_Percent_Sheet1_MASTER Stanicky-WC 10-28-06 LAUNCH 2" xfId="1825"/>
    <cellStyle name="_Percent_Sheet1_MASTER Stanicky-WC 10-28-06 LAUNCH 2 2" xfId="1826"/>
    <cellStyle name="_Percent_Sheet1_MASTER Stanicky-WC 10-28-06 LAUNCH 3" xfId="1827"/>
    <cellStyle name="_Percent_Sheet1_MASTER Stanicky-WC 10-28-06 LAUNCH_Abbott Model" xfId="1828"/>
    <cellStyle name="_Percent_Sheet1_MASTER Stanicky-WC 10-28-06 LAUNCH_Abbott Model 2" xfId="1829"/>
    <cellStyle name="_Percent_Sheet1_MASTER Stanicky-WC 10-28-06 LAUNCH_Book2" xfId="1830"/>
    <cellStyle name="_Percent_Sheet1_MASTER Stanicky-WC 10-28-06 LAUNCH_Book2 2" xfId="1831"/>
    <cellStyle name="_Percent_Sheet1_SEPR working" xfId="1832"/>
    <cellStyle name="_Percent_Sheet1_SEPR working 2" xfId="1833"/>
    <cellStyle name="_Percent_Sheet1_Sheet3" xfId="1834"/>
    <cellStyle name="_Percent_Sheet1_Sheet3 2" xfId="1835"/>
    <cellStyle name="_Percent_Sheet1_Sheet3 2 2" xfId="1836"/>
    <cellStyle name="_Percent_Sheet1_Sheet3 3" xfId="1837"/>
    <cellStyle name="_Percent_Sheet1_Sheet3_Abbott Model" xfId="1838"/>
    <cellStyle name="_Percent_Sheet1_Sheet3_Abbott Model 2" xfId="1839"/>
    <cellStyle name="_Percent_Sheet1_Sheet3_Book2" xfId="1840"/>
    <cellStyle name="_Percent_Sheet1_Sheet3_Book2 2" xfId="1841"/>
    <cellStyle name="_Percent_Sheet1_Sheet3_WC Ovcon forecast" xfId="1842"/>
    <cellStyle name="_Percent_Sheet1_Sheet3_WC Ovcon forecast 2" xfId="1843"/>
    <cellStyle name="_Percent_Sheet1_Sheet3_WC Ovcon forecast 2 2" xfId="1844"/>
    <cellStyle name="_Percent_Sheet1_Sheet3_WC Ovcon forecast 3" xfId="1845"/>
    <cellStyle name="_Percent_Sheet1_Sheet3_WC Ovcon forecast_Abbott Model" xfId="1846"/>
    <cellStyle name="_Percent_Sheet1_Sheet3_WC Ovcon forecast_Abbott Model 2" xfId="1847"/>
    <cellStyle name="_Percent_Sheet1_Sheet3_WC Ovcon forecast_Book2" xfId="1848"/>
    <cellStyle name="_Percent_Sheet1_Sheet3_WC Ovcon forecast_Book2 2" xfId="1849"/>
    <cellStyle name="_Percent_Sheet1_SPEC Rx trend vs est " xfId="1850"/>
    <cellStyle name="_Percent_Sheet1_SPEC Rx trend vs est  2" xfId="1851"/>
    <cellStyle name="_Percent_Sheet1_SPEC Rx trend vs est  2 2" xfId="1852"/>
    <cellStyle name="_Percent_Sheet1_SPEC Rx trend vs est  3" xfId="1853"/>
    <cellStyle name="_Percent_Sheet1_SPEC Rx trend vs est  3 2" xfId="1854"/>
    <cellStyle name="_Percent_Sheet1_SPEC Rx trend vs est  4" xfId="1855"/>
    <cellStyle name="_Percent_Sheet1_SPEC Rx trend vs est _Abbott Model" xfId="1856"/>
    <cellStyle name="_Percent_Sheet1_SPEC Rx trend vs est _Abbott Model 2" xfId="1857"/>
    <cellStyle name="_Percent_Sheet1_SPEC Rx trend vs est _Book2" xfId="1858"/>
    <cellStyle name="_Percent_Sheet1_SPEC Rx trend vs est _Book2 2" xfId="1859"/>
    <cellStyle name="_Percent_Sheet1_Stanicky - Biovail 12-7-2006 FINAL" xfId="1860"/>
    <cellStyle name="_Percent_Sheet1_Stanicky - Biovail 12-7-2006 FINAL 2" xfId="1861"/>
    <cellStyle name="_Percent_Sheet1_Stanicky - Biovail 12-7-2006 FINAL 2 2" xfId="1862"/>
    <cellStyle name="_Percent_Sheet1_Stanicky - Biovail 12-7-2006 FINAL 3" xfId="1863"/>
    <cellStyle name="_Percent_Sheet1_Stanicky - Biovail 12-7-2006 FINAL_Abbott Model" xfId="1864"/>
    <cellStyle name="_Percent_Sheet1_Stanicky - Biovail 12-7-2006 FINAL_Abbott Model 2" xfId="1865"/>
    <cellStyle name="_Percent_Sheet1_Stanicky - Biovail 12-7-2006 FINAL_Book2" xfId="1866"/>
    <cellStyle name="_Percent_Sheet1_Stanicky - Biovail 12-7-2006 FINAL_Book2 2" xfId="1867"/>
    <cellStyle name="_Percent_Sheet1_WC Ovcon forecast" xfId="1868"/>
    <cellStyle name="_Percent_Sheet1_WC Ovcon forecast 2" xfId="1869"/>
    <cellStyle name="_Percent_Sheet1_WC Ovcon forecast 2 2" xfId="1870"/>
    <cellStyle name="_Percent_Sheet1_WC Ovcon forecast 3" xfId="1871"/>
    <cellStyle name="_Percent_Sheet1_WC Ovcon forecast_Abbott Model" xfId="1872"/>
    <cellStyle name="_Percent_Sheet1_WC Ovcon forecast_Abbott Model 2" xfId="1873"/>
    <cellStyle name="_Percent_Sheet1_WC Ovcon forecast_Book2" xfId="1874"/>
    <cellStyle name="_Percent_Sheet1_WC Ovcon forecast_Book2 2" xfId="1875"/>
    <cellStyle name="_Percent_Sheet1_WCRX working" xfId="1876"/>
    <cellStyle name="_Percent_Sheet1_WCRX working 2" xfId="1877"/>
    <cellStyle name="_Percent_Sheet1_WCRX working 2 2" xfId="1878"/>
    <cellStyle name="_Percent_Sheet1_WCRX working 3" xfId="1879"/>
    <cellStyle name="_Percent_Sheet1_WCRX working_Abbott Model" xfId="1880"/>
    <cellStyle name="_Percent_Sheet1_WCRX working_Abbott Model 2" xfId="1881"/>
    <cellStyle name="_Percent_Sheet1_WCRX working_Book2" xfId="1882"/>
    <cellStyle name="_Percent_Sheet1_WCRX working_Book2 2" xfId="1883"/>
    <cellStyle name="_Percent_Sheet13" xfId="1884"/>
    <cellStyle name="_Percent_Sheet13 2" xfId="1885"/>
    <cellStyle name="_Percent_Sheet13 2 2" xfId="1886"/>
    <cellStyle name="_Percent_Sheet13 3" xfId="1887"/>
    <cellStyle name="_Percent_Sheet13_Abbott Model" xfId="1888"/>
    <cellStyle name="_Percent_Sheet13_Abbott Model 2" xfId="1889"/>
    <cellStyle name="_Percent_Sheet13_Book2" xfId="1890"/>
    <cellStyle name="_Percent_Sheet13_Book2 2" xfId="1891"/>
    <cellStyle name="_Percent_Sheet3" xfId="1892"/>
    <cellStyle name="_Percent_Sheet3 2" xfId="1893"/>
    <cellStyle name="_Percent_Sheet3 2 2" xfId="1894"/>
    <cellStyle name="_Percent_Sheet3 3" xfId="1895"/>
    <cellStyle name="_Percent_Sheet3_Abbott Model" xfId="1896"/>
    <cellStyle name="_Percent_Sheet3_Abbott Model 2" xfId="1897"/>
    <cellStyle name="_Percent_Sheet3_Book2" xfId="1898"/>
    <cellStyle name="_Percent_Sheet3_Book2 2" xfId="1899"/>
    <cellStyle name="_Percent_Sheet6" xfId="1900"/>
    <cellStyle name="_Percent_Sheet6 2" xfId="1901"/>
    <cellStyle name="_Percent_Sheet6 2 2" xfId="1902"/>
    <cellStyle name="_Percent_Sheet6 3" xfId="1903"/>
    <cellStyle name="_Percent_Sheet6_Abbott Model" xfId="1904"/>
    <cellStyle name="_Percent_Sheet6_Abbott Model 2" xfId="1905"/>
    <cellStyle name="_Percent_Sheet6_Book2" xfId="1906"/>
    <cellStyle name="_Percent_Sheet6_Book2 2" xfId="1907"/>
    <cellStyle name="_Percent_Snapshot" xfId="1908"/>
    <cellStyle name="_Percent_Snapshot 2" xfId="1909"/>
    <cellStyle name="_Percent_Snapshot 2 2" xfId="1910"/>
    <cellStyle name="_Percent_Snapshot 3" xfId="1911"/>
    <cellStyle name="_Percent_Snapshot_Abbott Model" xfId="1912"/>
    <cellStyle name="_Percent_Snapshot_Abbott Model 2" xfId="1913"/>
    <cellStyle name="_Percent_Snapshot_Book2" xfId="1914"/>
    <cellStyle name="_Percent_Snapshot_Book2 2" xfId="1915"/>
    <cellStyle name="_Percent_Special situation" xfId="1916"/>
    <cellStyle name="_Percent_Special situation 2" xfId="1917"/>
    <cellStyle name="_Percent_Special situation 2 2" xfId="1918"/>
    <cellStyle name="_Percent_Special situation 3" xfId="1919"/>
    <cellStyle name="_Percent_Special situation_Abbott Model" xfId="1920"/>
    <cellStyle name="_Percent_Special situation_Abbott Model 2" xfId="1921"/>
    <cellStyle name="_Percent_Special situation_Book2" xfId="1922"/>
    <cellStyle name="_Percent_Special situation_Book2 2" xfId="1923"/>
    <cellStyle name="_Percent_Taclonex - dovonex" xfId="1924"/>
    <cellStyle name="_Percent_Taclonex - dovonex 2" xfId="1925"/>
    <cellStyle name="_Percent_Taclonex - dovonex 2 2" xfId="1926"/>
    <cellStyle name="_Percent_Taclonex - dovonex 3" xfId="1927"/>
    <cellStyle name="_Percent_Taclonex - dovonex_Abbott Model" xfId="1928"/>
    <cellStyle name="_Percent_Taclonex - dovonex_Abbott Model 2" xfId="1929"/>
    <cellStyle name="_Percent_Taclonex - dovonex_Book2" xfId="1930"/>
    <cellStyle name="_Percent_Taclonex - dovonex_Book2 2" xfId="1931"/>
    <cellStyle name="_Percent_taro DSO 4-29-06" xfId="1932"/>
    <cellStyle name="_Percent_taro DSO 4-29-06 2" xfId="1933"/>
    <cellStyle name="_Percent_taro DSO 4-29-06 2 2" xfId="1934"/>
    <cellStyle name="_Percent_taro DSO 4-29-06 3" xfId="1935"/>
    <cellStyle name="_Percent_taro DSO 4-29-06_Abbott Model" xfId="1936"/>
    <cellStyle name="_Percent_taro DSO 4-29-06_Abbott Model 2" xfId="1937"/>
    <cellStyle name="_Percent_taro DSO 4-29-06_Book2" xfId="1938"/>
    <cellStyle name="_Percent_taro DSO 4-29-06_Book2 2" xfId="1939"/>
    <cellStyle name="_Percent_Tearsheet" xfId="1940"/>
    <cellStyle name="_Percent_Tearsheet 2" xfId="1941"/>
    <cellStyle name="_Percent_Tearsheet 2 2" xfId="1942"/>
    <cellStyle name="_Percent_Tearsheet 3" xfId="1943"/>
    <cellStyle name="_Percent_Tearsheet_Abbott Model" xfId="1944"/>
    <cellStyle name="_Percent_Tearsheet_Abbott Model 2" xfId="1945"/>
    <cellStyle name="_Percent_Tearsheet_Book2" xfId="1946"/>
    <cellStyle name="_Percent_Tearsheet_Book2 2" xfId="1947"/>
    <cellStyle name="_Percent_Testim" xfId="1948"/>
    <cellStyle name="_Percent_Testim 2" xfId="1949"/>
    <cellStyle name="_Percent_Testim 2 2" xfId="1950"/>
    <cellStyle name="_Percent_Testim 3" xfId="1951"/>
    <cellStyle name="_Percent_Testim_Abbott Model" xfId="1952"/>
    <cellStyle name="_Percent_Testim_Abbott Model 2" xfId="1953"/>
    <cellStyle name="_Percent_Testim_Book2" xfId="1954"/>
    <cellStyle name="_Percent_Testim_Book2 2" xfId="1955"/>
    <cellStyle name="_Percent_Teva - Qtrly IS" xfId="1956"/>
    <cellStyle name="_Percent_Teva - Qtrly IS 2" xfId="1957"/>
    <cellStyle name="_Percent_Teva - Qtrly IS 2 2" xfId="1958"/>
    <cellStyle name="_Percent_Teva - Qtrly IS 3" xfId="1959"/>
    <cellStyle name="_Percent_Teva - Qtrly IS_Abbott Model" xfId="1960"/>
    <cellStyle name="_Percent_Teva - Qtrly IS_Abbott Model 2" xfId="1961"/>
    <cellStyle name="_Percent_Teva - Qtrly IS_Book2" xfId="1962"/>
    <cellStyle name="_Percent_Teva - Qtrly IS_Book2 2" xfId="1963"/>
    <cellStyle name="_Percent_Teva main sheet" xfId="1964"/>
    <cellStyle name="_Percent_Teva main sheet 2" xfId="1965"/>
    <cellStyle name="_Percent_Teva main sheet 2 2" xfId="1966"/>
    <cellStyle name="_Percent_Teva main sheet 3" xfId="1967"/>
    <cellStyle name="_Percent_Teva main sheet_Abbott Model" xfId="1968"/>
    <cellStyle name="_Percent_Teva main sheet_Abbott Model 2" xfId="1969"/>
    <cellStyle name="_Percent_Teva main sheet_Book2" xfId="1970"/>
    <cellStyle name="_Percent_Teva main sheet_Book2 2" xfId="1971"/>
    <cellStyle name="_Percent_WC Ovcon forecast" xfId="1972"/>
    <cellStyle name="_Percent_WC Ovcon forecast 2" xfId="1973"/>
    <cellStyle name="_Percent_WC Ovcon forecast 2 2" xfId="1974"/>
    <cellStyle name="_Percent_WC Ovcon forecast 3" xfId="1975"/>
    <cellStyle name="_Percent_WC Ovcon forecast_Abbott Model" xfId="1976"/>
    <cellStyle name="_Percent_WC Ovcon forecast_Abbott Model 2" xfId="1977"/>
    <cellStyle name="_Percent_WC Ovcon forecast_Book2" xfId="1978"/>
    <cellStyle name="_Percent_WC Ovcon forecast_Book2 2" xfId="1979"/>
    <cellStyle name="_PercentSpace" xfId="1980"/>
    <cellStyle name="_PercentSpace 2" xfId="1981"/>
    <cellStyle name="_PercentSpace 2 2" xfId="1982"/>
    <cellStyle name="_PercentSpace 3" xfId="1983"/>
    <cellStyle name="_PercentSpace_1 Loestrin 24" xfId="1984"/>
    <cellStyle name="_PercentSpace_1 Loestrin 24 2" xfId="1985"/>
    <cellStyle name="_PercentSpace_1 Loestrin 24 2 2" xfId="1986"/>
    <cellStyle name="_PercentSpace_1 Loestrin 24 3" xfId="1987"/>
    <cellStyle name="_PercentSpace_1 Loestrin 24_Abbott Model" xfId="1988"/>
    <cellStyle name="_PercentSpace_1 Loestrin 24_Abbott Model 2" xfId="1989"/>
    <cellStyle name="_PercentSpace_1 Loestrin 24_Book2" xfId="1990"/>
    <cellStyle name="_PercentSpace_1 Loestrin 24_Book2 2" xfId="1991"/>
    <cellStyle name="_PercentSpace_1 Ovcon" xfId="1992"/>
    <cellStyle name="_PercentSpace_1 Ovcon 2" xfId="1993"/>
    <cellStyle name="_PercentSpace_1 Ovcon 2 2" xfId="1994"/>
    <cellStyle name="_PercentSpace_1 Ovcon 3" xfId="1995"/>
    <cellStyle name="_PercentSpace_1 Ovcon_Abbott Model" xfId="1996"/>
    <cellStyle name="_PercentSpace_1 Ovcon_Abbott Model 2" xfId="1997"/>
    <cellStyle name="_PercentSpace_1 Ovcon_Book2" xfId="1998"/>
    <cellStyle name="_PercentSpace_1 Ovcon_Book2 2" xfId="1999"/>
    <cellStyle name="_PercentSpace_1 Taclonex" xfId="2000"/>
    <cellStyle name="_PercentSpace_1 Taclonex 2" xfId="2001"/>
    <cellStyle name="_PercentSpace_1 Taclonex 2 2" xfId="2002"/>
    <cellStyle name="_PercentSpace_1 Taclonex 3" xfId="2003"/>
    <cellStyle name="_PercentSpace_1 Taclonex_Abbott Model" xfId="2004"/>
    <cellStyle name="_PercentSpace_1 Taclonex_Abbott Model 2" xfId="2005"/>
    <cellStyle name="_PercentSpace_1 Taclonex_Book2" xfId="2006"/>
    <cellStyle name="_PercentSpace_1 Taclonex_Book2 2" xfId="2007"/>
    <cellStyle name="_PercentSpace_4VAL DCF2" xfId="2008"/>
    <cellStyle name="_PercentSpace_4VAL DCF2 2" xfId="2009"/>
    <cellStyle name="_PercentSpace_4VAL DCF2 2 2" xfId="2010"/>
    <cellStyle name="_PercentSpace_4VAL DCF2 3" xfId="2011"/>
    <cellStyle name="_PercentSpace_4VAL DCF2_Abbott Model" xfId="2012"/>
    <cellStyle name="_PercentSpace_4VAL DCF2_Abbott Model 2" xfId="2013"/>
    <cellStyle name="_PercentSpace_4VAL DCF2_Book2" xfId="2014"/>
    <cellStyle name="_PercentSpace_4VAL DCF2_Book2 2" xfId="2015"/>
    <cellStyle name="_PercentSpace_Abbott Model" xfId="2016"/>
    <cellStyle name="_PercentSpace_Abbott Model 2" xfId="2017"/>
    <cellStyle name="_PercentSpace_Actiq" xfId="2018"/>
    <cellStyle name="_PercentSpace_Actiq 2" xfId="2019"/>
    <cellStyle name="_PercentSpace_Actiq 2 2" xfId="2020"/>
    <cellStyle name="_PercentSpace_Actiq 3" xfId="2021"/>
    <cellStyle name="_PercentSpace_Actiq_Abbott Model" xfId="2022"/>
    <cellStyle name="_PercentSpace_Actiq_Abbott Model 2" xfId="2023"/>
    <cellStyle name="_PercentSpace_Actiq_Book2" xfId="2024"/>
    <cellStyle name="_PercentSpace_Actiq_Book2 2" xfId="2025"/>
    <cellStyle name="_PercentSpace_Agis" xfId="2026"/>
    <cellStyle name="_PercentSpace_Agis 2" xfId="2027"/>
    <cellStyle name="_PercentSpace_Agis 2 2" xfId="2028"/>
    <cellStyle name="_PercentSpace_Agis 3" xfId="2029"/>
    <cellStyle name="_PercentSpace_Agis_Abbott Model" xfId="2030"/>
    <cellStyle name="_PercentSpace_Agis_Abbott Model 2" xfId="2031"/>
    <cellStyle name="_PercentSpace_Agis_Book2" xfId="2032"/>
    <cellStyle name="_PercentSpace_Agis_Book2 2" xfId="2033"/>
    <cellStyle name="_PercentSpace_ANDAs" xfId="2034"/>
    <cellStyle name="_PercentSpace_ANDAs 2" xfId="2035"/>
    <cellStyle name="_PercentSpace_ANDAs 2 2" xfId="2036"/>
    <cellStyle name="_PercentSpace_ANDAs 3" xfId="2037"/>
    <cellStyle name="_PercentSpace_ANDAs summary sheet" xfId="2038"/>
    <cellStyle name="_PercentSpace_ANDAs summary sheet 2" xfId="2039"/>
    <cellStyle name="_PercentSpace_ANDAs summary sheet 2 2" xfId="2040"/>
    <cellStyle name="_PercentSpace_ANDAs summary sheet 3" xfId="2041"/>
    <cellStyle name="_PercentSpace_ANDAs summary sheet_Abbott Model" xfId="2042"/>
    <cellStyle name="_PercentSpace_ANDAs summary sheet_Abbott Model 2" xfId="2043"/>
    <cellStyle name="_PercentSpace_ANDAs summary sheet_Book2" xfId="2044"/>
    <cellStyle name="_PercentSpace_ANDAs summary sheet_Book2 2" xfId="2045"/>
    <cellStyle name="_PercentSpace_ANDAs_Abbott Model" xfId="2046"/>
    <cellStyle name="_PercentSpace_ANDAs_Abbott Model 2" xfId="2047"/>
    <cellStyle name="_PercentSpace_ANDAs_Book2" xfId="2048"/>
    <cellStyle name="_PercentSpace_ANDAs_Book2 2" xfId="2049"/>
    <cellStyle name="_PercentSpace_ANDRX DDT" xfId="2050"/>
    <cellStyle name="_PercentSpace_ANDRX DDT 2" xfId="2051"/>
    <cellStyle name="_PercentSpace_ANDRX DDT 2 2" xfId="2052"/>
    <cellStyle name="_PercentSpace_ANDRX DDT 3" xfId="2053"/>
    <cellStyle name="_PercentSpace_ANDRX DDT_Abbott Model" xfId="2054"/>
    <cellStyle name="_PercentSpace_ANDRX DDT_Abbott Model 2" xfId="2055"/>
    <cellStyle name="_PercentSpace_ANDRX DDT_Book2" xfId="2056"/>
    <cellStyle name="_PercentSpace_ANDRX DDT_Book2 2" xfId="2057"/>
    <cellStyle name="_PercentSpace_Book2" xfId="2058"/>
    <cellStyle name="_PercentSpace_Book2 2" xfId="2059"/>
    <cellStyle name="_PercentSpace_CAPEX spend" xfId="2060"/>
    <cellStyle name="_PercentSpace_CAPEX spend 2" xfId="2061"/>
    <cellStyle name="_PercentSpace_CAPEX spend 2 2" xfId="2062"/>
    <cellStyle name="_PercentSpace_CAPEX spend 3" xfId="2063"/>
    <cellStyle name="_PercentSpace_CAPEX spend_Abbott Model" xfId="2064"/>
    <cellStyle name="_PercentSpace_CAPEX spend_Abbott Model 2" xfId="2065"/>
    <cellStyle name="_PercentSpace_CAPEX spend_Book2" xfId="2066"/>
    <cellStyle name="_PercentSpace_CAPEX spend_Book2 2" xfId="2067"/>
    <cellStyle name="_PercentSpace_Consolidation" xfId="2068"/>
    <cellStyle name="_PercentSpace_Consolidation 2" xfId="2069"/>
    <cellStyle name="_PercentSpace_Consolidation 2 2" xfId="2070"/>
    <cellStyle name="_PercentSpace_Consolidation 3" xfId="2071"/>
    <cellStyle name="_PercentSpace_Consolidation_Abbott Model" xfId="2072"/>
    <cellStyle name="_PercentSpace_Consolidation_Abbott Model 2" xfId="2073"/>
    <cellStyle name="_PercentSpace_Consolidation_Book2" xfId="2074"/>
    <cellStyle name="_PercentSpace_Consolidation_Book2 2" xfId="2075"/>
    <cellStyle name="_PercentSpace_Debt schedule" xfId="2076"/>
    <cellStyle name="_PercentSpace_Debt schedule 2" xfId="2077"/>
    <cellStyle name="_PercentSpace_Debt schedule 2 2" xfId="2078"/>
    <cellStyle name="_PercentSpace_Debt schedule 3" xfId="2079"/>
    <cellStyle name="_PercentSpace_Debt schedule_Abbott Model" xfId="2080"/>
    <cellStyle name="_PercentSpace_Debt schedule_Abbott Model 2" xfId="2081"/>
    <cellStyle name="_PercentSpace_Debt schedule_Book2" xfId="2082"/>
    <cellStyle name="_PercentSpace_Debt schedule_Book2 2" xfId="2083"/>
    <cellStyle name="_PercentSpace_DSO" xfId="2084"/>
    <cellStyle name="_PercentSpace_DSO 2" xfId="2085"/>
    <cellStyle name="_PercentSpace_DSO 2 2" xfId="2086"/>
    <cellStyle name="_PercentSpace_DSO 3" xfId="2087"/>
    <cellStyle name="_PercentSpace_DSO_Abbott Model" xfId="2088"/>
    <cellStyle name="_PercentSpace_DSO_Abbott Model 2" xfId="2089"/>
    <cellStyle name="_PercentSpace_DSO_Book2" xfId="2090"/>
    <cellStyle name="_PercentSpace_DSO_Book2 2" xfId="2091"/>
    <cellStyle name="_PercentSpace_EPS revision" xfId="2092"/>
    <cellStyle name="_PercentSpace_EPS revision 2" xfId="2093"/>
    <cellStyle name="_PercentSpace_EPS revision 2 2" xfId="2094"/>
    <cellStyle name="_PercentSpace_EPS revision 3" xfId="2095"/>
    <cellStyle name="_PercentSpace_EPS revision_Abbott Model" xfId="2096"/>
    <cellStyle name="_PercentSpace_EPS revision_Abbott Model 2" xfId="2097"/>
    <cellStyle name="_PercentSpace_EPS revision_Book2" xfId="2098"/>
    <cellStyle name="_PercentSpace_EPS revision_Book2 2" xfId="2099"/>
    <cellStyle name="_PercentSpace_EPS sensitivity" xfId="2100"/>
    <cellStyle name="_PercentSpace_EPS sensitivity 2" xfId="2101"/>
    <cellStyle name="_PercentSpace_EPS sensitivity 2 2" xfId="2102"/>
    <cellStyle name="_PercentSpace_EPS sensitivity 3" xfId="2103"/>
    <cellStyle name="_PercentSpace_EPS sensitivity_Abbott Model" xfId="2104"/>
    <cellStyle name="_PercentSpace_EPS sensitivity_Abbott Model 2" xfId="2105"/>
    <cellStyle name="_PercentSpace_EPS sensitivity_Book2" xfId="2106"/>
    <cellStyle name="_PercentSpace_EPS sensitivity_Book2 2" xfId="2107"/>
    <cellStyle name="_PercentSpace_FBANDAs" xfId="2108"/>
    <cellStyle name="_PercentSpace_FBANDAs 2" xfId="2109"/>
    <cellStyle name="_PercentSpace_FBANDAs 2 2" xfId="2110"/>
    <cellStyle name="_PercentSpace_FBANDAs 3" xfId="2111"/>
    <cellStyle name="_PercentSpace_FBANDAs_Abbott Model" xfId="2112"/>
    <cellStyle name="_PercentSpace_FBANDAs_Abbott Model 2" xfId="2113"/>
    <cellStyle name="_PercentSpace_FBANDAs_Book2" xfId="2114"/>
    <cellStyle name="_PercentSpace_FBANDAs_Book2 2" xfId="2115"/>
    <cellStyle name="_PercentSpace_Ferrlecit" xfId="2116"/>
    <cellStyle name="_PercentSpace_Ferrlecit 2" xfId="2117"/>
    <cellStyle name="_PercentSpace_Ferrlecit 2 2" xfId="2118"/>
    <cellStyle name="_PercentSpace_Ferrlecit 3" xfId="2119"/>
    <cellStyle name="_PercentSpace_Ferrlecit_Abbott Model" xfId="2120"/>
    <cellStyle name="_PercentSpace_Ferrlecit_Abbott Model 2" xfId="2121"/>
    <cellStyle name="_PercentSpace_Ferrlecit_Book2" xfId="2122"/>
    <cellStyle name="_PercentSpace_Ferrlecit_Book2 2" xfId="2123"/>
    <cellStyle name="_PercentSpace_For charts" xfId="2124"/>
    <cellStyle name="_PercentSpace_For charts 2" xfId="2125"/>
    <cellStyle name="_PercentSpace_For charts 2 2" xfId="2126"/>
    <cellStyle name="_PercentSpace_For charts 3" xfId="2127"/>
    <cellStyle name="_PercentSpace_For charts_Abbott Model" xfId="2128"/>
    <cellStyle name="_PercentSpace_For charts_Abbott Model 2" xfId="2129"/>
    <cellStyle name="_PercentSpace_For charts_Book2" xfId="2130"/>
    <cellStyle name="_PercentSpace_For charts_Book2 2" xfId="2131"/>
    <cellStyle name="_PercentSpace_Gen pipe" xfId="2132"/>
    <cellStyle name="_PercentSpace_Gen pipe 2" xfId="2133"/>
    <cellStyle name="_PercentSpace_Gen pipe 2 2" xfId="2134"/>
    <cellStyle name="_PercentSpace_Gen pipe 3" xfId="2135"/>
    <cellStyle name="_PercentSpace_Gen pipe_Abbott Model" xfId="2136"/>
    <cellStyle name="_PercentSpace_Gen pipe_Abbott Model 2" xfId="2137"/>
    <cellStyle name="_PercentSpace_Gen pipe_Book2" xfId="2138"/>
    <cellStyle name="_PercentSpace_Gen pipe_Book2 2" xfId="2139"/>
    <cellStyle name="_PercentSpace_Gross Margin" xfId="2140"/>
    <cellStyle name="_PercentSpace_Gross Margin 2" xfId="2141"/>
    <cellStyle name="_PercentSpace_Gross Margin 2 2" xfId="2142"/>
    <cellStyle name="_PercentSpace_Gross Margin 3" xfId="2143"/>
    <cellStyle name="_PercentSpace_Gross Margin_Abbott Model" xfId="2144"/>
    <cellStyle name="_PercentSpace_Gross Margin_Abbott Model 2" xfId="2145"/>
    <cellStyle name="_PercentSpace_Gross Margin_Book2" xfId="2146"/>
    <cellStyle name="_PercentSpace_Gross Margin_Book2 2" xfId="2147"/>
    <cellStyle name="_PercentSpace_GS_McFadden_CRL_4-1-05 RS" xfId="2148"/>
    <cellStyle name="_PercentSpace_GS_McFadden_CRL_4-1-05 RS 2" xfId="2149"/>
    <cellStyle name="_PercentSpace_GS_McFadden_CRL_4-1-05 RS 2 2" xfId="2150"/>
    <cellStyle name="_PercentSpace_GS_McFadden_CRL_4-1-05 RS 3" xfId="2151"/>
    <cellStyle name="_PercentSpace_GS_McFadden_CRL_4-1-05 RS_Abbott Model" xfId="2152"/>
    <cellStyle name="_PercentSpace_GS_McFadden_CRL_4-1-05 RS_Abbott Model 2" xfId="2153"/>
    <cellStyle name="_PercentSpace_GS_McFadden_CRL_4-1-05 RS_Book2" xfId="2154"/>
    <cellStyle name="_PercentSpace_GS_McFadden_CRL_4-1-05 RS_Book2 2" xfId="2155"/>
    <cellStyle name="_PercentSpace_GS_MDZ_ MASTER model 4-01-05 RS" xfId="2156"/>
    <cellStyle name="_PercentSpace_GS_MDZ_ MASTER model 4-01-05 RS 2" xfId="2157"/>
    <cellStyle name="_PercentSpace_GS_MDZ_ MASTER model 4-01-05 RS 2 2" xfId="2158"/>
    <cellStyle name="_PercentSpace_GS_MDZ_ MASTER model 4-01-05 RS 3" xfId="2159"/>
    <cellStyle name="_PercentSpace_GS_MDZ_ MASTER model 4-01-05 RS_Abbott Model" xfId="2160"/>
    <cellStyle name="_PercentSpace_GS_MDZ_ MASTER model 4-01-05 RS_Abbott Model 2" xfId="2161"/>
    <cellStyle name="_PercentSpace_GS_MDZ_ MASTER model 4-01-05 RS_Book2" xfId="2162"/>
    <cellStyle name="_PercentSpace_GS_MDZ_ MASTER model 4-01-05 RS_Book2 2" xfId="2163"/>
    <cellStyle name="_PercentSpace_Indian companies" xfId="2164"/>
    <cellStyle name="_PercentSpace_Indian companies 2" xfId="2165"/>
    <cellStyle name="_PercentSpace_Indian companies 2 2" xfId="2166"/>
    <cellStyle name="_PercentSpace_Indian companies 3" xfId="2167"/>
    <cellStyle name="_PercentSpace_Indian companies_Abbott Model" xfId="2168"/>
    <cellStyle name="_PercentSpace_Indian companies_Abbott Model 2" xfId="2169"/>
    <cellStyle name="_PercentSpace_Indian companies_Book2" xfId="2170"/>
    <cellStyle name="_PercentSpace_Indian companies_Book2 2" xfId="2171"/>
    <cellStyle name="_PercentSpace_Key poduct model" xfId="2172"/>
    <cellStyle name="_PercentSpace_Key poduct model 2" xfId="2173"/>
    <cellStyle name="_PercentSpace_Key poduct model 2 2" xfId="2174"/>
    <cellStyle name="_PercentSpace_Key poduct model 3" xfId="2175"/>
    <cellStyle name="_PercentSpace_Key poduct model_Abbott Model" xfId="2176"/>
    <cellStyle name="_PercentSpace_Key poduct model_Abbott Model 2" xfId="2177"/>
    <cellStyle name="_PercentSpace_Key poduct model_Book2" xfId="2178"/>
    <cellStyle name="_PercentSpace_Key poduct model_Book2 2" xfId="2179"/>
    <cellStyle name="_PercentSpace_Loestrin 24" xfId="2180"/>
    <cellStyle name="_PercentSpace_Loestrin 24 2" xfId="2181"/>
    <cellStyle name="_PercentSpace_Loestrin 24 2 2" xfId="2182"/>
    <cellStyle name="_PercentSpace_Loestrin 24 3" xfId="2183"/>
    <cellStyle name="_PercentSpace_Loestrin 24_Abbott Model" xfId="2184"/>
    <cellStyle name="_PercentSpace_Loestrin 24_Abbott Model 2" xfId="2185"/>
    <cellStyle name="_PercentSpace_Loestrin 24_Book2" xfId="2186"/>
    <cellStyle name="_PercentSpace_Loestrin 24_Book2 2" xfId="2187"/>
    <cellStyle name="_PercentSpace_major holders 5-04" xfId="2188"/>
    <cellStyle name="_PercentSpace_major holders 5-04 2" xfId="2189"/>
    <cellStyle name="_PercentSpace_major holders 5-04 2 2" xfId="2190"/>
    <cellStyle name="_PercentSpace_major holders 5-04 3" xfId="2191"/>
    <cellStyle name="_PercentSpace_major holders 5-04_Abbott Model" xfId="2192"/>
    <cellStyle name="_PercentSpace_major holders 5-04_Abbott Model 2" xfId="2193"/>
    <cellStyle name="_PercentSpace_major holders 5-04_Book2" xfId="2194"/>
    <cellStyle name="_PercentSpace_major holders 5-04_Book2 2" xfId="2195"/>
    <cellStyle name="_PercentSpace_Megace channel data" xfId="2196"/>
    <cellStyle name="_PercentSpace_Megace channel data 2" xfId="2197"/>
    <cellStyle name="_PercentSpace_Megace channel data 2 2" xfId="2198"/>
    <cellStyle name="_PercentSpace_Megace channel data 3" xfId="2199"/>
    <cellStyle name="_PercentSpace_Megace channel data_Abbott Model" xfId="2200"/>
    <cellStyle name="_PercentSpace_Megace channel data_Abbott Model 2" xfId="2201"/>
    <cellStyle name="_PercentSpace_Megace channel data_Book2" xfId="2202"/>
    <cellStyle name="_PercentSpace_Megace channel data_Book2 2" xfId="2203"/>
    <cellStyle name="_PercentSpace_Megace ES estimates" xfId="2204"/>
    <cellStyle name="_PercentSpace_Megace ES estimates 2" xfId="2205"/>
    <cellStyle name="_PercentSpace_Megace ES estimates 2 2" xfId="2206"/>
    <cellStyle name="_PercentSpace_Megace ES estimates 3" xfId="2207"/>
    <cellStyle name="_PercentSpace_Megace ES estimates_Abbott Model" xfId="2208"/>
    <cellStyle name="_PercentSpace_Megace ES estimates_Abbott Model 2" xfId="2209"/>
    <cellStyle name="_PercentSpace_Megace ES estimates_Book2" xfId="2210"/>
    <cellStyle name="_PercentSpace_Megace ES estimates_Book2 2" xfId="2211"/>
    <cellStyle name="_PercentSpace_Megace ES sales data" xfId="2212"/>
    <cellStyle name="_PercentSpace_Megace ES sales data 2" xfId="2213"/>
    <cellStyle name="_PercentSpace_Megace ES sales data 2 2" xfId="2214"/>
    <cellStyle name="_PercentSpace_Megace ES sales data 3" xfId="2215"/>
    <cellStyle name="_PercentSpace_Megace ES sales data_Abbott Model" xfId="2216"/>
    <cellStyle name="_PercentSpace_Megace ES sales data_Abbott Model 2" xfId="2217"/>
    <cellStyle name="_PercentSpace_Megace ES sales data_Book2" xfId="2218"/>
    <cellStyle name="_PercentSpace_Megace ES sales data_Book2 2" xfId="2219"/>
    <cellStyle name="_PercentSpace_Megace Market IMS" xfId="2220"/>
    <cellStyle name="_PercentSpace_Megace Market IMS 2" xfId="2221"/>
    <cellStyle name="_PercentSpace_Megace Market IMS 2 2" xfId="2222"/>
    <cellStyle name="_PercentSpace_Megace Market IMS 3" xfId="2223"/>
    <cellStyle name="_PercentSpace_Megace Market IMS_Abbott Model" xfId="2224"/>
    <cellStyle name="_PercentSpace_Megace Market IMS_Abbott Model 2" xfId="2225"/>
    <cellStyle name="_PercentSpace_Megace Market IMS_Book2" xfId="2226"/>
    <cellStyle name="_PercentSpace_Megace Market IMS_Book2 2" xfId="2227"/>
    <cellStyle name="_PercentSpace_Megace NRx weekly" xfId="2228"/>
    <cellStyle name="_PercentSpace_Megace NRx weekly 2" xfId="2229"/>
    <cellStyle name="_PercentSpace_Megace NRx weekly 2 2" xfId="2230"/>
    <cellStyle name="_PercentSpace_Megace NRx weekly 3" xfId="2231"/>
    <cellStyle name="_PercentSpace_Megace NRx weekly_Abbott Model" xfId="2232"/>
    <cellStyle name="_PercentSpace_Megace NRx weekly_Abbott Model 2" xfId="2233"/>
    <cellStyle name="_PercentSpace_Megace NRx weekly_Book2" xfId="2234"/>
    <cellStyle name="_PercentSpace_Megace NRx weekly_Book2 2" xfId="2235"/>
    <cellStyle name="_PercentSpace_Megace TRx weekly" xfId="2236"/>
    <cellStyle name="_PercentSpace_Megace TRx weekly 2" xfId="2237"/>
    <cellStyle name="_PercentSpace_Megace TRx weekly 2 2" xfId="2238"/>
    <cellStyle name="_PercentSpace_Megace TRx weekly 3" xfId="2239"/>
    <cellStyle name="_PercentSpace_Megace TRx weekly_Abbott Model" xfId="2240"/>
    <cellStyle name="_PercentSpace_Megace TRx weekly_Abbott Model 2" xfId="2241"/>
    <cellStyle name="_PercentSpace_Megace TRx weekly_Book2" xfId="2242"/>
    <cellStyle name="_PercentSpace_Megace TRx weekly_Book2 2" xfId="2243"/>
    <cellStyle name="_PercentSpace_PRGO TEMPLATE 5-13-06" xfId="2244"/>
    <cellStyle name="_PercentSpace_PRGO TEMPLATE 5-13-06 2" xfId="2245"/>
    <cellStyle name="_PercentSpace_PRGO TEMPLATE 5-13-06 2 2" xfId="2246"/>
    <cellStyle name="_PercentSpace_PRGO TEMPLATE 5-13-06 3" xfId="2247"/>
    <cellStyle name="_PercentSpace_PRGO TEMPLATE 5-13-06_Abbott Model" xfId="2248"/>
    <cellStyle name="_PercentSpace_PRGO TEMPLATE 5-13-06_Abbott Model 2" xfId="2249"/>
    <cellStyle name="_PercentSpace_PRGO TEMPLATE 5-13-06_Book2" xfId="2250"/>
    <cellStyle name="_PercentSpace_PRGO TEMPLATE 5-13-06_Book2 2" xfId="2251"/>
    <cellStyle name="_PercentSpace_quarterly preview" xfId="2252"/>
    <cellStyle name="_PercentSpace_quarterly preview 2" xfId="2253"/>
    <cellStyle name="_PercentSpace_quarterly preview 2 2" xfId="2254"/>
    <cellStyle name="_PercentSpace_quarterly preview 3" xfId="2255"/>
    <cellStyle name="_PercentSpace_quarterly preview_Abbott Model" xfId="2256"/>
    <cellStyle name="_PercentSpace_quarterly preview_Abbott Model 2" xfId="2257"/>
    <cellStyle name="_PercentSpace_quarterly preview_Book2" xfId="2258"/>
    <cellStyle name="_PercentSpace_quarterly preview_Book2 2" xfId="2259"/>
    <cellStyle name="_PercentSpace_Rev" xfId="2260"/>
    <cellStyle name="_PercentSpace_Rev 2" xfId="2261"/>
    <cellStyle name="_PercentSpace_Rev 2 2" xfId="2262"/>
    <cellStyle name="_PercentSpace_Rev 3" xfId="2263"/>
    <cellStyle name="_PercentSpace_Rev_Abbott Model" xfId="2264"/>
    <cellStyle name="_PercentSpace_Rev_Abbott Model 2" xfId="2265"/>
    <cellStyle name="_PercentSpace_Rev_Book2" xfId="2266"/>
    <cellStyle name="_PercentSpace_Rev_Book2 2" xfId="2267"/>
    <cellStyle name="_PercentSpace_ROE" xfId="2268"/>
    <cellStyle name="_PercentSpace_ROE 2" xfId="2269"/>
    <cellStyle name="_PercentSpace_ROE 2 2" xfId="2270"/>
    <cellStyle name="_PercentSpace_ROE 3" xfId="2271"/>
    <cellStyle name="_PercentSpace_ROE_Abbott Model" xfId="2272"/>
    <cellStyle name="_PercentSpace_ROE_Abbott Model 2" xfId="2273"/>
    <cellStyle name="_PercentSpace_ROE_Book2" xfId="2274"/>
    <cellStyle name="_PercentSpace_ROE_Book2 2" xfId="2275"/>
    <cellStyle name="_PercentSpace_Seasonale" xfId="2276"/>
    <cellStyle name="_PercentSpace_Seasonale 2" xfId="2277"/>
    <cellStyle name="_PercentSpace_Seasonale 2 2" xfId="2278"/>
    <cellStyle name="_PercentSpace_Seasonale 3" xfId="2279"/>
    <cellStyle name="_PercentSpace_Seasonale_Abbott Model" xfId="2280"/>
    <cellStyle name="_PercentSpace_Seasonale_Abbott Model 2" xfId="2281"/>
    <cellStyle name="_PercentSpace_Seasonale_Book2" xfId="2282"/>
    <cellStyle name="_PercentSpace_Seasonale_Book2 2" xfId="2283"/>
    <cellStyle name="_PercentSpace_Segment breakout" xfId="2284"/>
    <cellStyle name="_PercentSpace_Segment breakout 2" xfId="2285"/>
    <cellStyle name="_PercentSpace_Segment breakout 2 2" xfId="2286"/>
    <cellStyle name="_PercentSpace_Segment breakout 3" xfId="2287"/>
    <cellStyle name="_PercentSpace_Segment breakout_Abbott Model" xfId="2288"/>
    <cellStyle name="_PercentSpace_Segment breakout_Abbott Model 2" xfId="2289"/>
    <cellStyle name="_PercentSpace_Segment breakout_Book2" xfId="2290"/>
    <cellStyle name="_PercentSpace_Segment breakout_Book2 2" xfId="2291"/>
    <cellStyle name="_PercentSpace_segment graph data" xfId="2292"/>
    <cellStyle name="_PercentSpace_segment graph data 2" xfId="2293"/>
    <cellStyle name="_PercentSpace_segment graph data 2 2" xfId="2294"/>
    <cellStyle name="_PercentSpace_segment graph data 3" xfId="2295"/>
    <cellStyle name="_PercentSpace_segment graph data_Abbott Model" xfId="2296"/>
    <cellStyle name="_PercentSpace_segment graph data_Abbott Model 2" xfId="2297"/>
    <cellStyle name="_PercentSpace_segment graph data_Book2" xfId="2298"/>
    <cellStyle name="_PercentSpace_segment graph data_Book2 2" xfId="2299"/>
    <cellStyle name="_PercentSpace_Sheet1" xfId="2300"/>
    <cellStyle name="_PercentSpace_Sheet1 2" xfId="2301"/>
    <cellStyle name="_PercentSpace_Sheet1 2 2" xfId="2302"/>
    <cellStyle name="_PercentSpace_Sheet1 3" xfId="2303"/>
    <cellStyle name="_PercentSpace_Sheet1_Abbott Model" xfId="2304"/>
    <cellStyle name="_PercentSpace_Sheet1_Abbott Model 2" xfId="2305"/>
    <cellStyle name="_PercentSpace_Sheet1_Agis" xfId="2306"/>
    <cellStyle name="_PercentSpace_Sheet1_Agis 2" xfId="2307"/>
    <cellStyle name="_PercentSpace_Sheet1_Agis 2 2" xfId="2308"/>
    <cellStyle name="_PercentSpace_Sheet1_Agis 3" xfId="2309"/>
    <cellStyle name="_PercentSpace_Sheet1_Agis_Abbott Model" xfId="2310"/>
    <cellStyle name="_PercentSpace_Sheet1_Agis_Abbott Model 2" xfId="2311"/>
    <cellStyle name="_PercentSpace_Sheet1_Agis_Book2" xfId="2312"/>
    <cellStyle name="_PercentSpace_Sheet1_Agis_Book2 2" xfId="2313"/>
    <cellStyle name="_PercentSpace_Sheet1_Book2" xfId="2314"/>
    <cellStyle name="_PercentSpace_Sheet1_Book2 2" xfId="2315"/>
    <cellStyle name="_PercentSpace_Sheet1_CEPH working" xfId="2316"/>
    <cellStyle name="_PercentSpace_Sheet1_CEPH working 2" xfId="2317"/>
    <cellStyle name="_PercentSpace_Sheet1_GQ" xfId="2318"/>
    <cellStyle name="_PercentSpace_Sheet1_GQ 2" xfId="2319"/>
    <cellStyle name="_PercentSpace_Sheet1_GQ 2 2" xfId="2320"/>
    <cellStyle name="_PercentSpace_Sheet1_GQ 3" xfId="2321"/>
    <cellStyle name="_PercentSpace_Sheet1_GQ_Abbott Model" xfId="2322"/>
    <cellStyle name="_PercentSpace_Sheet1_GQ_Abbott Model 2" xfId="2323"/>
    <cellStyle name="_PercentSpace_Sheet1_GQ_Book2" xfId="2324"/>
    <cellStyle name="_PercentSpace_Sheet1_GQ_Book2 2" xfId="2325"/>
    <cellStyle name="_PercentSpace_Sheet1_IS" xfId="2326"/>
    <cellStyle name="_PercentSpace_Sheet1_IS 2" xfId="2327"/>
    <cellStyle name="_PercentSpace_Sheet1_IS 2 2" xfId="2328"/>
    <cellStyle name="_PercentSpace_Sheet1_IS 3" xfId="2329"/>
    <cellStyle name="_PercentSpace_Sheet1_IS_Abbott Model" xfId="2330"/>
    <cellStyle name="_PercentSpace_Sheet1_IS_Abbott Model 2" xfId="2331"/>
    <cellStyle name="_PercentSpace_Sheet1_IS_Book2" xfId="2332"/>
    <cellStyle name="_PercentSpace_Sheet1_IS_Book2 2" xfId="2333"/>
    <cellStyle name="_PercentSpace_Sheet1_Key poduct model" xfId="2334"/>
    <cellStyle name="_PercentSpace_Sheet1_Key poduct model 2" xfId="2335"/>
    <cellStyle name="_PercentSpace_Sheet1_Key poduct model 2 2" xfId="2336"/>
    <cellStyle name="_PercentSpace_Sheet1_Key poduct model 3" xfId="2337"/>
    <cellStyle name="_PercentSpace_Sheet1_Key poduct model_Abbott Model" xfId="2338"/>
    <cellStyle name="_PercentSpace_Sheet1_Key poduct model_Abbott Model 2" xfId="2339"/>
    <cellStyle name="_PercentSpace_Sheet1_Key poduct model_Book2" xfId="2340"/>
    <cellStyle name="_PercentSpace_Sheet1_Key poduct model_Book2 2" xfId="2341"/>
    <cellStyle name="_PercentSpace_Sheet1_Mainsheet - consolidated" xfId="2342"/>
    <cellStyle name="_PercentSpace_Sheet1_Mainsheet - consolidated 2" xfId="2343"/>
    <cellStyle name="_PercentSpace_Sheet1_Mainsheet - consolidated 2 2" xfId="2344"/>
    <cellStyle name="_PercentSpace_Sheet1_Mainsheet - consolidated 3" xfId="2345"/>
    <cellStyle name="_PercentSpace_Sheet1_Mainsheet - consolidated_Abbott Model" xfId="2346"/>
    <cellStyle name="_PercentSpace_Sheet1_Mainsheet - consolidated_Abbott Model 2" xfId="2347"/>
    <cellStyle name="_PercentSpace_Sheet1_Mainsheet - consolidated_Book2" xfId="2348"/>
    <cellStyle name="_PercentSpace_Sheet1_Mainsheet - consolidated_Book2 2" xfId="2349"/>
    <cellStyle name="_PercentSpace_Sheet1_MASTER Stanicky-WC 10-28-06 LAUNCH" xfId="2350"/>
    <cellStyle name="_PercentSpace_Sheet1_MASTER Stanicky-WC 10-28-06 LAUNCH 2" xfId="2351"/>
    <cellStyle name="_PercentSpace_Sheet1_MASTER Stanicky-WC 10-28-06 LAUNCH 2 2" xfId="2352"/>
    <cellStyle name="_PercentSpace_Sheet1_MASTER Stanicky-WC 10-28-06 LAUNCH 3" xfId="2353"/>
    <cellStyle name="_PercentSpace_Sheet1_MASTER Stanicky-WC 10-28-06 LAUNCH_Abbott Model" xfId="2354"/>
    <cellStyle name="_PercentSpace_Sheet1_MASTER Stanicky-WC 10-28-06 LAUNCH_Abbott Model 2" xfId="2355"/>
    <cellStyle name="_PercentSpace_Sheet1_MASTER Stanicky-WC 10-28-06 LAUNCH_Book2" xfId="2356"/>
    <cellStyle name="_PercentSpace_Sheet1_MASTER Stanicky-WC 10-28-06 LAUNCH_Book2 2" xfId="2357"/>
    <cellStyle name="_PercentSpace_Sheet1_SEPR working" xfId="2358"/>
    <cellStyle name="_PercentSpace_Sheet1_SEPR working 2" xfId="2359"/>
    <cellStyle name="_PercentSpace_Sheet1_Sheet3" xfId="2360"/>
    <cellStyle name="_PercentSpace_Sheet1_Sheet3 2" xfId="2361"/>
    <cellStyle name="_PercentSpace_Sheet1_Sheet3 2 2" xfId="2362"/>
    <cellStyle name="_PercentSpace_Sheet1_Sheet3 3" xfId="2363"/>
    <cellStyle name="_PercentSpace_Sheet1_Sheet3_Abbott Model" xfId="2364"/>
    <cellStyle name="_PercentSpace_Sheet1_Sheet3_Abbott Model 2" xfId="2365"/>
    <cellStyle name="_PercentSpace_Sheet1_Sheet3_Book2" xfId="2366"/>
    <cellStyle name="_PercentSpace_Sheet1_Sheet3_Book2 2" xfId="2367"/>
    <cellStyle name="_PercentSpace_Sheet1_Sheet3_WC Ovcon forecast" xfId="2368"/>
    <cellStyle name="_PercentSpace_Sheet1_Sheet3_WC Ovcon forecast 2" xfId="2369"/>
    <cellStyle name="_PercentSpace_Sheet1_Sheet3_WC Ovcon forecast 2 2" xfId="2370"/>
    <cellStyle name="_PercentSpace_Sheet1_Sheet3_WC Ovcon forecast 3" xfId="2371"/>
    <cellStyle name="_PercentSpace_Sheet1_Sheet3_WC Ovcon forecast_Abbott Model" xfId="2372"/>
    <cellStyle name="_PercentSpace_Sheet1_Sheet3_WC Ovcon forecast_Abbott Model 2" xfId="2373"/>
    <cellStyle name="_PercentSpace_Sheet1_Sheet3_WC Ovcon forecast_Book2" xfId="2374"/>
    <cellStyle name="_PercentSpace_Sheet1_Sheet3_WC Ovcon forecast_Book2 2" xfId="2375"/>
    <cellStyle name="_PercentSpace_Sheet1_SPEC Rx trend vs est " xfId="2376"/>
    <cellStyle name="_PercentSpace_Sheet1_SPEC Rx trend vs est  2" xfId="2377"/>
    <cellStyle name="_PercentSpace_Sheet1_SPEC Rx trend vs est  2 2" xfId="2378"/>
    <cellStyle name="_PercentSpace_Sheet1_SPEC Rx trend vs est  3" xfId="2379"/>
    <cellStyle name="_PercentSpace_Sheet1_SPEC Rx trend vs est  3 2" xfId="2380"/>
    <cellStyle name="_PercentSpace_Sheet1_SPEC Rx trend vs est  4" xfId="2381"/>
    <cellStyle name="_PercentSpace_Sheet1_SPEC Rx trend vs est _Abbott Model" xfId="2382"/>
    <cellStyle name="_PercentSpace_Sheet1_SPEC Rx trend vs est _Abbott Model 2" xfId="2383"/>
    <cellStyle name="_PercentSpace_Sheet1_SPEC Rx trend vs est _Book2" xfId="2384"/>
    <cellStyle name="_PercentSpace_Sheet1_SPEC Rx trend vs est _Book2 2" xfId="2385"/>
    <cellStyle name="_PercentSpace_Sheet1_Stanicky - Biovail 12-7-2006 FINAL" xfId="2386"/>
    <cellStyle name="_PercentSpace_Sheet1_Stanicky - Biovail 12-7-2006 FINAL 2" xfId="2387"/>
    <cellStyle name="_PercentSpace_Sheet1_Stanicky - Biovail 12-7-2006 FINAL 2 2" xfId="2388"/>
    <cellStyle name="_PercentSpace_Sheet1_Stanicky - Biovail 12-7-2006 FINAL 3" xfId="2389"/>
    <cellStyle name="_PercentSpace_Sheet1_Stanicky - Biovail 12-7-2006 FINAL_Abbott Model" xfId="2390"/>
    <cellStyle name="_PercentSpace_Sheet1_Stanicky - Biovail 12-7-2006 FINAL_Abbott Model 2" xfId="2391"/>
    <cellStyle name="_PercentSpace_Sheet1_Stanicky - Biovail 12-7-2006 FINAL_Book2" xfId="2392"/>
    <cellStyle name="_PercentSpace_Sheet1_Stanicky - Biovail 12-7-2006 FINAL_Book2 2" xfId="2393"/>
    <cellStyle name="_PercentSpace_Sheet1_WC Ovcon forecast" xfId="2394"/>
    <cellStyle name="_PercentSpace_Sheet1_WC Ovcon forecast 2" xfId="2395"/>
    <cellStyle name="_PercentSpace_Sheet1_WC Ovcon forecast 2 2" xfId="2396"/>
    <cellStyle name="_PercentSpace_Sheet1_WC Ovcon forecast 3" xfId="2397"/>
    <cellStyle name="_PercentSpace_Sheet1_WC Ovcon forecast_Abbott Model" xfId="2398"/>
    <cellStyle name="_PercentSpace_Sheet1_WC Ovcon forecast_Abbott Model 2" xfId="2399"/>
    <cellStyle name="_PercentSpace_Sheet1_WC Ovcon forecast_Book2" xfId="2400"/>
    <cellStyle name="_PercentSpace_Sheet1_WC Ovcon forecast_Book2 2" xfId="2401"/>
    <cellStyle name="_PercentSpace_Sheet1_WCRX working" xfId="2402"/>
    <cellStyle name="_PercentSpace_Sheet1_WCRX working 2" xfId="2403"/>
    <cellStyle name="_PercentSpace_Sheet1_WCRX working 2 2" xfId="2404"/>
    <cellStyle name="_PercentSpace_Sheet1_WCRX working 3" xfId="2405"/>
    <cellStyle name="_PercentSpace_Sheet1_WCRX working_Abbott Model" xfId="2406"/>
    <cellStyle name="_PercentSpace_Sheet1_WCRX working_Abbott Model 2" xfId="2407"/>
    <cellStyle name="_PercentSpace_Sheet1_WCRX working_Book2" xfId="2408"/>
    <cellStyle name="_PercentSpace_Sheet1_WCRX working_Book2 2" xfId="2409"/>
    <cellStyle name="_PercentSpace_Sheet13" xfId="2410"/>
    <cellStyle name="_PercentSpace_Sheet13 2" xfId="2411"/>
    <cellStyle name="_PercentSpace_Sheet13 2 2" xfId="2412"/>
    <cellStyle name="_PercentSpace_Sheet13 3" xfId="2413"/>
    <cellStyle name="_PercentSpace_Sheet13_Abbott Model" xfId="2414"/>
    <cellStyle name="_PercentSpace_Sheet13_Abbott Model 2" xfId="2415"/>
    <cellStyle name="_PercentSpace_Sheet13_Book2" xfId="2416"/>
    <cellStyle name="_PercentSpace_Sheet13_Book2 2" xfId="2417"/>
    <cellStyle name="_PercentSpace_Sheet3" xfId="2418"/>
    <cellStyle name="_PercentSpace_Sheet3 2" xfId="2419"/>
    <cellStyle name="_PercentSpace_Sheet3 2 2" xfId="2420"/>
    <cellStyle name="_PercentSpace_Sheet3 3" xfId="2421"/>
    <cellStyle name="_PercentSpace_Sheet3_Abbott Model" xfId="2422"/>
    <cellStyle name="_PercentSpace_Sheet3_Abbott Model 2" xfId="2423"/>
    <cellStyle name="_PercentSpace_Sheet3_Book2" xfId="2424"/>
    <cellStyle name="_PercentSpace_Sheet3_Book2 2" xfId="2425"/>
    <cellStyle name="_PercentSpace_Sheet6" xfId="2426"/>
    <cellStyle name="_PercentSpace_Sheet6 2" xfId="2427"/>
    <cellStyle name="_PercentSpace_Sheet6 2 2" xfId="2428"/>
    <cellStyle name="_PercentSpace_Sheet6 3" xfId="2429"/>
    <cellStyle name="_PercentSpace_Sheet6_Abbott Model" xfId="2430"/>
    <cellStyle name="_PercentSpace_Sheet6_Abbott Model 2" xfId="2431"/>
    <cellStyle name="_PercentSpace_Sheet6_Book2" xfId="2432"/>
    <cellStyle name="_PercentSpace_Sheet6_Book2 2" xfId="2433"/>
    <cellStyle name="_PercentSpace_Snapshot" xfId="2434"/>
    <cellStyle name="_PercentSpace_Snapshot 2" xfId="2435"/>
    <cellStyle name="_PercentSpace_Snapshot 2 2" xfId="2436"/>
    <cellStyle name="_PercentSpace_Snapshot 3" xfId="2437"/>
    <cellStyle name="_PercentSpace_Snapshot_Abbott Model" xfId="2438"/>
    <cellStyle name="_PercentSpace_Snapshot_Abbott Model 2" xfId="2439"/>
    <cellStyle name="_PercentSpace_Snapshot_Book2" xfId="2440"/>
    <cellStyle name="_PercentSpace_Snapshot_Book2 2" xfId="2441"/>
    <cellStyle name="_PercentSpace_Special situation" xfId="2442"/>
    <cellStyle name="_PercentSpace_Special situation 2" xfId="2443"/>
    <cellStyle name="_PercentSpace_Special situation 2 2" xfId="2444"/>
    <cellStyle name="_PercentSpace_Special situation 3" xfId="2445"/>
    <cellStyle name="_PercentSpace_Special situation_Abbott Model" xfId="2446"/>
    <cellStyle name="_PercentSpace_Special situation_Abbott Model 2" xfId="2447"/>
    <cellStyle name="_PercentSpace_Special situation_Book2" xfId="2448"/>
    <cellStyle name="_PercentSpace_Special situation_Book2 2" xfId="2449"/>
    <cellStyle name="_PercentSpace_Taclonex - dovonex" xfId="2450"/>
    <cellStyle name="_PercentSpace_Taclonex - dovonex 2" xfId="2451"/>
    <cellStyle name="_PercentSpace_Taclonex - dovonex 2 2" xfId="2452"/>
    <cellStyle name="_PercentSpace_Taclonex - dovonex 3" xfId="2453"/>
    <cellStyle name="_PercentSpace_Taclonex - dovonex_Abbott Model" xfId="2454"/>
    <cellStyle name="_PercentSpace_Taclonex - dovonex_Abbott Model 2" xfId="2455"/>
    <cellStyle name="_PercentSpace_Taclonex - dovonex_Book2" xfId="2456"/>
    <cellStyle name="_PercentSpace_Taclonex - dovonex_Book2 2" xfId="2457"/>
    <cellStyle name="_PercentSpace_taro DSO 4-29-06" xfId="2458"/>
    <cellStyle name="_PercentSpace_taro DSO 4-29-06 2" xfId="2459"/>
    <cellStyle name="_PercentSpace_taro DSO 4-29-06 2 2" xfId="2460"/>
    <cellStyle name="_PercentSpace_taro DSO 4-29-06 3" xfId="2461"/>
    <cellStyle name="_PercentSpace_taro DSO 4-29-06_Abbott Model" xfId="2462"/>
    <cellStyle name="_PercentSpace_taro DSO 4-29-06_Abbott Model 2" xfId="2463"/>
    <cellStyle name="_PercentSpace_taro DSO 4-29-06_Book2" xfId="2464"/>
    <cellStyle name="_PercentSpace_taro DSO 4-29-06_Book2 2" xfId="2465"/>
    <cellStyle name="_PercentSpace_Tearsheet" xfId="2466"/>
    <cellStyle name="_PercentSpace_Tearsheet 2" xfId="2467"/>
    <cellStyle name="_PercentSpace_Tearsheet 2 2" xfId="2468"/>
    <cellStyle name="_PercentSpace_Tearsheet 3" xfId="2469"/>
    <cellStyle name="_PercentSpace_Tearsheet_Abbott Model" xfId="2470"/>
    <cellStyle name="_PercentSpace_Tearsheet_Abbott Model 2" xfId="2471"/>
    <cellStyle name="_PercentSpace_Tearsheet_Book2" xfId="2472"/>
    <cellStyle name="_PercentSpace_Tearsheet_Book2 2" xfId="2473"/>
    <cellStyle name="_PercentSpace_Testim" xfId="2474"/>
    <cellStyle name="_PercentSpace_Testim 2" xfId="2475"/>
    <cellStyle name="_PercentSpace_Testim 2 2" xfId="2476"/>
    <cellStyle name="_PercentSpace_Testim 3" xfId="2477"/>
    <cellStyle name="_PercentSpace_Testim_Abbott Model" xfId="2478"/>
    <cellStyle name="_PercentSpace_Testim_Abbott Model 2" xfId="2479"/>
    <cellStyle name="_PercentSpace_Testim_Book2" xfId="2480"/>
    <cellStyle name="_PercentSpace_Testim_Book2 2" xfId="2481"/>
    <cellStyle name="_PercentSpace_Teva - Qtrly IS" xfId="2482"/>
    <cellStyle name="_PercentSpace_Teva - Qtrly IS 2" xfId="2483"/>
    <cellStyle name="_PercentSpace_Teva - Qtrly IS 2 2" xfId="2484"/>
    <cellStyle name="_PercentSpace_Teva - Qtrly IS 3" xfId="2485"/>
    <cellStyle name="_PercentSpace_Teva - Qtrly IS_Abbott Model" xfId="2486"/>
    <cellStyle name="_PercentSpace_Teva - Qtrly IS_Abbott Model 2" xfId="2487"/>
    <cellStyle name="_PercentSpace_Teva - Qtrly IS_Book2" xfId="2488"/>
    <cellStyle name="_PercentSpace_Teva - Qtrly IS_Book2 2" xfId="2489"/>
    <cellStyle name="_PercentSpace_Teva main sheet" xfId="2490"/>
    <cellStyle name="_PercentSpace_Teva main sheet 2" xfId="2491"/>
    <cellStyle name="_PercentSpace_Teva main sheet 2 2" xfId="2492"/>
    <cellStyle name="_PercentSpace_Teva main sheet 3" xfId="2493"/>
    <cellStyle name="_PercentSpace_Teva main sheet_Abbott Model" xfId="2494"/>
    <cellStyle name="_PercentSpace_Teva main sheet_Abbott Model 2" xfId="2495"/>
    <cellStyle name="_PercentSpace_Teva main sheet_Book2" xfId="2496"/>
    <cellStyle name="_PercentSpace_Teva main sheet_Book2 2" xfId="2497"/>
    <cellStyle name="_PercentSpace_WC Ovcon forecast" xfId="2498"/>
    <cellStyle name="_PercentSpace_WC Ovcon forecast 2" xfId="2499"/>
    <cellStyle name="_PercentSpace_WC Ovcon forecast 2 2" xfId="2500"/>
    <cellStyle name="_PercentSpace_WC Ovcon forecast 3" xfId="2501"/>
    <cellStyle name="_PercentSpace_WC Ovcon forecast_Abbott Model" xfId="2502"/>
    <cellStyle name="_PercentSpace_WC Ovcon forecast_Abbott Model 2" xfId="2503"/>
    <cellStyle name="_PercentSpace_WC Ovcon forecast_Book2" xfId="2504"/>
    <cellStyle name="_PercentSpace_WC Ovcon forecast_Book2 2" xfId="2505"/>
    <cellStyle name="_SOD PL 013008" xfId="2506"/>
    <cellStyle name="_SOD PL 013008 2" xfId="2507"/>
    <cellStyle name="_SOD PL 013008_Q1'10 Product Revenues - By BU &amp; Geo" xfId="2508"/>
    <cellStyle name="_SOD PL 013008_Q1'10 Product Revenues - By BU &amp; Geo 2" xfId="2509"/>
    <cellStyle name="_SSP" xfId="2510"/>
    <cellStyle name="_SSP 2" xfId="2511"/>
    <cellStyle name="_SSP 2 2" xfId="2512"/>
    <cellStyle name="_SSP 3" xfId="2513"/>
    <cellStyle name="_SubHeading" xfId="2514"/>
    <cellStyle name="_SubHeading_BMY DCF" xfId="2515"/>
    <cellStyle name="_SubHeading_BMY DCF 2" xfId="2516"/>
    <cellStyle name="_SubHeading_BMY DCF_Sales Model" xfId="2517"/>
    <cellStyle name="_SubHeading_BMY for Client" xfId="2518"/>
    <cellStyle name="_SubHeading_BMY for Client 2" xfId="2519"/>
    <cellStyle name="_SubHeading_BMY for Client_Sales Model" xfId="2520"/>
    <cellStyle name="_SubHeading_BMY working" xfId="2521"/>
    <cellStyle name="_SubHeading_BMY working 2" xfId="2522"/>
    <cellStyle name="_SubHeading_BMY working_Sales Model" xfId="2523"/>
    <cellStyle name="_SubHeading_Check" xfId="2524"/>
    <cellStyle name="_SubHeading_Check 2" xfId="2525"/>
    <cellStyle name="_SubHeading_Check_Sales Model" xfId="2526"/>
    <cellStyle name="_SubHeading_JNJ DCF" xfId="2527"/>
    <cellStyle name="_SubHeading_JNJ DCF 2" xfId="2528"/>
    <cellStyle name="_SubHeading_JNJ DCF published 8.13.2009" xfId="2529"/>
    <cellStyle name="_SubHeading_JNJ DCF published 8.13.2009 2" xfId="2530"/>
    <cellStyle name="_SubHeading_JNJ DCF published 8.13.2009_Sales Model" xfId="2531"/>
    <cellStyle name="_SubHeading_JNJ DCF_Sales Model" xfId="2532"/>
    <cellStyle name="_SubHeading_LC Rx trend vs est" xfId="2533"/>
    <cellStyle name="_SubHeading_LC Rx trend vs est 2" xfId="2534"/>
    <cellStyle name="_SubHeading_LC Rx trend vs est_Sales Model" xfId="2535"/>
    <cellStyle name="_SubHeading_LLY working" xfId="2536"/>
    <cellStyle name="_SubHeading_LLY working 2" xfId="2537"/>
    <cellStyle name="_SubHeading_LLY working_Sales Model" xfId="2538"/>
    <cellStyle name="_SUMMARY " xfId="1"/>
    <cellStyle name="_Table" xfId="2539"/>
    <cellStyle name="_Table_BMY DCF" xfId="2540"/>
    <cellStyle name="_Table_BMY DCF 2" xfId="2541"/>
    <cellStyle name="_Table_BMY DCF_Sales Model" xfId="2542"/>
    <cellStyle name="_Table_BMY for Client" xfId="2543"/>
    <cellStyle name="_Table_BMY for Client 2" xfId="2544"/>
    <cellStyle name="_Table_BMY for Client_Sales Model" xfId="2545"/>
    <cellStyle name="_Table_BMY working" xfId="2546"/>
    <cellStyle name="_Table_BMY working 2" xfId="2547"/>
    <cellStyle name="_Table_BMY working_Sales Model" xfId="2548"/>
    <cellStyle name="_Table_Check" xfId="2549"/>
    <cellStyle name="_Table_Check 2" xfId="2550"/>
    <cellStyle name="_Table_Check_Sales Model" xfId="2551"/>
    <cellStyle name="_Table_JNJ DCF" xfId="2552"/>
    <cellStyle name="_Table_JNJ DCF 2" xfId="2553"/>
    <cellStyle name="_Table_JNJ DCF published 8.13.2009" xfId="2554"/>
    <cellStyle name="_Table_JNJ DCF published 8.13.2009 2" xfId="2555"/>
    <cellStyle name="_Table_JNJ DCF published 8.13.2009_Sales Model" xfId="2556"/>
    <cellStyle name="_Table_JNJ DCF_Sales Model" xfId="2557"/>
    <cellStyle name="_Table_LC Rx trend vs est" xfId="2558"/>
    <cellStyle name="_Table_LC Rx trend vs est 2" xfId="2559"/>
    <cellStyle name="_Table_LC Rx trend vs est_Sales Model" xfId="2560"/>
    <cellStyle name="_Table_LLY working" xfId="2561"/>
    <cellStyle name="_Table_LLY working 2" xfId="2562"/>
    <cellStyle name="_Table_LLY working_Sales Model" xfId="2563"/>
    <cellStyle name="_TableHead" xfId="2564"/>
    <cellStyle name="_TableHead 2" xfId="2565"/>
    <cellStyle name="_TableHead_BMY DCF" xfId="2566"/>
    <cellStyle name="_TableHead_BMY for Client" xfId="2567"/>
    <cellStyle name="_TableHead_BMY working" xfId="2568"/>
    <cellStyle name="_TableHead_Breakup publ" xfId="2569"/>
    <cellStyle name="_TableHead_Breakup publ 2" xfId="2570"/>
    <cellStyle name="_TableHead_Check" xfId="2571"/>
    <cellStyle name="_TableHead_CROCI" xfId="2572"/>
    <cellStyle name="_TableHead_Erbitux" xfId="2573"/>
    <cellStyle name="_TableHead_Erbitux 2" xfId="2574"/>
    <cellStyle name="_TableHead_I-S" xfId="2575"/>
    <cellStyle name="_TableHead_I-S 2" xfId="2576"/>
    <cellStyle name="_TableHead_JNJ DCF" xfId="2577"/>
    <cellStyle name="_TableHead_JNJ DCF published 8.13.2009" xfId="2578"/>
    <cellStyle name="_TableHead_LC Rx trend vs est" xfId="2579"/>
    <cellStyle name="_TableHead_LLY working" xfId="2580"/>
    <cellStyle name="_TableHead_LLY working 2" xfId="2581"/>
    <cellStyle name="_TableHead_MRK working" xfId="2582"/>
    <cellStyle name="_TableHead_MRK working 2" xfId="2583"/>
    <cellStyle name="_TableHead_P4 NPV (2)" xfId="2584"/>
    <cellStyle name="_TableHead_P4 NPV (2) 2" xfId="2585"/>
    <cellStyle name="_TableHead_Prasugrel (2)" xfId="2586"/>
    <cellStyle name="_TableHead_Prasugrel (2) 2" xfId="2587"/>
    <cellStyle name="_TableHead_ROIC New" xfId="2588"/>
    <cellStyle name="_TableHead_ROIC New 2" xfId="2589"/>
    <cellStyle name="_TableHead_ROIC_New" xfId="2590"/>
    <cellStyle name="_TableHead_ROIC_New 2" xfId="2591"/>
    <cellStyle name="_TableHead_Sales Model" xfId="2592"/>
    <cellStyle name="_TableRowHead" xfId="2593"/>
    <cellStyle name="_TableRowHead 2" xfId="2594"/>
    <cellStyle name="_TableRowHead_BMY DCF" xfId="2595"/>
    <cellStyle name="_TableRowHead_BMY for Client" xfId="2596"/>
    <cellStyle name="_TableRowHead_BMY working" xfId="2597"/>
    <cellStyle name="_TableRowHead_Breakup publ" xfId="2598"/>
    <cellStyle name="_TableRowHead_Check" xfId="2599"/>
    <cellStyle name="_TableRowHead_CROCI" xfId="2600"/>
    <cellStyle name="_TableRowHead_Erbitux" xfId="2601"/>
    <cellStyle name="_TableRowHead_I-S" xfId="2602"/>
    <cellStyle name="_TableRowHead_JNJ DCF" xfId="2603"/>
    <cellStyle name="_TableRowHead_JNJ DCF published 8.13.2009" xfId="2604"/>
    <cellStyle name="_TableRowHead_LC Rx trend vs est" xfId="2605"/>
    <cellStyle name="_TableRowHead_LLY working" xfId="2606"/>
    <cellStyle name="_TableRowHead_MRK working" xfId="2607"/>
    <cellStyle name="_TableRowHead_P4 NPV (2)" xfId="2608"/>
    <cellStyle name="_TableRowHead_Prasugrel (2)" xfId="2609"/>
    <cellStyle name="_TableRowHead_ROIC New" xfId="2610"/>
    <cellStyle name="_TableRowHead_ROIC_New" xfId="2611"/>
    <cellStyle name="_TableRowHead_Sales Model" xfId="2612"/>
    <cellStyle name="_TableSuperHead" xfId="2613"/>
    <cellStyle name="_TableSuperHead_BMY DCF" xfId="2614"/>
    <cellStyle name="_TableSuperHead_BMY DCF 2" xfId="2615"/>
    <cellStyle name="_TableSuperHead_BMY DCF_Sales Model" xfId="2616"/>
    <cellStyle name="_TableSuperHead_BMY for Client" xfId="2617"/>
    <cellStyle name="_TableSuperHead_BMY for Client 2" xfId="2618"/>
    <cellStyle name="_TableSuperHead_BMY for Client_Sales Model" xfId="2619"/>
    <cellStyle name="_TableSuperHead_BMY working" xfId="2620"/>
    <cellStyle name="_TableSuperHead_BMY working 2" xfId="2621"/>
    <cellStyle name="_TableSuperHead_BMY working_Sales Model" xfId="2622"/>
    <cellStyle name="_TableSuperHead_Check" xfId="2623"/>
    <cellStyle name="_TableSuperHead_Check 2" xfId="2624"/>
    <cellStyle name="_TableSuperHead_Check_Sales Model" xfId="2625"/>
    <cellStyle name="_TableSuperHead_JNJ DCF" xfId="2626"/>
    <cellStyle name="_TableSuperHead_JNJ DCF 2" xfId="2627"/>
    <cellStyle name="_TableSuperHead_JNJ DCF published 8.13.2009" xfId="2628"/>
    <cellStyle name="_TableSuperHead_JNJ DCF published 8.13.2009 2" xfId="2629"/>
    <cellStyle name="_TableSuperHead_JNJ DCF published 8.13.2009_Sales Model" xfId="2630"/>
    <cellStyle name="_TableSuperHead_JNJ DCF_Sales Model" xfId="2631"/>
    <cellStyle name="_TableSuperHead_LC Rx trend vs est" xfId="2632"/>
    <cellStyle name="_TableSuperHead_LC Rx trend vs est 2" xfId="2633"/>
    <cellStyle name="_TableSuperHead_LC Rx trend vs est_Sales Model" xfId="2634"/>
    <cellStyle name="_TableSuperHead_LLY working" xfId="2635"/>
    <cellStyle name="_TableSuperHead_LLY working 2" xfId="2636"/>
    <cellStyle name="_TableSuperHead_LLY working_Sales Model" xfId="2637"/>
    <cellStyle name="_TWTC Capitalization" xfId="2638"/>
    <cellStyle name="_TWTC Capitalization 2" xfId="2639"/>
    <cellStyle name="_TWTC Capitalization_BMY DCF" xfId="2640"/>
    <cellStyle name="_TWTC Capitalization_BMY for Client" xfId="2641"/>
    <cellStyle name="_TWTC Capitalization_BMY working" xfId="2642"/>
    <cellStyle name="_TWTC Capitalization_Check" xfId="2643"/>
    <cellStyle name="_TWTC Capitalization_CROCI" xfId="2644"/>
    <cellStyle name="_TWTC Capitalization_Erbitux" xfId="2645"/>
    <cellStyle name="_TWTC Capitalization_I-S" xfId="2646"/>
    <cellStyle name="_TWTC Capitalization_JNJ DCF" xfId="2647"/>
    <cellStyle name="_TWTC Capitalization_JNJ DCF published 8.13.2009" xfId="2648"/>
    <cellStyle name="_TWTC Capitalization_LC Rx trend vs est" xfId="2649"/>
    <cellStyle name="_TWTC Capitalization_LLY working" xfId="2650"/>
    <cellStyle name="_TWTC Capitalization_MRK working" xfId="2651"/>
    <cellStyle name="_TWTC Capitalization_P4 NPV (2)" xfId="2652"/>
    <cellStyle name="_TWTC Capitalization_Prasugrel (2)" xfId="2653"/>
    <cellStyle name="_TWTC Capitalization_ROIC New" xfId="2654"/>
    <cellStyle name="_TWTC Capitalization_Sales Model" xfId="2655"/>
    <cellStyle name="’Ê‰Ý_GE 3 MINIMUM" xfId="2656"/>
    <cellStyle name="£ BP" xfId="2657"/>
    <cellStyle name="£3places" xfId="2658"/>
    <cellStyle name="¥ JY" xfId="2659"/>
    <cellStyle name="•W€_GE 3 MINIMUM" xfId="2660"/>
    <cellStyle name="•W_GE 3 MINIMUM" xfId="2661"/>
    <cellStyle name="0" xfId="2662"/>
    <cellStyle name="0%" xfId="2663"/>
    <cellStyle name="0% 2" xfId="2664"/>
    <cellStyle name="0% 2 2" xfId="2665"/>
    <cellStyle name="0% 3" xfId="2666"/>
    <cellStyle name="0.0" xfId="2667"/>
    <cellStyle name="0.0%" xfId="2668"/>
    <cellStyle name="0.0_Abbott Model" xfId="2669"/>
    <cellStyle name="0.00" xfId="2670"/>
    <cellStyle name="0.00%" xfId="2671"/>
    <cellStyle name="0.00_BMY DCF" xfId="2672"/>
    <cellStyle name="0_Abbott Model" xfId="2673"/>
    <cellStyle name="0_BMY DCF" xfId="2674"/>
    <cellStyle name="0_BMY DCF 2" xfId="2675"/>
    <cellStyle name="0_BMY DCF_Sales Model" xfId="2676"/>
    <cellStyle name="0_BMY for Client" xfId="2677"/>
    <cellStyle name="0_BMY for Client 2" xfId="2678"/>
    <cellStyle name="0_BMY for Client_Sales Model" xfId="2679"/>
    <cellStyle name="0_BMY working" xfId="2680"/>
    <cellStyle name="0_BMY working 2" xfId="2681"/>
    <cellStyle name="0_BMY working_Sales Model" xfId="2682"/>
    <cellStyle name="0_Book2" xfId="2683"/>
    <cellStyle name="0_Capex &amp; Depreciation " xfId="2"/>
    <cellStyle name="0_Check" xfId="2684"/>
    <cellStyle name="0_Check 2" xfId="2685"/>
    <cellStyle name="0_Check_Sales Model" xfId="2686"/>
    <cellStyle name="0_JNJ DCF" xfId="2687"/>
    <cellStyle name="0_JNJ DCF 2" xfId="2688"/>
    <cellStyle name="0_JNJ DCF published 8.13.2009" xfId="2689"/>
    <cellStyle name="0_JNJ DCF published 8.13.2009 2" xfId="2690"/>
    <cellStyle name="0_JNJ DCF published 8.13.2009_Sales Model" xfId="2691"/>
    <cellStyle name="0_JNJ DCF_Sales Model" xfId="2692"/>
    <cellStyle name="0_LC Rx trend vs est" xfId="2693"/>
    <cellStyle name="0_LC Rx trend vs est 2" xfId="2694"/>
    <cellStyle name="0_LC Rx trend vs est_Sales Model" xfId="2695"/>
    <cellStyle name="0_LLY working" xfId="2696"/>
    <cellStyle name="0_LLY working 2" xfId="2697"/>
    <cellStyle name="0_LLY working_Sales Model" xfId="2698"/>
    <cellStyle name="0_P&amp;L-adj " xfId="3"/>
    <cellStyle name="0_Pension_UTX Example_Acute Care " xfId="32"/>
    <cellStyle name="0_Quarterly " xfId="33"/>
    <cellStyle name="0_Quarterly-ITMN " xfId="34"/>
    <cellStyle name="0_TPP.N Ver 15_Acute Care " xfId="35"/>
    <cellStyle name="0_Valuing BP " xfId="4"/>
    <cellStyle name="20% - Accent1 2" xfId="2699"/>
    <cellStyle name="20% - Accent1 2 2" xfId="2700"/>
    <cellStyle name="20% - Accent1 2 3" xfId="2701"/>
    <cellStyle name="20% - Accent1 2_PFE Financial Statements - Historical AA" xfId="2702"/>
    <cellStyle name="20% - Accent1 3" xfId="2703"/>
    <cellStyle name="20% - Accent1 4" xfId="2704"/>
    <cellStyle name="20% - Accent1 5" xfId="2705"/>
    <cellStyle name="20% - Accent2 2" xfId="2706"/>
    <cellStyle name="20% - Accent2 2 2" xfId="2707"/>
    <cellStyle name="20% - Accent2 2 3" xfId="2708"/>
    <cellStyle name="20% - Accent2 2_PFE Financial Statements - Historical AA" xfId="2709"/>
    <cellStyle name="20% - Accent2 3" xfId="2710"/>
    <cellStyle name="20% - Accent2 4" xfId="2711"/>
    <cellStyle name="20% - Accent2 5" xfId="2712"/>
    <cellStyle name="20% - Accent3 2" xfId="2713"/>
    <cellStyle name="20% - Accent3 2 2" xfId="2714"/>
    <cellStyle name="20% - Accent3 2 3" xfId="2715"/>
    <cellStyle name="20% - Accent3 2_PFE Financial Statements - Historical AA" xfId="2716"/>
    <cellStyle name="20% - Accent3 3" xfId="2717"/>
    <cellStyle name="20% - Accent3 4" xfId="2718"/>
    <cellStyle name="20% - Accent3 5" xfId="2719"/>
    <cellStyle name="20% - Accent4 2" xfId="2720"/>
    <cellStyle name="20% - Accent4 2 2" xfId="2721"/>
    <cellStyle name="20% - Accent4 2 3" xfId="2722"/>
    <cellStyle name="20% - Accent4 2_PFE Financial Statements - Historical AA" xfId="2723"/>
    <cellStyle name="20% - Accent4 3" xfId="2724"/>
    <cellStyle name="20% - Accent4 4" xfId="2725"/>
    <cellStyle name="20% - Accent4 5" xfId="2726"/>
    <cellStyle name="20% - Accent5 2" xfId="2727"/>
    <cellStyle name="20% - Accent5 2 2" xfId="2728"/>
    <cellStyle name="20% - Accent5 2 3" xfId="2729"/>
    <cellStyle name="20% - Accent5 2_PFE Financial Statements - Historical AA" xfId="2730"/>
    <cellStyle name="20% - Accent5 3" xfId="2731"/>
    <cellStyle name="20% - Accent5 4" xfId="2732"/>
    <cellStyle name="20% - Accent5 5" xfId="2733"/>
    <cellStyle name="20% - Accent6 2" xfId="2734"/>
    <cellStyle name="20% - Accent6 2 2" xfId="2735"/>
    <cellStyle name="20% - Accent6 2 3" xfId="2736"/>
    <cellStyle name="20% - Accent6 2_PFE Financial Statements - Historical AA" xfId="2737"/>
    <cellStyle name="20% - Accent6 3" xfId="2738"/>
    <cellStyle name="20% - Accent6 4" xfId="2739"/>
    <cellStyle name="20% - Accent6 5" xfId="2740"/>
    <cellStyle name="40% - Accent1 2" xfId="2741"/>
    <cellStyle name="40% - Accent1 2 2" xfId="2742"/>
    <cellStyle name="40% - Accent1 2 3" xfId="2743"/>
    <cellStyle name="40% - Accent1 2_PFE Financial Statements - Historical AA" xfId="2744"/>
    <cellStyle name="40% - Accent1 3" xfId="2745"/>
    <cellStyle name="40% - Accent1 4" xfId="2746"/>
    <cellStyle name="40% - Accent1 5" xfId="2747"/>
    <cellStyle name="40% - Accent2 2" xfId="2748"/>
    <cellStyle name="40% - Accent2 2 2" xfId="2749"/>
    <cellStyle name="40% - Accent2 2 3" xfId="2750"/>
    <cellStyle name="40% - Accent2 2_PFE Financial Statements - Historical AA" xfId="2751"/>
    <cellStyle name="40% - Accent2 3" xfId="2752"/>
    <cellStyle name="40% - Accent2 4" xfId="2753"/>
    <cellStyle name="40% - Accent2 5" xfId="2754"/>
    <cellStyle name="40% - Accent3 2" xfId="2755"/>
    <cellStyle name="40% - Accent3 2 2" xfId="2756"/>
    <cellStyle name="40% - Accent3 2 3" xfId="2757"/>
    <cellStyle name="40% - Accent3 2_PFE Financial Statements - Historical AA" xfId="2758"/>
    <cellStyle name="40% - Accent3 3" xfId="2759"/>
    <cellStyle name="40% - Accent3 4" xfId="2760"/>
    <cellStyle name="40% - Accent3 5" xfId="2761"/>
    <cellStyle name="40% - Accent4 2" xfId="2762"/>
    <cellStyle name="40% - Accent4 2 2" xfId="2763"/>
    <cellStyle name="40% - Accent4 2 3" xfId="2764"/>
    <cellStyle name="40% - Accent4 2_PFE Financial Statements - Historical AA" xfId="2765"/>
    <cellStyle name="40% - Accent4 3" xfId="2766"/>
    <cellStyle name="40% - Accent4 4" xfId="2767"/>
    <cellStyle name="40% - Accent4 5" xfId="2768"/>
    <cellStyle name="40% - Accent5 2" xfId="2769"/>
    <cellStyle name="40% - Accent5 2 2" xfId="2770"/>
    <cellStyle name="40% - Accent5 2 3" xfId="2771"/>
    <cellStyle name="40% - Accent5 2_PFE Financial Statements - Historical AA" xfId="2772"/>
    <cellStyle name="40% - Accent5 3" xfId="2773"/>
    <cellStyle name="40% - Accent5 4" xfId="2774"/>
    <cellStyle name="40% - Accent5 5" xfId="2775"/>
    <cellStyle name="40% - Accent6 2" xfId="2776"/>
    <cellStyle name="40% - Accent6 2 2" xfId="2777"/>
    <cellStyle name="40% - Accent6 2 3" xfId="2778"/>
    <cellStyle name="40% - Accent6 2_PFE Financial Statements - Historical AA" xfId="2779"/>
    <cellStyle name="40% - Accent6 3" xfId="2780"/>
    <cellStyle name="40% - Accent6 4" xfId="2781"/>
    <cellStyle name="40% - Accent6 5" xfId="2782"/>
    <cellStyle name="60% - Accent1 2" xfId="2783"/>
    <cellStyle name="60% - Accent1 3" xfId="2784"/>
    <cellStyle name="60% - Accent1 4" xfId="2785"/>
    <cellStyle name="60% - Accent1 5" xfId="2786"/>
    <cellStyle name="60% - Accent2 2" xfId="2787"/>
    <cellStyle name="60% - Accent2 3" xfId="2788"/>
    <cellStyle name="60% - Accent2 4" xfId="2789"/>
    <cellStyle name="60% - Accent2 5" xfId="2790"/>
    <cellStyle name="60% - Accent3 2" xfId="2791"/>
    <cellStyle name="60% - Accent3 3" xfId="2792"/>
    <cellStyle name="60% - Accent3 4" xfId="2793"/>
    <cellStyle name="60% - Accent3 5" xfId="2794"/>
    <cellStyle name="60% - Accent4 2" xfId="2795"/>
    <cellStyle name="60% - Accent4 3" xfId="2796"/>
    <cellStyle name="60% - Accent4 4" xfId="2797"/>
    <cellStyle name="60% - Accent4 5" xfId="2798"/>
    <cellStyle name="60% - Accent5 2" xfId="2799"/>
    <cellStyle name="60% - Accent5 3" xfId="2800"/>
    <cellStyle name="60% - Accent5 4" xfId="2801"/>
    <cellStyle name="60% - Accent5 5" xfId="2802"/>
    <cellStyle name="60% - Accent6 2" xfId="2803"/>
    <cellStyle name="60% - Accent6 3" xfId="2804"/>
    <cellStyle name="60% - Accent6 4" xfId="2805"/>
    <cellStyle name="60% - Accent6 5" xfId="2806"/>
    <cellStyle name="752131" xfId="2807"/>
    <cellStyle name="9" xfId="2808"/>
    <cellStyle name="9_Abbott Model" xfId="2809"/>
    <cellStyle name="9_Amortization" xfId="2810"/>
    <cellStyle name="9_Amortization_Abbott Model" xfId="2811"/>
    <cellStyle name="9_Amortization_BMY DCF" xfId="2812"/>
    <cellStyle name="9_Amortization_BMY DCF 2" xfId="2813"/>
    <cellStyle name="9_Amortization_BMY DCF_Sales Model" xfId="2814"/>
    <cellStyle name="9_Amortization_BMY for Client" xfId="2815"/>
    <cellStyle name="9_Amortization_BMY for Client 2" xfId="2816"/>
    <cellStyle name="9_Amortization_BMY for Client_Sales Model" xfId="2817"/>
    <cellStyle name="9_Amortization_BMY working" xfId="2818"/>
    <cellStyle name="9_Amortization_BMY working 2" xfId="2819"/>
    <cellStyle name="9_Amortization_BMY working_Sales Model" xfId="2820"/>
    <cellStyle name="9_Amortization_Book2" xfId="2821"/>
    <cellStyle name="9_Amortization_Check" xfId="2822"/>
    <cellStyle name="9_Amortization_Check 2" xfId="2823"/>
    <cellStyle name="9_Amortization_Check_Sales Model" xfId="2824"/>
    <cellStyle name="9_Amortization_JNJ DCF" xfId="2825"/>
    <cellStyle name="9_Amortization_JNJ DCF 2" xfId="2826"/>
    <cellStyle name="9_Amortization_JNJ DCF published 8.13.2009" xfId="2827"/>
    <cellStyle name="9_Amortization_JNJ DCF published 8.13.2009 2" xfId="2828"/>
    <cellStyle name="9_Amortization_JNJ DCF published 8.13.2009_Sales Model" xfId="2829"/>
    <cellStyle name="9_Amortization_JNJ DCF_Sales Model" xfId="2830"/>
    <cellStyle name="9_Amortization_LC Rx trend vs est" xfId="2831"/>
    <cellStyle name="9_Amortization_LC Rx trend vs est 2" xfId="2832"/>
    <cellStyle name="9_Amortization_LC Rx trend vs est_Sales Model" xfId="2833"/>
    <cellStyle name="9_Amortization_LLY working" xfId="2834"/>
    <cellStyle name="9_Amortization_LLY working 2" xfId="2835"/>
    <cellStyle name="9_Amortization_LLY working_Sales Model" xfId="2836"/>
    <cellStyle name="9_Book2" xfId="2837"/>
    <cellStyle name="A Big heading" xfId="2838"/>
    <cellStyle name="A body text" xfId="2839"/>
    <cellStyle name="A smaller heading" xfId="2840"/>
    <cellStyle name="A$2places" xfId="2841"/>
    <cellStyle name="A$3places" xfId="2842"/>
    <cellStyle name="A_Block Space" xfId="2843"/>
    <cellStyle name="A_Block Space_Abbott Model" xfId="2844"/>
    <cellStyle name="A_Block Space_Book2" xfId="2845"/>
    <cellStyle name="A_BlueLine" xfId="2846"/>
    <cellStyle name="A_BlueLine 2" xfId="2847"/>
    <cellStyle name="A_BlueLine_CROCI" xfId="2848"/>
    <cellStyle name="A_BlueLine_Sales Model" xfId="2849"/>
    <cellStyle name="A_Do not Change" xfId="2850"/>
    <cellStyle name="A_Estimate" xfId="2851"/>
    <cellStyle name="A_Memo" xfId="2852"/>
    <cellStyle name="A_Memo 2" xfId="2853"/>
    <cellStyle name="A_Memo_Abbott Model" xfId="2854"/>
    <cellStyle name="A_Memo_Abbott Model 2" xfId="2855"/>
    <cellStyle name="A_Memo_Book2" xfId="2856"/>
    <cellStyle name="A_Memo_Book2 2" xfId="2857"/>
    <cellStyle name="A_Normal" xfId="2858"/>
    <cellStyle name="A_Normal 2" xfId="2859"/>
    <cellStyle name="A_Normal 2 2" xfId="2860"/>
    <cellStyle name="A_Normal 3" xfId="2861"/>
    <cellStyle name="A_Normal Forecast" xfId="2862"/>
    <cellStyle name="A_Normal Forecast_Abbott Model" xfId="2863"/>
    <cellStyle name="A_Normal Forecast_Book2" xfId="2864"/>
    <cellStyle name="A_Normal Historical" xfId="2865"/>
    <cellStyle name="A_Normal Historical 2" xfId="2866"/>
    <cellStyle name="A_Normal Historical_Abbott Model" xfId="2867"/>
    <cellStyle name="A_Normal Historical_Abbott Model 2" xfId="2868"/>
    <cellStyle name="A_Normal Historical_Book2" xfId="2869"/>
    <cellStyle name="A_Normal Historical_Book2 2" xfId="2870"/>
    <cellStyle name="A_Normal_Breakup publ" xfId="2871"/>
    <cellStyle name="A_Normal_Breakup publ 2" xfId="2872"/>
    <cellStyle name="A_Normal_Breakup publ 2 2" xfId="2873"/>
    <cellStyle name="A_Normal_Breakup publ 3" xfId="2874"/>
    <cellStyle name="A_Normal_CROCI" xfId="2875"/>
    <cellStyle name="A_Normal_CROCI 2" xfId="2876"/>
    <cellStyle name="A_Normal_Erbitux" xfId="2877"/>
    <cellStyle name="A_Normal_Erbitux 2" xfId="2878"/>
    <cellStyle name="A_Normal_Erbitux 2 2" xfId="2879"/>
    <cellStyle name="A_Normal_Erbitux 3" xfId="2880"/>
    <cellStyle name="A_Normal_I-S" xfId="2881"/>
    <cellStyle name="A_Normal_I-S 2" xfId="2882"/>
    <cellStyle name="A_Normal_I-S 2 2" xfId="2883"/>
    <cellStyle name="A_Normal_I-S 3" xfId="2884"/>
    <cellStyle name="A_Normal_LLY working" xfId="2885"/>
    <cellStyle name="A_Normal_LLY working 2" xfId="2886"/>
    <cellStyle name="A_Normal_LLY working 2 2" xfId="2887"/>
    <cellStyle name="A_Normal_LLY working 3" xfId="2888"/>
    <cellStyle name="A_Normal_LLY working_Sales Model" xfId="2889"/>
    <cellStyle name="A_Normal_LLY working_Sales Model 2" xfId="2890"/>
    <cellStyle name="A_Normal_MRK working" xfId="2891"/>
    <cellStyle name="A_Normal_MRK working 2" xfId="2892"/>
    <cellStyle name="A_Normal_MRK working 2 2" xfId="2893"/>
    <cellStyle name="A_Normal_MRK working 3" xfId="2894"/>
    <cellStyle name="A_Normal_Prasugrel (2)" xfId="2895"/>
    <cellStyle name="A_Normal_Prasugrel (2) 2" xfId="2896"/>
    <cellStyle name="A_Normal_Prasugrel (2) 2 2" xfId="2897"/>
    <cellStyle name="A_Normal_Prasugrel (2) 3" xfId="2898"/>
    <cellStyle name="A_Normal_ROIC New" xfId="2899"/>
    <cellStyle name="A_Normal_ROIC New 2" xfId="2900"/>
    <cellStyle name="A_Normal_ROIC New 2 2" xfId="2901"/>
    <cellStyle name="A_Normal_ROIC New 3" xfId="2902"/>
    <cellStyle name="A_Normal_ROIC_New" xfId="2903"/>
    <cellStyle name="A_Normal_ROIC_New 2" xfId="2904"/>
    <cellStyle name="A_Normal_ROIC_New 2 2" xfId="2905"/>
    <cellStyle name="A_Normal_ROIC_New 3" xfId="2906"/>
    <cellStyle name="A_Normal_ROIC_New_CROCI" xfId="2907"/>
    <cellStyle name="A_Normal_ROIC_New_CROCI 2" xfId="2908"/>
    <cellStyle name="A_Normal_ROIC_New_Sales Model" xfId="2909"/>
    <cellStyle name="A_Normal_ROIC_New_Sales Model 2" xfId="2910"/>
    <cellStyle name="A_Normal_Sales Model" xfId="2911"/>
    <cellStyle name="A_Normal_Sales Model 2" xfId="2912"/>
    <cellStyle name="A_Rate_Data" xfId="2913"/>
    <cellStyle name="A_Rate_Data Historical" xfId="2914"/>
    <cellStyle name="A_Rate_Data Historical_Abbott Model" xfId="2915"/>
    <cellStyle name="A_Rate_Data Historical_Book2" xfId="2916"/>
    <cellStyle name="A_Rate_Data_Abbott Model" xfId="2917"/>
    <cellStyle name="A_Rate_Data_Book2" xfId="2918"/>
    <cellStyle name="A_Rate_Title" xfId="2919"/>
    <cellStyle name="A_Rate_Title_Abbott Model" xfId="2920"/>
    <cellStyle name="A_Rate_Title_Book2" xfId="2921"/>
    <cellStyle name="A_Simple Title" xfId="2922"/>
    <cellStyle name="A_Simple Title 2" xfId="2923"/>
    <cellStyle name="A_Simple Title 2 2" xfId="2924"/>
    <cellStyle name="A_Simple Title 3" xfId="2925"/>
    <cellStyle name="A_Simple Title 3 2" xfId="2926"/>
    <cellStyle name="A_Simple Title 4" xfId="2927"/>
    <cellStyle name="A_Simple Title_Abbott Model" xfId="2928"/>
    <cellStyle name="A_Simple Title_Abbott Model 2" xfId="2929"/>
    <cellStyle name="A_Simple Title_Abbott Model 2 2" xfId="2930"/>
    <cellStyle name="A_Simple Title_Abbott Model 3" xfId="2931"/>
    <cellStyle name="A_Simple Title_Book2" xfId="2932"/>
    <cellStyle name="A_Simple Title_Book2 2" xfId="2933"/>
    <cellStyle name="A_Simple Title_Book2 2 2" xfId="2934"/>
    <cellStyle name="A_Simple Title_Book2 3" xfId="2935"/>
    <cellStyle name="A_Sum" xfId="2936"/>
    <cellStyle name="A_SUM_Row Major" xfId="2937"/>
    <cellStyle name="A_SUM_Row Major 2" xfId="2938"/>
    <cellStyle name="A_SUM_Row Major 2 2" xfId="2939"/>
    <cellStyle name="A_SUM_Row Major 3" xfId="2940"/>
    <cellStyle name="A_SUM_Row Major 3 2" xfId="2941"/>
    <cellStyle name="A_SUM_Row Major 4" xfId="2942"/>
    <cellStyle name="A_SUM_Row Major_Abbott Model" xfId="2943"/>
    <cellStyle name="A_SUM_Row Major_Abbott Model 2" xfId="2944"/>
    <cellStyle name="A_SUM_Row Major_Abbott Model 2 2" xfId="2945"/>
    <cellStyle name="A_SUM_Row Major_Abbott Model 3" xfId="2946"/>
    <cellStyle name="A_SUM_Row Major_Book2" xfId="2947"/>
    <cellStyle name="A_SUM_Row Major_Book2 2" xfId="2948"/>
    <cellStyle name="A_SUM_Row Major_Book2 2 2" xfId="2949"/>
    <cellStyle name="A_SUM_Row Major_Book2 3" xfId="2950"/>
    <cellStyle name="A_SUM_Row Minor" xfId="2951"/>
    <cellStyle name="A_SUM_Row Minor 2" xfId="2952"/>
    <cellStyle name="A_SUM_Row Minor 2 2" xfId="2953"/>
    <cellStyle name="A_SUM_Row Minor 3" xfId="2954"/>
    <cellStyle name="A_SUM_Row Minor 3 2" xfId="2955"/>
    <cellStyle name="A_SUM_Row Minor 4" xfId="2956"/>
    <cellStyle name="A_SUM_Row Minor_Abbott Model" xfId="2957"/>
    <cellStyle name="A_SUM_Row Minor_Abbott Model 2" xfId="2958"/>
    <cellStyle name="A_SUM_Row Minor_Abbott Model 2 2" xfId="2959"/>
    <cellStyle name="A_SUM_Row Minor_Abbott Model 3" xfId="2960"/>
    <cellStyle name="A_SUM_Row Minor_Book2" xfId="2961"/>
    <cellStyle name="A_SUM_Row Minor_Book2 2" xfId="2962"/>
    <cellStyle name="A_SUM_Row Minor_Book2 2 2" xfId="2963"/>
    <cellStyle name="A_SUM_Row Minor_Book2 3" xfId="2964"/>
    <cellStyle name="A_Title" xfId="2965"/>
    <cellStyle name="A_YearHeadings" xfId="2966"/>
    <cellStyle name="A_YearHeadings 2" xfId="2967"/>
    <cellStyle name="A1" xfId="2968"/>
    <cellStyle name="Accent1 2" xfId="2969"/>
    <cellStyle name="Accent1 3" xfId="2970"/>
    <cellStyle name="Accent1 4" xfId="2971"/>
    <cellStyle name="Accent1 5" xfId="2972"/>
    <cellStyle name="Accent2 2" xfId="2973"/>
    <cellStyle name="Accent2 3" xfId="2974"/>
    <cellStyle name="Accent2 4" xfId="2975"/>
    <cellStyle name="Accent2 5" xfId="2976"/>
    <cellStyle name="Accent3 2" xfId="2977"/>
    <cellStyle name="Accent3 3" xfId="2978"/>
    <cellStyle name="Accent3 4" xfId="2979"/>
    <cellStyle name="Accent3 5" xfId="2980"/>
    <cellStyle name="Accent4 2" xfId="2981"/>
    <cellStyle name="Accent4 3" xfId="2982"/>
    <cellStyle name="Accent4 4" xfId="2983"/>
    <cellStyle name="Accent4 5" xfId="2984"/>
    <cellStyle name="Accent5 2" xfId="2985"/>
    <cellStyle name="Accent5 3" xfId="2986"/>
    <cellStyle name="Accent5 4" xfId="2987"/>
    <cellStyle name="Accent5 5" xfId="2988"/>
    <cellStyle name="Accent6 2" xfId="2989"/>
    <cellStyle name="Accent6 3" xfId="2990"/>
    <cellStyle name="Accent6 4" xfId="2991"/>
    <cellStyle name="Accent6 5" xfId="2992"/>
    <cellStyle name="Actual data" xfId="2993"/>
    <cellStyle name="Actual year" xfId="2994"/>
    <cellStyle name="Actual year 2" xfId="2995"/>
    <cellStyle name="actuals" xfId="2996"/>
    <cellStyle name="Actuals Cells" xfId="2997"/>
    <cellStyle name="Actuals Cells 2" xfId="2998"/>
    <cellStyle name="Actuals Cells 2 2" xfId="2999"/>
    <cellStyle name="Actuals Cells 3" xfId="3000"/>
    <cellStyle name="Adj L1" xfId="3001"/>
    <cellStyle name="Adj L2" xfId="3002"/>
    <cellStyle name="Adj L3" xfId="3003"/>
    <cellStyle name="Adj Space" xfId="3004"/>
    <cellStyle name="AFE" xfId="5"/>
    <cellStyle name="AFE 2" xfId="36"/>
    <cellStyle name="Alex - red 0.0" xfId="3005"/>
    <cellStyle name="Arial" xfId="3006"/>
    <cellStyle name="Arial 2" xfId="3007"/>
    <cellStyle name="ArialNormal" xfId="3008"/>
    <cellStyle name="ArialNormal 2" xfId="3009"/>
    <cellStyle name="ArialNormal 2 2" xfId="3010"/>
    <cellStyle name="ArialNormal 3" xfId="3011"/>
    <cellStyle name="assumption" xfId="3012"/>
    <cellStyle name="Bad 2" xfId="3013"/>
    <cellStyle name="Bad 3" xfId="3014"/>
    <cellStyle name="Balance Sheet" xfId="3015"/>
    <cellStyle name="BalanceSheet" xfId="3016"/>
    <cellStyle name="Black Decimal" xfId="3017"/>
    <cellStyle name="Black Dollar" xfId="3018"/>
    <cellStyle name="Black EPS" xfId="3019"/>
    <cellStyle name="Black EPS 2" xfId="3020"/>
    <cellStyle name="Black Percent" xfId="3021"/>
    <cellStyle name="Black Percent 2" xfId="3022"/>
    <cellStyle name="Black Times" xfId="3023"/>
    <cellStyle name="Black Times 2" xfId="3024"/>
    <cellStyle name="Black Times 2 2" xfId="3025"/>
    <cellStyle name="Black Times 3" xfId="3026"/>
    <cellStyle name="Blank" xfId="3027"/>
    <cellStyle name="blue" xfId="3028"/>
    <cellStyle name="Blue Decimal" xfId="3029"/>
    <cellStyle name="Blue Decimal 2" xfId="3030"/>
    <cellStyle name="Blue Decimal 2 2" xfId="3031"/>
    <cellStyle name="Blue Decimal 3" xfId="3032"/>
    <cellStyle name="Blue Dollar" xfId="3033"/>
    <cellStyle name="Blue Dollar 2" xfId="3034"/>
    <cellStyle name="Blue EPS" xfId="3035"/>
    <cellStyle name="Blue EPS 2" xfId="3036"/>
    <cellStyle name="Blue EPS 2 2" xfId="3037"/>
    <cellStyle name="Blue EPS 3" xfId="3038"/>
    <cellStyle name="Blue Text" xfId="3039"/>
    <cellStyle name="Blue Text 2" xfId="3040"/>
    <cellStyle name="Blue Zero Deci" xfId="3041"/>
    <cellStyle name="Blue Zero Deci 2" xfId="3042"/>
    <cellStyle name="blue_Abbott Model" xfId="3043"/>
    <cellStyle name="Bold" xfId="3044"/>
    <cellStyle name="Bold 2" xfId="3045"/>
    <cellStyle name="bold big" xfId="3046"/>
    <cellStyle name="bold bot bord" xfId="3047"/>
    <cellStyle name="bold bot bord 2" xfId="3048"/>
    <cellStyle name="bold bot bord 3" xfId="3049"/>
    <cellStyle name="bold underline" xfId="3050"/>
    <cellStyle name="Bold/Border" xfId="3051"/>
    <cellStyle name="Bold/Border 2" xfId="3052"/>
    <cellStyle name="Bold/Border 3" xfId="3053"/>
    <cellStyle name="Bold_Abbott Model" xfId="3054"/>
    <cellStyle name="Border Bottom Thick" xfId="3055"/>
    <cellStyle name="Border Bottom Thick 2" xfId="3056"/>
    <cellStyle name="Border Heavy" xfId="3057"/>
    <cellStyle name="Border Heavy 2" xfId="3058"/>
    <cellStyle name="Border Thin" xfId="3059"/>
    <cellStyle name="Border Thin 2" xfId="3060"/>
    <cellStyle name="Border Thin 2 2" xfId="3061"/>
    <cellStyle name="Border Thin 3" xfId="3062"/>
    <cellStyle name="Border Top Thin" xfId="3063"/>
    <cellStyle name="Border Top Thin 2" xfId="3064"/>
    <cellStyle name="Border Top Thin 3" xfId="3065"/>
    <cellStyle name="BP" xfId="3066"/>
    <cellStyle name="Bullet" xfId="3067"/>
    <cellStyle name="c" xfId="3068"/>
    <cellStyle name="c 2" xfId="3069"/>
    <cellStyle name="c_BMY DCF" xfId="3070"/>
    <cellStyle name="c_BMY DCF 2" xfId="3071"/>
    <cellStyle name="c_BMY DCF_Sales Model" xfId="3072"/>
    <cellStyle name="c_BMY for Client" xfId="3073"/>
    <cellStyle name="c_BMY for Client 2" xfId="3074"/>
    <cellStyle name="c_BMY for Client_Sales Model" xfId="3075"/>
    <cellStyle name="c_BMY working" xfId="3076"/>
    <cellStyle name="c_BMY working 2" xfId="3077"/>
    <cellStyle name="c_BMY working_Sales Model" xfId="3078"/>
    <cellStyle name="c_Check" xfId="3079"/>
    <cellStyle name="c_Check 2" xfId="3080"/>
    <cellStyle name="c_Check_Sales Model" xfId="3081"/>
    <cellStyle name="c_HardInc " xfId="6"/>
    <cellStyle name="c_HardInc _BMY DCF" xfId="3082"/>
    <cellStyle name="c_HardInc _BMY DCF 2" xfId="3083"/>
    <cellStyle name="c_HardInc _BMY DCF_Sales Model" xfId="3084"/>
    <cellStyle name="c_HardInc _BMY for Client" xfId="3085"/>
    <cellStyle name="c_HardInc _BMY for Client 2" xfId="3086"/>
    <cellStyle name="c_HardInc _BMY for Client_Sales Model" xfId="3087"/>
    <cellStyle name="c_HardInc _BMY working" xfId="3088"/>
    <cellStyle name="c_HardInc _BMY working 2" xfId="3089"/>
    <cellStyle name="c_HardInc _BMY working_Sales Model" xfId="3090"/>
    <cellStyle name="c_HardInc _CF" xfId="3091"/>
    <cellStyle name="c_HardInc _CF 2" xfId="3092"/>
    <cellStyle name="c_HardInc _CF_Sales Model" xfId="3093"/>
    <cellStyle name="c_HardInc _Check" xfId="3094"/>
    <cellStyle name="c_HardInc _Check 2" xfId="3095"/>
    <cellStyle name="c_HardInc _Check_Sales Model" xfId="3096"/>
    <cellStyle name="c_HardInc _CROCI" xfId="3097"/>
    <cellStyle name="c_HardInc _CROCI 2" xfId="3098"/>
    <cellStyle name="c_HardInc _DCF Analysis" xfId="3099"/>
    <cellStyle name="c_HardInc _DCF Analysis 2" xfId="3100"/>
    <cellStyle name="c_HardInc _DCF Analysis_CROCI" xfId="3101"/>
    <cellStyle name="c_HardInc _JNJ DCF" xfId="3102"/>
    <cellStyle name="c_HardInc _JNJ DCF 2" xfId="3103"/>
    <cellStyle name="c_HardInc _JNJ DCF published 8.13.2009" xfId="3104"/>
    <cellStyle name="c_HardInc _JNJ DCF published 8.13.2009 2" xfId="3105"/>
    <cellStyle name="c_HardInc _JNJ DCF published 8.13.2009_Sales Model" xfId="3106"/>
    <cellStyle name="c_HardInc _JNJ DCF_Sales Model" xfId="3107"/>
    <cellStyle name="c_HardInc _LC Rx trend vs est" xfId="3108"/>
    <cellStyle name="c_HardInc _LC Rx trend vs est 2" xfId="3109"/>
    <cellStyle name="c_HardInc _LC Rx trend vs est_Sales Model" xfId="3110"/>
    <cellStyle name="c_HardInc _LLY working" xfId="3111"/>
    <cellStyle name="c_HardInc _LLY working 2" xfId="3112"/>
    <cellStyle name="c_HardInc _LLY working_Sales Model" xfId="3113"/>
    <cellStyle name="c_HardInc _MRK working" xfId="3114"/>
    <cellStyle name="c_HardInc _MRK working 2" xfId="3115"/>
    <cellStyle name="c_HardInc _MRK working_CROCI" xfId="3116"/>
    <cellStyle name="c_HardInc _MRK working_CROCI 2" xfId="3117"/>
    <cellStyle name="c_HardInc _MRK working_CROCI_1" xfId="3118"/>
    <cellStyle name="c_HardInc _Patent" xfId="3119"/>
    <cellStyle name="c_HardInc _Patent 2" xfId="3120"/>
    <cellStyle name="c_HardInc _Patent_Sales Model" xfId="3121"/>
    <cellStyle name="c_HardInc _PFE working" xfId="3122"/>
    <cellStyle name="c_HardInc _PFE working 2" xfId="3123"/>
    <cellStyle name="c_HardInc _PFE working_Sales Model" xfId="3124"/>
    <cellStyle name="c_HardInc _Qtr Review" xfId="3125"/>
    <cellStyle name="c_HardInc _Qtr Review 2" xfId="3126"/>
    <cellStyle name="c_HardInc _ROIC_New" xfId="3127"/>
    <cellStyle name="c_HardInc _ROIC_New 2" xfId="3128"/>
    <cellStyle name="c_JNJ DCF" xfId="3129"/>
    <cellStyle name="c_JNJ DCF 2" xfId="3130"/>
    <cellStyle name="c_JNJ DCF published 8.13.2009" xfId="3131"/>
    <cellStyle name="c_JNJ DCF published 8.13.2009 2" xfId="3132"/>
    <cellStyle name="c_JNJ DCF published 8.13.2009_Sales Model" xfId="3133"/>
    <cellStyle name="c_JNJ DCF_Sales Model" xfId="3134"/>
    <cellStyle name="c_LC Rx trend vs est" xfId="3135"/>
    <cellStyle name="c_LC Rx trend vs est 2" xfId="3136"/>
    <cellStyle name="c_LC Rx trend vs est_Sales Model" xfId="3137"/>
    <cellStyle name="c_LLY working" xfId="3138"/>
    <cellStyle name="c_LLY working 2" xfId="3139"/>
    <cellStyle name="c_LLY working_Sales Model" xfId="3140"/>
    <cellStyle name="Cabecera 1" xfId="3141"/>
    <cellStyle name="Cabecera 2" xfId="3142"/>
    <cellStyle name="Calc Cells" xfId="3143"/>
    <cellStyle name="Calc Cells 2" xfId="3144"/>
    <cellStyle name="Calc Cells 2 2" xfId="3145"/>
    <cellStyle name="Calc Cells 3" xfId="3146"/>
    <cellStyle name="Calc Currency (0)" xfId="3147"/>
    <cellStyle name="Calc Currency (0) 2" xfId="3148"/>
    <cellStyle name="Calc Currency (0) 2 2" xfId="3149"/>
    <cellStyle name="Calc Currency (0) 3" xfId="3150"/>
    <cellStyle name="Calculation 2" xfId="3151"/>
    <cellStyle name="Calculation 2 2" xfId="3152"/>
    <cellStyle name="Calculation 3" xfId="3153"/>
    <cellStyle name="Calculation 4" xfId="3154"/>
    <cellStyle name="CashFlow" xfId="3155"/>
    <cellStyle name="Changeable" xfId="3156"/>
    <cellStyle name="Chart Fonts" xfId="3157"/>
    <cellStyle name="Check Cell 2" xfId="3158"/>
    <cellStyle name="Check Cell 3" xfId="3159"/>
    <cellStyle name="Check Cell 4" xfId="3160"/>
    <cellStyle name="Check Cell 5" xfId="3161"/>
    <cellStyle name="Clean" xfId="3162"/>
    <cellStyle name="Collegamento ipertestuale" xfId="3163"/>
    <cellStyle name="Column_Title" xfId="3164"/>
    <cellStyle name="Comma" xfId="7" builtinId="3"/>
    <cellStyle name="Comma  - Style1" xfId="3165"/>
    <cellStyle name="Comma  - Style2" xfId="3166"/>
    <cellStyle name="Comma  - Style3" xfId="3167"/>
    <cellStyle name="Comma  - Style4" xfId="3168"/>
    <cellStyle name="Comma  - Style5" xfId="3169"/>
    <cellStyle name="Comma  - Style6" xfId="3170"/>
    <cellStyle name="Comma  - Style7" xfId="3171"/>
    <cellStyle name="Comma  - Style8" xfId="3172"/>
    <cellStyle name="comma (1)" xfId="3173"/>
    <cellStyle name="Comma [1]" xfId="3174"/>
    <cellStyle name="Comma [2]" xfId="3175"/>
    <cellStyle name="Comma [2] 2" xfId="3176"/>
    <cellStyle name="Comma 0" xfId="3177"/>
    <cellStyle name="Comma 0 2" xfId="3178"/>
    <cellStyle name="Comma 2" xfId="3179"/>
    <cellStyle name="Comma 2 2" xfId="3180"/>
    <cellStyle name="Comma 2 3" xfId="3181"/>
    <cellStyle name="Comma 2 4" xfId="3182"/>
    <cellStyle name="Comma 3" xfId="3183"/>
    <cellStyle name="Comma 3 2" xfId="3184"/>
    <cellStyle name="Comma 3 3" xfId="3185"/>
    <cellStyle name="Comma 3 4" xfId="3186"/>
    <cellStyle name="Comma 4" xfId="3187"/>
    <cellStyle name="Comma 4 2" xfId="3188"/>
    <cellStyle name="Comma 5" xfId="3189"/>
    <cellStyle name="Comma 6" xfId="3190"/>
    <cellStyle name="Comma 7" xfId="3191"/>
    <cellStyle name="Comma(1)" xfId="3192"/>
    <cellStyle name="Comma(2)" xfId="3193"/>
    <cellStyle name="comma(3)" xfId="3194"/>
    <cellStyle name="comma[0]" xfId="3195"/>
    <cellStyle name="Comma0" xfId="3196"/>
    <cellStyle name="Comma0 - Modelo1" xfId="3197"/>
    <cellStyle name="Comma0 - Style1" xfId="3198"/>
    <cellStyle name="Comma0 2" xfId="3199"/>
    <cellStyle name="Comma1" xfId="3200"/>
    <cellStyle name="Comma1 - Modelo2" xfId="3201"/>
    <cellStyle name="Comma1 - Style2" xfId="3202"/>
    <cellStyle name="Comma1_Abbott Model" xfId="3203"/>
    <cellStyle name="Comma2" xfId="3204"/>
    <cellStyle name="Comma3" xfId="3205"/>
    <cellStyle name="Company name" xfId="3206"/>
    <cellStyle name="Copied" xfId="3207"/>
    <cellStyle name="Copied 2" xfId="3208"/>
    <cellStyle name="Copied 2 2" xfId="3209"/>
    <cellStyle name="Copied 3" xfId="3210"/>
    <cellStyle name="Cuadro 1" xfId="3211"/>
    <cellStyle name="Cuadro 2" xfId="3212"/>
    <cellStyle name="Currency" xfId="8" builtinId="4"/>
    <cellStyle name="Currency [2]" xfId="3213"/>
    <cellStyle name="Currency [2] 2" xfId="3214"/>
    <cellStyle name="Currency 0" xfId="3215"/>
    <cellStyle name="Currency 0 2" xfId="3216"/>
    <cellStyle name="Currency 2" xfId="3217"/>
    <cellStyle name="Currency 2 2" xfId="3218"/>
    <cellStyle name="Currency 2 3" xfId="3219"/>
    <cellStyle name="Currency 2 4" xfId="3220"/>
    <cellStyle name="Currency 2 4 2" xfId="3221"/>
    <cellStyle name="Currency 2 5" xfId="3222"/>
    <cellStyle name="Currency 3" xfId="3223"/>
    <cellStyle name="Currency 3 2" xfId="3224"/>
    <cellStyle name="Currency 4" xfId="3225"/>
    <cellStyle name="Currency 4 2" xfId="3226"/>
    <cellStyle name="Currency 5" xfId="3227"/>
    <cellStyle name="Currency(1)" xfId="3228"/>
    <cellStyle name="Currency0" xfId="3229"/>
    <cellStyle name="Currency0 2" xfId="3230"/>
    <cellStyle name="Currency0 2 2" xfId="3231"/>
    <cellStyle name="Currency0 3" xfId="3232"/>
    <cellStyle name="Currency1" xfId="3233"/>
    <cellStyle name="Currency3" xfId="3234"/>
    <cellStyle name="Currsmall" xfId="3235"/>
    <cellStyle name="custom" xfId="3236"/>
    <cellStyle name="custom 2" xfId="3237"/>
    <cellStyle name="custom 2 2" xfId="3238"/>
    <cellStyle name="custom 3" xfId="3239"/>
    <cellStyle name="Dash" xfId="3240"/>
    <cellStyle name="date" xfId="3241"/>
    <cellStyle name="Date [mmm-yy]" xfId="3242"/>
    <cellStyle name="Date [mmm-yy] 2" xfId="3243"/>
    <cellStyle name="date 2" xfId="3244"/>
    <cellStyle name="Date Aligned" xfId="3245"/>
    <cellStyle name="Date Aligned 2" xfId="3246"/>
    <cellStyle name="date_Abbott working" xfId="3247"/>
    <cellStyle name="Date2" xfId="3248"/>
    <cellStyle name="Date2 2" xfId="3249"/>
    <cellStyle name="Dates" xfId="3250"/>
    <cellStyle name="DateYear" xfId="3251"/>
    <cellStyle name="decimal 0" xfId="3252"/>
    <cellStyle name="decimal 1" xfId="3253"/>
    <cellStyle name="decimal 2" xfId="3254"/>
    <cellStyle name="decimal 3" xfId="3255"/>
    <cellStyle name="default" xfId="3256"/>
    <cellStyle name="default 2" xfId="3257"/>
    <cellStyle name="Dezimal [0]_PLDT" xfId="3258"/>
    <cellStyle name="Dezimal_PLDT" xfId="3259"/>
    <cellStyle name="Dollar" xfId="3260"/>
    <cellStyle name="Dollar - Style5" xfId="3261"/>
    <cellStyle name="Dollar 2" xfId="3262"/>
    <cellStyle name="Dollar 3" xfId="3263"/>
    <cellStyle name="dollar[0]" xfId="3264"/>
    <cellStyle name="Dollar_Abbott Model" xfId="3265"/>
    <cellStyle name="Dollars" xfId="3266"/>
    <cellStyle name="DollarWhole" xfId="3267"/>
    <cellStyle name="Dotted Line" xfId="3268"/>
    <cellStyle name="Dotted Line 2" xfId="3269"/>
    <cellStyle name="Download" xfId="3270"/>
    <cellStyle name="Download 2" xfId="3271"/>
    <cellStyle name="Download 3" xfId="3272"/>
    <cellStyle name="e]_x000d__x000a_Location=C:\EISIMS\SAM\ert\ertlive.tbl_x000d__x000a_WorkLocation=C:\EISIMS\SAM\ert\ertwork.tbl_x000d__x000a__x000d__x000a_[Utility]_x000d__x000a_Utility" xfId="3273"/>
    <cellStyle name="e]_x000d__x000a_Location=C:\EISIMS\SAM\ert\ertlive.tbl_x000d__x000a_WorkLocation=C:\EISIMS\SAM\ert\ertwork.tbl_x000d__x000a__x000d__x000a_[Utility]_x000d__x000a_Utility 2" xfId="3274"/>
    <cellStyle name="Entered" xfId="3275"/>
    <cellStyle name="Entered 2" xfId="3276"/>
    <cellStyle name="Entered 2 2" xfId="3277"/>
    <cellStyle name="Entered 3" xfId="3278"/>
    <cellStyle name="EPS" xfId="3279"/>
    <cellStyle name="EPSActual" xfId="3280"/>
    <cellStyle name="EPSActual 2" xfId="3281"/>
    <cellStyle name="EPSEstimate" xfId="3282"/>
    <cellStyle name="EPSEstimate 2" xfId="3283"/>
    <cellStyle name="Euro" xfId="3284"/>
    <cellStyle name="Euro 2" xfId="3285"/>
    <cellStyle name="Euro 2 2" xfId="3286"/>
    <cellStyle name="Euro 3" xfId="3287"/>
    <cellStyle name="Explanatory Text 2" xfId="3288"/>
    <cellStyle name="Explanatory Text 3" xfId="3289"/>
    <cellStyle name="External File Cells" xfId="3290"/>
    <cellStyle name="External File Cells 2" xfId="3291"/>
    <cellStyle name="External File Cells 2 2" xfId="3292"/>
    <cellStyle name="External File Cells 2 2 2" xfId="3293"/>
    <cellStyle name="External File Cells 2 3" xfId="3294"/>
    <cellStyle name="External File Cells 2 3 2" xfId="3295"/>
    <cellStyle name="External File Cells 2 4" xfId="3296"/>
    <cellStyle name="External File Cells 3" xfId="3297"/>
    <cellStyle name="External File Cells 3 2" xfId="3298"/>
    <cellStyle name="External File Cells 4" xfId="3299"/>
    <cellStyle name="External File Cells 4 2" xfId="3300"/>
    <cellStyle name="External File Cells 5" xfId="3301"/>
    <cellStyle name="Fecha" xfId="3302"/>
    <cellStyle name="FF" xfId="3303"/>
    <cellStyle name="Fijo" xfId="3304"/>
    <cellStyle name="Fixed" xfId="3305"/>
    <cellStyle name="Fixed 2" xfId="3306"/>
    <cellStyle name="Fixed0" xfId="3307"/>
    <cellStyle name="Fixlong" xfId="3308"/>
    <cellStyle name="FOOTER - Style1" xfId="3309"/>
    <cellStyle name="Footnote" xfId="3310"/>
    <cellStyle name="Forecast Cells" xfId="3311"/>
    <cellStyle name="Forecast Cells 2" xfId="3312"/>
    <cellStyle name="Forecast Cells 2 2" xfId="3313"/>
    <cellStyle name="Forecast Cells 3" xfId="3314"/>
    <cellStyle name="Form_Num" xfId="3315"/>
    <cellStyle name="G1_1999 figures" xfId="3316"/>
    <cellStyle name="General" xfId="3317"/>
    <cellStyle name="gHeading" xfId="3318"/>
    <cellStyle name="GIRExhibit-Bold" xfId="3319"/>
    <cellStyle name="GIRExhibit-Bold 2" xfId="3320"/>
    <cellStyle name="GIRExhibit-Bold 2 2" xfId="3321"/>
    <cellStyle name="GIRExhibit-Bold 3" xfId="3322"/>
    <cellStyle name="GIRExhibit-Bold 3 2" xfId="3323"/>
    <cellStyle name="GIRExhibit-Bold 4" xfId="3324"/>
    <cellStyle name="gNum" xfId="3325"/>
    <cellStyle name="Good 2" xfId="3326"/>
    <cellStyle name="Good 3" xfId="3327"/>
    <cellStyle name="Green" xfId="3328"/>
    <cellStyle name="Grey" xfId="3329"/>
    <cellStyle name="Grey 2" xfId="3330"/>
    <cellStyle name="GrowthRate" xfId="3331"/>
    <cellStyle name="GrowthSeq" xfId="3332"/>
    <cellStyle name="H_1998_col_head" xfId="3333"/>
    <cellStyle name="H_1998_col_head 2" xfId="3334"/>
    <cellStyle name="H_1998_col_head_BMY DCF" xfId="3335"/>
    <cellStyle name="H_1998_col_head_BMY for Client" xfId="3336"/>
    <cellStyle name="H_1998_col_head_BMY working" xfId="3337"/>
    <cellStyle name="H_1998_col_head_Check" xfId="3338"/>
    <cellStyle name="H_1998_col_head_CROCI" xfId="3339"/>
    <cellStyle name="H_1998_col_head_JNJ DCF" xfId="3340"/>
    <cellStyle name="H_1998_col_head_JNJ DCF published 8.13.2009" xfId="3341"/>
    <cellStyle name="H_1998_col_head_LC Rx trend vs est" xfId="3342"/>
    <cellStyle name="H_1998_col_head_LLY working" xfId="3343"/>
    <cellStyle name="H_1999_col_head" xfId="3344"/>
    <cellStyle name="H1_1998 figures" xfId="3345"/>
    <cellStyle name="hard no." xfId="3346"/>
    <cellStyle name="Hard Percent" xfId="3347"/>
    <cellStyle name="Hard Percent 2" xfId="3348"/>
    <cellStyle name="Header" xfId="3349"/>
    <cellStyle name="Header1" xfId="3350"/>
    <cellStyle name="Header2" xfId="3351"/>
    <cellStyle name="Headin - Style6" xfId="3352"/>
    <cellStyle name="Heading 1 2" xfId="3353"/>
    <cellStyle name="Heading 1 3" xfId="3354"/>
    <cellStyle name="Heading 2 2" xfId="3355"/>
    <cellStyle name="Heading 2 3" xfId="3356"/>
    <cellStyle name="Heading 3 2" xfId="3357"/>
    <cellStyle name="Heading 3 2 2" xfId="3358"/>
    <cellStyle name="Heading 3 3" xfId="3359"/>
    <cellStyle name="Heading 4 2" xfId="3360"/>
    <cellStyle name="Heading 4 3" xfId="3361"/>
    <cellStyle name="Heading1" xfId="3362"/>
    <cellStyle name="Headings" xfId="3363"/>
    <cellStyle name="Helv 10 Bold" xfId="3364"/>
    <cellStyle name="Helv 12 Bold" xfId="3365"/>
    <cellStyle name="hidebold" xfId="3366"/>
    <cellStyle name="hidenorm" xfId="3367"/>
    <cellStyle name="Hyperlink" xfId="9" builtinId="8"/>
    <cellStyle name="Hyperlink 2" xfId="3368"/>
    <cellStyle name="Hyperlink 3" xfId="3369"/>
    <cellStyle name="IncomeStatement" xfId="3370"/>
    <cellStyle name="Input [yellow]" xfId="3371"/>
    <cellStyle name="Input [yellow] 2" xfId="3372"/>
    <cellStyle name="Input 2" xfId="3373"/>
    <cellStyle name="Input 3" xfId="3374"/>
    <cellStyle name="Input cell" xfId="3375"/>
    <cellStyle name="Input Cells" xfId="3376"/>
    <cellStyle name="InputBlueFont" xfId="3377"/>
    <cellStyle name="Îormal_IPO_1" xfId="3378"/>
    <cellStyle name="Italics" xfId="3379"/>
    <cellStyle name="Lien hypertexte_2004 PGM Budget Schedules" xfId="3380"/>
    <cellStyle name="Line" xfId="3381"/>
    <cellStyle name="Line 2" xfId="3382"/>
    <cellStyle name="Line 2 2" xfId="3383"/>
    <cellStyle name="Line 3" xfId="3384"/>
    <cellStyle name="Linked Cell 2" xfId="3385"/>
    <cellStyle name="Linked Cell 3" xfId="3386"/>
    <cellStyle name="Locked" xfId="3387"/>
    <cellStyle name="mag" xfId="3388"/>
    <cellStyle name="Mainhead" xfId="3389"/>
    <cellStyle name="Major item" xfId="3390"/>
    <cellStyle name="Margins" xfId="3391"/>
    <cellStyle name="Microsoft Excel found an error in the formula you entered. Do you want to accept the correction proposed below?_x000a__x000a_|_x000a__x000a_• To accept the correction, click Yes._x000a_• To close this message and correct the formula yourself, click No." xfId="3392"/>
    <cellStyle name="Migliaia (0)_BAYANTEL" xfId="3393"/>
    <cellStyle name="Migliaia_BAYANTEL" xfId="3394"/>
    <cellStyle name="Millares [0]_adolfo3" xfId="3395"/>
    <cellStyle name="Millares_adolfo3" xfId="3396"/>
    <cellStyle name="Milliers [0]_BAYANTEL" xfId="3397"/>
    <cellStyle name="Milliers_BAYANTEL" xfId="3398"/>
    <cellStyle name="Moneda [0]_adolfo3" xfId="3399"/>
    <cellStyle name="Moneda_adolfo3" xfId="3400"/>
    <cellStyle name="Monétaire [0]_BAYANTEL" xfId="3401"/>
    <cellStyle name="Monétaire_BAYANTEL" xfId="3402"/>
    <cellStyle name="Monetario0" xfId="3403"/>
    <cellStyle name="Monitor" xfId="3404"/>
    <cellStyle name="mult" xfId="3405"/>
    <cellStyle name="multiple" xfId="3406"/>
    <cellStyle name="Name - Style7" xfId="3407"/>
    <cellStyle name="Negative" xfId="3408"/>
    <cellStyle name="Negative 2" xfId="3409"/>
    <cellStyle name="Negative 2 2" xfId="3410"/>
    <cellStyle name="Negative 3" xfId="3411"/>
    <cellStyle name="Neutral 2" xfId="3412"/>
    <cellStyle name="Neutral 3" xfId="3413"/>
    <cellStyle name="No Commas" xfId="3414"/>
    <cellStyle name="No Commas 2" xfId="3415"/>
    <cellStyle name="no dec" xfId="3416"/>
    <cellStyle name="no dec 2" xfId="3417"/>
    <cellStyle name="no dec 2 2" xfId="3418"/>
    <cellStyle name="no dec 3" xfId="3419"/>
    <cellStyle name="Normal" xfId="0" builtinId="0"/>
    <cellStyle name="Normal - Style1" xfId="3420"/>
    <cellStyle name="Normal - Style8" xfId="3421"/>
    <cellStyle name="Normal 10" xfId="3422"/>
    <cellStyle name="Normal 10 2" xfId="39"/>
    <cellStyle name="Normal 10_PFE model 2014.03.30 Update" xfId="3423"/>
    <cellStyle name="Normal 11" xfId="3424"/>
    <cellStyle name="Normal 11 2" xfId="3425"/>
    <cellStyle name="Normal 12" xfId="3426"/>
    <cellStyle name="Normal 12 2" xfId="3427"/>
    <cellStyle name="Normal 13" xfId="3428"/>
    <cellStyle name="Normal 13 2" xfId="3429"/>
    <cellStyle name="Normal 14" xfId="3430"/>
    <cellStyle name="Normal 14 2" xfId="3431"/>
    <cellStyle name="Normal 15" xfId="3432"/>
    <cellStyle name="Normal 15 2" xfId="3433"/>
    <cellStyle name="Normal 16" xfId="3434"/>
    <cellStyle name="Normal 16 2" xfId="3435"/>
    <cellStyle name="Normal 17" xfId="3436"/>
    <cellStyle name="Normal 17 2" xfId="3437"/>
    <cellStyle name="Normal 18" xfId="3438"/>
    <cellStyle name="Normal 18 2" xfId="3439"/>
    <cellStyle name="Normal 19" xfId="3440"/>
    <cellStyle name="Normal 2" xfId="10"/>
    <cellStyle name="Normal 2 2" xfId="3441"/>
    <cellStyle name="Normal 2 2 3" xfId="3442"/>
    <cellStyle name="Normal 2 3" xfId="3443"/>
    <cellStyle name="Normal 2 3 2" xfId="3444"/>
    <cellStyle name="Normal 2 3 2 2" xfId="3445"/>
    <cellStyle name="Normal 2 3 3" xfId="3446"/>
    <cellStyle name="Normal 2 4" xfId="3447"/>
    <cellStyle name="Normal 2 5" xfId="3448"/>
    <cellStyle name="Normal 2 6" xfId="3449"/>
    <cellStyle name="Normal 20" xfId="3450"/>
    <cellStyle name="Normal 21" xfId="3451"/>
    <cellStyle name="Normal 22" xfId="3452"/>
    <cellStyle name="Normal 23" xfId="3453"/>
    <cellStyle name="Normal 24" xfId="3454"/>
    <cellStyle name="Normal 25" xfId="3455"/>
    <cellStyle name="Normal 26" xfId="3456"/>
    <cellStyle name="Normal 27" xfId="3457"/>
    <cellStyle name="Normal 28" xfId="3458"/>
    <cellStyle name="Normal 29" xfId="3459"/>
    <cellStyle name="Normal 3" xfId="26"/>
    <cellStyle name="Normal 3 2" xfId="3460"/>
    <cellStyle name="Normal 3 2 2" xfId="3461"/>
    <cellStyle name="Normal 3 3" xfId="3462"/>
    <cellStyle name="Normal 3 3 2" xfId="3463"/>
    <cellStyle name="Normal 3 4" xfId="3464"/>
    <cellStyle name="Normal 3 4 2" xfId="3465"/>
    <cellStyle name="Normal 3 5" xfId="3466"/>
    <cellStyle name="Normal 30" xfId="3467"/>
    <cellStyle name="Normal 31" xfId="3468"/>
    <cellStyle name="Normal 32" xfId="3469"/>
    <cellStyle name="Normal 33" xfId="3470"/>
    <cellStyle name="Normal 34" xfId="3471"/>
    <cellStyle name="Normal 35" xfId="3472"/>
    <cellStyle name="Normal 36" xfId="3473"/>
    <cellStyle name="Normal 37" xfId="3474"/>
    <cellStyle name="Normal 38" xfId="3475"/>
    <cellStyle name="Normal 38 2" xfId="3476"/>
    <cellStyle name="Normal 38 3" xfId="3477"/>
    <cellStyle name="Normal 39" xfId="3478"/>
    <cellStyle name="Normal 4" xfId="28"/>
    <cellStyle name="Normal 4 2" xfId="37"/>
    <cellStyle name="Normal 4 2 2" xfId="3479"/>
    <cellStyle name="Normal 4 2 3" xfId="3480"/>
    <cellStyle name="Normal 4 2 4" xfId="3481"/>
    <cellStyle name="Normal 4 3" xfId="3482"/>
    <cellStyle name="Normal 4 3 2" xfId="3483"/>
    <cellStyle name="Normal 4 4" xfId="3484"/>
    <cellStyle name="Normal 5" xfId="42"/>
    <cellStyle name="Normal 5 2" xfId="3485"/>
    <cellStyle name="Normal 5 2 2" xfId="3486"/>
    <cellStyle name="Normal 5 3" xfId="3487"/>
    <cellStyle name="Normal 6" xfId="3488"/>
    <cellStyle name="Normal 6 2" xfId="3489"/>
    <cellStyle name="Normal 6 2 2" xfId="3490"/>
    <cellStyle name="Normal 6 3" xfId="3491"/>
    <cellStyle name="Normal 7" xfId="3492"/>
    <cellStyle name="Normal 7 2" xfId="3493"/>
    <cellStyle name="Normal 7 2 2" xfId="3494"/>
    <cellStyle name="Normal 7 3" xfId="3495"/>
    <cellStyle name="Normal 8" xfId="3496"/>
    <cellStyle name="Normal 8 2" xfId="3497"/>
    <cellStyle name="Normal 8 2 2" xfId="3498"/>
    <cellStyle name="Normal 8 3" xfId="3499"/>
    <cellStyle name="Normal 8 4" xfId="3500"/>
    <cellStyle name="Normal 9" xfId="3501"/>
    <cellStyle name="Normal 9 2" xfId="3502"/>
    <cellStyle name="Normal Cells" xfId="3503"/>
    <cellStyle name="Normal_AGNwk-old" xfId="11"/>
    <cellStyle name="Normal_AGNwk-old 2" xfId="41"/>
    <cellStyle name="Normal_BMYwk-old" xfId="12"/>
    <cellStyle name="Normal_BMYwk-old 2" xfId="29"/>
    <cellStyle name="Normal_CEPHwk-old" xfId="13"/>
    <cellStyle name="Normal_DisclaimerSheet Samples" xfId="3961"/>
    <cellStyle name="Normal_FRXwk-old" xfId="14"/>
    <cellStyle name="Normal_GILD" xfId="15"/>
    <cellStyle name="Normal_IS-ANNUAL" xfId="16"/>
    <cellStyle name="Normal_LLYwk-old" xfId="17"/>
    <cellStyle name="Normal_LLYwk-old 2" xfId="40"/>
    <cellStyle name="Normal_MRKwk-old" xfId="18"/>
    <cellStyle name="Normal_PFE_WYEwk-old" xfId="19"/>
    <cellStyle name="Normal_PFEwk-old" xfId="20"/>
    <cellStyle name="Note 2" xfId="3504"/>
    <cellStyle name="Note 2 2" xfId="3505"/>
    <cellStyle name="Note 2 3" xfId="3506"/>
    <cellStyle name="Note 2 4" xfId="3507"/>
    <cellStyle name="Note 3" xfId="3508"/>
    <cellStyle name="Note 4" xfId="3509"/>
    <cellStyle name="Notes" xfId="3510"/>
    <cellStyle name="Number" xfId="3511"/>
    <cellStyle name="number2" xfId="3512"/>
    <cellStyle name="o" xfId="3513"/>
    <cellStyle name="Œ…‹æØ‚è [0.00]_GE 3 MINIMUM" xfId="3514"/>
    <cellStyle name="Œ…‹æØ‚è_GE 3 MINIMUM" xfId="3515"/>
    <cellStyle name="oft Excel]_x000d__x000a_Comment=The open=/f lines load custom functions into the Paste Function list._x000d__x000a_Maximized=3_x000d__x000a_Basics=1_x000d__x000a_A" xfId="3516"/>
    <cellStyle name="oft Excel]_x000d__x000a_Comment=The open=/f lines load custom functions into the Paste Function list._x000d__x000a_Maximized=3_x000d__x000a_Basics=1_x000d__x000a_A 2" xfId="3517"/>
    <cellStyle name="OneDecimal" xfId="3518"/>
    <cellStyle name="Original L1" xfId="3519"/>
    <cellStyle name="Original L2" xfId="3520"/>
    <cellStyle name="Original L3" xfId="3521"/>
    <cellStyle name="Original Space" xfId="3522"/>
    <cellStyle name="outh America" xfId="3523"/>
    <cellStyle name="Output 2" xfId="3524"/>
    <cellStyle name="Output 2 2" xfId="3525"/>
    <cellStyle name="Output 3" xfId="3526"/>
    <cellStyle name="Output 4" xfId="3527"/>
    <cellStyle name="Output1_Back" xfId="3528"/>
    <cellStyle name="p " xfId="21"/>
    <cellStyle name="Page header" xfId="3529"/>
    <cellStyle name="Page Heading Large" xfId="3530"/>
    <cellStyle name="Page Heading Small" xfId="3531"/>
    <cellStyle name="Page Number" xfId="3532"/>
    <cellStyle name="PB Table Heading" xfId="3533"/>
    <cellStyle name="PB Table Heading 2" xfId="3534"/>
    <cellStyle name="PB Table Highlight1" xfId="3535"/>
    <cellStyle name="PB Table Highlight1 2" xfId="3536"/>
    <cellStyle name="PB Table Highlight2" xfId="3537"/>
    <cellStyle name="PB Table Highlight2 2" xfId="3538"/>
    <cellStyle name="PB Table Highlight3" xfId="3539"/>
    <cellStyle name="PB Table Highlight3 2" xfId="3540"/>
    <cellStyle name="PB Table Standard Row" xfId="3541"/>
    <cellStyle name="PB Table Standard Row 2" xfId="3542"/>
    <cellStyle name="PB Table Standard Row 2 2" xfId="3543"/>
    <cellStyle name="PB Table Standard Row 3" xfId="3544"/>
    <cellStyle name="PB Table Subtotal Row" xfId="3545"/>
    <cellStyle name="PB Table Subtotal Row 2" xfId="3546"/>
    <cellStyle name="PB Table Subtotal Row 2 2" xfId="3547"/>
    <cellStyle name="PB Table Subtotal Row 3" xfId="3548"/>
    <cellStyle name="PB Table Total Row" xfId="3549"/>
    <cellStyle name="PB Table Total Row 2" xfId="3550"/>
    <cellStyle name="pct" xfId="3551"/>
    <cellStyle name="Percent" xfId="22" builtinId="5"/>
    <cellStyle name="Percent (1)" xfId="3552"/>
    <cellStyle name="Percent [1]" xfId="3553"/>
    <cellStyle name="Percent [1] 2" xfId="3554"/>
    <cellStyle name="Percent [1] 2 2" xfId="3555"/>
    <cellStyle name="Percent [1] 3" xfId="3556"/>
    <cellStyle name="Percent [2]" xfId="3557"/>
    <cellStyle name="Percent [2] 2" xfId="3558"/>
    <cellStyle name="Percent [2] 2 2" xfId="3559"/>
    <cellStyle name="Percent [2] 3" xfId="3560"/>
    <cellStyle name="Percent 2" xfId="3561"/>
    <cellStyle name="Percent 2 2" xfId="3562"/>
    <cellStyle name="Percent 2 2 2" xfId="3563"/>
    <cellStyle name="Percent 2 3" xfId="3564"/>
    <cellStyle name="Percent 2 3 2" xfId="3565"/>
    <cellStyle name="Percent 2 4" xfId="3566"/>
    <cellStyle name="Percent 2 5" xfId="3567"/>
    <cellStyle name="Percent 3" xfId="3568"/>
    <cellStyle name="Percent 3 2" xfId="3569"/>
    <cellStyle name="Percent 4" xfId="3570"/>
    <cellStyle name="Percent 5" xfId="3571"/>
    <cellStyle name="Percent 6" xfId="3572"/>
    <cellStyle name="Percent 7" xfId="3573"/>
    <cellStyle name="Percent 8" xfId="3574"/>
    <cellStyle name="Percent Hard" xfId="3575"/>
    <cellStyle name="Percent(1)" xfId="3576"/>
    <cellStyle name="Percent-0.0%" xfId="3577"/>
    <cellStyle name="Percent-0.0% 2" xfId="3578"/>
    <cellStyle name="Percent1" xfId="3579"/>
    <cellStyle name="Percent2" xfId="3580"/>
    <cellStyle name="Percent-no dec" xfId="3581"/>
    <cellStyle name="PercentPresentation" xfId="3582"/>
    <cellStyle name="Perlong" xfId="3583"/>
    <cellStyle name="Pershare" xfId="3584"/>
    <cellStyle name="POPS" xfId="3585"/>
    <cellStyle name="Porcentual_BASE" xfId="3586"/>
    <cellStyle name="pound" xfId="3587"/>
    <cellStyle name="pound 2" xfId="3588"/>
    <cellStyle name="pound 2 2" xfId="3589"/>
    <cellStyle name="pound 3" xfId="3590"/>
    <cellStyle name="pound 3 2" xfId="3591"/>
    <cellStyle name="pound 4" xfId="3592"/>
    <cellStyle name="Pounds2" xfId="3593"/>
    <cellStyle name="Precent" xfId="3594"/>
    <cellStyle name="Precent 2" xfId="3595"/>
    <cellStyle name="Precent 2 2" xfId="3596"/>
    <cellStyle name="Precent 3" xfId="3597"/>
    <cellStyle name="Precent 3 2" xfId="3598"/>
    <cellStyle name="Precent 4" xfId="3599"/>
    <cellStyle name="Presentation" xfId="3600"/>
    <cellStyle name="PresentationZero" xfId="3601"/>
    <cellStyle name="Price" xfId="3602"/>
    <cellStyle name="PSChar" xfId="3603"/>
    <cellStyle name="PSDate" xfId="3604"/>
    <cellStyle name="PSDec" xfId="3605"/>
    <cellStyle name="PSHeading" xfId="3606"/>
    <cellStyle name="PSHeading 2" xfId="3607"/>
    <cellStyle name="PSInt" xfId="3608"/>
    <cellStyle name="PSSpacer" xfId="3609"/>
    <cellStyle name="Punto0" xfId="3610"/>
    <cellStyle name="Qtr Template" xfId="3611"/>
    <cellStyle name="red" xfId="3612"/>
    <cellStyle name="Report" xfId="3613"/>
    <cellStyle name="Reuters Cells" xfId="3614"/>
    <cellStyle name="Reuters Cells 2" xfId="3615"/>
    <cellStyle name="RevList" xfId="3616"/>
    <cellStyle name="RM" xfId="3617"/>
    <cellStyle name="RRSInstruction" xfId="38"/>
    <cellStyle name="RRSInstruction 2" xfId="27"/>
    <cellStyle name="s" xfId="3618"/>
    <cellStyle name="s 2" xfId="3619"/>
    <cellStyle name="s 2 2" xfId="3620"/>
    <cellStyle name="s 3" xfId="3621"/>
    <cellStyle name="s_BMY DCF" xfId="3622"/>
    <cellStyle name="s_BMY DCF 2" xfId="3623"/>
    <cellStyle name="s_BMY DCF 2 2" xfId="3624"/>
    <cellStyle name="s_BMY DCF 3" xfId="3625"/>
    <cellStyle name="s_BMY for Client" xfId="3626"/>
    <cellStyle name="s_BMY for Client 2" xfId="3627"/>
    <cellStyle name="s_BMY for Client 2 2" xfId="3628"/>
    <cellStyle name="s_BMY for Client 3" xfId="3629"/>
    <cellStyle name="s_BMY working" xfId="3630"/>
    <cellStyle name="s_BMY working 2" xfId="3631"/>
    <cellStyle name="s_BMY working 2 2" xfId="3632"/>
    <cellStyle name="s_BMY working 3" xfId="3633"/>
    <cellStyle name="s_Check" xfId="3634"/>
    <cellStyle name="s_Check 2" xfId="3635"/>
    <cellStyle name="s_Check 2 2" xfId="3636"/>
    <cellStyle name="s_Check 3" xfId="3637"/>
    <cellStyle name="s_DCFLBO Code" xfId="3638"/>
    <cellStyle name="s_DCFLBO Code 2" xfId="3639"/>
    <cellStyle name="s_DCFLBO Code_1" xfId="3640"/>
    <cellStyle name="s_DCFLBO Code_1 2" xfId="3641"/>
    <cellStyle name="s_DCFLBO Code_1 2 2" xfId="3642"/>
    <cellStyle name="s_DCFLBO Code_1 3" xfId="3643"/>
    <cellStyle name="s_DCFLBO Code_1_BMY DCF" xfId="3644"/>
    <cellStyle name="s_DCFLBO Code_1_BMY DCF 2" xfId="3645"/>
    <cellStyle name="s_DCFLBO Code_1_BMY DCF 2 2" xfId="3646"/>
    <cellStyle name="s_DCFLBO Code_1_BMY DCF 3" xfId="3647"/>
    <cellStyle name="s_DCFLBO Code_1_BMY for Client" xfId="3648"/>
    <cellStyle name="s_DCFLBO Code_1_BMY for Client 2" xfId="3649"/>
    <cellStyle name="s_DCFLBO Code_1_BMY for Client 2 2" xfId="3650"/>
    <cellStyle name="s_DCFLBO Code_1_BMY for Client 3" xfId="3651"/>
    <cellStyle name="s_DCFLBO Code_1_BMY working" xfId="3652"/>
    <cellStyle name="s_DCFLBO Code_1_BMY working 2" xfId="3653"/>
    <cellStyle name="s_DCFLBO Code_1_BMY working 2 2" xfId="3654"/>
    <cellStyle name="s_DCFLBO Code_1_BMY working 3" xfId="3655"/>
    <cellStyle name="s_DCFLBO Code_1_Check" xfId="3656"/>
    <cellStyle name="s_DCFLBO Code_1_Check 2" xfId="3657"/>
    <cellStyle name="s_DCFLBO Code_1_Check 2 2" xfId="3658"/>
    <cellStyle name="s_DCFLBO Code_1_Check 3" xfId="3659"/>
    <cellStyle name="s_DCFLBO Code_1_JNJ DCF" xfId="3660"/>
    <cellStyle name="s_DCFLBO Code_1_JNJ DCF 2" xfId="3661"/>
    <cellStyle name="s_DCFLBO Code_1_JNJ DCF 2 2" xfId="3662"/>
    <cellStyle name="s_DCFLBO Code_1_JNJ DCF 3" xfId="3663"/>
    <cellStyle name="s_DCFLBO Code_1_JNJ DCF published 8.13.2009" xfId="3664"/>
    <cellStyle name="s_DCFLBO Code_1_JNJ DCF published 8.13.2009 2" xfId="3665"/>
    <cellStyle name="s_DCFLBO Code_1_JNJ DCF published 8.13.2009 2 2" xfId="3666"/>
    <cellStyle name="s_DCFLBO Code_1_JNJ DCF published 8.13.2009 3" xfId="3667"/>
    <cellStyle name="s_DCFLBO Code_1_LC Rx trend vs est" xfId="3668"/>
    <cellStyle name="s_DCFLBO Code_1_LC Rx trend vs est 2" xfId="3669"/>
    <cellStyle name="s_DCFLBO Code_1_LC Rx trend vs est 2 2" xfId="3670"/>
    <cellStyle name="s_DCFLBO Code_1_LC Rx trend vs est 3" xfId="3671"/>
    <cellStyle name="s_DCFLBO Code_1_LLY working" xfId="3672"/>
    <cellStyle name="s_DCFLBO Code_1_LLY working 2" xfId="3673"/>
    <cellStyle name="s_DCFLBO Code_1_LLY working 2 2" xfId="3674"/>
    <cellStyle name="s_DCFLBO Code_1_LLY working 3" xfId="3675"/>
    <cellStyle name="s_DCFLBO Code_Abbott Model" xfId="3676"/>
    <cellStyle name="s_DCFLBO Code_BMY DCF" xfId="3677"/>
    <cellStyle name="s_DCFLBO Code_BMY DCF 2" xfId="3678"/>
    <cellStyle name="s_DCFLBO Code_BMY for Client" xfId="3679"/>
    <cellStyle name="s_DCFLBO Code_BMY for Client 2" xfId="3680"/>
    <cellStyle name="s_DCFLBO Code_BMY working" xfId="3681"/>
    <cellStyle name="s_DCFLBO Code_BMY working 2" xfId="3682"/>
    <cellStyle name="s_DCFLBO Code_Check" xfId="3683"/>
    <cellStyle name="s_DCFLBO Code_Check 2" xfId="3684"/>
    <cellStyle name="s_DCFLBO Code_DCF3" xfId="3685"/>
    <cellStyle name="s_DCFLBO Code_DCF3 2" xfId="3686"/>
    <cellStyle name="s_DCFLBO Code_DCF3_BMY DCF" xfId="3687"/>
    <cellStyle name="s_DCFLBO Code_DCF3_BMY DCF 2" xfId="3688"/>
    <cellStyle name="s_DCFLBO Code_DCF3_BMY for Client" xfId="3689"/>
    <cellStyle name="s_DCFLBO Code_DCF3_BMY for Client 2" xfId="3690"/>
    <cellStyle name="s_DCFLBO Code_DCF3_BMY working" xfId="3691"/>
    <cellStyle name="s_DCFLBO Code_DCF3_BMY working 2" xfId="3692"/>
    <cellStyle name="s_DCFLBO Code_DCF3_Check" xfId="3693"/>
    <cellStyle name="s_DCFLBO Code_DCF3_Check 2" xfId="3694"/>
    <cellStyle name="s_DCFLBO Code_DCF3_JNJ DCF" xfId="3695"/>
    <cellStyle name="s_DCFLBO Code_DCF3_JNJ DCF 2" xfId="3696"/>
    <cellStyle name="s_DCFLBO Code_DCF3_JNJ DCF published 8.13.2009" xfId="3697"/>
    <cellStyle name="s_DCFLBO Code_DCF3_JNJ DCF published 8.13.2009 2" xfId="3698"/>
    <cellStyle name="s_DCFLBO Code_DCF3_LC Rx trend vs est" xfId="3699"/>
    <cellStyle name="s_DCFLBO Code_DCF3_LC Rx trend vs est 2" xfId="3700"/>
    <cellStyle name="s_DCFLBO Code_DCF3_LLY working" xfId="3701"/>
    <cellStyle name="s_DCFLBO Code_DCF3_LLY working 2" xfId="3702"/>
    <cellStyle name="s_DCFLBO Code_JNJ DCF" xfId="3703"/>
    <cellStyle name="s_DCFLBO Code_JNJ DCF 2" xfId="3704"/>
    <cellStyle name="s_DCFLBO Code_JNJ DCF published 8.13.2009" xfId="3705"/>
    <cellStyle name="s_DCFLBO Code_JNJ DCF published 8.13.2009 2" xfId="3706"/>
    <cellStyle name="s_DCFLBO Code_LC Rx trend vs est" xfId="3707"/>
    <cellStyle name="s_DCFLBO Code_LC Rx trend vs est 2" xfId="3708"/>
    <cellStyle name="s_DCFLBO Code_LLY working" xfId="3709"/>
    <cellStyle name="s_DCFLBO Code_LLY working 2" xfId="3710"/>
    <cellStyle name="s_HardInc " xfId="23"/>
    <cellStyle name="s_HardInc _BMY DCF" xfId="3711"/>
    <cellStyle name="s_HardInc _BMY DCF 2" xfId="3712"/>
    <cellStyle name="s_HardInc _BMY for Client" xfId="3713"/>
    <cellStyle name="s_HardInc _BMY for Client 2" xfId="3714"/>
    <cellStyle name="s_HardInc _BMY working" xfId="3715"/>
    <cellStyle name="s_HardInc _BMY working 2" xfId="3716"/>
    <cellStyle name="s_HardInc _CF" xfId="3717"/>
    <cellStyle name="s_HardInc _CF 2" xfId="3718"/>
    <cellStyle name="s_HardInc _Check" xfId="3719"/>
    <cellStyle name="s_HardInc _Check 2" xfId="3720"/>
    <cellStyle name="s_HardInc _CROCI" xfId="3721"/>
    <cellStyle name="s_HardInc _CROCI 2" xfId="3722"/>
    <cellStyle name="s_HardInc _DCF Analysis" xfId="3723"/>
    <cellStyle name="s_HardInc _DCF Analysis 2" xfId="3724"/>
    <cellStyle name="s_HardInc _DCF Analysis_CROCI" xfId="3725"/>
    <cellStyle name="s_HardInc _JNJ DCF" xfId="3726"/>
    <cellStyle name="s_HardInc _JNJ DCF 2" xfId="3727"/>
    <cellStyle name="s_HardInc _JNJ DCF published 8.13.2009" xfId="3728"/>
    <cellStyle name="s_HardInc _JNJ DCF published 8.13.2009 2" xfId="3729"/>
    <cellStyle name="s_HardInc _LC Rx trend vs est" xfId="3730"/>
    <cellStyle name="s_HardInc _LC Rx trend vs est 2" xfId="3731"/>
    <cellStyle name="s_HardInc _LLY working" xfId="3732"/>
    <cellStyle name="s_HardInc _LLY working 2" xfId="3733"/>
    <cellStyle name="s_HardInc _MRK working" xfId="3734"/>
    <cellStyle name="s_HardInc _MRK working 2" xfId="3735"/>
    <cellStyle name="s_HardInc _MRK working_CROCI" xfId="3736"/>
    <cellStyle name="s_HardInc _MRK working_CROCI 2" xfId="3737"/>
    <cellStyle name="s_HardInc _MRK working_CROCI_1" xfId="3738"/>
    <cellStyle name="s_HardInc _Patent" xfId="3739"/>
    <cellStyle name="s_HardInc _Patent 2" xfId="3740"/>
    <cellStyle name="s_HardInc _PFE working" xfId="3741"/>
    <cellStyle name="s_HardInc _PFE working 2" xfId="3742"/>
    <cellStyle name="s_HardInc _Qtr Review" xfId="3743"/>
    <cellStyle name="s_HardInc _Qtr Review 2" xfId="3744"/>
    <cellStyle name="s_HardInc _ROIC_New" xfId="3745"/>
    <cellStyle name="s_HardInc _ROIC_New 2" xfId="3746"/>
    <cellStyle name="s_JNJ DCF" xfId="3747"/>
    <cellStyle name="s_JNJ DCF 2" xfId="3748"/>
    <cellStyle name="s_JNJ DCF 2 2" xfId="3749"/>
    <cellStyle name="s_JNJ DCF 3" xfId="3750"/>
    <cellStyle name="s_JNJ DCF published 8.13.2009" xfId="3751"/>
    <cellStyle name="s_JNJ DCF published 8.13.2009 2" xfId="3752"/>
    <cellStyle name="s_JNJ DCF published 8.13.2009 2 2" xfId="3753"/>
    <cellStyle name="s_JNJ DCF published 8.13.2009 3" xfId="3754"/>
    <cellStyle name="s_LC Rx trend vs est" xfId="3755"/>
    <cellStyle name="s_LC Rx trend vs est 2" xfId="3756"/>
    <cellStyle name="s_LC Rx trend vs est 2 2" xfId="3757"/>
    <cellStyle name="s_LC Rx trend vs est 3" xfId="3758"/>
    <cellStyle name="s_LLY working" xfId="3759"/>
    <cellStyle name="s_LLY working 2" xfId="3760"/>
    <cellStyle name="s_LLY working 2 2" xfId="3761"/>
    <cellStyle name="s_LLY working 3" xfId="3762"/>
    <cellStyle name="s_Valuation " xfId="24"/>
    <cellStyle name="scenario" xfId="3763"/>
    <cellStyle name="scenario 2" xfId="3764"/>
    <cellStyle name="Section_heading" xfId="3765"/>
    <cellStyle name="sensit" xfId="3766"/>
    <cellStyle name="sensit 2" xfId="3767"/>
    <cellStyle name="Shaded" xfId="3768"/>
    <cellStyle name="Shaded 2" xfId="3769"/>
    <cellStyle name="ShadedCells_Database" xfId="3770"/>
    <cellStyle name="Shares" xfId="3771"/>
    <cellStyle name="Space" xfId="3772"/>
    <cellStyle name="ssp " xfId="25"/>
    <cellStyle name="STYL1 - Style1" xfId="3773"/>
    <cellStyle name="STYL2 - Style2" xfId="3774"/>
    <cellStyle name="STYL3 - Style3" xfId="3775"/>
    <cellStyle name="STYL4 - Style4" xfId="3776"/>
    <cellStyle name="STYL5 - Style5" xfId="3777"/>
    <cellStyle name="Style 1" xfId="3778"/>
    <cellStyle name="Style 1 2" xfId="3779"/>
    <cellStyle name="Style 1 2 2" xfId="3780"/>
    <cellStyle name="Style 1 2 2 2" xfId="3781"/>
    <cellStyle name="Style 1 2 3" xfId="3782"/>
    <cellStyle name="Style 1 2 3 2" xfId="3783"/>
    <cellStyle name="Style 1 2 4" xfId="3784"/>
    <cellStyle name="Style 1 3" xfId="3785"/>
    <cellStyle name="Style 1 3 2" xfId="3786"/>
    <cellStyle name="Style 1 3 2 2" xfId="3787"/>
    <cellStyle name="Style 1 3 3" xfId="3788"/>
    <cellStyle name="Style 1 4" xfId="3789"/>
    <cellStyle name="Style 1 4 2" xfId="3790"/>
    <cellStyle name="Style 1 4 2 2" xfId="3791"/>
    <cellStyle name="Style 1 4 3" xfId="3792"/>
    <cellStyle name="Style 1 5" xfId="3793"/>
    <cellStyle name="Style 1 5 2" xfId="3794"/>
    <cellStyle name="Style 1 6" xfId="3795"/>
    <cellStyle name="Style 1 6 2" xfId="3796"/>
    <cellStyle name="Style 1 7" xfId="3797"/>
    <cellStyle name="Style 1_Q2 2011 Earnings - Product Revenue By Geo AA" xfId="3798"/>
    <cellStyle name="Style 2" xfId="3799"/>
    <cellStyle name="Style 2 2" xfId="3800"/>
    <cellStyle name="Style 2 2 2" xfId="3801"/>
    <cellStyle name="Style 2 2 2 2" xfId="3802"/>
    <cellStyle name="Style 2 2 3" xfId="3803"/>
    <cellStyle name="Style 2 2 3 2" xfId="3804"/>
    <cellStyle name="Style 2 2 4" xfId="3805"/>
    <cellStyle name="Style 2 3" xfId="3806"/>
    <cellStyle name="Style 2 3 2" xfId="3807"/>
    <cellStyle name="Style 2 3 2 2" xfId="3808"/>
    <cellStyle name="Style 2 3 3" xfId="3809"/>
    <cellStyle name="Style 2 4" xfId="3810"/>
    <cellStyle name="Style 2 4 2" xfId="3811"/>
    <cellStyle name="Style 2 4 2 2" xfId="3812"/>
    <cellStyle name="Style 2 4 3" xfId="3813"/>
    <cellStyle name="Style 2 5" xfId="3814"/>
    <cellStyle name="Style 2 5 2" xfId="3815"/>
    <cellStyle name="Style 2 6" xfId="3816"/>
    <cellStyle name="Style 2 6 2" xfId="3817"/>
    <cellStyle name="Style 2 7" xfId="3818"/>
    <cellStyle name="Style 53" xfId="3819"/>
    <cellStyle name="Style 54" xfId="3820"/>
    <cellStyle name="Style 55" xfId="3821"/>
    <cellStyle name="Style 57" xfId="3822"/>
    <cellStyle name="Style 58" xfId="3823"/>
    <cellStyle name="Style 59" xfId="3824"/>
    <cellStyle name="Style 60" xfId="3825"/>
    <cellStyle name="Style 61" xfId="3826"/>
    <cellStyle name="Style 62" xfId="3827"/>
    <cellStyle name="Style 63" xfId="3828"/>
    <cellStyle name="Style 64" xfId="3829"/>
    <cellStyle name="Style 65" xfId="3830"/>
    <cellStyle name="Style 66" xfId="3831"/>
    <cellStyle name="Style 69" xfId="3832"/>
    <cellStyle name="Style D green" xfId="3833"/>
    <cellStyle name="Style E" xfId="3834"/>
    <cellStyle name="Style H" xfId="3835"/>
    <cellStyle name="Sub total" xfId="3836"/>
    <cellStyle name="Sub total 2" xfId="3837"/>
    <cellStyle name="Sub total 2 2" xfId="3838"/>
    <cellStyle name="Sub total 3" xfId="3839"/>
    <cellStyle name="SubDollar" xfId="3840"/>
    <cellStyle name="SubGrowthRate" xfId="3841"/>
    <cellStyle name="Subscribers" xfId="3842"/>
    <cellStyle name="Subtotal" xfId="3843"/>
    <cellStyle name="Subtotal 2" xfId="3844"/>
    <cellStyle name="Subtotal 2 2" xfId="3845"/>
    <cellStyle name="Subtotal 3" xfId="3846"/>
    <cellStyle name="Subtotal 3 2" xfId="3847"/>
    <cellStyle name="Subtotal 4" xfId="3848"/>
    <cellStyle name="SubTotal_Num" xfId="3849"/>
    <cellStyle name="SubVariable" xfId="3850"/>
    <cellStyle name="swisses" xfId="3851"/>
    <cellStyle name="Table Col Head" xfId="3852"/>
    <cellStyle name="Table Col Head 2" xfId="3853"/>
    <cellStyle name="Table end" xfId="3854"/>
    <cellStyle name="Table head" xfId="3855"/>
    <cellStyle name="Table head 2" xfId="3856"/>
    <cellStyle name="Table head 3" xfId="3857"/>
    <cellStyle name="Table head 4" xfId="3858"/>
    <cellStyle name="Table Head Aligned" xfId="3859"/>
    <cellStyle name="Table Head Aligned 2" xfId="3860"/>
    <cellStyle name="Table Head Aligned 2 2" xfId="3861"/>
    <cellStyle name="Table Head Aligned 3" xfId="3862"/>
    <cellStyle name="Table Head Aligned 4" xfId="3863"/>
    <cellStyle name="Table Head Blue" xfId="3864"/>
    <cellStyle name="Table Head Green" xfId="3865"/>
    <cellStyle name="Table Head Green 2" xfId="3866"/>
    <cellStyle name="Table Head Green 3" xfId="3867"/>
    <cellStyle name="Table Head Green 4" xfId="3868"/>
    <cellStyle name="Table Head_4. Debt Schedule" xfId="3869"/>
    <cellStyle name="Table Sub Head" xfId="3870"/>
    <cellStyle name="Table Sub Head 2" xfId="3871"/>
    <cellStyle name="table text bold" xfId="3872"/>
    <cellStyle name="table text bold green" xfId="3873"/>
    <cellStyle name="table text bold green 2" xfId="3874"/>
    <cellStyle name="table text bold_BMY DCF" xfId="3875"/>
    <cellStyle name="table text light" xfId="3876"/>
    <cellStyle name="Table Title" xfId="3877"/>
    <cellStyle name="Table Units" xfId="3878"/>
    <cellStyle name="TableBody" xfId="3879"/>
    <cellStyle name="TableColHeads" xfId="3880"/>
    <cellStyle name="þ_x001d_ð'&amp;Oý—&amp;HýG_x0008_ò Ê_x000a__x0007__x0001__x0001_" xfId="3881"/>
    <cellStyle name="þ_x001d_ð'&amp;Oý—&amp;HýG_x0008_ò Ê_x000a__x0007__x0001__x0001_ 2" xfId="3882"/>
    <cellStyle name="þ_x001d_ð=_x000c_/ÿ_x000d__x000d_&quot;ÿU_x0001_;_x0006_;_x000e__x000f__x0001__x0001_" xfId="3883"/>
    <cellStyle name="þ_x001d_ð=_x000c_/ÿ_x000d__x000d_&quot;ÿU_x0001_;_x0006_;_x000e__x000f__x0001__x0001_ 2" xfId="3884"/>
    <cellStyle name="thous1dec" xfId="3885"/>
    <cellStyle name="thous1dec$" xfId="3886"/>
    <cellStyle name="thous1dec_MPREurope" xfId="3887"/>
    <cellStyle name="thousand" xfId="3888"/>
    <cellStyle name="Times New Roman" xfId="3889"/>
    <cellStyle name="Title 2" xfId="3890"/>
    <cellStyle name="Title 3" xfId="3891"/>
    <cellStyle name="Title1" xfId="3892"/>
    <cellStyle name="Title2" xfId="3893"/>
    <cellStyle name="TitleII" xfId="3894"/>
    <cellStyle name="Titles" xfId="3895"/>
    <cellStyle name="Título 1" xfId="3896"/>
    <cellStyle name="Título 2" xfId="3897"/>
    <cellStyle name="Topline" xfId="3898"/>
    <cellStyle name="Topline 2" xfId="3899"/>
    <cellStyle name="Topline 3" xfId="3900"/>
    <cellStyle name="Total 2" xfId="3901"/>
    <cellStyle name="Total 3" xfId="3902"/>
    <cellStyle name="TR 8" xfId="3903"/>
    <cellStyle name="TR 8 2" xfId="3904"/>
    <cellStyle name="TR 8 2 2" xfId="3905"/>
    <cellStyle name="TR 8 3" xfId="3906"/>
    <cellStyle name="TR 8 3 2" xfId="3907"/>
    <cellStyle name="TR 8 4" xfId="3908"/>
    <cellStyle name="TR 8B" xfId="3909"/>
    <cellStyle name="TR 8B 2" xfId="3910"/>
    <cellStyle name="TR 8B 2 2" xfId="3911"/>
    <cellStyle name="TR 8B 3" xfId="3912"/>
    <cellStyle name="TR 8B 3 2" xfId="3913"/>
    <cellStyle name="TR 8B 4" xfId="3914"/>
    <cellStyle name="Tusental (0)_pldt" xfId="3915"/>
    <cellStyle name="Tusental_pldt" xfId="3916"/>
    <cellStyle name="Twodig" xfId="3917"/>
    <cellStyle name="Underline" xfId="3918"/>
    <cellStyle name="Underline(0)" xfId="3919"/>
    <cellStyle name="Underline_Abbott working" xfId="3920"/>
    <cellStyle name="Upload Only" xfId="3921"/>
    <cellStyle name="Val_Fix0" xfId="3922"/>
    <cellStyle name="Valuta (0)_BAYANTEL" xfId="3923"/>
    <cellStyle name="Valuta_BAYANTEL" xfId="3924"/>
    <cellStyle name="w" xfId="3925"/>
    <cellStyle name="w 2" xfId="3926"/>
    <cellStyle name="w 3" xfId="3927"/>
    <cellStyle name="w_BMY DCF" xfId="3928"/>
    <cellStyle name="w_BMY for Client" xfId="3929"/>
    <cellStyle name="w_BMY working" xfId="3930"/>
    <cellStyle name="w_Breakup publ" xfId="3931"/>
    <cellStyle name="w_Check" xfId="3932"/>
    <cellStyle name="w_CROCI" xfId="3933"/>
    <cellStyle name="w_Erbitux" xfId="3934"/>
    <cellStyle name="w_I-S" xfId="3935"/>
    <cellStyle name="w_JNJ DCF" xfId="3936"/>
    <cellStyle name="w_JNJ DCF published 8.13.2009" xfId="3937"/>
    <cellStyle name="w_LC Rx trend vs est" xfId="3938"/>
    <cellStyle name="w_LLY working" xfId="3939"/>
    <cellStyle name="w_MRK working" xfId="3940"/>
    <cellStyle name="w_Prasugrel (2)" xfId="3941"/>
    <cellStyle name="w_ROIC New" xfId="3942"/>
    <cellStyle name="w_ROIC_New" xfId="3943"/>
    <cellStyle name="Währung [0]_PLDT" xfId="3944"/>
    <cellStyle name="Währung_PLDT" xfId="3945"/>
    <cellStyle name="Warning Text 2" xfId="3946"/>
    <cellStyle name="Warning Text 3" xfId="3947"/>
    <cellStyle name="Warning Text 4" xfId="3948"/>
    <cellStyle name="Warning Text 5" xfId="3949"/>
    <cellStyle name="WholeNumber" xfId="3950"/>
    <cellStyle name="x" xfId="3951"/>
    <cellStyle name="x_Abbott Model" xfId="3952"/>
    <cellStyle name="Year" xfId="3953"/>
    <cellStyle name="YearA" xfId="3954"/>
    <cellStyle name="YearE" xfId="3955"/>
    <cellStyle name="yen" xfId="3956"/>
    <cellStyle name="yen 2" xfId="3957"/>
    <cellStyle name="千位分隔_2002-2003 Personnel Expense Budgeting" xfId="3958"/>
    <cellStyle name="常规_AP03_0226R" xfId="3959"/>
    <cellStyle name="標準_2001 PGM Budget Schedules_final" xfId="3960"/>
  </cellStyles>
  <dxfs count="67">
    <dxf>
      <font>
        <condense val="0"/>
        <extend val="0"/>
        <color indexed="17"/>
      </font>
    </dxf>
    <dxf>
      <font>
        <condense val="0"/>
        <extend val="0"/>
        <color indexed="17"/>
      </font>
    </dxf>
    <dxf>
      <font>
        <condense val="0"/>
        <extend val="0"/>
        <color indexed="17"/>
      </font>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condense val="0"/>
        <extend val="0"/>
        <color indexed="17"/>
      </font>
    </dxf>
    <dxf>
      <fill>
        <patternFill>
          <bgColor indexed="10"/>
        </patternFill>
      </fill>
    </dxf>
    <dxf>
      <font>
        <condense val="0"/>
        <extend val="0"/>
        <color indexed="17"/>
      </font>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condense val="0"/>
        <extend val="0"/>
        <color indexed="17"/>
      </font>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condense val="0"/>
        <extend val="0"/>
        <color indexed="17"/>
      </font>
    </dxf>
    <dxf>
      <fill>
        <patternFill>
          <bgColor indexed="10"/>
        </patternFill>
      </fill>
    </dxf>
    <dxf>
      <fill>
        <patternFill>
          <bgColor indexed="10"/>
        </patternFill>
      </fill>
    </dxf>
    <dxf>
      <fill>
        <patternFill>
          <bgColor indexed="10"/>
        </patternFill>
      </fill>
    </dxf>
    <dxf>
      <fill>
        <patternFill>
          <bgColor indexed="10"/>
        </patternFill>
      </fill>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
      <font>
        <condense val="0"/>
        <extend val="0"/>
        <color indexed="17"/>
      </font>
    </dxf>
  </dxfs>
  <tableStyles count="0" defaultTableStyle="TableStyleMedium9" defaultPivotStyle="PivotStyleLight16"/>
  <colors>
    <mruColors>
      <color rgb="FFCCFFFF"/>
      <color rgb="FF0000FF"/>
      <color rgb="FFFFFF99"/>
      <color rgb="FFFFCC99"/>
      <color rgb="FF003300"/>
      <color rgb="FF008000"/>
      <color rgb="FFFFFF66"/>
      <color rgb="FF993300"/>
      <color rgb="FFCC99FF"/>
    </mruColors>
  </colors>
  <extLst>
    <ext xmlns:x14="http://schemas.microsoft.com/office/spreadsheetml/2009/9/main" uri="{EB79DEF2-80B8-43e5-95BD-54CBDDF9020C}">
      <x14:slicerStyles defaultSlicerStyle="SlicerStyleLight1"/>
    </ext>
  </extLst>
</styleSheet>
</file>

<file path=xl/volatileDependencies.xml><?xml version="1.0" encoding="utf-8"?>
<volTypes xmlns="http://schemas.openxmlformats.org/spreadsheetml/2006/main">
  <volType type="realTimeData">
    <main first="thomsononeaddinshim.rtdformula">
      <tp t="s">
        <v xml:space="preserve">$3.55 </v>
        <stp/>
        <stp>99cc25cb-3864-4fc1-bdee-bef1f4c1a2f9</stp>
        <tr r="BS170" s="4"/>
      </tp>
      <tp>
        <v>22426</v>
        <stp/>
        <stp>c7c53064-d904-4be6-9396-2d816fec4e41</stp>
        <tr r="AY160" s="4"/>
      </tp>
      <tp t="s">
        <v xml:space="preserve">$3.43 </v>
        <stp/>
        <stp>3ec42603-323a-448b-9465-5984f84109c0</stp>
        <tr r="BN170" s="4"/>
      </tp>
      <tp t="s">
        <v xml:space="preserve">$2.78 </v>
        <stp/>
        <stp>01ffa785-dd64-4a06-a585-7afeb6ebd6c2</stp>
        <tr r="BI170" s="4"/>
      </tp>
      <tp t="s">
        <v xml:space="preserve">$4.14 </v>
        <stp/>
        <stp>3a8d95ea-511c-41f7-9cb1-f045f67cf340</stp>
        <tr r="BD170" s="4"/>
      </tp>
      <tp t="s">
        <v xml:space="preserve">$4.22 </v>
        <stp/>
        <stp>56102ace-e6cc-402b-9193-3cf022af39a3</stp>
        <tr r="BX170" s="4"/>
      </tp>
      <tp>
        <v>22766</v>
        <stp/>
        <stp>61f94116-609c-4ea0-babd-b0316b8a2584</stp>
        <tr r="BD160" s="4"/>
      </tp>
      <tp>
        <v>19681</v>
        <stp/>
        <stp>8c2cd351-7d88-460a-a5bb-63cd1581adb9</stp>
        <tr r="BI160" s="4"/>
      </tp>
      <tp>
        <v>0.12</v>
        <stp/>
        <stp>bd8b9e89-8b84-4347-b85a-75fe8dbd114f</stp>
        <tr r="J34" s="4"/>
      </tp>
      <tp>
        <v>43214</v>
        <stp/>
        <stp>21098ea1-4c1c-4085-a650-dd1cd1d97edf</stp>
        <tr r="K17" s="4"/>
      </tp>
      <tp t="s">
        <v>$80.09</v>
        <stp/>
        <stp>65b73b2e-eb18-4dd4-a3b7-001f2cd8fff5</stp>
        <tr r="J17" s="4"/>
      </tp>
      <tp>
        <v>19902</v>
        <stp/>
        <stp>8beabc1d-c1b9-41be-908c-7dedb99f71ff</stp>
        <tr r="BN160" s="4"/>
      </tp>
      <tp t="s">
        <v xml:space="preserve">$3.33 </v>
        <stp/>
        <stp>bc9d178f-932b-4079-8a49-9aa72acb24a3</stp>
        <tr r="AY170" s="4"/>
      </tp>
      <tp>
        <v>21015</v>
        <stp/>
        <stp>c460415a-51dd-4759-a657-a63e183eae74</stp>
        <tr r="BS160" s="4"/>
      </tp>
      <tp>
        <v>22648</v>
        <stp/>
        <stp>a102c4ee-2a2a-407f-9c74-e29652902176</stp>
        <tr r="BX160" s="4"/>
      </tp>
    </main>
  </volType>
</volTypes>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externalLinks/externalLink1.xml" Type="http://schemas.openxmlformats.org/officeDocument/2006/relationships/externalLink"/>
<Relationship Id="rId18" Target="externalLinks/externalLink2.xml" Type="http://schemas.openxmlformats.org/officeDocument/2006/relationships/externalLink"/>
<Relationship Id="rId19" Target="externalLinks/externalLink3.xml" Type="http://schemas.openxmlformats.org/officeDocument/2006/relationships/externalLink"/>
<Relationship Id="rId2" Target="worksheets/sheet2.xml" Type="http://schemas.openxmlformats.org/officeDocument/2006/relationships/worksheet"/>
<Relationship Id="rId20" Target="externalLinks/externalLink4.xml" Type="http://schemas.openxmlformats.org/officeDocument/2006/relationships/externalLink"/>
<Relationship Id="rId21" Target="externalLinks/externalLink5.xml" Type="http://schemas.openxmlformats.org/officeDocument/2006/relationships/externalLink"/>
<Relationship Id="rId22" Target="externalLinks/externalLink6.xml" Type="http://schemas.openxmlformats.org/officeDocument/2006/relationships/externalLink"/>
<Relationship Id="rId23" Target="externalLinks/externalLink7.xml" Type="http://schemas.openxmlformats.org/officeDocument/2006/relationships/externalLink"/>
<Relationship Id="rId24" Target="externalLinks/externalLink8.xml" Type="http://schemas.openxmlformats.org/officeDocument/2006/relationships/externalLink"/>
<Relationship Id="rId25" Target="externalLinks/externalLink9.xml" Type="http://schemas.openxmlformats.org/officeDocument/2006/relationships/externalLink"/>
<Relationship Id="rId26" Target="externalLinks/externalLink10.xml" Type="http://schemas.openxmlformats.org/officeDocument/2006/relationships/externalLink"/>
<Relationship Id="rId27" Target="externalLinks/externalLink11.xml" Type="http://schemas.openxmlformats.org/officeDocument/2006/relationships/externalLink"/>
<Relationship Id="rId28" Target="externalLinks/externalLink12.xml" Type="http://schemas.openxmlformats.org/officeDocument/2006/relationships/externalLink"/>
<Relationship Id="rId29" Target="externalLinks/externalLink13.xml" Type="http://schemas.openxmlformats.org/officeDocument/2006/relationships/externalLink"/>
<Relationship Id="rId3" Target="worksheets/sheet3.xml" Type="http://schemas.openxmlformats.org/officeDocument/2006/relationships/worksheet"/>
<Relationship Id="rId30" Target="theme/theme1.xml" Type="http://schemas.openxmlformats.org/officeDocument/2006/relationships/theme"/>
<Relationship Id="rId31" Target="styles.xml" Type="http://schemas.openxmlformats.org/officeDocument/2006/relationships/styles"/>
<Relationship Id="rId32" Target="sharedStrings.xml" Type="http://schemas.openxmlformats.org/officeDocument/2006/relationships/sharedStrings"/>
<Relationship Id="rId33" Target="calcChain.xml" Type="http://schemas.openxmlformats.org/officeDocument/2006/relationships/calcChain"/>
<Relationship Id="rId34" Target="../customXml/item1.xml" Type="http://schemas.openxmlformats.org/officeDocument/2006/relationships/customXml"/>
<Relationship Id="rId35" Target="../customXml/item2.xml" Type="http://schemas.openxmlformats.org/officeDocument/2006/relationships/customXml"/>
<Relationship Id="rId36" Target="volatileDependencies.xml" Type="http://schemas.openxmlformats.org/officeDocument/2006/relationships/volatileDependencies"/>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summary!$H$63</c:f>
              <c:strCache>
                <c:ptCount val="1"/>
              </c:strCache>
            </c:strRef>
          </c:tx>
          <c:invertIfNegative val="0"/>
          <c:cat>
            <c:strRef>
              <c:f>summary!$BS$51:$CM$51</c:f>
              <c:strCache>
                <c:ptCount val="5"/>
                <c:pt idx="0">
                  <c:v>2016A</c:v>
                </c:pt>
                <c:pt idx="1">
                  <c:v>2017A</c:v>
                </c:pt>
                <c:pt idx="2">
                  <c:v>2018E</c:v>
                </c:pt>
                <c:pt idx="3">
                  <c:v>2019E</c:v>
                </c:pt>
                <c:pt idx="4">
                  <c:v>2020E</c:v>
                </c:pt>
              </c:strCache>
            </c:strRef>
          </c:cat>
          <c:val>
            <c:numRef>
              <c:f>summary!$BS$63:$CM$63</c:f>
              <c:numCache>
                <c:formatCode>0%</c:formatCode>
                <c:ptCount val="5"/>
                <c:pt idx="0">
                  <c:v>0.26994951459626859</c:v>
                </c:pt>
                <c:pt idx="1">
                  <c:v>0.31278787614751558</c:v>
                </c:pt>
                <c:pt idx="2">
                  <c:v>0.35582573449379135</c:v>
                </c:pt>
                <c:pt idx="3">
                  <c:v>0.37722731955448796</c:v>
                </c:pt>
                <c:pt idx="4">
                  <c:v>0.36232127307941681</c:v>
                </c:pt>
              </c:numCache>
            </c:numRef>
          </c:val>
        </c:ser>
        <c:ser>
          <c:idx val="1"/>
          <c:order val="1"/>
          <c:tx>
            <c:strRef>
              <c:f>summary!$H$64</c:f>
              <c:strCache>
                <c:ptCount val="1"/>
              </c:strCache>
            </c:strRef>
          </c:tx>
          <c:invertIfNegative val="0"/>
          <c:cat>
            <c:strRef>
              <c:f>summary!$BS$51:$CM$51</c:f>
              <c:strCache>
                <c:ptCount val="5"/>
                <c:pt idx="0">
                  <c:v>2016A</c:v>
                </c:pt>
                <c:pt idx="1">
                  <c:v>2017A</c:v>
                </c:pt>
                <c:pt idx="2">
                  <c:v>2018E</c:v>
                </c:pt>
                <c:pt idx="3">
                  <c:v>2019E</c:v>
                </c:pt>
                <c:pt idx="4">
                  <c:v>2020E</c:v>
                </c:pt>
              </c:strCache>
            </c:strRef>
          </c:cat>
          <c:val>
            <c:numRef>
              <c:f>summary!$BS$64:$CM$64</c:f>
              <c:numCache>
                <c:formatCode>0%</c:formatCode>
                <c:ptCount val="5"/>
                <c:pt idx="0">
                  <c:v>0.17906302658145218</c:v>
                </c:pt>
                <c:pt idx="1">
                  <c:v>0.17018684044303678</c:v>
                </c:pt>
                <c:pt idx="2">
                  <c:v>0.17543151985569783</c:v>
                </c:pt>
                <c:pt idx="3">
                  <c:v>0.18467924011062337</c:v>
                </c:pt>
                <c:pt idx="4">
                  <c:v>0.1936273124599939</c:v>
                </c:pt>
              </c:numCache>
            </c:numRef>
          </c:val>
        </c:ser>
        <c:ser>
          <c:idx val="2"/>
          <c:order val="2"/>
          <c:tx>
            <c:strRef>
              <c:f>summary!$H$65</c:f>
              <c:strCache>
                <c:ptCount val="1"/>
              </c:strCache>
            </c:strRef>
          </c:tx>
          <c:invertIfNegative val="0"/>
          <c:cat>
            <c:strRef>
              <c:f>summary!$BS$51:$CM$51</c:f>
              <c:strCache>
                <c:ptCount val="5"/>
                <c:pt idx="0">
                  <c:v>2016A</c:v>
                </c:pt>
                <c:pt idx="1">
                  <c:v>2017A</c:v>
                </c:pt>
                <c:pt idx="2">
                  <c:v>2018E</c:v>
                </c:pt>
                <c:pt idx="3">
                  <c:v>2019E</c:v>
                </c:pt>
                <c:pt idx="4">
                  <c:v>2020E</c:v>
                </c:pt>
              </c:strCache>
            </c:strRef>
          </c:cat>
          <c:val>
            <c:numRef>
              <c:f>summary!$BS$65:$CM$65</c:f>
              <c:numCache>
                <c:formatCode>0%</c:formatCode>
                <c:ptCount val="5"/>
                <c:pt idx="0">
                  <c:v>0.14924931307212363</c:v>
                </c:pt>
                <c:pt idx="1">
                  <c:v>0.15549697539838178</c:v>
                </c:pt>
                <c:pt idx="2">
                  <c:v>0.1646052793565437</c:v>
                </c:pt>
                <c:pt idx="3">
                  <c:v>0.16952261795153833</c:v>
                </c:pt>
                <c:pt idx="4">
                  <c:v>0.16764661906612494</c:v>
                </c:pt>
              </c:numCache>
            </c:numRef>
          </c:val>
        </c:ser>
        <c:ser>
          <c:idx val="3"/>
          <c:order val="3"/>
          <c:tx>
            <c:strRef>
              <c:f>summary!$H$66</c:f>
              <c:strCache>
                <c:ptCount val="1"/>
              </c:strCache>
            </c:strRef>
          </c:tx>
          <c:invertIfNegative val="0"/>
          <c:cat>
            <c:strRef>
              <c:f>summary!$BS$51:$CM$51</c:f>
              <c:strCache>
                <c:ptCount val="5"/>
                <c:pt idx="0">
                  <c:v>2016A</c:v>
                </c:pt>
                <c:pt idx="1">
                  <c:v>2017A</c:v>
                </c:pt>
                <c:pt idx="2">
                  <c:v>2018E</c:v>
                </c:pt>
                <c:pt idx="3">
                  <c:v>2019E</c:v>
                </c:pt>
                <c:pt idx="4">
                  <c:v>2020E</c:v>
                </c:pt>
              </c:strCache>
            </c:strRef>
          </c:cat>
          <c:val>
            <c:numRef>
              <c:f>summary!$BS$66:$CM$66</c:f>
              <c:numCache>
                <c:formatCode>0%</c:formatCode>
                <c:ptCount val="5"/>
                <c:pt idx="0">
                  <c:v>5.0665674859198756E-3</c:v>
                </c:pt>
                <c:pt idx="1">
                  <c:v>2.7506443554279957E-2</c:v>
                </c:pt>
                <c:pt idx="2">
                  <c:v>7.0861689609538411E-2</c:v>
                </c:pt>
                <c:pt idx="3">
                  <c:v>0.1088329955229265</c:v>
                </c:pt>
                <c:pt idx="4">
                  <c:v>0.132640072827344</c:v>
                </c:pt>
              </c:numCache>
            </c:numRef>
          </c:val>
        </c:ser>
        <c:ser>
          <c:idx val="4"/>
          <c:order val="4"/>
          <c:tx>
            <c:strRef>
              <c:f>summary!$H$67</c:f>
              <c:strCache>
                <c:ptCount val="1"/>
              </c:strCache>
            </c:strRef>
          </c:tx>
          <c:invertIfNegative val="0"/>
          <c:cat>
            <c:strRef>
              <c:f>summary!$BS$51:$CM$51</c:f>
              <c:strCache>
                <c:ptCount val="5"/>
                <c:pt idx="0">
                  <c:v>2016A</c:v>
                </c:pt>
                <c:pt idx="1">
                  <c:v>2017A</c:v>
                </c:pt>
                <c:pt idx="2">
                  <c:v>2018E</c:v>
                </c:pt>
                <c:pt idx="3">
                  <c:v>2019E</c:v>
                </c:pt>
                <c:pt idx="4">
                  <c:v>2020E</c:v>
                </c:pt>
              </c:strCache>
            </c:strRef>
          </c:cat>
          <c:val>
            <c:numRef>
              <c:f>summary!$BS$67:$CM$67</c:f>
              <c:numCache>
                <c:formatCode>0%</c:formatCode>
                <c:ptCount val="5"/>
                <c:pt idx="0">
                  <c:v>0.12752317907185037</c:v>
                </c:pt>
                <c:pt idx="1">
                  <c:v>8.9004116436656164E-2</c:v>
                </c:pt>
                <c:pt idx="2">
                  <c:v>7.2493976937716059E-2</c:v>
                </c:pt>
                <c:pt idx="3">
                  <c:v>6.834855018884578E-2</c:v>
                </c:pt>
                <c:pt idx="4">
                  <c:v>7.2177670974573893E-2</c:v>
                </c:pt>
              </c:numCache>
            </c:numRef>
          </c:val>
        </c:ser>
        <c:ser>
          <c:idx val="5"/>
          <c:order val="5"/>
          <c:tx>
            <c:strRef>
              <c:f>summary!$H$68</c:f>
              <c:strCache>
                <c:ptCount val="1"/>
              </c:strCache>
            </c:strRef>
          </c:tx>
          <c:invertIfNegative val="0"/>
          <c:cat>
            <c:strRef>
              <c:f>summary!$BS$51:$CM$51</c:f>
              <c:strCache>
                <c:ptCount val="5"/>
                <c:pt idx="0">
                  <c:v>2016A</c:v>
                </c:pt>
                <c:pt idx="1">
                  <c:v>2017A</c:v>
                </c:pt>
                <c:pt idx="2">
                  <c:v>2018E</c:v>
                </c:pt>
                <c:pt idx="3">
                  <c:v>2019E</c:v>
                </c:pt>
                <c:pt idx="4">
                  <c:v>2020E</c:v>
                </c:pt>
              </c:strCache>
            </c:strRef>
          </c:cat>
          <c:val>
            <c:numRef>
              <c:f>summary!$BS$68:$CM$68</c:f>
              <c:numCache>
                <c:formatCode>0%</c:formatCode>
                <c:ptCount val="5"/>
                <c:pt idx="0">
                  <c:v>0.10700524114584123</c:v>
                </c:pt>
                <c:pt idx="1">
                  <c:v>9.8785804292158899E-2</c:v>
                </c:pt>
                <c:pt idx="2">
                  <c:v>9.8477276419153797E-2</c:v>
                </c:pt>
                <c:pt idx="3">
                  <c:v>5.7047620627337509E-2</c:v>
                </c:pt>
                <c:pt idx="4">
                  <c:v>3.5149192855498126E-2</c:v>
                </c:pt>
              </c:numCache>
            </c:numRef>
          </c:val>
        </c:ser>
        <c:ser>
          <c:idx val="6"/>
          <c:order val="6"/>
          <c:tx>
            <c:strRef>
              <c:f>summary!$H$69</c:f>
              <c:strCache>
                <c:ptCount val="1"/>
              </c:strCache>
            </c:strRef>
          </c:tx>
          <c:invertIfNegative val="0"/>
          <c:cat>
            <c:strRef>
              <c:f>summary!$BS$51:$CM$51</c:f>
              <c:strCache>
                <c:ptCount val="5"/>
                <c:pt idx="0">
                  <c:v>2016A</c:v>
                </c:pt>
                <c:pt idx="1">
                  <c:v>2017A</c:v>
                </c:pt>
                <c:pt idx="2">
                  <c:v>2018E</c:v>
                </c:pt>
                <c:pt idx="3">
                  <c:v>2019E</c:v>
                </c:pt>
                <c:pt idx="4">
                  <c:v>2020E</c:v>
                </c:pt>
              </c:strCache>
            </c:strRef>
          </c:cat>
          <c:val>
            <c:numRef>
              <c:f>summary!$BS$69:$CM$69</c:f>
              <c:numCache>
                <c:formatCode>0%</c:formatCode>
                <c:ptCount val="5"/>
                <c:pt idx="0">
                  <c:v>1.0510755544760372E-2</c:v>
                </c:pt>
                <c:pt idx="1">
                  <c:v>9.8006489527632055E-3</c:v>
                </c:pt>
                <c:pt idx="2">
                  <c:v>9.6605255700702303E-3</c:v>
                </c:pt>
                <c:pt idx="3">
                  <c:v>1.126530951249389E-2</c:v>
                </c:pt>
                <c:pt idx="4">
                  <c:v>1.8230145880344651E-2</c:v>
                </c:pt>
              </c:numCache>
            </c:numRef>
          </c:val>
        </c:ser>
        <c:ser>
          <c:idx val="7"/>
          <c:order val="7"/>
          <c:tx>
            <c:strRef>
              <c:f>summary!$H$70</c:f>
              <c:strCache>
                <c:ptCount val="1"/>
              </c:strCache>
            </c:strRef>
          </c:tx>
          <c:invertIfNegative val="0"/>
          <c:cat>
            <c:strRef>
              <c:f>summary!$BS$51:$CM$51</c:f>
              <c:strCache>
                <c:ptCount val="5"/>
                <c:pt idx="0">
                  <c:v>2016A</c:v>
                </c:pt>
                <c:pt idx="1">
                  <c:v>2017A</c:v>
                </c:pt>
                <c:pt idx="2">
                  <c:v>2018E</c:v>
                </c:pt>
                <c:pt idx="3">
                  <c:v>2019E</c:v>
                </c:pt>
                <c:pt idx="4">
                  <c:v>2020E</c:v>
                </c:pt>
              </c:strCache>
            </c:strRef>
          </c:cat>
          <c:val>
            <c:numRef>
              <c:f>summary!$BS$70:$CM$70</c:f>
              <c:numCache>
                <c:formatCode>0%</c:formatCode>
                <c:ptCount val="5"/>
                <c:pt idx="0">
                  <c:v>0.15163240250178375</c:v>
                </c:pt>
                <c:pt idx="1">
                  <c:v>0.13643129477520757</c:v>
                </c:pt>
                <c:pt idx="2">
                  <c:v>5.2643997757488653E-2</c:v>
                </c:pt>
                <c:pt idx="3">
                  <c:v>2.3076346531746651E-2</c:v>
                </c:pt>
                <c:pt idx="4">
                  <c:v>1.8207712856703726E-2</c:v>
                </c:pt>
              </c:numCache>
            </c:numRef>
          </c:val>
        </c:ser>
        <c:dLbls>
          <c:showLegendKey val="0"/>
          <c:showVal val="0"/>
          <c:showCatName val="0"/>
          <c:showSerName val="0"/>
          <c:showPercent val="0"/>
          <c:showBubbleSize val="0"/>
        </c:dLbls>
        <c:gapWidth val="150"/>
        <c:overlap val="100"/>
        <c:axId val="812460288"/>
        <c:axId val="814404736"/>
      </c:barChart>
      <c:catAx>
        <c:axId val="812460288"/>
        <c:scaling>
          <c:orientation val="minMax"/>
        </c:scaling>
        <c:delete val="0"/>
        <c:axPos val="b"/>
        <c:majorTickMark val="out"/>
        <c:minorTickMark val="none"/>
        <c:tickLblPos val="nextTo"/>
        <c:crossAx val="814404736"/>
        <c:crosses val="autoZero"/>
        <c:auto val="1"/>
        <c:lblAlgn val="ctr"/>
        <c:lblOffset val="100"/>
        <c:noMultiLvlLbl val="0"/>
      </c:catAx>
      <c:valAx>
        <c:axId val="814404736"/>
        <c:scaling>
          <c:orientation val="minMax"/>
        </c:scaling>
        <c:delete val="0"/>
        <c:axPos val="l"/>
        <c:majorGridlines/>
        <c:numFmt formatCode="0%" sourceLinked="1"/>
        <c:majorTickMark val="out"/>
        <c:minorTickMark val="none"/>
        <c:tickLblPos val="nextTo"/>
        <c:crossAx val="812460288"/>
        <c:crosses val="autoZero"/>
        <c:crossBetween val="between"/>
      </c:valAx>
    </c:plotArea>
    <c:legend>
      <c:legendPos val="b"/>
      <c:layout>
        <c:manualLayout>
          <c:xMode val="edge"/>
          <c:yMode val="edge"/>
          <c:x val="1.5216376758026158E-2"/>
          <c:y val="0.85101082513939474"/>
          <c:w val="0.96517377717543484"/>
          <c:h val="0.1241446311748345"/>
        </c:manualLayout>
      </c:layout>
      <c:overlay val="0"/>
    </c:legend>
    <c:plotVisOnly val="1"/>
    <c:dispBlanksAs val="gap"/>
    <c:showDLblsOverMax val="0"/>
  </c:chart>
  <c:spPr>
    <a:ln>
      <a:noFill/>
    </a:ln>
  </c:sp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9.3045395412529958E-2"/>
          <c:y val="4.9886585686370853E-2"/>
          <c:w val="0.88144735821065845"/>
          <c:h val="0.70063869885116814"/>
        </c:manualLayout>
      </c:layout>
      <c:barChart>
        <c:barDir val="col"/>
        <c:grouping val="stacked"/>
        <c:varyColors val="0"/>
        <c:ser>
          <c:idx val="1"/>
          <c:order val="0"/>
          <c:invertIfNegative val="0"/>
          <c:dPt>
            <c:idx val="1"/>
            <c:invertIfNegative val="0"/>
            <c:bubble3D val="0"/>
            <c:spPr>
              <a:noFill/>
            </c:spPr>
          </c:dPt>
          <c:dPt>
            <c:idx val="2"/>
            <c:invertIfNegative val="0"/>
            <c:bubble3D val="0"/>
            <c:spPr>
              <a:solidFill>
                <a:schemeClr val="accent3">
                  <a:lumMod val="60000"/>
                  <a:lumOff val="40000"/>
                </a:schemeClr>
              </a:solidFill>
            </c:spPr>
          </c:dPt>
          <c:dPt>
            <c:idx val="3"/>
            <c:invertIfNegative val="0"/>
            <c:bubble3D val="0"/>
            <c:spPr>
              <a:noFill/>
            </c:spPr>
          </c:dPt>
          <c:dPt>
            <c:idx val="4"/>
            <c:invertIfNegative val="0"/>
            <c:bubble3D val="0"/>
            <c:spPr>
              <a:noFill/>
            </c:spPr>
          </c:dPt>
          <c:dPt>
            <c:idx val="5"/>
            <c:invertIfNegative val="0"/>
            <c:bubble3D val="0"/>
            <c:spPr>
              <a:noFill/>
            </c:spPr>
          </c:dPt>
          <c:dPt>
            <c:idx val="6"/>
            <c:invertIfNegative val="0"/>
            <c:bubble3D val="0"/>
            <c:spPr>
              <a:solidFill>
                <a:schemeClr val="accent3">
                  <a:lumMod val="60000"/>
                  <a:lumOff val="40000"/>
                </a:schemeClr>
              </a:solidFill>
            </c:spPr>
          </c:dPt>
          <c:dLbls>
            <c:dLbl>
              <c:idx val="1"/>
              <c:delete val="1"/>
            </c:dLbl>
            <c:dLbl>
              <c:idx val="3"/>
              <c:delete val="1"/>
            </c:dLbl>
            <c:dLbl>
              <c:idx val="4"/>
              <c:delete val="1"/>
            </c:dLbl>
            <c:dLbl>
              <c:idx val="5"/>
              <c:delete val="1"/>
            </c:dLbl>
            <c:showLegendKey val="0"/>
            <c:showVal val="1"/>
            <c:showCatName val="0"/>
            <c:showSerName val="0"/>
            <c:showPercent val="0"/>
            <c:showBubbleSize val="0"/>
            <c:showLeaderLines val="0"/>
          </c:dLbls>
          <c:cat>
            <c:strRef>
              <c:f>summary!$CP$11:$CV$11</c:f>
              <c:strCache>
                <c:ptCount val="7"/>
                <c:pt idx="0">
                  <c:v>Bear</c:v>
                </c:pt>
                <c:pt idx="1">
                  <c:v>Rev
disapointment</c:v>
                </c:pt>
                <c:pt idx="2">
                  <c:v>Base</c:v>
                </c:pt>
                <c:pt idx="3">
                  <c:v>EPS upside</c:v>
                </c:pt>
                <c:pt idx="4">
                  <c:v>M&amp;A</c:v>
                </c:pt>
                <c:pt idx="5">
                  <c:v>PE expan</c:v>
                </c:pt>
                <c:pt idx="6">
                  <c:v>Bull</c:v>
                </c:pt>
              </c:strCache>
            </c:strRef>
          </c:cat>
          <c:val>
            <c:numRef>
              <c:f>summary!$CP$13:$CV$13</c:f>
              <c:numCache>
                <c:formatCode>"$"#,##0.00_);[Red]\("$"#,##0.00\)</c:formatCode>
                <c:ptCount val="7"/>
                <c:pt idx="0" formatCode="&quot;$&quot;#,##0.00_);\(&quot;$&quot;#,##0.00\)">
                  <c:v>67</c:v>
                </c:pt>
                <c:pt idx="1">
                  <c:v>67</c:v>
                </c:pt>
                <c:pt idx="2" formatCode="&quot;$&quot;#,##0.00_);\(&quot;$&quot;#,##0.00\)">
                  <c:v>90</c:v>
                </c:pt>
                <c:pt idx="3">
                  <c:v>90</c:v>
                </c:pt>
                <c:pt idx="4">
                  <c:v>95</c:v>
                </c:pt>
                <c:pt idx="5">
                  <c:v>100</c:v>
                </c:pt>
                <c:pt idx="6">
                  <c:v>109</c:v>
                </c:pt>
              </c:numCache>
            </c:numRef>
          </c:val>
        </c:ser>
        <c:ser>
          <c:idx val="0"/>
          <c:order val="1"/>
          <c:spPr>
            <a:solidFill>
              <a:schemeClr val="accent6"/>
            </a:solidFill>
          </c:spPr>
          <c:invertIfNegative val="0"/>
          <c:dLbls>
            <c:showLegendKey val="0"/>
            <c:showVal val="1"/>
            <c:showCatName val="0"/>
            <c:showSerName val="0"/>
            <c:showPercent val="0"/>
            <c:showBubbleSize val="0"/>
            <c:showLeaderLines val="0"/>
          </c:dLbls>
          <c:cat>
            <c:strRef>
              <c:f>summary!$CP$11:$CV$11</c:f>
              <c:strCache>
                <c:ptCount val="7"/>
                <c:pt idx="0">
                  <c:v>Bear</c:v>
                </c:pt>
                <c:pt idx="1">
                  <c:v>Rev
disapointment</c:v>
                </c:pt>
                <c:pt idx="2">
                  <c:v>Base</c:v>
                </c:pt>
                <c:pt idx="3">
                  <c:v>EPS upside</c:v>
                </c:pt>
                <c:pt idx="4">
                  <c:v>M&amp;A</c:v>
                </c:pt>
                <c:pt idx="5">
                  <c:v>PE expan</c:v>
                </c:pt>
                <c:pt idx="6">
                  <c:v>Bull</c:v>
                </c:pt>
              </c:strCache>
            </c:strRef>
          </c:cat>
          <c:val>
            <c:numRef>
              <c:f>summary!$CP$12:$CV$12</c:f>
              <c:numCache>
                <c:formatCode>"$"#,##0.00_);[Red]\("$"#,##0.00\)</c:formatCode>
                <c:ptCount val="7"/>
                <c:pt idx="1">
                  <c:v>23</c:v>
                </c:pt>
                <c:pt idx="3">
                  <c:v>5</c:v>
                </c:pt>
                <c:pt idx="4">
                  <c:v>5</c:v>
                </c:pt>
                <c:pt idx="5">
                  <c:v>9</c:v>
                </c:pt>
              </c:numCache>
            </c:numRef>
          </c:val>
        </c:ser>
        <c:dLbls>
          <c:showLegendKey val="0"/>
          <c:showVal val="0"/>
          <c:showCatName val="0"/>
          <c:showSerName val="0"/>
          <c:showPercent val="0"/>
          <c:showBubbleSize val="0"/>
        </c:dLbls>
        <c:gapWidth val="30"/>
        <c:overlap val="100"/>
        <c:axId val="824771328"/>
        <c:axId val="824819712"/>
      </c:barChart>
      <c:catAx>
        <c:axId val="824771328"/>
        <c:scaling>
          <c:orientation val="minMax"/>
        </c:scaling>
        <c:delete val="0"/>
        <c:axPos val="b"/>
        <c:majorTickMark val="out"/>
        <c:minorTickMark val="none"/>
        <c:tickLblPos val="nextTo"/>
        <c:txPr>
          <a:bodyPr rot="0" vert="horz" anchor="ctr" anchorCtr="1"/>
          <a:lstStyle/>
          <a:p>
            <a:pPr>
              <a:defRPr sz="800"/>
            </a:pPr>
            <a:endParaRPr lang="en-US"/>
          </a:p>
        </c:txPr>
        <c:crossAx val="824819712"/>
        <c:crosses val="autoZero"/>
        <c:auto val="1"/>
        <c:lblAlgn val="ctr"/>
        <c:lblOffset val="100"/>
        <c:noMultiLvlLbl val="0"/>
      </c:catAx>
      <c:valAx>
        <c:axId val="824819712"/>
        <c:scaling>
          <c:orientation val="minMax"/>
        </c:scaling>
        <c:delete val="0"/>
        <c:axPos val="l"/>
        <c:majorGridlines/>
        <c:numFmt formatCode="&quot;$&quot;#,##0_);\(&quot;$&quot;#,##0\)" sourceLinked="0"/>
        <c:majorTickMark val="out"/>
        <c:minorTickMark val="none"/>
        <c:tickLblPos val="nextTo"/>
        <c:crossAx val="824771328"/>
        <c:crosses val="autoZero"/>
        <c:crossBetween val="between"/>
      </c:valAx>
    </c:plotArea>
    <c:plotVisOnly val="1"/>
    <c:dispBlanksAs val="gap"/>
    <c:showDLblsOverMax val="0"/>
  </c:chart>
  <c:spPr>
    <a:ln>
      <a:noFill/>
    </a:ln>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landscape"/>
  </c:printSettings>
</c:chartSpac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
<Relationship Id="rId1" Target="../charts/chart1.xml" Type="http://schemas.openxmlformats.org/officeDocument/2006/relationships/chart"/>
<Relationship Id="rId2" Target="../charts/chart2.xml" Type="http://schemas.openxmlformats.org/officeDocument/2006/relationships/chart"/>
</Relationships>

</file>

<file path=xl/drawings/_rels/drawing2.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_rels/drawing3.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4.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5.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6.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7.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8.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9.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10.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11.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12.xml.rels><?xml version="1.0" encoding="UTF-8" standalone="yes"?>
<Relationships xmlns="http://schemas.openxmlformats.org/package/2006/relationships">
<Relationship Id="rId1" Target="../media/image4.jpeg" Type="http://schemas.openxmlformats.org/officeDocument/2006/relationships/image"/>
</Relationships>

</file>

<file path=xl/drawings/_rels/drawing13.xml.rels><?xml version="1.0" encoding="UTF-8" standalone="yes"?>
<Relationships xmlns="http://schemas.openxmlformats.org/package/2006/relationships">
<Relationship Id="rId1" Target="../media/image4.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xdr:from>
      <xdr:col>99</xdr:col>
      <xdr:colOff>333374</xdr:colOff>
      <xdr:row>41</xdr:row>
      <xdr:rowOff>28575</xdr:rowOff>
    </xdr:from>
    <xdr:to>
      <xdr:col>110</xdr:col>
      <xdr:colOff>323849</xdr:colOff>
      <xdr:row>64</xdr:row>
      <xdr:rowOff>123825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93</xdr:col>
      <xdr:colOff>466725</xdr:colOff>
      <xdr:row>16</xdr:row>
      <xdr:rowOff>133349</xdr:rowOff>
    </xdr:from>
    <xdr:to>
      <xdr:col>103</xdr:col>
      <xdr:colOff>323850</xdr:colOff>
      <xdr:row>35</xdr:row>
      <xdr:rowOff>133350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1581150</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1</xdr:col>
      <xdr:colOff>523875</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180</xdr:row>
      <xdr:rowOff>0</xdr:rowOff>
    </xdr:from>
    <xdr:to>
      <xdr:col>7</xdr:col>
      <xdr:colOff>390525</xdr:colOff>
      <xdr:row>203</xdr:row>
      <xdr:rowOff>104775</xdr:rowOff>
    </xdr:to>
    <xdr:pic>
      <xdr:nvPicPr>
        <xdr:cNvPr id="167937" name="Picture 1" descr="C:\Users\sakeaga\AppData\Local\Temp\MercuryPriceRatingHistoryChart\LLY.N_2018_04_24_18_41_55.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7774900"/>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647700</xdr:colOff>
      <xdr:row>0</xdr:row>
      <xdr:rowOff>0</xdr:rowOff>
    </xdr:from>
    <xdr:to>
      <xdr:col>7</xdr:col>
      <xdr:colOff>0</xdr:colOff>
      <xdr:row>0</xdr:row>
      <xdr:rowOff>600075</xdr:rowOff>
    </xdr:to>
    <xdr:pic>
      <xdr:nvPicPr>
        <xdr:cNvPr id="4105"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24525" y="0"/>
          <a:ext cx="19050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absolute">
        <xdr:from>
          <xdr:col>1</xdr:col>
          <xdr:colOff>57150</xdr:colOff>
          <xdr:row>11</xdr:row>
          <xdr:rowOff>228600</xdr:rowOff>
        </xdr:from>
        <xdr:to>
          <xdr:col>1</xdr:col>
          <xdr:colOff>1752600</xdr:colOff>
          <xdr:row>11</xdr:row>
          <xdr:rowOff>704850</xdr:rowOff>
        </xdr:to>
        <xdr:sp macro="" textlink="">
          <xdr:nvSpPr>
            <xdr:cNvPr id="4097" name="Button 1" hidden="1">
              <a:extLst>
                <a:ext uri="{63B3BB69-23CF-44E3-9099-C40C66FF867C}">
                  <a14:compatExt spid="_x0000_s4097"/>
                </a:ext>
              </a:extLst>
            </xdr:cNvPr>
            <xdr:cNvSpPr/>
          </xdr:nvSpPr>
          <xdr:spPr>
            <a:xfrm>
              <a:off x="0" y="0"/>
              <a:ext cx="0" cy="0"/>
            </a:xfrm>
            <a:prstGeom prst="rect">
              <a:avLst/>
            </a:prstGeom>
          </xdr:spPr>
          <xdr:txBody>
            <a:bodyPr vertOverflow="clip" wrap="square" lIns="27432" tIns="32004" rIns="27432" bIns="32004" anchor="ctr" upright="1"/>
            <a:lstStyle/>
            <a:p>
              <a:pPr algn="ctr" rtl="0">
                <a:defRPr sz="1000"/>
              </a:pPr>
              <a:r>
                <a:rPr lang="en-US" sz="1100" b="1" i="0" u="none" strike="noStrike" baseline="0">
                  <a:solidFill>
                    <a:srgbClr val="000080"/>
                  </a:solidFill>
                  <a:latin typeface="Arial Narrow"/>
                </a:rPr>
                <a:t>Print Income Statements</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66675</xdr:colOff>
          <xdr:row>11</xdr:row>
          <xdr:rowOff>238125</xdr:rowOff>
        </xdr:from>
        <xdr:to>
          <xdr:col>3</xdr:col>
          <xdr:colOff>1647825</xdr:colOff>
          <xdr:row>11</xdr:row>
          <xdr:rowOff>714375</xdr:rowOff>
        </xdr:to>
        <xdr:sp macro="" textlink="">
          <xdr:nvSpPr>
            <xdr:cNvPr id="4098" name="Button 2" hidden="1">
              <a:extLst>
                <a:ext uri="{63B3BB69-23CF-44E3-9099-C40C66FF867C}">
                  <a14:compatExt spid="_x0000_s4098"/>
                </a:ext>
              </a:extLst>
            </xdr:cNvPr>
            <xdr:cNvSpPr/>
          </xdr:nvSpPr>
          <xdr:spPr>
            <a:xfrm>
              <a:off x="0" y="0"/>
              <a:ext cx="0" cy="0"/>
            </a:xfrm>
            <a:prstGeom prst="rect">
              <a:avLst/>
            </a:prstGeom>
          </xdr:spPr>
          <xdr:txBody>
            <a:bodyPr vertOverflow="clip" wrap="square" lIns="27432" tIns="32004" rIns="27432" bIns="32004" anchor="ctr" upright="1"/>
            <a:lstStyle/>
            <a:p>
              <a:pPr algn="ctr" rtl="0">
                <a:defRPr sz="1000"/>
              </a:pPr>
              <a:r>
                <a:rPr lang="en-US" sz="1100" b="1" i="0" u="none" strike="noStrike" baseline="0">
                  <a:solidFill>
                    <a:srgbClr val="000080"/>
                  </a:solidFill>
                  <a:latin typeface="Arial Narrow"/>
                </a:rPr>
                <a:t>Print Revenues</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5</xdr:col>
          <xdr:colOff>57150</xdr:colOff>
          <xdr:row>11</xdr:row>
          <xdr:rowOff>238125</xdr:rowOff>
        </xdr:from>
        <xdr:to>
          <xdr:col>5</xdr:col>
          <xdr:colOff>1695450</xdr:colOff>
          <xdr:row>11</xdr:row>
          <xdr:rowOff>714375</xdr:rowOff>
        </xdr:to>
        <xdr:sp macro="" textlink="">
          <xdr:nvSpPr>
            <xdr:cNvPr id="4099" name="Button 3" hidden="1">
              <a:extLst>
                <a:ext uri="{63B3BB69-23CF-44E3-9099-C40C66FF867C}">
                  <a14:compatExt spid="_x0000_s4099"/>
                </a:ext>
              </a:extLst>
            </xdr:cNvPr>
            <xdr:cNvSpPr/>
          </xdr:nvSpPr>
          <xdr:spPr>
            <a:xfrm>
              <a:off x="0" y="0"/>
              <a:ext cx="0" cy="0"/>
            </a:xfrm>
            <a:prstGeom prst="rect">
              <a:avLst/>
            </a:prstGeom>
          </xdr:spPr>
          <xdr:txBody>
            <a:bodyPr vertOverflow="clip" wrap="square" lIns="27432" tIns="32004" rIns="27432" bIns="32004" anchor="ctr" upright="1"/>
            <a:lstStyle/>
            <a:p>
              <a:pPr algn="ctr" rtl="0">
                <a:defRPr sz="1000"/>
              </a:pPr>
              <a:r>
                <a:rPr lang="en-US" sz="1100" b="1" i="0" u="none" strike="noStrike" baseline="0">
                  <a:solidFill>
                    <a:srgbClr val="000080"/>
                  </a:solidFill>
                  <a:latin typeface="Arial Narrow"/>
                </a:rPr>
                <a:t>Print All Models</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absolute">
    <xdr:from>
      <xdr:col>83</xdr:col>
      <xdr:colOff>122360</xdr:colOff>
      <xdr:row>4</xdr:row>
      <xdr:rowOff>28575</xdr:rowOff>
    </xdr:from>
    <xdr:to>
      <xdr:col>85</xdr:col>
      <xdr:colOff>394921</xdr:colOff>
      <xdr:row>6</xdr:row>
      <xdr:rowOff>0</xdr:rowOff>
    </xdr:to>
    <xdr:pic>
      <xdr:nvPicPr>
        <xdr:cNvPr id="528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6560" y="28575"/>
          <a:ext cx="1186961"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80</xdr:col>
      <xdr:colOff>152400</xdr:colOff>
      <xdr:row>4</xdr:row>
      <xdr:rowOff>28575</xdr:rowOff>
    </xdr:from>
    <xdr:to>
      <xdr:col>82</xdr:col>
      <xdr:colOff>381000</xdr:colOff>
      <xdr:row>6</xdr:row>
      <xdr:rowOff>0</xdr:rowOff>
    </xdr:to>
    <xdr:pic>
      <xdr:nvPicPr>
        <xdr:cNvPr id="7385"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81700" y="28575"/>
          <a:ext cx="11811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76</xdr:col>
      <xdr:colOff>333375</xdr:colOff>
      <xdr:row>4</xdr:row>
      <xdr:rowOff>19050</xdr:rowOff>
    </xdr:from>
    <xdr:to>
      <xdr:col>79</xdr:col>
      <xdr:colOff>323850</xdr:colOff>
      <xdr:row>6</xdr:row>
      <xdr:rowOff>0</xdr:rowOff>
    </xdr:to>
    <xdr:pic>
      <xdr:nvPicPr>
        <xdr:cNvPr id="14344"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19050"/>
          <a:ext cx="11906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80</xdr:col>
      <xdr:colOff>19050</xdr:colOff>
      <xdr:row>4</xdr:row>
      <xdr:rowOff>19050</xdr:rowOff>
    </xdr:from>
    <xdr:to>
      <xdr:col>83</xdr:col>
      <xdr:colOff>0</xdr:colOff>
      <xdr:row>5</xdr:row>
      <xdr:rowOff>190500</xdr:rowOff>
    </xdr:to>
    <xdr:pic>
      <xdr:nvPicPr>
        <xdr:cNvPr id="15371"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95700" y="19050"/>
          <a:ext cx="11811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80</xdr:col>
      <xdr:colOff>330444</xdr:colOff>
      <xdr:row>4</xdr:row>
      <xdr:rowOff>19050</xdr:rowOff>
    </xdr:from>
    <xdr:to>
      <xdr:col>82</xdr:col>
      <xdr:colOff>501162</xdr:colOff>
      <xdr:row>6</xdr:row>
      <xdr:rowOff>0</xdr:rowOff>
    </xdr:to>
    <xdr:pic>
      <xdr:nvPicPr>
        <xdr:cNvPr id="1045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0" y="19050"/>
          <a:ext cx="11811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83</xdr:col>
      <xdr:colOff>98669</xdr:colOff>
      <xdr:row>154</xdr:row>
      <xdr:rowOff>38100</xdr:rowOff>
    </xdr:from>
    <xdr:to>
      <xdr:col>85</xdr:col>
      <xdr:colOff>247162</xdr:colOff>
      <xdr:row>157</xdr:row>
      <xdr:rowOff>0</xdr:rowOff>
    </xdr:to>
    <xdr:pic>
      <xdr:nvPicPr>
        <xdr:cNvPr id="10457" name="Picture 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90044" y="17916525"/>
          <a:ext cx="1158143"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80</xdr:col>
      <xdr:colOff>295519</xdr:colOff>
      <xdr:row>85</xdr:row>
      <xdr:rowOff>114300</xdr:rowOff>
    </xdr:from>
    <xdr:to>
      <xdr:col>82</xdr:col>
      <xdr:colOff>475762</xdr:colOff>
      <xdr:row>87</xdr:row>
      <xdr:rowOff>152400</xdr:rowOff>
    </xdr:to>
    <xdr:pic>
      <xdr:nvPicPr>
        <xdr:cNvPr id="10458" name="Picture 6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72419" y="8890000"/>
          <a:ext cx="1189893" cy="37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14</xdr:col>
      <xdr:colOff>47625</xdr:colOff>
      <xdr:row>4</xdr:row>
      <xdr:rowOff>38100</xdr:rowOff>
    </xdr:from>
    <xdr:to>
      <xdr:col>15</xdr:col>
      <xdr:colOff>600075</xdr:colOff>
      <xdr:row>6</xdr:row>
      <xdr:rowOff>0</xdr:rowOff>
    </xdr:to>
    <xdr:pic>
      <xdr:nvPicPr>
        <xdr:cNvPr id="1127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00650" y="38100"/>
          <a:ext cx="11620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14</xdr:col>
      <xdr:colOff>333375</xdr:colOff>
      <xdr:row>0</xdr:row>
      <xdr:rowOff>0</xdr:rowOff>
    </xdr:from>
    <xdr:to>
      <xdr:col>16</xdr:col>
      <xdr:colOff>295275</xdr:colOff>
      <xdr:row>5</xdr:row>
      <xdr:rowOff>180975</xdr:rowOff>
    </xdr:to>
    <xdr:pic>
      <xdr:nvPicPr>
        <xdr:cNvPr id="1229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0" y="9525"/>
          <a:ext cx="11811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9</xdr:col>
      <xdr:colOff>0</xdr:colOff>
      <xdr:row>4</xdr:row>
      <xdr:rowOff>28575</xdr:rowOff>
    </xdr:from>
    <xdr:to>
      <xdr:col>9</xdr:col>
      <xdr:colOff>1143000</xdr:colOff>
      <xdr:row>5</xdr:row>
      <xdr:rowOff>190500</xdr:rowOff>
    </xdr:to>
    <xdr:pic>
      <xdr:nvPicPr>
        <xdr:cNvPr id="13320"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19375" y="28575"/>
          <a:ext cx="11430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80</xdr:col>
      <xdr:colOff>333375</xdr:colOff>
      <xdr:row>4</xdr:row>
      <xdr:rowOff>38100</xdr:rowOff>
    </xdr:from>
    <xdr:to>
      <xdr:col>83</xdr:col>
      <xdr:colOff>0</xdr:colOff>
      <xdr:row>6</xdr:row>
      <xdr:rowOff>9525</xdr:rowOff>
    </xdr:to>
    <xdr:pic>
      <xdr:nvPicPr>
        <xdr:cNvPr id="17539" name="Picture 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0" y="38100"/>
          <a:ext cx="11811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83</xdr:col>
      <xdr:colOff>200025</xdr:colOff>
      <xdr:row>4</xdr:row>
      <xdr:rowOff>57150</xdr:rowOff>
    </xdr:from>
    <xdr:to>
      <xdr:col>85</xdr:col>
      <xdr:colOff>381000</xdr:colOff>
      <xdr:row>5</xdr:row>
      <xdr:rowOff>180975</xdr:rowOff>
    </xdr:to>
    <xdr:pic>
      <xdr:nvPicPr>
        <xdr:cNvPr id="11571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1625" y="57150"/>
          <a:ext cx="11525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
<Relationship Id="rId1" Target="na/ny/users/johndasc/Docs/ID/Charts/Chart_Gallery/From%20Vlad/B11_BarSingle_AverageLine.xls" TargetMode="External" Type="http://schemas.microsoft.com/office/2006/relationships/xlExternalLinkPath/xlAlternateStartup"/>
</Relationships>

</file>

<file path=xl/externalLinks/_rels/externalLink2.xml.rels><?xml version="1.0" encoding="UTF-8" standalone="yes"?>
<Relationships xmlns="http://schemas.openxmlformats.org/package/2006/relationships">
<Relationship Id="rId1" Target="HEALTH/Pharma/Risinger/models/WYE/WYE_Charts.xls" TargetMode="External" Type="http://schemas.microsoft.com/office/2006/relationships/xlExternalLinkPath/xlStartup"/>
</Relationships>

</file>

<file path=xl/externalLinks/_rels/externalLink3.xml.rels><?xml version="1.0" encoding="UTF-8" standalone="yes"?>
<Relationships xmlns="http://schemas.openxmlformats.org/package/2006/relationships">
<Relationship Id="rId1" Target="Small%20Caps/Healthcare/DROG/Reports/1Q11/DROG%20Support_1Q11.xls" TargetMode="External" Type="http://schemas.microsoft.com/office/2006/relationships/xlExternalLinkPath/xlStartup"/>
</Relationships>

</file>

<file path=xl/externalLinks/_rels/externalLink4.xml.rels><?xml version="1.0" encoding="UTF-8" standalone="yes"?>
<Relationships xmlns="http://schemas.openxmlformats.org/package/2006/relationships">
<Relationship Id="rId1" Target="HEALTH/Pharma/Risinger/models/PFE/PFE_Charts.xls" TargetMode="External" Type="http://schemas.microsoft.com/office/2006/relationships/xlExternalLinkPath/xlStartup"/>
</Relationships>

</file>

<file path=xl/externalLinks/_rels/externalLink5.xml.rels><?xml version="1.0" encoding="UTF-8" standalone="yes"?>
<Relationships xmlns="http://schemas.openxmlformats.org/package/2006/relationships">
<Relationship Id="rId1" Target="na/ny/users/johndasc/Docs/ID/Charts/Sandbox/BtoB.xls" TargetMode="External" Type="http://schemas.microsoft.com/office/2006/relationships/xlExternalLinkPath/xlAlternateStartup"/>
</Relationships>

</file>

<file path=xl/externalLinks/_rels/externalLink6.xml.rels><?xml version="1.0" encoding="UTF-8" standalone="yes"?>
<Relationships xmlns="http://schemas.openxmlformats.org/package/2006/relationships">
<Relationship Id="rId1" Target="Small%20Caps/Healthcare/Reports%20&amp;%20Presentations/Labs%20Support%20Oct%2010.xls" TargetMode="External" Type="http://schemas.microsoft.com/office/2006/relationships/xlExternalLinkPath/xlStartup"/>
</Relationships>

</file>

<file path=xl/externalLinks/_rels/externalLink7.xml.rels><?xml version="1.0" encoding="UTF-8" standalone="yes"?>
<Relationships xmlns="http://schemas.openxmlformats.org/package/2006/relationships">
<Relationship Id="rId1" Target="Small%20Caps/Agri/Reports/Farmers-update-oct10/SLC%20Performance.xls" TargetMode="External" Type="http://schemas.microsoft.com/office/2006/relationships/xlExternalLinkPath/xlStartup"/>
</Relationships>

</file>

<file path=xl/externalLinks/_rels/externalLink8.xml.rels><?xml version="1.0" encoding="UTF-8" standalone="yes"?>
<Relationships xmlns="http://schemas.openxmlformats.org/package/2006/relationships">
<Relationship Id="rId1" Target="HEALTH/Pharma/Risinger/models/LLY/LLY_Charts.xls" TargetMode="External" Type="http://schemas.microsoft.com/office/2006/relationships/xlExternalLinkPath/xlStartup"/>
</Relationships>

</file>

<file path=xl/externalLinks/_rels/externalLink9.xml.rels><?xml version="1.0" encoding="UTF-8" standalone="yes"?>
<Relationships xmlns="http://schemas.openxmlformats.org/package/2006/relationships">
<Relationship Id="rId1" Target="HEALTH/Pharma/Risinger/models/BMY/BMY_Charts.xls" TargetMode="External" Type="http://schemas.microsoft.com/office/2006/relationships/xlExternalLinkPath/xlStartup"/>
</Relationships>

</file>

<file path=xl/externalLinks/_rels/externalLink10.xml.rels><?xml version="1.0" encoding="UTF-8" standalone="yes"?>
<Relationships xmlns="http://schemas.openxmlformats.org/package/2006/relationships">
<Relationship Id="rId1" Target="file://///Sony/c/business/&#38750;&#37444;/&#38750;&#37444;&#20250;~1/&#21516;&#21644;&#37489;&#26989;/5714work.wk4" TargetMode="External" Type="http://schemas.openxmlformats.org/officeDocument/2006/relationships/externalLinkPath"/>
</Relationships>

</file>

<file path=xl/externalLinks/_rels/externalLink11.xml.rels><?xml version="1.0" encoding="UTF-8" standalone="yes"?>
<Relationships xmlns="http://schemas.openxmlformats.org/package/2006/relationships">
<Relationship Id="rId1" Target="HEALTH/Pharma/Risinger/models/BMY/BMYwk.xlsm" TargetMode="External" Type="http://schemas.microsoft.com/office/2006/relationships/xlExternalLinkPath/xlAlternateStartup"/>
</Relationships>

</file>

<file path=xl/externalLinks/_rels/externalLink12.xml.rels><?xml version="1.0" encoding="UTF-8" standalone="yes"?>
<Relationships xmlns="http://schemas.openxmlformats.org/package/2006/relationships">
<Relationship Id="rId1" Target="c1" TargetMode="External" Type="http://schemas.microsoft.com/office/2006/relationships/xlExternalLinkPath/xlPathMissing"/>
</Relationships>

</file>

<file path=xl/externalLinks/_rels/externalLink13.xml.rels><?xml version="1.0" encoding="UTF-8" standalone="yes"?>
<Relationships xmlns="http://schemas.openxmlformats.org/package/2006/relationships">
<Relationship Id="rId1" Target="HEALTH/Pharma/The%20Download%20Folder/LLY.N.XLS" TargetMode="External" Type="http://schemas.microsoft.com/office/2006/relationships/xlExternalLinkPath/xlStartup"/>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sh"/>
      <sheetName val="Exhibit 3"/>
      <sheetName val="Cash_published"/>
      <sheetName val="NVF_published"/>
      <sheetName val="Exhibit 5"/>
      <sheetName val="IFRS"/>
      <sheetName val="Exhibit 4"/>
      <sheetName val="IFRS Life"/>
      <sheetName val="Exhibit 1"/>
      <sheetName val="Exhibit 2"/>
      <sheetName val="MCEV Roll-up"/>
      <sheetName val="Weekahead"/>
      <sheetName val="MCEV_Capital"/>
      <sheetName val="Assets(new)"/>
      <sheetName val="MCEV P&amp;L"/>
      <sheetName val="Cash Flow"/>
      <sheetName val="upside_downside"/>
      <sheetName val="Income Statement"/>
      <sheetName val="Balance Sheet"/>
      <sheetName val="RI"/>
      <sheetName val="BULLBEAR"/>
      <sheetName val="Sheet2"/>
      <sheetName val="DCF"/>
      <sheetName val="MWA RR"/>
      <sheetName val="NonQtr"/>
      <sheetName val="REVENUE BY GEOGRAPHY"/>
      <sheetName val="Risk-Reward_View_Chart"/>
      <sheetName val="Valsum"/>
      <sheetName val="Data 20d"/>
      <sheetName val="Data"/>
      <sheetName val="Interims"/>
      <sheetName val="Financial Statements"/>
      <sheetName val="Good 12-00 (2)"/>
      <sheetName val="Good 11-36"/>
      <sheetName val="Good 11-50"/>
      <sheetName val="Sheet3 (5)"/>
      <sheetName val="Inputs"/>
      <sheetName val="FX"/>
      <sheetName val="CPB"/>
      <sheetName val="Total_Food_Promo"/>
      <sheetName val="CPB_2yr"/>
      <sheetName val="Summary"/>
      <sheetName val="Floater Demand"/>
      <sheetName val="B11_BarSingle_AverageLine"/>
      <sheetName val="Quero_Sales"/>
      <sheetName val="L2005"/>
      <sheetName val="C2000"/>
      <sheetName val="Cell Reference"/>
      <sheetName val="Shading Period-Level"/>
      <sheetName val="Sources of Change"/>
      <sheetName val="Basic (gridlines)"/>
      <sheetName val="Average (reference) Line"/>
      <sheetName val="Double (overlapping)"/>
      <sheetName val="Reference Step Line"/>
      <sheetName val="Double (gridlines)"/>
      <sheetName val="Growth Line"/>
      <sheetName val="Reference Marks"/>
      <sheetName val="Single-point highlighting"/>
      <sheetName val="CPNO"/>
      <sheetName val="MMP"/>
      <sheetName val="PAA"/>
      <sheetName val="EEP"/>
      <sheetName val="KMP"/>
      <sheetName val="ETP"/>
      <sheetName val="BPL"/>
      <sheetName val="NS"/>
      <sheetName val="BWP"/>
      <sheetName val="EPD"/>
      <sheetName val="RGNC"/>
      <sheetName val="画像1"/>
      <sheetName val="業績推移"/>
      <sheetName val="バリュエーション比較"/>
      <sheetName val="自動車設備投資"/>
      <sheetName val="ロボット機械統計年"/>
      <sheetName val="ロボット機械統計"/>
      <sheetName val="株価と関連指標"/>
      <sheetName val="画像3"/>
      <sheetName val="利益率比較"/>
      <sheetName val="ロボット試算"/>
      <sheetName val="画像2"/>
      <sheetName val="内訳"/>
      <sheetName val="株価(過去1年) "/>
      <sheetName val="WWロボット出荷台数"/>
      <sheetName val="長期営業利益"/>
      <sheetName val="中国NC化率"/>
      <sheetName val="画像4"/>
      <sheetName val="成長率比較"/>
      <sheetName val="バリュエーション"/>
      <sheetName val="四半期"/>
      <sheetName val="画像5"/>
      <sheetName val="RRBox"/>
      <sheetName val="シェアと競合"/>
      <sheetName val="WP Detail "/>
      <sheetName val="Model"/>
      <sheetName val="Sheet4"/>
      <sheetName val="ForeignStake"/>
      <sheetName val="rev change analysis"/>
      <sheetName val="rev contribution analysis"/>
      <sheetName val="WPZ"/>
      <sheetName val="TPP"/>
      <sheetName val="EPE"/>
      <sheetName val="WMZ"/>
      <sheetName val="HEP"/>
      <sheetName val="MGG"/>
      <sheetName val="ETE"/>
      <sheetName val="BGH"/>
      <sheetName val="SEP"/>
      <sheetName val="TCLP"/>
      <sheetName val="SXL"/>
      <sheetName val="WES"/>
      <sheetName val="HTC"/>
      <sheetName val="MS Tele Rep"/>
      <sheetName val="China Handset"/>
      <sheetName val="Smartphone"/>
      <sheetName val="IDC"/>
      <sheetName val="CW"/>
      <sheetName val="R2000"/>
      <sheetName val="__FDS_DOWNL_SCRATCH_SHEET__"/>
      <sheetName val="FIH"/>
      <sheetName val="MIC"/>
      <sheetName val="Valuation"/>
      <sheetName val="Sales by App"/>
      <sheetName val="Net Income &amp; EPS"/>
      <sheetName val="IDC_2"/>
      <sheetName val="Sales by Region Comp"/>
      <sheetName val="What's Changed"/>
      <sheetName val="Outsourcing"/>
      <sheetName val="Nokia vs HTC"/>
      <sheetName val="2012 Outlook"/>
    </sheetNames>
    <sheetDataSet>
      <sheetData sheetId="0" refreshError="1">
        <row r="5">
          <cell r="F5" t="str">
            <v>Display horizontal line for the average?</v>
          </cell>
        </row>
        <row r="10">
          <cell r="Y10" t="str">
            <v>invisible1</v>
          </cell>
        </row>
        <row r="11">
          <cell r="D11" t="str">
            <v>Jupiter</v>
          </cell>
          <cell r="E11">
            <v>78</v>
          </cell>
          <cell r="X11" t="str">
            <v xml:space="preserve">  </v>
          </cell>
          <cell r="Y11">
            <v>44.5</v>
          </cell>
        </row>
        <row r="12">
          <cell r="D12" t="str">
            <v>Juno</v>
          </cell>
          <cell r="E12">
            <v>58</v>
          </cell>
        </row>
        <row r="13">
          <cell r="D13" t="str">
            <v>Neptune</v>
          </cell>
          <cell r="E13">
            <v>45</v>
          </cell>
          <cell r="X13" t="str">
            <v>width</v>
          </cell>
          <cell r="Y13">
            <v>0.624</v>
          </cell>
        </row>
        <row r="14">
          <cell r="D14" t="str">
            <v>Pluto</v>
          </cell>
          <cell r="E14">
            <v>37</v>
          </cell>
        </row>
        <row r="15">
          <cell r="D15" t="str">
            <v>Minerva</v>
          </cell>
          <cell r="E15">
            <v>26</v>
          </cell>
          <cell r="X15" t="str">
            <v>scaling</v>
          </cell>
          <cell r="Y15">
            <v>8.0000000000000002E-3</v>
          </cell>
        </row>
        <row r="16">
          <cell r="D16" t="str">
            <v>Hermes</v>
          </cell>
          <cell r="E16">
            <v>23</v>
          </cell>
        </row>
        <row r="17">
          <cell r="X17" t="str">
            <v>label</v>
          </cell>
          <cell r="Y17" t="str">
            <v>average: 44.5</v>
          </cell>
        </row>
        <row r="28">
          <cell r="R28" t="b">
            <v>1</v>
          </cell>
        </row>
        <row r="34">
          <cell r="R34" t="str">
            <v>Notes:</v>
          </cell>
        </row>
        <row r="35">
          <cell r="R35" t="str">
            <v>-doesn't work for negative average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contribution analysis"/>
      <sheetName val="rev change analysis"/>
      <sheetName val="2015 rev change"/>
    </sheetNames>
    <sheetDataSet>
      <sheetData sheetId="0"/>
      <sheetData sheetId="1">
        <row r="1">
          <cell r="R1" t="str">
            <v>SmartCharts</v>
          </cell>
          <cell r="BA1" t="str">
            <v>.</v>
          </cell>
        </row>
        <row r="2">
          <cell r="BA2" t="str">
            <v>.</v>
          </cell>
        </row>
        <row r="3">
          <cell r="BA3" t="str">
            <v>.</v>
          </cell>
        </row>
        <row r="4">
          <cell r="BA4" t="str">
            <v>.</v>
          </cell>
        </row>
        <row r="5">
          <cell r="C5" t="str">
            <v>Define value axis here:</v>
          </cell>
        </row>
        <row r="6">
          <cell r="C6" t="str">
            <v>WYE YOY revenue change 2010E-2015E</v>
          </cell>
        </row>
        <row r="10">
          <cell r="C10" t="str">
            <v>Input your data here:</v>
          </cell>
          <cell r="BA10" t="str">
            <v>.</v>
          </cell>
        </row>
        <row r="11">
          <cell r="C11" t="str">
            <v>Sales ($M)</v>
          </cell>
          <cell r="D11" t="str">
            <v>2011E</v>
          </cell>
          <cell r="E11" t="str">
            <v>2012E</v>
          </cell>
          <cell r="F11" t="str">
            <v>2013E</v>
          </cell>
          <cell r="G11" t="str">
            <v>2014E</v>
          </cell>
          <cell r="H11" t="str">
            <v>2015E</v>
          </cell>
          <cell r="BA11" t="str">
            <v>.</v>
          </cell>
        </row>
        <row r="12">
          <cell r="C12" t="str">
            <v>In-line products</v>
          </cell>
          <cell r="D12">
            <v>777.7528584280044</v>
          </cell>
          <cell r="E12">
            <v>801.12416082795426</v>
          </cell>
          <cell r="F12">
            <v>480.32922347793647</v>
          </cell>
          <cell r="G12">
            <v>302.52535042870295</v>
          </cell>
          <cell r="H12">
            <v>-140.85209419635794</v>
          </cell>
          <cell r="BA12" t="str">
            <v>.</v>
          </cell>
        </row>
        <row r="13">
          <cell r="C13" t="str">
            <v>Pipeline products launching 2010–2015</v>
          </cell>
          <cell r="D13">
            <v>336.15000000000003</v>
          </cell>
          <cell r="E13">
            <v>486.05249999999995</v>
          </cell>
          <cell r="F13">
            <v>643.90925000000004</v>
          </cell>
          <cell r="G13">
            <v>903.77877650000028</v>
          </cell>
          <cell r="H13">
            <v>877.75910161390948</v>
          </cell>
          <cell r="BA13" t="str">
            <v>.</v>
          </cell>
        </row>
        <row r="14">
          <cell r="C14" t="str">
            <v>Products expiring 2010–15</v>
          </cell>
          <cell r="D14">
            <v>-1897.5856368349996</v>
          </cell>
          <cell r="E14">
            <v>-405.26704991404949</v>
          </cell>
          <cell r="F14">
            <v>-247.4564255044188</v>
          </cell>
          <cell r="G14">
            <v>-486.45018457921105</v>
          </cell>
          <cell r="H14">
            <v>-467.41580692871912</v>
          </cell>
          <cell r="BA14" t="str">
            <v>.</v>
          </cell>
        </row>
        <row r="15">
          <cell r="C15" t="str">
            <v>Net YOY change</v>
          </cell>
          <cell r="D15">
            <v>-783.68277840699375</v>
          </cell>
          <cell r="E15">
            <v>881.90961091390272</v>
          </cell>
          <cell r="F15">
            <v>876.78204797351646</v>
          </cell>
          <cell r="G15">
            <v>719.85394234949126</v>
          </cell>
          <cell r="H15">
            <v>269.4912004888356</v>
          </cell>
          <cell r="BA15" t="str">
            <v>.</v>
          </cell>
        </row>
        <row r="16">
          <cell r="BA16" t="str">
            <v>.</v>
          </cell>
        </row>
        <row r="17">
          <cell r="BA17" t="str">
            <v>.</v>
          </cell>
        </row>
        <row r="18">
          <cell r="BA18" t="str">
            <v>.</v>
          </cell>
        </row>
        <row r="20">
          <cell r="BA20" t="str">
            <v>.</v>
          </cell>
        </row>
        <row r="21">
          <cell r="BA21" t="str">
            <v>.</v>
          </cell>
        </row>
        <row r="22">
          <cell r="BA22" t="str">
            <v>.</v>
          </cell>
        </row>
        <row r="23">
          <cell r="BA23" t="str">
            <v>.</v>
          </cell>
        </row>
        <row r="24">
          <cell r="BA24" t="str">
            <v>.</v>
          </cell>
        </row>
        <row r="25">
          <cell r="BA25" t="str">
            <v>.</v>
          </cell>
        </row>
        <row r="26">
          <cell r="BA26" t="str">
            <v>.</v>
          </cell>
        </row>
        <row r="27">
          <cell r="BA27" t="str">
            <v>.</v>
          </cell>
        </row>
        <row r="28">
          <cell r="BA28" t="str">
            <v>.</v>
          </cell>
        </row>
        <row r="29">
          <cell r="BA29" t="str">
            <v>.</v>
          </cell>
        </row>
        <row r="30">
          <cell r="BA30" t="str">
            <v>.</v>
          </cell>
        </row>
        <row r="31">
          <cell r="BA31" t="str">
            <v>.</v>
          </cell>
        </row>
        <row r="32">
          <cell r="BA32" t="str">
            <v>.</v>
          </cell>
        </row>
        <row r="33">
          <cell r="BA33" t="str">
            <v>.</v>
          </cell>
        </row>
        <row r="34">
          <cell r="BA34" t="str">
            <v>.</v>
          </cell>
        </row>
        <row r="35">
          <cell r="J35" t="str">
            <v>Do not change the width of the exhibit or font sizes (they are optimized for export to Word).</v>
          </cell>
          <cell r="BA35" t="str">
            <v>.</v>
          </cell>
        </row>
        <row r="36">
          <cell r="BA36" t="str">
            <v>.</v>
          </cell>
        </row>
        <row r="37">
          <cell r="J37" t="str">
            <v>Do not delete any rows or columns (some gray cells are used for calculations).</v>
          </cell>
          <cell r="BA37" t="str">
            <v>.</v>
          </cell>
        </row>
        <row r="38">
          <cell r="BA38" t="str">
            <v>.</v>
          </cell>
        </row>
        <row r="39">
          <cell r="BA39" t="str">
            <v>.</v>
          </cell>
        </row>
        <row r="40">
          <cell r="BA40" t="str">
            <v>.</v>
          </cell>
        </row>
        <row r="41">
          <cell r="BA41" t="str">
            <v>.</v>
          </cell>
        </row>
        <row r="42">
          <cell r="BA42" t="str">
            <v>.</v>
          </cell>
        </row>
        <row r="43">
          <cell r="BA43" t="str">
            <v>.</v>
          </cell>
        </row>
        <row r="44">
          <cell r="BA44" t="str">
            <v>.</v>
          </cell>
        </row>
        <row r="45">
          <cell r="BA45" t="str">
            <v>.</v>
          </cell>
        </row>
        <row r="46">
          <cell r="BA46" t="str">
            <v>.</v>
          </cell>
        </row>
        <row r="47">
          <cell r="BA47" t="str">
            <v>.</v>
          </cell>
        </row>
        <row r="48">
          <cell r="BA48" t="str">
            <v>.</v>
          </cell>
        </row>
        <row r="49">
          <cell r="BA49" t="str">
            <v>.</v>
          </cell>
        </row>
        <row r="50">
          <cell r="BA50" t="str">
            <v>.</v>
          </cell>
        </row>
        <row r="51">
          <cell r="BA51" t="str">
            <v>.</v>
          </cell>
        </row>
        <row r="52">
          <cell r="BA52" t="str">
            <v>.</v>
          </cell>
        </row>
        <row r="53">
          <cell r="BA53" t="str">
            <v>.</v>
          </cell>
        </row>
        <row r="54">
          <cell r="BA54" t="str">
            <v>.</v>
          </cell>
        </row>
        <row r="55">
          <cell r="BA55" t="str">
            <v>.</v>
          </cell>
        </row>
        <row r="56">
          <cell r="BA56" t="str">
            <v>.</v>
          </cell>
        </row>
        <row r="57">
          <cell r="BA57" t="str">
            <v>.</v>
          </cell>
        </row>
        <row r="58">
          <cell r="BA58" t="str">
            <v>.</v>
          </cell>
        </row>
        <row r="59">
          <cell r="BA59" t="str">
            <v>.</v>
          </cell>
        </row>
        <row r="60">
          <cell r="BA60" t="str">
            <v>.</v>
          </cell>
        </row>
        <row r="61">
          <cell r="BA61" t="str">
            <v>.</v>
          </cell>
        </row>
        <row r="62">
          <cell r="BA62" t="str">
            <v>.</v>
          </cell>
        </row>
        <row r="63">
          <cell r="BA63" t="str">
            <v>.</v>
          </cell>
        </row>
        <row r="64">
          <cell r="BA64" t="str">
            <v>.</v>
          </cell>
        </row>
        <row r="65">
          <cell r="BA65" t="str">
            <v>.</v>
          </cell>
        </row>
        <row r="66">
          <cell r="BA66" t="str">
            <v>.</v>
          </cell>
        </row>
        <row r="67">
          <cell r="BA67" t="str">
            <v>.</v>
          </cell>
        </row>
        <row r="68">
          <cell r="BA68" t="str">
            <v>.</v>
          </cell>
        </row>
        <row r="69">
          <cell r="BA69" t="str">
            <v>.</v>
          </cell>
        </row>
        <row r="70">
          <cell r="BA70" t="str">
            <v>.</v>
          </cell>
        </row>
        <row r="71">
          <cell r="BA71" t="str">
            <v>.</v>
          </cell>
        </row>
        <row r="72">
          <cell r="BA72" t="str">
            <v>.</v>
          </cell>
        </row>
        <row r="73">
          <cell r="BA73" t="str">
            <v>.</v>
          </cell>
        </row>
        <row r="74">
          <cell r="BA74" t="str">
            <v>.</v>
          </cell>
        </row>
        <row r="75">
          <cell r="BA75" t="str">
            <v>.</v>
          </cell>
        </row>
        <row r="76">
          <cell r="BA76" t="str">
            <v>.</v>
          </cell>
        </row>
        <row r="77">
          <cell r="BA77" t="str">
            <v>.</v>
          </cell>
        </row>
        <row r="78">
          <cell r="BA78" t="str">
            <v>.</v>
          </cell>
        </row>
        <row r="79">
          <cell r="BA79" t="str">
            <v>.</v>
          </cell>
        </row>
        <row r="80">
          <cell r="BA80" t="str">
            <v>.</v>
          </cell>
        </row>
        <row r="81">
          <cell r="BA81" t="str">
            <v>.</v>
          </cell>
        </row>
        <row r="82">
          <cell r="BA82" t="str">
            <v>.</v>
          </cell>
        </row>
        <row r="83">
          <cell r="BA83" t="str">
            <v>.</v>
          </cell>
        </row>
        <row r="84">
          <cell r="BA84" t="str">
            <v>.</v>
          </cell>
        </row>
        <row r="85">
          <cell r="BA85" t="str">
            <v>.</v>
          </cell>
        </row>
        <row r="86">
          <cell r="BA86" t="str">
            <v>.</v>
          </cell>
        </row>
        <row r="87">
          <cell r="BA87" t="str">
            <v>.</v>
          </cell>
        </row>
        <row r="88">
          <cell r="BA88" t="str">
            <v>.</v>
          </cell>
        </row>
        <row r="89">
          <cell r="BA89" t="str">
            <v>.</v>
          </cell>
        </row>
        <row r="90">
          <cell r="BA90" t="str">
            <v>.</v>
          </cell>
        </row>
        <row r="91">
          <cell r="BA91" t="str">
            <v>.</v>
          </cell>
        </row>
        <row r="92">
          <cell r="BA92" t="str">
            <v>.</v>
          </cell>
        </row>
        <row r="93">
          <cell r="BA93" t="str">
            <v>.</v>
          </cell>
        </row>
        <row r="94">
          <cell r="BA94" t="str">
            <v>.</v>
          </cell>
        </row>
        <row r="95">
          <cell r="BA95" t="str">
            <v>.</v>
          </cell>
        </row>
        <row r="96">
          <cell r="BA96" t="str">
            <v>.</v>
          </cell>
        </row>
        <row r="97">
          <cell r="BA97" t="str">
            <v>.</v>
          </cell>
        </row>
        <row r="98">
          <cell r="BA98" t="str">
            <v>.</v>
          </cell>
        </row>
        <row r="99">
          <cell r="BA99" t="str">
            <v>.</v>
          </cell>
        </row>
        <row r="100">
          <cell r="BA100" t="str">
            <v>.</v>
          </cell>
        </row>
        <row r="101">
          <cell r="BA101" t="str">
            <v>.</v>
          </cell>
        </row>
        <row r="102">
          <cell r="BA102" t="str">
            <v>.</v>
          </cell>
        </row>
        <row r="103">
          <cell r="BA103" t="str">
            <v>.</v>
          </cell>
        </row>
        <row r="104">
          <cell r="BA104" t="str">
            <v>.</v>
          </cell>
        </row>
        <row r="105">
          <cell r="BA105" t="str">
            <v>.</v>
          </cell>
        </row>
        <row r="106">
          <cell r="BA106" t="str">
            <v>.</v>
          </cell>
        </row>
        <row r="107">
          <cell r="BA107" t="str">
            <v>.</v>
          </cell>
        </row>
        <row r="108">
          <cell r="BA108" t="str">
            <v>.</v>
          </cell>
        </row>
        <row r="109">
          <cell r="BA109" t="str">
            <v>.</v>
          </cell>
        </row>
        <row r="110">
          <cell r="BA110" t="str">
            <v>.</v>
          </cell>
        </row>
        <row r="111">
          <cell r="BA111" t="str">
            <v>.</v>
          </cell>
        </row>
        <row r="112">
          <cell r="BA112" t="str">
            <v>.</v>
          </cell>
        </row>
        <row r="113">
          <cell r="BA113" t="str">
            <v>.</v>
          </cell>
        </row>
        <row r="114">
          <cell r="BA114" t="str">
            <v>.</v>
          </cell>
        </row>
        <row r="115">
          <cell r="BA115" t="str">
            <v>.</v>
          </cell>
        </row>
        <row r="116">
          <cell r="BA116" t="str">
            <v>.</v>
          </cell>
        </row>
        <row r="117">
          <cell r="BA117" t="str">
            <v>.</v>
          </cell>
        </row>
        <row r="118">
          <cell r="BA118" t="str">
            <v>.</v>
          </cell>
        </row>
        <row r="119">
          <cell r="BA119" t="str">
            <v>.</v>
          </cell>
        </row>
        <row r="120">
          <cell r="BA120" t="str">
            <v>.</v>
          </cell>
        </row>
        <row r="121">
          <cell r="BA121" t="str">
            <v>.</v>
          </cell>
        </row>
        <row r="122">
          <cell r="BA122" t="str">
            <v>.</v>
          </cell>
        </row>
        <row r="123">
          <cell r="BA123" t="str">
            <v>.</v>
          </cell>
        </row>
        <row r="124">
          <cell r="BA124" t="str">
            <v>.</v>
          </cell>
        </row>
        <row r="125">
          <cell r="BA125" t="str">
            <v>.</v>
          </cell>
        </row>
        <row r="126">
          <cell r="BA126" t="str">
            <v>.</v>
          </cell>
        </row>
        <row r="127">
          <cell r="BA127" t="str">
            <v>.</v>
          </cell>
        </row>
        <row r="128">
          <cell r="BA128" t="str">
            <v>.</v>
          </cell>
        </row>
        <row r="129">
          <cell r="BA129" t="str">
            <v>.</v>
          </cell>
        </row>
        <row r="130">
          <cell r="BA130" t="str">
            <v>.</v>
          </cell>
        </row>
        <row r="131">
          <cell r="BA131" t="str">
            <v>.</v>
          </cell>
        </row>
        <row r="132">
          <cell r="BA132" t="str">
            <v>.</v>
          </cell>
        </row>
        <row r="133">
          <cell r="BA133" t="str">
            <v>.</v>
          </cell>
        </row>
        <row r="134">
          <cell r="BA134" t="str">
            <v>.</v>
          </cell>
        </row>
        <row r="135">
          <cell r="BA135" t="str">
            <v>.</v>
          </cell>
        </row>
        <row r="136">
          <cell r="BA136" t="str">
            <v>.</v>
          </cell>
        </row>
        <row r="137">
          <cell r="BA137" t="str">
            <v>.</v>
          </cell>
        </row>
        <row r="138">
          <cell r="BA138" t="str">
            <v>.</v>
          </cell>
        </row>
        <row r="139">
          <cell r="BA139" t="str">
            <v>.</v>
          </cell>
        </row>
        <row r="140">
          <cell r="BA140" t="str">
            <v>.</v>
          </cell>
        </row>
        <row r="141">
          <cell r="BA141" t="str">
            <v>.</v>
          </cell>
        </row>
        <row r="142">
          <cell r="BA142" t="str">
            <v>.</v>
          </cell>
        </row>
        <row r="143">
          <cell r="BA143" t="str">
            <v>.</v>
          </cell>
        </row>
        <row r="144">
          <cell r="BA144" t="str">
            <v>.</v>
          </cell>
        </row>
        <row r="145">
          <cell r="BA145" t="str">
            <v>.</v>
          </cell>
        </row>
        <row r="146">
          <cell r="BA146" t="str">
            <v>.</v>
          </cell>
        </row>
        <row r="147">
          <cell r="BA147" t="str">
            <v>.</v>
          </cell>
        </row>
        <row r="148">
          <cell r="BA148" t="str">
            <v>.</v>
          </cell>
        </row>
        <row r="149">
          <cell r="BA149" t="str">
            <v>.</v>
          </cell>
        </row>
        <row r="150">
          <cell r="BA150" t="str">
            <v>.</v>
          </cell>
        </row>
        <row r="151">
          <cell r="BA151" t="str">
            <v>.</v>
          </cell>
        </row>
        <row r="152">
          <cell r="BA152" t="str">
            <v>.</v>
          </cell>
        </row>
        <row r="153">
          <cell r="BA153" t="str">
            <v>.</v>
          </cell>
        </row>
        <row r="154">
          <cell r="BA154" t="str">
            <v>.</v>
          </cell>
        </row>
        <row r="155">
          <cell r="BA155" t="str">
            <v>.</v>
          </cell>
        </row>
        <row r="156">
          <cell r="BA156" t="str">
            <v>.</v>
          </cell>
        </row>
        <row r="157">
          <cell r="BA157" t="str">
            <v>.</v>
          </cell>
        </row>
        <row r="158">
          <cell r="BA158" t="str">
            <v>.</v>
          </cell>
        </row>
        <row r="159">
          <cell r="BA159" t="str">
            <v>.</v>
          </cell>
        </row>
        <row r="160">
          <cell r="BA160" t="str">
            <v>.</v>
          </cell>
        </row>
        <row r="161">
          <cell r="BA161" t="str">
            <v>.</v>
          </cell>
        </row>
        <row r="162">
          <cell r="BA162" t="str">
            <v>.</v>
          </cell>
        </row>
        <row r="163">
          <cell r="BA163" t="str">
            <v>.</v>
          </cell>
        </row>
        <row r="164">
          <cell r="BA164" t="str">
            <v>.</v>
          </cell>
        </row>
        <row r="165">
          <cell r="BA165" t="str">
            <v>.</v>
          </cell>
        </row>
        <row r="166">
          <cell r="BA166" t="str">
            <v>.</v>
          </cell>
        </row>
        <row r="167">
          <cell r="BA167" t="str">
            <v>.</v>
          </cell>
        </row>
        <row r="168">
          <cell r="BA168" t="str">
            <v>.</v>
          </cell>
        </row>
        <row r="169">
          <cell r="BA169" t="str">
            <v>.</v>
          </cell>
        </row>
        <row r="170">
          <cell r="BA170" t="str">
            <v>.</v>
          </cell>
        </row>
        <row r="171">
          <cell r="BA171" t="str">
            <v>.</v>
          </cell>
        </row>
        <row r="172">
          <cell r="BA172" t="str">
            <v>.</v>
          </cell>
        </row>
        <row r="173">
          <cell r="BA173" t="str">
            <v>.</v>
          </cell>
        </row>
        <row r="174">
          <cell r="BA174" t="str">
            <v>.</v>
          </cell>
        </row>
        <row r="175">
          <cell r="BA175" t="str">
            <v>.</v>
          </cell>
        </row>
        <row r="176">
          <cell r="BA176" t="str">
            <v>.</v>
          </cell>
        </row>
        <row r="177">
          <cell r="BA177" t="str">
            <v>.</v>
          </cell>
        </row>
        <row r="178">
          <cell r="BA178" t="str">
            <v>.</v>
          </cell>
        </row>
        <row r="179">
          <cell r="BA179" t="str">
            <v>.</v>
          </cell>
        </row>
        <row r="180">
          <cell r="BA180" t="str">
            <v>.</v>
          </cell>
        </row>
        <row r="181">
          <cell r="BA181" t="str">
            <v>.</v>
          </cell>
        </row>
        <row r="182">
          <cell r="BA182" t="str">
            <v>.</v>
          </cell>
        </row>
        <row r="183">
          <cell r="BA183" t="str">
            <v>.</v>
          </cell>
        </row>
        <row r="184">
          <cell r="BA184" t="str">
            <v>.</v>
          </cell>
        </row>
        <row r="185">
          <cell r="BA185" t="str">
            <v>.</v>
          </cell>
        </row>
        <row r="186">
          <cell r="BA186" t="str">
            <v>.</v>
          </cell>
        </row>
        <row r="187">
          <cell r="BA187" t="str">
            <v>.</v>
          </cell>
        </row>
        <row r="188">
          <cell r="BA188" t="str">
            <v>.</v>
          </cell>
        </row>
        <row r="189">
          <cell r="BA189" t="str">
            <v>.</v>
          </cell>
        </row>
        <row r="190">
          <cell r="BA190" t="str">
            <v>.</v>
          </cell>
        </row>
        <row r="191">
          <cell r="BA191" t="str">
            <v>.</v>
          </cell>
        </row>
        <row r="192">
          <cell r="BA192" t="str">
            <v>.</v>
          </cell>
        </row>
        <row r="193">
          <cell r="BA193" t="str">
            <v>.</v>
          </cell>
        </row>
        <row r="194">
          <cell r="BA194" t="str">
            <v>.</v>
          </cell>
        </row>
        <row r="195">
          <cell r="BA195" t="str">
            <v>.</v>
          </cell>
        </row>
        <row r="196">
          <cell r="BA196" t="str">
            <v>.</v>
          </cell>
        </row>
        <row r="197">
          <cell r="BA197" t="str">
            <v>.</v>
          </cell>
        </row>
        <row r="198">
          <cell r="BA198" t="str">
            <v>.</v>
          </cell>
        </row>
        <row r="199">
          <cell r="BA199" t="str">
            <v>.</v>
          </cell>
        </row>
        <row r="200">
          <cell r="BA200" t="str">
            <v>.</v>
          </cell>
        </row>
        <row r="201">
          <cell r="BA201" t="str">
            <v>.</v>
          </cell>
        </row>
        <row r="202">
          <cell r="BA202" t="str">
            <v>.</v>
          </cell>
        </row>
        <row r="203">
          <cell r="BA203" t="str">
            <v>.</v>
          </cell>
        </row>
        <row r="204">
          <cell r="BA204" t="str">
            <v>.</v>
          </cell>
        </row>
        <row r="205">
          <cell r="BA205" t="str">
            <v>.</v>
          </cell>
        </row>
        <row r="206">
          <cell r="BA206" t="str">
            <v>.</v>
          </cell>
        </row>
        <row r="207">
          <cell r="BA207" t="str">
            <v>.</v>
          </cell>
        </row>
        <row r="208">
          <cell r="BA208" t="str">
            <v>.</v>
          </cell>
        </row>
        <row r="209">
          <cell r="BA209" t="str">
            <v>.</v>
          </cell>
        </row>
        <row r="210">
          <cell r="BA210" t="str">
            <v>.</v>
          </cell>
        </row>
        <row r="211">
          <cell r="BA211" t="str">
            <v>.</v>
          </cell>
        </row>
        <row r="212">
          <cell r="BA212" t="str">
            <v>.</v>
          </cell>
        </row>
        <row r="213">
          <cell r="BA213" t="str">
            <v>.</v>
          </cell>
        </row>
        <row r="214">
          <cell r="BA214" t="str">
            <v>.</v>
          </cell>
        </row>
        <row r="215">
          <cell r="BA215" t="str">
            <v>.</v>
          </cell>
        </row>
        <row r="216">
          <cell r="BA216" t="str">
            <v>.</v>
          </cell>
        </row>
        <row r="217">
          <cell r="BA217" t="str">
            <v>.</v>
          </cell>
        </row>
        <row r="218">
          <cell r="BA218" t="str">
            <v>.</v>
          </cell>
        </row>
        <row r="219">
          <cell r="BA219" t="str">
            <v>.</v>
          </cell>
        </row>
        <row r="220">
          <cell r="BA220" t="str">
            <v>.</v>
          </cell>
        </row>
        <row r="221">
          <cell r="BA221" t="str">
            <v>.</v>
          </cell>
        </row>
        <row r="222">
          <cell r="BA222" t="str">
            <v>.</v>
          </cell>
        </row>
        <row r="223">
          <cell r="BA223" t="str">
            <v>.</v>
          </cell>
        </row>
        <row r="224">
          <cell r="BA224" t="str">
            <v>.</v>
          </cell>
        </row>
        <row r="225">
          <cell r="BA225" t="str">
            <v>.</v>
          </cell>
        </row>
        <row r="226">
          <cell r="BA226" t="str">
            <v>.</v>
          </cell>
        </row>
        <row r="227">
          <cell r="BA227" t="str">
            <v>.</v>
          </cell>
        </row>
        <row r="228">
          <cell r="BA228" t="str">
            <v>.</v>
          </cell>
        </row>
        <row r="229">
          <cell r="BA229" t="str">
            <v>.</v>
          </cell>
        </row>
        <row r="230">
          <cell r="BA230" t="str">
            <v>.</v>
          </cell>
        </row>
        <row r="231">
          <cell r="BA231" t="str">
            <v>.</v>
          </cell>
        </row>
        <row r="232">
          <cell r="BA232" t="str">
            <v>.</v>
          </cell>
        </row>
        <row r="233">
          <cell r="BA233" t="str">
            <v>.</v>
          </cell>
        </row>
        <row r="234">
          <cell r="BA234" t="str">
            <v>.</v>
          </cell>
        </row>
        <row r="235">
          <cell r="BA235" t="str">
            <v>.</v>
          </cell>
        </row>
        <row r="236">
          <cell r="BA236" t="str">
            <v>.</v>
          </cell>
        </row>
        <row r="237">
          <cell r="BA237" t="str">
            <v>.</v>
          </cell>
        </row>
        <row r="238">
          <cell r="BA238" t="str">
            <v>.</v>
          </cell>
        </row>
        <row r="239">
          <cell r="BA239" t="str">
            <v>.</v>
          </cell>
        </row>
        <row r="240">
          <cell r="BA240" t="str">
            <v>.</v>
          </cell>
        </row>
        <row r="241">
          <cell r="BA241" t="str">
            <v>.</v>
          </cell>
        </row>
        <row r="242">
          <cell r="BA242" t="str">
            <v>.</v>
          </cell>
        </row>
        <row r="243">
          <cell r="BA243" t="str">
            <v>.</v>
          </cell>
        </row>
        <row r="244">
          <cell r="BA244" t="str">
            <v>.</v>
          </cell>
        </row>
        <row r="245">
          <cell r="BA245" t="str">
            <v>.</v>
          </cell>
        </row>
        <row r="246">
          <cell r="BA246" t="str">
            <v>.</v>
          </cell>
        </row>
        <row r="247">
          <cell r="BA247" t="str">
            <v>.</v>
          </cell>
        </row>
        <row r="248">
          <cell r="BA248" t="str">
            <v>.</v>
          </cell>
        </row>
        <row r="249">
          <cell r="BA249" t="str">
            <v>.</v>
          </cell>
        </row>
        <row r="250">
          <cell r="BA250" t="str">
            <v>.</v>
          </cell>
        </row>
        <row r="251">
          <cell r="BA251" t="str">
            <v>.</v>
          </cell>
        </row>
        <row r="252">
          <cell r="BA252" t="str">
            <v>.</v>
          </cell>
        </row>
        <row r="253">
          <cell r="BA253" t="str">
            <v>.</v>
          </cell>
        </row>
        <row r="254">
          <cell r="BA254" t="str">
            <v>.</v>
          </cell>
        </row>
        <row r="255">
          <cell r="BA255" t="str">
            <v>.</v>
          </cell>
        </row>
        <row r="256">
          <cell r="BA256" t="str">
            <v>.</v>
          </cell>
        </row>
        <row r="257">
          <cell r="BA257" t="str">
            <v>.</v>
          </cell>
        </row>
        <row r="258">
          <cell r="BA258" t="str">
            <v>.</v>
          </cell>
        </row>
        <row r="259">
          <cell r="BA259" t="str">
            <v>.</v>
          </cell>
        </row>
        <row r="260">
          <cell r="BA260" t="str">
            <v>.</v>
          </cell>
        </row>
        <row r="261">
          <cell r="BA261" t="str">
            <v>.</v>
          </cell>
        </row>
        <row r="262">
          <cell r="BA262" t="str">
            <v>.</v>
          </cell>
        </row>
        <row r="263">
          <cell r="BA263" t="str">
            <v>.</v>
          </cell>
        </row>
        <row r="264">
          <cell r="BA264" t="str">
            <v>.</v>
          </cell>
        </row>
        <row r="265">
          <cell r="BA265" t="str">
            <v>.</v>
          </cell>
        </row>
        <row r="266">
          <cell r="BA266" t="str">
            <v>.</v>
          </cell>
        </row>
        <row r="267">
          <cell r="BA267" t="str">
            <v>.</v>
          </cell>
        </row>
        <row r="268">
          <cell r="BA268" t="str">
            <v>.</v>
          </cell>
        </row>
        <row r="269">
          <cell r="BA269" t="str">
            <v>.</v>
          </cell>
        </row>
        <row r="270">
          <cell r="BA270" t="str">
            <v>.</v>
          </cell>
        </row>
        <row r="271">
          <cell r="BA271" t="str">
            <v>.</v>
          </cell>
        </row>
        <row r="272">
          <cell r="BA272" t="str">
            <v>.</v>
          </cell>
        </row>
        <row r="273">
          <cell r="BA273" t="str">
            <v>.</v>
          </cell>
        </row>
        <row r="274">
          <cell r="BA274" t="str">
            <v>.</v>
          </cell>
        </row>
        <row r="275">
          <cell r="BA275" t="str">
            <v>.</v>
          </cell>
        </row>
        <row r="276">
          <cell r="BA276" t="str">
            <v>.</v>
          </cell>
        </row>
        <row r="277">
          <cell r="BA277" t="str">
            <v>.</v>
          </cell>
        </row>
        <row r="278">
          <cell r="BA278" t="str">
            <v>.</v>
          </cell>
        </row>
        <row r="279">
          <cell r="BA279" t="str">
            <v>.</v>
          </cell>
        </row>
        <row r="280">
          <cell r="BA280" t="str">
            <v>.</v>
          </cell>
        </row>
        <row r="281">
          <cell r="BA281" t="str">
            <v>.</v>
          </cell>
        </row>
        <row r="282">
          <cell r="BA282" t="str">
            <v>.</v>
          </cell>
        </row>
        <row r="283">
          <cell r="BA283" t="str">
            <v>.</v>
          </cell>
        </row>
        <row r="284">
          <cell r="BA284" t="str">
            <v>.</v>
          </cell>
        </row>
        <row r="285">
          <cell r="BA285" t="str">
            <v>.</v>
          </cell>
        </row>
        <row r="286">
          <cell r="BA286" t="str">
            <v>.</v>
          </cell>
        </row>
        <row r="287">
          <cell r="BA287" t="str">
            <v>.</v>
          </cell>
        </row>
        <row r="288">
          <cell r="BA288" t="str">
            <v>.</v>
          </cell>
        </row>
        <row r="289">
          <cell r="BA289" t="str">
            <v>.</v>
          </cell>
        </row>
        <row r="290">
          <cell r="BA290" t="str">
            <v>.</v>
          </cell>
        </row>
        <row r="291">
          <cell r="BA291" t="str">
            <v>.</v>
          </cell>
        </row>
        <row r="292">
          <cell r="BA292" t="str">
            <v>.</v>
          </cell>
        </row>
        <row r="293">
          <cell r="BA293" t="str">
            <v>.</v>
          </cell>
        </row>
        <row r="294">
          <cell r="BA294" t="str">
            <v>.</v>
          </cell>
        </row>
        <row r="295">
          <cell r="BA295" t="str">
            <v>.</v>
          </cell>
        </row>
        <row r="296">
          <cell r="BA296" t="str">
            <v>.</v>
          </cell>
        </row>
        <row r="297">
          <cell r="BA297" t="str">
            <v>.</v>
          </cell>
        </row>
        <row r="298">
          <cell r="BA298" t="str">
            <v>.</v>
          </cell>
        </row>
        <row r="299">
          <cell r="BA299" t="str">
            <v>.</v>
          </cell>
        </row>
        <row r="300">
          <cell r="BA300" t="str">
            <v>.</v>
          </cell>
        </row>
        <row r="301">
          <cell r="BA301" t="str">
            <v>.</v>
          </cell>
        </row>
        <row r="302">
          <cell r="BA302" t="str">
            <v>.</v>
          </cell>
        </row>
        <row r="303">
          <cell r="BA303" t="str">
            <v>.</v>
          </cell>
        </row>
        <row r="304">
          <cell r="BA304" t="str">
            <v>.</v>
          </cell>
        </row>
        <row r="305">
          <cell r="BA305" t="str">
            <v>.</v>
          </cell>
        </row>
        <row r="306">
          <cell r="BA306" t="str">
            <v>.</v>
          </cell>
        </row>
        <row r="307">
          <cell r="BA307" t="str">
            <v>.</v>
          </cell>
        </row>
        <row r="308">
          <cell r="BA308" t="str">
            <v>.</v>
          </cell>
        </row>
        <row r="309">
          <cell r="BA309" t="str">
            <v>.</v>
          </cell>
        </row>
        <row r="310">
          <cell r="BA310" t="str">
            <v>.</v>
          </cell>
        </row>
        <row r="311">
          <cell r="BA311" t="str">
            <v>.</v>
          </cell>
        </row>
        <row r="312">
          <cell r="BA312" t="str">
            <v>.</v>
          </cell>
        </row>
        <row r="313">
          <cell r="BA313" t="str">
            <v>.</v>
          </cell>
        </row>
        <row r="314">
          <cell r="BA314" t="str">
            <v>.</v>
          </cell>
        </row>
        <row r="315">
          <cell r="BA315" t="str">
            <v>.</v>
          </cell>
        </row>
        <row r="316">
          <cell r="BA316" t="str">
            <v>.</v>
          </cell>
        </row>
        <row r="317">
          <cell r="BA317" t="str">
            <v>.</v>
          </cell>
        </row>
        <row r="318">
          <cell r="BA318" t="str">
            <v>.</v>
          </cell>
        </row>
        <row r="319">
          <cell r="BA319" t="str">
            <v>.</v>
          </cell>
        </row>
        <row r="320">
          <cell r="BA320" t="str">
            <v>.</v>
          </cell>
        </row>
        <row r="321">
          <cell r="BA321" t="str">
            <v>.</v>
          </cell>
        </row>
        <row r="322">
          <cell r="BA322" t="str">
            <v>.</v>
          </cell>
        </row>
        <row r="323">
          <cell r="BA323" t="str">
            <v>.</v>
          </cell>
        </row>
        <row r="324">
          <cell r="BA324" t="str">
            <v>.</v>
          </cell>
        </row>
        <row r="325">
          <cell r="BA325" t="str">
            <v>.</v>
          </cell>
        </row>
        <row r="326">
          <cell r="BA326" t="str">
            <v>.</v>
          </cell>
        </row>
        <row r="327">
          <cell r="BA327" t="str">
            <v>.</v>
          </cell>
        </row>
        <row r="328">
          <cell r="BA328" t="str">
            <v>.</v>
          </cell>
        </row>
        <row r="329">
          <cell r="BA329" t="str">
            <v>.</v>
          </cell>
        </row>
        <row r="330">
          <cell r="BA330" t="str">
            <v>.</v>
          </cell>
        </row>
        <row r="331">
          <cell r="BA331" t="str">
            <v>.</v>
          </cell>
        </row>
        <row r="332">
          <cell r="BA332" t="str">
            <v>.</v>
          </cell>
        </row>
        <row r="333">
          <cell r="BA333" t="str">
            <v>.</v>
          </cell>
        </row>
        <row r="334">
          <cell r="BA334" t="str">
            <v>.</v>
          </cell>
        </row>
        <row r="335">
          <cell r="BA335" t="str">
            <v>.</v>
          </cell>
        </row>
        <row r="336">
          <cell r="BA336" t="str">
            <v>.</v>
          </cell>
        </row>
        <row r="337">
          <cell r="BA337" t="str">
            <v>.</v>
          </cell>
        </row>
        <row r="338">
          <cell r="BA338" t="str">
            <v>.</v>
          </cell>
        </row>
        <row r="339">
          <cell r="BA339" t="str">
            <v>.</v>
          </cell>
        </row>
        <row r="340">
          <cell r="BA340" t="str">
            <v>.</v>
          </cell>
        </row>
        <row r="341">
          <cell r="BA341" t="str">
            <v>.</v>
          </cell>
        </row>
        <row r="342">
          <cell r="BA342" t="str">
            <v>.</v>
          </cell>
        </row>
        <row r="343">
          <cell r="BA343" t="str">
            <v>.</v>
          </cell>
        </row>
        <row r="344">
          <cell r="BA344" t="str">
            <v>.</v>
          </cell>
        </row>
        <row r="345">
          <cell r="BA345" t="str">
            <v>.</v>
          </cell>
        </row>
        <row r="346">
          <cell r="BA346" t="str">
            <v>.</v>
          </cell>
        </row>
        <row r="347">
          <cell r="BA347" t="str">
            <v>.</v>
          </cell>
        </row>
        <row r="348">
          <cell r="BA348" t="str">
            <v>.</v>
          </cell>
        </row>
        <row r="349">
          <cell r="BA349" t="str">
            <v>.</v>
          </cell>
        </row>
        <row r="350">
          <cell r="BA350" t="str">
            <v>.</v>
          </cell>
        </row>
        <row r="351">
          <cell r="BA351" t="str">
            <v>.</v>
          </cell>
        </row>
        <row r="352">
          <cell r="BA352" t="str">
            <v>.</v>
          </cell>
        </row>
        <row r="353">
          <cell r="BA353" t="str">
            <v>.</v>
          </cell>
        </row>
        <row r="354">
          <cell r="BA354" t="str">
            <v>.</v>
          </cell>
        </row>
        <row r="355">
          <cell r="BA355" t="str">
            <v>.</v>
          </cell>
        </row>
        <row r="356">
          <cell r="BA356" t="str">
            <v>.</v>
          </cell>
        </row>
        <row r="357">
          <cell r="BA357" t="str">
            <v>.</v>
          </cell>
        </row>
        <row r="358">
          <cell r="BA358" t="str">
            <v>.</v>
          </cell>
        </row>
        <row r="359">
          <cell r="BA359" t="str">
            <v>.</v>
          </cell>
        </row>
        <row r="360">
          <cell r="BA360" t="str">
            <v>.</v>
          </cell>
        </row>
        <row r="361">
          <cell r="BA361" t="str">
            <v>.</v>
          </cell>
        </row>
        <row r="362">
          <cell r="BA362" t="str">
            <v>.</v>
          </cell>
        </row>
        <row r="363">
          <cell r="BA363" t="str">
            <v>.</v>
          </cell>
        </row>
        <row r="364">
          <cell r="BA364" t="str">
            <v>.</v>
          </cell>
        </row>
        <row r="365">
          <cell r="BA365" t="str">
            <v>.</v>
          </cell>
        </row>
        <row r="366">
          <cell r="BA366" t="str">
            <v>.</v>
          </cell>
        </row>
        <row r="367">
          <cell r="BA367" t="str">
            <v>.</v>
          </cell>
        </row>
        <row r="368">
          <cell r="BA368" t="str">
            <v>.</v>
          </cell>
        </row>
        <row r="369">
          <cell r="BA369" t="str">
            <v>.</v>
          </cell>
        </row>
        <row r="370">
          <cell r="BA370" t="str">
            <v>.</v>
          </cell>
        </row>
        <row r="371">
          <cell r="BA371" t="str">
            <v>.</v>
          </cell>
        </row>
        <row r="372">
          <cell r="BA372" t="str">
            <v>.</v>
          </cell>
        </row>
        <row r="373">
          <cell r="BA373" t="str">
            <v>.</v>
          </cell>
        </row>
        <row r="374">
          <cell r="BA374" t="str">
            <v>.</v>
          </cell>
        </row>
        <row r="375">
          <cell r="BA375" t="str">
            <v>.</v>
          </cell>
        </row>
        <row r="376">
          <cell r="BA376" t="str">
            <v>.</v>
          </cell>
        </row>
        <row r="377">
          <cell r="BA377" t="str">
            <v>.</v>
          </cell>
        </row>
        <row r="378">
          <cell r="BA378" t="str">
            <v>.</v>
          </cell>
        </row>
        <row r="379">
          <cell r="BA379" t="str">
            <v>.</v>
          </cell>
        </row>
        <row r="380">
          <cell r="BA380" t="str">
            <v>.</v>
          </cell>
        </row>
        <row r="381">
          <cell r="BA381" t="str">
            <v>.</v>
          </cell>
        </row>
        <row r="382">
          <cell r="BA382" t="str">
            <v>.</v>
          </cell>
        </row>
        <row r="383">
          <cell r="BA383" t="str">
            <v>.</v>
          </cell>
        </row>
        <row r="384">
          <cell r="BA384" t="str">
            <v>.</v>
          </cell>
        </row>
        <row r="385">
          <cell r="BA385" t="str">
            <v>.</v>
          </cell>
        </row>
        <row r="386">
          <cell r="BA386" t="str">
            <v>.</v>
          </cell>
        </row>
        <row r="387">
          <cell r="BA387" t="str">
            <v>.</v>
          </cell>
        </row>
        <row r="388">
          <cell r="BA388" t="str">
            <v>.</v>
          </cell>
        </row>
        <row r="389">
          <cell r="BA389" t="str">
            <v>.</v>
          </cell>
        </row>
        <row r="390">
          <cell r="BA390" t="str">
            <v>.</v>
          </cell>
        </row>
        <row r="391">
          <cell r="BA391" t="str">
            <v>.</v>
          </cell>
        </row>
        <row r="392">
          <cell r="BA392" t="str">
            <v>.</v>
          </cell>
        </row>
        <row r="393">
          <cell r="BA393" t="str">
            <v>.</v>
          </cell>
        </row>
        <row r="394">
          <cell r="BA394" t="str">
            <v>.</v>
          </cell>
        </row>
        <row r="395">
          <cell r="BA395" t="str">
            <v>.</v>
          </cell>
        </row>
        <row r="396">
          <cell r="BA396" t="str">
            <v>.</v>
          </cell>
        </row>
        <row r="397">
          <cell r="BA397" t="str">
            <v>.</v>
          </cell>
        </row>
        <row r="398">
          <cell r="BA398" t="str">
            <v>.</v>
          </cell>
        </row>
        <row r="399">
          <cell r="BA399" t="str">
            <v>.</v>
          </cell>
        </row>
        <row r="400">
          <cell r="BA400" t="str">
            <v>.</v>
          </cell>
        </row>
        <row r="401">
          <cell r="BA401" t="str">
            <v>.</v>
          </cell>
        </row>
        <row r="402">
          <cell r="BA402" t="str">
            <v>.</v>
          </cell>
        </row>
        <row r="403">
          <cell r="BA403" t="str">
            <v>.</v>
          </cell>
        </row>
        <row r="404">
          <cell r="BA404" t="str">
            <v>.</v>
          </cell>
        </row>
        <row r="405">
          <cell r="BA405" t="str">
            <v>.</v>
          </cell>
        </row>
        <row r="406">
          <cell r="BA406" t="str">
            <v>.</v>
          </cell>
        </row>
        <row r="407">
          <cell r="BA407" t="str">
            <v>.</v>
          </cell>
        </row>
        <row r="408">
          <cell r="BA408" t="str">
            <v>.</v>
          </cell>
        </row>
        <row r="409">
          <cell r="BA409" t="str">
            <v>.</v>
          </cell>
        </row>
        <row r="410">
          <cell r="BA410" t="str">
            <v>.</v>
          </cell>
        </row>
        <row r="411">
          <cell r="BA411" t="str">
            <v>.</v>
          </cell>
        </row>
        <row r="412">
          <cell r="BA412" t="str">
            <v>.</v>
          </cell>
        </row>
        <row r="413">
          <cell r="BA413" t="str">
            <v>.</v>
          </cell>
        </row>
        <row r="414">
          <cell r="BA414" t="str">
            <v>.</v>
          </cell>
        </row>
        <row r="415">
          <cell r="BA415" t="str">
            <v>.</v>
          </cell>
        </row>
        <row r="416">
          <cell r="BA416" t="str">
            <v>.</v>
          </cell>
        </row>
        <row r="417">
          <cell r="BA417" t="str">
            <v>.</v>
          </cell>
        </row>
        <row r="418">
          <cell r="BA418" t="str">
            <v>.</v>
          </cell>
        </row>
        <row r="419">
          <cell r="BA419" t="str">
            <v>.</v>
          </cell>
        </row>
        <row r="420">
          <cell r="BA420" t="str">
            <v>.</v>
          </cell>
        </row>
        <row r="421">
          <cell r="BA421" t="str">
            <v>.</v>
          </cell>
        </row>
        <row r="422">
          <cell r="BA422" t="str">
            <v>.</v>
          </cell>
        </row>
        <row r="423">
          <cell r="BA423" t="str">
            <v>.</v>
          </cell>
        </row>
        <row r="424">
          <cell r="BA424" t="str">
            <v>.</v>
          </cell>
        </row>
        <row r="425">
          <cell r="BA425" t="str">
            <v>.</v>
          </cell>
        </row>
        <row r="426">
          <cell r="BA426" t="str">
            <v>.</v>
          </cell>
        </row>
        <row r="427">
          <cell r="BA427" t="str">
            <v>.</v>
          </cell>
        </row>
        <row r="428">
          <cell r="BA428" t="str">
            <v>.</v>
          </cell>
        </row>
        <row r="429">
          <cell r="BA429" t="str">
            <v>.</v>
          </cell>
        </row>
        <row r="430">
          <cell r="BA430" t="str">
            <v>.</v>
          </cell>
        </row>
        <row r="431">
          <cell r="BA431" t="str">
            <v>.</v>
          </cell>
        </row>
        <row r="432">
          <cell r="BA432" t="str">
            <v>.</v>
          </cell>
        </row>
        <row r="433">
          <cell r="BA433" t="str">
            <v>.</v>
          </cell>
        </row>
        <row r="434">
          <cell r="BA434" t="str">
            <v>.</v>
          </cell>
        </row>
        <row r="435">
          <cell r="BA435" t="str">
            <v>.</v>
          </cell>
        </row>
        <row r="436">
          <cell r="BA436" t="str">
            <v>.</v>
          </cell>
        </row>
        <row r="437">
          <cell r="BA437" t="str">
            <v>.</v>
          </cell>
        </row>
        <row r="438">
          <cell r="BA438" t="str">
            <v>.</v>
          </cell>
        </row>
        <row r="439">
          <cell r="BA439" t="str">
            <v>.</v>
          </cell>
        </row>
        <row r="440">
          <cell r="BA440" t="str">
            <v>.</v>
          </cell>
        </row>
        <row r="441">
          <cell r="BA441" t="str">
            <v>.</v>
          </cell>
        </row>
        <row r="442">
          <cell r="BA442" t="str">
            <v>.</v>
          </cell>
        </row>
        <row r="443">
          <cell r="BA443" t="str">
            <v>.</v>
          </cell>
        </row>
        <row r="444">
          <cell r="BA444" t="str">
            <v>.</v>
          </cell>
        </row>
        <row r="445">
          <cell r="BA445" t="str">
            <v>.</v>
          </cell>
        </row>
        <row r="446">
          <cell r="BA446" t="str">
            <v>.</v>
          </cell>
        </row>
        <row r="447">
          <cell r="BA447" t="str">
            <v>.</v>
          </cell>
        </row>
        <row r="448">
          <cell r="BA448" t="str">
            <v>.</v>
          </cell>
        </row>
        <row r="449">
          <cell r="BA449" t="str">
            <v>.</v>
          </cell>
        </row>
        <row r="450">
          <cell r="BA450" t="str">
            <v>.</v>
          </cell>
        </row>
        <row r="451">
          <cell r="BA451" t="str">
            <v>.</v>
          </cell>
        </row>
        <row r="452">
          <cell r="BA452" t="str">
            <v>.</v>
          </cell>
        </row>
        <row r="453">
          <cell r="BA453" t="str">
            <v>.</v>
          </cell>
        </row>
        <row r="454">
          <cell r="BA454" t="str">
            <v>.</v>
          </cell>
        </row>
        <row r="455">
          <cell r="BA455" t="str">
            <v>.</v>
          </cell>
        </row>
        <row r="456">
          <cell r="BA456" t="str">
            <v>.</v>
          </cell>
        </row>
        <row r="457">
          <cell r="BA457" t="str">
            <v>.</v>
          </cell>
        </row>
        <row r="458">
          <cell r="BA458" t="str">
            <v>.</v>
          </cell>
        </row>
        <row r="459">
          <cell r="BA459" t="str">
            <v>.</v>
          </cell>
        </row>
        <row r="460">
          <cell r="BA460" t="str">
            <v>.</v>
          </cell>
        </row>
        <row r="461">
          <cell r="BA461" t="str">
            <v>.</v>
          </cell>
        </row>
        <row r="462">
          <cell r="BA462" t="str">
            <v>.</v>
          </cell>
        </row>
        <row r="463">
          <cell r="BA463" t="str">
            <v>.</v>
          </cell>
        </row>
        <row r="464">
          <cell r="BA464" t="str">
            <v>.</v>
          </cell>
        </row>
        <row r="465">
          <cell r="BA465" t="str">
            <v>.</v>
          </cell>
        </row>
        <row r="466">
          <cell r="BA466" t="str">
            <v>.</v>
          </cell>
        </row>
        <row r="467">
          <cell r="BA467" t="str">
            <v>.</v>
          </cell>
        </row>
        <row r="468">
          <cell r="BA468" t="str">
            <v>.</v>
          </cell>
        </row>
        <row r="469">
          <cell r="BA469" t="str">
            <v>.</v>
          </cell>
        </row>
        <row r="470">
          <cell r="BA470" t="str">
            <v>.</v>
          </cell>
        </row>
        <row r="471">
          <cell r="BA471" t="str">
            <v>.</v>
          </cell>
        </row>
        <row r="472">
          <cell r="BA472" t="str">
            <v>.</v>
          </cell>
        </row>
        <row r="473">
          <cell r="BA473" t="str">
            <v>.</v>
          </cell>
        </row>
        <row r="474">
          <cell r="BA474" t="str">
            <v>.</v>
          </cell>
        </row>
        <row r="475">
          <cell r="BA475" t="str">
            <v>.</v>
          </cell>
        </row>
        <row r="476">
          <cell r="BA476" t="str">
            <v>.</v>
          </cell>
        </row>
        <row r="477">
          <cell r="BA477" t="str">
            <v>.</v>
          </cell>
        </row>
        <row r="478">
          <cell r="BA478" t="str">
            <v>.</v>
          </cell>
        </row>
        <row r="479">
          <cell r="BA479" t="str">
            <v>.</v>
          </cell>
        </row>
        <row r="480">
          <cell r="BA480" t="str">
            <v>.</v>
          </cell>
        </row>
        <row r="481">
          <cell r="BA481" t="str">
            <v>.</v>
          </cell>
        </row>
        <row r="482">
          <cell r="BA482" t="str">
            <v>.</v>
          </cell>
        </row>
        <row r="483">
          <cell r="BA483" t="str">
            <v>.</v>
          </cell>
        </row>
        <row r="484">
          <cell r="BA484" t="str">
            <v>.</v>
          </cell>
        </row>
        <row r="485">
          <cell r="BA485" t="str">
            <v>.</v>
          </cell>
        </row>
        <row r="486">
          <cell r="BA486" t="str">
            <v>.</v>
          </cell>
        </row>
        <row r="487">
          <cell r="BA487" t="str">
            <v>.</v>
          </cell>
        </row>
        <row r="488">
          <cell r="BA488" t="str">
            <v>.</v>
          </cell>
        </row>
        <row r="489">
          <cell r="BA489" t="str">
            <v>.</v>
          </cell>
        </row>
        <row r="490">
          <cell r="BA490" t="str">
            <v>.</v>
          </cell>
        </row>
        <row r="491">
          <cell r="BA491" t="str">
            <v>.</v>
          </cell>
        </row>
        <row r="492">
          <cell r="BA492" t="str">
            <v>.</v>
          </cell>
        </row>
        <row r="493">
          <cell r="BA493" t="str">
            <v>.</v>
          </cell>
        </row>
        <row r="494">
          <cell r="BA494" t="str">
            <v>.</v>
          </cell>
        </row>
        <row r="495">
          <cell r="BA495" t="str">
            <v>.</v>
          </cell>
        </row>
        <row r="496">
          <cell r="BA496" t="str">
            <v>.</v>
          </cell>
        </row>
        <row r="497">
          <cell r="BA497" t="str">
            <v>.</v>
          </cell>
        </row>
        <row r="498">
          <cell r="BA498" t="str">
            <v>.</v>
          </cell>
        </row>
        <row r="499">
          <cell r="BA499" t="str">
            <v>.</v>
          </cell>
        </row>
        <row r="500">
          <cell r="BA500" t="str">
            <v>.</v>
          </cell>
        </row>
        <row r="501">
          <cell r="BA501" t="str">
            <v>.</v>
          </cell>
        </row>
        <row r="502">
          <cell r="BA502" t="str">
            <v>.</v>
          </cell>
        </row>
        <row r="503">
          <cell r="BA503" t="str">
            <v>.</v>
          </cell>
        </row>
        <row r="504">
          <cell r="BA504" t="str">
            <v>.</v>
          </cell>
        </row>
        <row r="505">
          <cell r="BA505" t="str">
            <v>.</v>
          </cell>
        </row>
        <row r="506">
          <cell r="BA506" t="str">
            <v>.</v>
          </cell>
        </row>
        <row r="507">
          <cell r="BA507" t="str">
            <v>.</v>
          </cell>
        </row>
        <row r="508">
          <cell r="BA508" t="str">
            <v>.</v>
          </cell>
        </row>
        <row r="509">
          <cell r="BA509" t="str">
            <v>.</v>
          </cell>
        </row>
        <row r="510">
          <cell r="BA510" t="str">
            <v>.</v>
          </cell>
        </row>
        <row r="511">
          <cell r="BA511" t="str">
            <v>.</v>
          </cell>
        </row>
        <row r="512">
          <cell r="BA512" t="str">
            <v>.</v>
          </cell>
        </row>
        <row r="513">
          <cell r="BA513" t="str">
            <v>.</v>
          </cell>
        </row>
        <row r="514">
          <cell r="BA514" t="str">
            <v>.</v>
          </cell>
        </row>
        <row r="515">
          <cell r="BA515" t="str">
            <v>.</v>
          </cell>
        </row>
        <row r="516">
          <cell r="BA516" t="str">
            <v>.</v>
          </cell>
        </row>
        <row r="517">
          <cell r="BA517" t="str">
            <v>.</v>
          </cell>
        </row>
        <row r="518">
          <cell r="BA518" t="str">
            <v>.</v>
          </cell>
        </row>
        <row r="519">
          <cell r="BA519" t="str">
            <v>.</v>
          </cell>
        </row>
        <row r="520">
          <cell r="BA520" t="str">
            <v>.</v>
          </cell>
        </row>
        <row r="521">
          <cell r="BA521" t="str">
            <v>.</v>
          </cell>
        </row>
        <row r="522">
          <cell r="BA522" t="str">
            <v>.</v>
          </cell>
        </row>
        <row r="523">
          <cell r="BA523" t="str">
            <v>.</v>
          </cell>
        </row>
        <row r="524">
          <cell r="BA524" t="str">
            <v>.</v>
          </cell>
        </row>
        <row r="525">
          <cell r="BA525" t="str">
            <v>.</v>
          </cell>
        </row>
        <row r="526">
          <cell r="BA526" t="str">
            <v>.</v>
          </cell>
        </row>
        <row r="527">
          <cell r="BA527" t="str">
            <v>.</v>
          </cell>
        </row>
        <row r="528">
          <cell r="BA528" t="str">
            <v>.</v>
          </cell>
        </row>
        <row r="529">
          <cell r="BA529" t="str">
            <v>.</v>
          </cell>
        </row>
        <row r="530">
          <cell r="BA530" t="str">
            <v>.</v>
          </cell>
        </row>
        <row r="531">
          <cell r="BA531" t="str">
            <v>.</v>
          </cell>
        </row>
        <row r="532">
          <cell r="BA532" t="str">
            <v>.</v>
          </cell>
        </row>
        <row r="533">
          <cell r="BA533" t="str">
            <v>.</v>
          </cell>
        </row>
        <row r="534">
          <cell r="BA534" t="str">
            <v>.</v>
          </cell>
        </row>
        <row r="535">
          <cell r="BA535" t="str">
            <v>.</v>
          </cell>
        </row>
        <row r="536">
          <cell r="BA536" t="str">
            <v>.</v>
          </cell>
        </row>
        <row r="537">
          <cell r="BA537" t="str">
            <v>.</v>
          </cell>
        </row>
        <row r="538">
          <cell r="BA538" t="str">
            <v>.</v>
          </cell>
        </row>
        <row r="539">
          <cell r="BA539" t="str">
            <v>.</v>
          </cell>
        </row>
        <row r="540">
          <cell r="BA540" t="str">
            <v>.</v>
          </cell>
        </row>
        <row r="541">
          <cell r="BA541" t="str">
            <v>.</v>
          </cell>
        </row>
        <row r="542">
          <cell r="BA542" t="str">
            <v>.</v>
          </cell>
        </row>
        <row r="543">
          <cell r="BA543" t="str">
            <v>.</v>
          </cell>
        </row>
        <row r="544">
          <cell r="BA544" t="str">
            <v>.</v>
          </cell>
        </row>
        <row r="545">
          <cell r="BA545" t="str">
            <v>.</v>
          </cell>
        </row>
        <row r="546">
          <cell r="BA546" t="str">
            <v>.</v>
          </cell>
        </row>
        <row r="547">
          <cell r="BA547" t="str">
            <v>.</v>
          </cell>
        </row>
        <row r="548">
          <cell r="BA548" t="str">
            <v>.</v>
          </cell>
        </row>
        <row r="549">
          <cell r="BA549" t="str">
            <v>.</v>
          </cell>
        </row>
        <row r="550">
          <cell r="BA550" t="str">
            <v>.</v>
          </cell>
        </row>
        <row r="551">
          <cell r="BA551" t="str">
            <v>.</v>
          </cell>
        </row>
        <row r="552">
          <cell r="BA552" t="str">
            <v>.</v>
          </cell>
        </row>
        <row r="553">
          <cell r="BA553" t="str">
            <v>.</v>
          </cell>
        </row>
        <row r="554">
          <cell r="BA554" t="str">
            <v>.</v>
          </cell>
        </row>
        <row r="555">
          <cell r="BA555" t="str">
            <v>.</v>
          </cell>
        </row>
        <row r="556">
          <cell r="BA556" t="str">
            <v>.</v>
          </cell>
        </row>
        <row r="557">
          <cell r="BA557" t="str">
            <v>.</v>
          </cell>
        </row>
        <row r="558">
          <cell r="BA558" t="str">
            <v>.</v>
          </cell>
        </row>
        <row r="559">
          <cell r="BA559" t="str">
            <v>.</v>
          </cell>
        </row>
        <row r="560">
          <cell r="BA560" t="str">
            <v>.</v>
          </cell>
        </row>
        <row r="561">
          <cell r="BA561" t="str">
            <v>.</v>
          </cell>
        </row>
        <row r="562">
          <cell r="BA562" t="str">
            <v>.</v>
          </cell>
        </row>
        <row r="563">
          <cell r="BA563" t="str">
            <v>.</v>
          </cell>
        </row>
        <row r="564">
          <cell r="BA564" t="str">
            <v>.</v>
          </cell>
        </row>
        <row r="565">
          <cell r="BA565" t="str">
            <v>.</v>
          </cell>
        </row>
        <row r="566">
          <cell r="BA566" t="str">
            <v>.</v>
          </cell>
        </row>
        <row r="567">
          <cell r="BA567" t="str">
            <v>.</v>
          </cell>
        </row>
        <row r="568">
          <cell r="BA568" t="str">
            <v>.</v>
          </cell>
        </row>
        <row r="569">
          <cell r="BA569" t="str">
            <v>.</v>
          </cell>
        </row>
        <row r="570">
          <cell r="BA570" t="str">
            <v>.</v>
          </cell>
        </row>
        <row r="571">
          <cell r="BA571" t="str">
            <v>.</v>
          </cell>
        </row>
        <row r="572">
          <cell r="BA572" t="str">
            <v>.</v>
          </cell>
        </row>
        <row r="573">
          <cell r="BA573" t="str">
            <v>.</v>
          </cell>
        </row>
        <row r="574">
          <cell r="BA574" t="str">
            <v>.</v>
          </cell>
        </row>
        <row r="575">
          <cell r="BA575" t="str">
            <v>.</v>
          </cell>
        </row>
        <row r="576">
          <cell r="BA576" t="str">
            <v>.</v>
          </cell>
        </row>
        <row r="577">
          <cell r="BA577" t="str">
            <v>.</v>
          </cell>
        </row>
        <row r="578">
          <cell r="BA578" t="str">
            <v>.</v>
          </cell>
        </row>
        <row r="579">
          <cell r="BA579" t="str">
            <v>.</v>
          </cell>
        </row>
        <row r="580">
          <cell r="BA580" t="str">
            <v>.</v>
          </cell>
        </row>
        <row r="581">
          <cell r="BA581" t="str">
            <v>.</v>
          </cell>
        </row>
        <row r="582">
          <cell r="BA582" t="str">
            <v>.</v>
          </cell>
        </row>
        <row r="583">
          <cell r="BA583" t="str">
            <v>.</v>
          </cell>
        </row>
        <row r="584">
          <cell r="BA584" t="str">
            <v>.</v>
          </cell>
        </row>
        <row r="585">
          <cell r="BA585" t="str">
            <v>.</v>
          </cell>
        </row>
        <row r="586">
          <cell r="BA586" t="str">
            <v>.</v>
          </cell>
        </row>
        <row r="587">
          <cell r="BA587" t="str">
            <v>.</v>
          </cell>
        </row>
        <row r="588">
          <cell r="BA588" t="str">
            <v>.</v>
          </cell>
        </row>
        <row r="589">
          <cell r="BA589" t="str">
            <v>.</v>
          </cell>
        </row>
        <row r="590">
          <cell r="BA590" t="str">
            <v>.</v>
          </cell>
        </row>
        <row r="591">
          <cell r="BA591" t="str">
            <v>.</v>
          </cell>
        </row>
        <row r="592">
          <cell r="BA592" t="str">
            <v>.</v>
          </cell>
        </row>
        <row r="593">
          <cell r="BA593" t="str">
            <v>.</v>
          </cell>
        </row>
        <row r="594">
          <cell r="BA594" t="str">
            <v>.</v>
          </cell>
        </row>
        <row r="595">
          <cell r="BA595" t="str">
            <v>.</v>
          </cell>
        </row>
        <row r="596">
          <cell r="BA596" t="str">
            <v>.</v>
          </cell>
        </row>
        <row r="597">
          <cell r="BA597" t="str">
            <v>.</v>
          </cell>
        </row>
        <row r="598">
          <cell r="BA598" t="str">
            <v>.</v>
          </cell>
        </row>
        <row r="599">
          <cell r="BA599" t="str">
            <v>.</v>
          </cell>
        </row>
        <row r="600">
          <cell r="BA600" t="str">
            <v>.</v>
          </cell>
        </row>
        <row r="601">
          <cell r="BA601" t="str">
            <v>.</v>
          </cell>
        </row>
        <row r="602">
          <cell r="BA602" t="str">
            <v>.</v>
          </cell>
        </row>
        <row r="603">
          <cell r="BA603" t="str">
            <v>.</v>
          </cell>
        </row>
        <row r="604">
          <cell r="BA604" t="str">
            <v>.</v>
          </cell>
        </row>
        <row r="605">
          <cell r="BA605" t="str">
            <v>.</v>
          </cell>
        </row>
        <row r="606">
          <cell r="BA606" t="str">
            <v>.</v>
          </cell>
        </row>
        <row r="607">
          <cell r="BA607" t="str">
            <v>.</v>
          </cell>
        </row>
        <row r="608">
          <cell r="BA608" t="str">
            <v>.</v>
          </cell>
        </row>
        <row r="609">
          <cell r="BA609" t="str">
            <v>.</v>
          </cell>
        </row>
        <row r="610">
          <cell r="BA610" t="str">
            <v>.</v>
          </cell>
        </row>
        <row r="611">
          <cell r="BA611" t="str">
            <v>.</v>
          </cell>
        </row>
        <row r="612">
          <cell r="BA612" t="str">
            <v>.</v>
          </cell>
        </row>
        <row r="613">
          <cell r="BA613" t="str">
            <v>.</v>
          </cell>
        </row>
        <row r="614">
          <cell r="BA614" t="str">
            <v>.</v>
          </cell>
        </row>
        <row r="615">
          <cell r="BA615" t="str">
            <v>.</v>
          </cell>
        </row>
        <row r="616">
          <cell r="BA616" t="str">
            <v>.</v>
          </cell>
        </row>
        <row r="617">
          <cell r="BA617" t="str">
            <v>.</v>
          </cell>
        </row>
        <row r="618">
          <cell r="BA618" t="str">
            <v>.</v>
          </cell>
        </row>
        <row r="619">
          <cell r="BA619" t="str">
            <v>.</v>
          </cell>
        </row>
        <row r="620">
          <cell r="BA620" t="str">
            <v>.</v>
          </cell>
        </row>
        <row r="621">
          <cell r="BA621" t="str">
            <v>.</v>
          </cell>
        </row>
        <row r="622">
          <cell r="BA622" t="str">
            <v>.</v>
          </cell>
        </row>
        <row r="623">
          <cell r="BA623" t="str">
            <v>.</v>
          </cell>
        </row>
        <row r="624">
          <cell r="BA624" t="str">
            <v>.</v>
          </cell>
        </row>
        <row r="625">
          <cell r="BA625" t="str">
            <v>.</v>
          </cell>
        </row>
        <row r="626">
          <cell r="BA626" t="str">
            <v>.</v>
          </cell>
        </row>
        <row r="627">
          <cell r="BA627" t="str">
            <v>.</v>
          </cell>
        </row>
        <row r="628">
          <cell r="BA628" t="str">
            <v>.</v>
          </cell>
        </row>
        <row r="629">
          <cell r="BA629" t="str">
            <v>.</v>
          </cell>
        </row>
        <row r="630">
          <cell r="BA630" t="str">
            <v>.</v>
          </cell>
        </row>
        <row r="631">
          <cell r="BA631" t="str">
            <v>.</v>
          </cell>
        </row>
        <row r="632">
          <cell r="BA632" t="str">
            <v>.</v>
          </cell>
        </row>
        <row r="633">
          <cell r="BA633" t="str">
            <v>.</v>
          </cell>
        </row>
        <row r="634">
          <cell r="BA634" t="str">
            <v>.</v>
          </cell>
        </row>
        <row r="635">
          <cell r="BA635" t="str">
            <v>.</v>
          </cell>
        </row>
        <row r="636">
          <cell r="BA636" t="str">
            <v>.</v>
          </cell>
        </row>
        <row r="637">
          <cell r="BA637" t="str">
            <v>.</v>
          </cell>
        </row>
        <row r="638">
          <cell r="BA638" t="str">
            <v>.</v>
          </cell>
        </row>
        <row r="639">
          <cell r="BA639" t="str">
            <v>.</v>
          </cell>
        </row>
        <row r="640">
          <cell r="BA640" t="str">
            <v>.</v>
          </cell>
        </row>
        <row r="641">
          <cell r="BA641" t="str">
            <v>.</v>
          </cell>
        </row>
        <row r="642">
          <cell r="BA642" t="str">
            <v>.</v>
          </cell>
        </row>
        <row r="643">
          <cell r="BA643" t="str">
            <v>.</v>
          </cell>
        </row>
        <row r="644">
          <cell r="BA644" t="str">
            <v>.</v>
          </cell>
        </row>
        <row r="645">
          <cell r="BA645" t="str">
            <v>.</v>
          </cell>
        </row>
        <row r="646">
          <cell r="BA646" t="str">
            <v>.</v>
          </cell>
        </row>
        <row r="647">
          <cell r="BA647" t="str">
            <v>.</v>
          </cell>
        </row>
        <row r="648">
          <cell r="BA648" t="str">
            <v>.</v>
          </cell>
        </row>
        <row r="649">
          <cell r="BA649" t="str">
            <v>.</v>
          </cell>
        </row>
        <row r="650">
          <cell r="BA650" t="str">
            <v>.</v>
          </cell>
        </row>
        <row r="651">
          <cell r="BA651" t="str">
            <v>.</v>
          </cell>
        </row>
        <row r="652">
          <cell r="BA652" t="str">
            <v>.</v>
          </cell>
        </row>
        <row r="653">
          <cell r="BA653" t="str">
            <v>.</v>
          </cell>
        </row>
        <row r="654">
          <cell r="BA654" t="str">
            <v>.</v>
          </cell>
        </row>
        <row r="655">
          <cell r="BA655" t="str">
            <v>.</v>
          </cell>
        </row>
        <row r="656">
          <cell r="BA656" t="str">
            <v>.</v>
          </cell>
        </row>
        <row r="657">
          <cell r="BA657" t="str">
            <v>.</v>
          </cell>
        </row>
        <row r="658">
          <cell r="BA658" t="str">
            <v>.</v>
          </cell>
        </row>
        <row r="659">
          <cell r="BA659" t="str">
            <v>.</v>
          </cell>
        </row>
        <row r="660">
          <cell r="BA660" t="str">
            <v>.</v>
          </cell>
        </row>
        <row r="661">
          <cell r="BA661" t="str">
            <v>.</v>
          </cell>
        </row>
        <row r="662">
          <cell r="BA662" t="str">
            <v>.</v>
          </cell>
        </row>
        <row r="663">
          <cell r="BA663" t="str">
            <v>.</v>
          </cell>
        </row>
        <row r="664">
          <cell r="BA664" t="str">
            <v>.</v>
          </cell>
        </row>
        <row r="665">
          <cell r="BA665" t="str">
            <v>.</v>
          </cell>
        </row>
        <row r="666">
          <cell r="BA666" t="str">
            <v>.</v>
          </cell>
        </row>
        <row r="667">
          <cell r="BA667" t="str">
            <v>.</v>
          </cell>
        </row>
        <row r="668">
          <cell r="BA668" t="str">
            <v>.</v>
          </cell>
        </row>
        <row r="669">
          <cell r="BA669" t="str">
            <v>.</v>
          </cell>
        </row>
        <row r="670">
          <cell r="BA670" t="str">
            <v>.</v>
          </cell>
        </row>
        <row r="671">
          <cell r="BA671" t="str">
            <v>.</v>
          </cell>
        </row>
        <row r="672">
          <cell r="BA672" t="str">
            <v>.</v>
          </cell>
        </row>
        <row r="673">
          <cell r="BA673" t="str">
            <v>.</v>
          </cell>
        </row>
        <row r="674">
          <cell r="BA674" t="str">
            <v>.</v>
          </cell>
        </row>
        <row r="675">
          <cell r="BA675" t="str">
            <v>.</v>
          </cell>
        </row>
        <row r="676">
          <cell r="BA676" t="str">
            <v>.</v>
          </cell>
        </row>
        <row r="677">
          <cell r="BA677" t="str">
            <v>.</v>
          </cell>
        </row>
        <row r="678">
          <cell r="BA678" t="str">
            <v>.</v>
          </cell>
        </row>
        <row r="679">
          <cell r="BA679" t="str">
            <v>.</v>
          </cell>
        </row>
        <row r="680">
          <cell r="BA680" t="str">
            <v>.</v>
          </cell>
        </row>
        <row r="681">
          <cell r="BA681" t="str">
            <v>.</v>
          </cell>
        </row>
        <row r="682">
          <cell r="BA682" t="str">
            <v>.</v>
          </cell>
        </row>
        <row r="683">
          <cell r="BA683" t="str">
            <v>.</v>
          </cell>
        </row>
        <row r="684">
          <cell r="BA684" t="str">
            <v>.</v>
          </cell>
        </row>
        <row r="685">
          <cell r="BA685" t="str">
            <v>.</v>
          </cell>
        </row>
        <row r="686">
          <cell r="BA686" t="str">
            <v>.</v>
          </cell>
        </row>
        <row r="687">
          <cell r="BA687" t="str">
            <v>.</v>
          </cell>
        </row>
        <row r="688">
          <cell r="BA688" t="str">
            <v>.</v>
          </cell>
        </row>
        <row r="689">
          <cell r="BA689" t="str">
            <v>.</v>
          </cell>
        </row>
        <row r="690">
          <cell r="BA690" t="str">
            <v>.</v>
          </cell>
        </row>
        <row r="691">
          <cell r="BA691" t="str">
            <v>.</v>
          </cell>
        </row>
        <row r="692">
          <cell r="BA692" t="str">
            <v>.</v>
          </cell>
        </row>
        <row r="693">
          <cell r="BA693" t="str">
            <v>.</v>
          </cell>
        </row>
        <row r="694">
          <cell r="BA694" t="str">
            <v>.</v>
          </cell>
        </row>
        <row r="695">
          <cell r="BA695" t="str">
            <v>.</v>
          </cell>
        </row>
        <row r="696">
          <cell r="BA696" t="str">
            <v>.</v>
          </cell>
        </row>
        <row r="697">
          <cell r="BA697" t="str">
            <v>.</v>
          </cell>
        </row>
        <row r="698">
          <cell r="BA698" t="str">
            <v>.</v>
          </cell>
        </row>
        <row r="699">
          <cell r="BA699" t="str">
            <v>.</v>
          </cell>
        </row>
        <row r="700">
          <cell r="BA700" t="str">
            <v>.</v>
          </cell>
        </row>
        <row r="701">
          <cell r="BA701" t="str">
            <v>.</v>
          </cell>
        </row>
        <row r="702">
          <cell r="BA702" t="str">
            <v>.</v>
          </cell>
        </row>
        <row r="703">
          <cell r="BA703" t="str">
            <v>.</v>
          </cell>
        </row>
        <row r="704">
          <cell r="BA704" t="str">
            <v>.</v>
          </cell>
        </row>
        <row r="705">
          <cell r="BA705" t="str">
            <v>.</v>
          </cell>
        </row>
        <row r="706">
          <cell r="BA706" t="str">
            <v>.</v>
          </cell>
        </row>
        <row r="707">
          <cell r="BA707" t="str">
            <v>.</v>
          </cell>
        </row>
        <row r="708">
          <cell r="BA708" t="str">
            <v>.</v>
          </cell>
        </row>
        <row r="709">
          <cell r="BA709" t="str">
            <v>.</v>
          </cell>
        </row>
        <row r="710">
          <cell r="BA710" t="str">
            <v>.</v>
          </cell>
        </row>
        <row r="711">
          <cell r="BA711" t="str">
            <v>.</v>
          </cell>
        </row>
        <row r="712">
          <cell r="BA712" t="str">
            <v>.</v>
          </cell>
        </row>
        <row r="713">
          <cell r="BA713" t="str">
            <v>.</v>
          </cell>
        </row>
        <row r="714">
          <cell r="BA714" t="str">
            <v>.</v>
          </cell>
        </row>
        <row r="715">
          <cell r="BA715" t="str">
            <v>.</v>
          </cell>
        </row>
        <row r="716">
          <cell r="BA716" t="str">
            <v>.</v>
          </cell>
        </row>
        <row r="717">
          <cell r="BA717" t="str">
            <v>.</v>
          </cell>
        </row>
        <row r="718">
          <cell r="BA718" t="str">
            <v>.</v>
          </cell>
        </row>
        <row r="719">
          <cell r="BA719" t="str">
            <v>.</v>
          </cell>
        </row>
        <row r="720">
          <cell r="BA720" t="str">
            <v>.</v>
          </cell>
        </row>
        <row r="721">
          <cell r="BA721" t="str">
            <v>.</v>
          </cell>
        </row>
        <row r="722">
          <cell r="BA722" t="str">
            <v>.</v>
          </cell>
        </row>
        <row r="723">
          <cell r="BA723" t="str">
            <v>.</v>
          </cell>
        </row>
        <row r="724">
          <cell r="BA724" t="str">
            <v>.</v>
          </cell>
        </row>
        <row r="725">
          <cell r="BA725" t="str">
            <v>.</v>
          </cell>
        </row>
        <row r="726">
          <cell r="BA726" t="str">
            <v>.</v>
          </cell>
        </row>
        <row r="727">
          <cell r="BA727" t="str">
            <v>.</v>
          </cell>
        </row>
        <row r="728">
          <cell r="BA728" t="str">
            <v>.</v>
          </cell>
        </row>
        <row r="729">
          <cell r="BA729" t="str">
            <v>.</v>
          </cell>
        </row>
        <row r="730">
          <cell r="BA730" t="str">
            <v>.</v>
          </cell>
        </row>
        <row r="731">
          <cell r="BA731" t="str">
            <v>.</v>
          </cell>
        </row>
        <row r="732">
          <cell r="BA732" t="str">
            <v>.</v>
          </cell>
        </row>
        <row r="733">
          <cell r="BA733" t="str">
            <v>.</v>
          </cell>
        </row>
        <row r="734">
          <cell r="BA734" t="str">
            <v>.</v>
          </cell>
        </row>
        <row r="735">
          <cell r="BA735" t="str">
            <v>.</v>
          </cell>
        </row>
        <row r="736">
          <cell r="BA736" t="str">
            <v>.</v>
          </cell>
        </row>
        <row r="737">
          <cell r="BA737" t="str">
            <v>.</v>
          </cell>
        </row>
        <row r="738">
          <cell r="BA738" t="str">
            <v>.</v>
          </cell>
        </row>
        <row r="739">
          <cell r="BA739" t="str">
            <v>.</v>
          </cell>
        </row>
        <row r="740">
          <cell r="BA740" t="str">
            <v>.</v>
          </cell>
        </row>
        <row r="741">
          <cell r="BA741" t="str">
            <v>.</v>
          </cell>
        </row>
        <row r="742">
          <cell r="BA742" t="str">
            <v>.</v>
          </cell>
        </row>
        <row r="743">
          <cell r="BA743" t="str">
            <v>.</v>
          </cell>
        </row>
        <row r="744">
          <cell r="BA744" t="str">
            <v>.</v>
          </cell>
        </row>
        <row r="745">
          <cell r="BA745" t="str">
            <v>.</v>
          </cell>
        </row>
        <row r="746">
          <cell r="BA746" t="str">
            <v>.</v>
          </cell>
        </row>
        <row r="747">
          <cell r="BA747" t="str">
            <v>.</v>
          </cell>
        </row>
        <row r="748">
          <cell r="BA748" t="str">
            <v>.</v>
          </cell>
        </row>
        <row r="749">
          <cell r="BA749" t="str">
            <v>.</v>
          </cell>
        </row>
        <row r="750">
          <cell r="BA750" t="str">
            <v>.</v>
          </cell>
        </row>
        <row r="751">
          <cell r="BA751" t="str">
            <v>.</v>
          </cell>
        </row>
        <row r="752">
          <cell r="BA752" t="str">
            <v>.</v>
          </cell>
        </row>
        <row r="753">
          <cell r="BA753" t="str">
            <v>.</v>
          </cell>
        </row>
        <row r="754">
          <cell r="BA754" t="str">
            <v>.</v>
          </cell>
        </row>
        <row r="755">
          <cell r="BA755" t="str">
            <v>.</v>
          </cell>
        </row>
        <row r="756">
          <cell r="BA756" t="str">
            <v>.</v>
          </cell>
        </row>
        <row r="757">
          <cell r="BA757" t="str">
            <v>.</v>
          </cell>
        </row>
        <row r="758">
          <cell r="BA758" t="str">
            <v>.</v>
          </cell>
        </row>
        <row r="759">
          <cell r="BA759" t="str">
            <v>.</v>
          </cell>
        </row>
        <row r="760">
          <cell r="BA760" t="str">
            <v>.</v>
          </cell>
        </row>
        <row r="761">
          <cell r="BA761" t="str">
            <v>.</v>
          </cell>
        </row>
        <row r="762">
          <cell r="BA762" t="str">
            <v>.</v>
          </cell>
        </row>
        <row r="763">
          <cell r="BA763" t="str">
            <v>.</v>
          </cell>
        </row>
        <row r="764">
          <cell r="BA764" t="str">
            <v>.</v>
          </cell>
        </row>
        <row r="765">
          <cell r="BA765" t="str">
            <v>.</v>
          </cell>
        </row>
        <row r="766">
          <cell r="BA766" t="str">
            <v>.</v>
          </cell>
        </row>
        <row r="767">
          <cell r="BA767" t="str">
            <v>.</v>
          </cell>
        </row>
        <row r="768">
          <cell r="BA768" t="str">
            <v>.</v>
          </cell>
        </row>
        <row r="769">
          <cell r="BA769" t="str">
            <v>.</v>
          </cell>
        </row>
        <row r="770">
          <cell r="BA770" t="str">
            <v>.</v>
          </cell>
        </row>
        <row r="771">
          <cell r="BA771" t="str">
            <v>.</v>
          </cell>
        </row>
        <row r="772">
          <cell r="BA772" t="str">
            <v>.</v>
          </cell>
        </row>
        <row r="773">
          <cell r="BA773" t="str">
            <v>.</v>
          </cell>
        </row>
        <row r="774">
          <cell r="BA774" t="str">
            <v>.</v>
          </cell>
        </row>
        <row r="775">
          <cell r="BA775" t="str">
            <v>.</v>
          </cell>
        </row>
        <row r="776">
          <cell r="BA776" t="str">
            <v>.</v>
          </cell>
        </row>
        <row r="777">
          <cell r="BA777" t="str">
            <v>.</v>
          </cell>
        </row>
        <row r="778">
          <cell r="BA778" t="str">
            <v>.</v>
          </cell>
        </row>
        <row r="779">
          <cell r="BA779" t="str">
            <v>.</v>
          </cell>
        </row>
        <row r="780">
          <cell r="BA780" t="str">
            <v>.</v>
          </cell>
        </row>
        <row r="781">
          <cell r="BA781" t="str">
            <v>.</v>
          </cell>
        </row>
        <row r="782">
          <cell r="BA782" t="str">
            <v>.</v>
          </cell>
        </row>
        <row r="783">
          <cell r="BA783" t="str">
            <v>.</v>
          </cell>
        </row>
        <row r="784">
          <cell r="BA784" t="str">
            <v>.</v>
          </cell>
        </row>
        <row r="785">
          <cell r="BA785" t="str">
            <v>.</v>
          </cell>
        </row>
        <row r="786">
          <cell r="BA786" t="str">
            <v>.</v>
          </cell>
        </row>
        <row r="787">
          <cell r="BA787" t="str">
            <v>.</v>
          </cell>
        </row>
        <row r="788">
          <cell r="BA788" t="str">
            <v>.</v>
          </cell>
        </row>
        <row r="789">
          <cell r="BA789" t="str">
            <v>.</v>
          </cell>
        </row>
        <row r="790">
          <cell r="BA790" t="str">
            <v>.</v>
          </cell>
        </row>
        <row r="791">
          <cell r="BA791" t="str">
            <v>.</v>
          </cell>
        </row>
        <row r="792">
          <cell r="BA792" t="str">
            <v>.</v>
          </cell>
        </row>
        <row r="793">
          <cell r="BA793" t="str">
            <v>.</v>
          </cell>
        </row>
        <row r="794">
          <cell r="BA794" t="str">
            <v>.</v>
          </cell>
        </row>
        <row r="795">
          <cell r="BA795" t="str">
            <v>.</v>
          </cell>
        </row>
        <row r="796">
          <cell r="BA796" t="str">
            <v>.</v>
          </cell>
        </row>
        <row r="797">
          <cell r="BA797" t="str">
            <v>.</v>
          </cell>
        </row>
        <row r="798">
          <cell r="BA798" t="str">
            <v>.</v>
          </cell>
        </row>
        <row r="799">
          <cell r="BA799" t="str">
            <v>.</v>
          </cell>
        </row>
        <row r="800">
          <cell r="BA800" t="str">
            <v>.</v>
          </cell>
        </row>
        <row r="801">
          <cell r="BA801" t="str">
            <v>.</v>
          </cell>
        </row>
        <row r="802">
          <cell r="BA802" t="str">
            <v>.</v>
          </cell>
        </row>
        <row r="803">
          <cell r="BA803" t="str">
            <v>.</v>
          </cell>
        </row>
        <row r="804">
          <cell r="BA804" t="str">
            <v>.</v>
          </cell>
        </row>
        <row r="805">
          <cell r="BA805" t="str">
            <v>.</v>
          </cell>
        </row>
        <row r="806">
          <cell r="BA806" t="str">
            <v>.</v>
          </cell>
        </row>
        <row r="807">
          <cell r="BA807" t="str">
            <v>.</v>
          </cell>
        </row>
        <row r="808">
          <cell r="BA808" t="str">
            <v>.</v>
          </cell>
        </row>
        <row r="809">
          <cell r="BA809" t="str">
            <v>.</v>
          </cell>
        </row>
        <row r="810">
          <cell r="BA810" t="str">
            <v>.</v>
          </cell>
        </row>
        <row r="811">
          <cell r="BA811" t="str">
            <v>.</v>
          </cell>
        </row>
        <row r="812">
          <cell r="BA812" t="str">
            <v>.</v>
          </cell>
        </row>
        <row r="813">
          <cell r="BA813" t="str">
            <v>.</v>
          </cell>
        </row>
        <row r="814">
          <cell r="BA814" t="str">
            <v>.</v>
          </cell>
        </row>
        <row r="815">
          <cell r="BA815" t="str">
            <v>.</v>
          </cell>
        </row>
        <row r="816">
          <cell r="BA816" t="str">
            <v>.</v>
          </cell>
        </row>
        <row r="817">
          <cell r="BA817" t="str">
            <v>.</v>
          </cell>
        </row>
        <row r="818">
          <cell r="BA818" t="str">
            <v>.</v>
          </cell>
        </row>
        <row r="819">
          <cell r="BA819" t="str">
            <v>.</v>
          </cell>
        </row>
        <row r="820">
          <cell r="BA820" t="str">
            <v>.</v>
          </cell>
        </row>
        <row r="821">
          <cell r="BA821" t="str">
            <v>.</v>
          </cell>
        </row>
        <row r="822">
          <cell r="BA822" t="str">
            <v>.</v>
          </cell>
        </row>
        <row r="823">
          <cell r="BA823" t="str">
            <v>.</v>
          </cell>
        </row>
        <row r="824">
          <cell r="BA824" t="str">
            <v>.</v>
          </cell>
        </row>
        <row r="825">
          <cell r="BA825" t="str">
            <v>.</v>
          </cell>
        </row>
        <row r="826">
          <cell r="BA826" t="str">
            <v>.</v>
          </cell>
        </row>
        <row r="827">
          <cell r="BA827" t="str">
            <v>.</v>
          </cell>
        </row>
        <row r="828">
          <cell r="BA828" t="str">
            <v>.</v>
          </cell>
        </row>
        <row r="829">
          <cell r="BA829" t="str">
            <v>.</v>
          </cell>
        </row>
        <row r="830">
          <cell r="BA830" t="str">
            <v>.</v>
          </cell>
        </row>
        <row r="831">
          <cell r="BA831" t="str">
            <v>.</v>
          </cell>
        </row>
        <row r="832">
          <cell r="BA832" t="str">
            <v>.</v>
          </cell>
        </row>
        <row r="833">
          <cell r="BA833" t="str">
            <v>.</v>
          </cell>
        </row>
        <row r="834">
          <cell r="BA834" t="str">
            <v>.</v>
          </cell>
        </row>
        <row r="835">
          <cell r="BA835" t="str">
            <v>.</v>
          </cell>
        </row>
        <row r="836">
          <cell r="BA836" t="str">
            <v>.</v>
          </cell>
        </row>
        <row r="837">
          <cell r="BA837" t="str">
            <v>.</v>
          </cell>
        </row>
        <row r="838">
          <cell r="BA838" t="str">
            <v>.</v>
          </cell>
        </row>
        <row r="839">
          <cell r="BA839" t="str">
            <v>.</v>
          </cell>
        </row>
        <row r="840">
          <cell r="BA840" t="str">
            <v>.</v>
          </cell>
        </row>
        <row r="841">
          <cell r="BA841" t="str">
            <v>.</v>
          </cell>
        </row>
        <row r="842">
          <cell r="BA842" t="str">
            <v>.</v>
          </cell>
        </row>
        <row r="843">
          <cell r="BA843" t="str">
            <v>.</v>
          </cell>
        </row>
        <row r="844">
          <cell r="BA844" t="str">
            <v>.</v>
          </cell>
        </row>
        <row r="845">
          <cell r="BA845" t="str">
            <v>.</v>
          </cell>
        </row>
        <row r="846">
          <cell r="BA846" t="str">
            <v>.</v>
          </cell>
        </row>
        <row r="847">
          <cell r="BA847" t="str">
            <v>.</v>
          </cell>
        </row>
        <row r="848">
          <cell r="BA848" t="str">
            <v>.</v>
          </cell>
        </row>
        <row r="849">
          <cell r="BA849" t="str">
            <v>.</v>
          </cell>
        </row>
        <row r="850">
          <cell r="BA850" t="str">
            <v>.</v>
          </cell>
        </row>
        <row r="851">
          <cell r="BA851" t="str">
            <v>.</v>
          </cell>
        </row>
        <row r="852">
          <cell r="BA852" t="str">
            <v>.</v>
          </cell>
        </row>
        <row r="853">
          <cell r="BA853" t="str">
            <v>.</v>
          </cell>
        </row>
        <row r="854">
          <cell r="BA854" t="str">
            <v>.</v>
          </cell>
        </row>
        <row r="855">
          <cell r="BA855" t="str">
            <v>.</v>
          </cell>
        </row>
        <row r="856">
          <cell r="BA856" t="str">
            <v>.</v>
          </cell>
        </row>
        <row r="857">
          <cell r="BA857" t="str">
            <v>.</v>
          </cell>
        </row>
        <row r="858">
          <cell r="BA858" t="str">
            <v>.</v>
          </cell>
        </row>
        <row r="859">
          <cell r="BA859" t="str">
            <v>.</v>
          </cell>
        </row>
        <row r="860">
          <cell r="BA860" t="str">
            <v>.</v>
          </cell>
        </row>
        <row r="861">
          <cell r="BA861" t="str">
            <v>.</v>
          </cell>
        </row>
        <row r="862">
          <cell r="BA862" t="str">
            <v>.</v>
          </cell>
        </row>
        <row r="863">
          <cell r="BA863" t="str">
            <v>.</v>
          </cell>
        </row>
        <row r="864">
          <cell r="BA864" t="str">
            <v>.</v>
          </cell>
        </row>
        <row r="865">
          <cell r="BA865" t="str">
            <v>.</v>
          </cell>
        </row>
        <row r="866">
          <cell r="BA866" t="str">
            <v>.</v>
          </cell>
        </row>
        <row r="867">
          <cell r="BA867" t="str">
            <v>.</v>
          </cell>
        </row>
        <row r="868">
          <cell r="BA868" t="str">
            <v>.</v>
          </cell>
        </row>
        <row r="869">
          <cell r="BA869" t="str">
            <v>.</v>
          </cell>
        </row>
        <row r="870">
          <cell r="BA870" t="str">
            <v>.</v>
          </cell>
        </row>
        <row r="871">
          <cell r="BA871" t="str">
            <v>.</v>
          </cell>
        </row>
        <row r="872">
          <cell r="BA872" t="str">
            <v>.</v>
          </cell>
        </row>
        <row r="873">
          <cell r="BA873" t="str">
            <v>.</v>
          </cell>
        </row>
        <row r="874">
          <cell r="BA874" t="str">
            <v>.</v>
          </cell>
        </row>
        <row r="875">
          <cell r="BA875" t="str">
            <v>.</v>
          </cell>
        </row>
        <row r="876">
          <cell r="BA876" t="str">
            <v>.</v>
          </cell>
        </row>
        <row r="877">
          <cell r="BA877" t="str">
            <v>.</v>
          </cell>
        </row>
        <row r="878">
          <cell r="BA878" t="str">
            <v>.</v>
          </cell>
        </row>
        <row r="879">
          <cell r="BA879" t="str">
            <v>.</v>
          </cell>
        </row>
        <row r="880">
          <cell r="BA880" t="str">
            <v>.</v>
          </cell>
        </row>
        <row r="881">
          <cell r="BA881" t="str">
            <v>.</v>
          </cell>
        </row>
        <row r="882">
          <cell r="BA882" t="str">
            <v>.</v>
          </cell>
        </row>
        <row r="883">
          <cell r="BA883" t="str">
            <v>.</v>
          </cell>
        </row>
        <row r="884">
          <cell r="BA884" t="str">
            <v>.</v>
          </cell>
        </row>
        <row r="885">
          <cell r="BA885" t="str">
            <v>.</v>
          </cell>
        </row>
        <row r="886">
          <cell r="BA886" t="str">
            <v>.</v>
          </cell>
        </row>
        <row r="887">
          <cell r="BA887" t="str">
            <v>.</v>
          </cell>
        </row>
        <row r="888">
          <cell r="BA888" t="str">
            <v>.</v>
          </cell>
        </row>
        <row r="889">
          <cell r="BA889" t="str">
            <v>.</v>
          </cell>
        </row>
        <row r="890">
          <cell r="BA890" t="str">
            <v>.</v>
          </cell>
        </row>
        <row r="891">
          <cell r="BA891" t="str">
            <v>.</v>
          </cell>
        </row>
        <row r="892">
          <cell r="BA892" t="str">
            <v>.</v>
          </cell>
        </row>
        <row r="893">
          <cell r="BA893" t="str">
            <v>.</v>
          </cell>
        </row>
        <row r="894">
          <cell r="BA894" t="str">
            <v>.</v>
          </cell>
        </row>
        <row r="895">
          <cell r="BA895" t="str">
            <v>.</v>
          </cell>
        </row>
        <row r="896">
          <cell r="BA896" t="str">
            <v>.</v>
          </cell>
        </row>
        <row r="897">
          <cell r="BA897" t="str">
            <v>.</v>
          </cell>
        </row>
        <row r="898">
          <cell r="BA898" t="str">
            <v>.</v>
          </cell>
        </row>
        <row r="899">
          <cell r="BA899" t="str">
            <v>.</v>
          </cell>
        </row>
        <row r="900">
          <cell r="BA900" t="str">
            <v>.</v>
          </cell>
        </row>
        <row r="901">
          <cell r="BA901" t="str">
            <v>.</v>
          </cell>
        </row>
        <row r="902">
          <cell r="BA902" t="str">
            <v>.</v>
          </cell>
        </row>
        <row r="903">
          <cell r="BA903" t="str">
            <v>.</v>
          </cell>
        </row>
        <row r="904">
          <cell r="BA904" t="str">
            <v>.</v>
          </cell>
        </row>
        <row r="905">
          <cell r="BA905" t="str">
            <v>.</v>
          </cell>
        </row>
        <row r="906">
          <cell r="BA906" t="str">
            <v>.</v>
          </cell>
        </row>
        <row r="907">
          <cell r="BA907" t="str">
            <v>.</v>
          </cell>
        </row>
        <row r="908">
          <cell r="BA908" t="str">
            <v>.</v>
          </cell>
        </row>
        <row r="909">
          <cell r="BA909" t="str">
            <v>.</v>
          </cell>
        </row>
        <row r="910">
          <cell r="BA910" t="str">
            <v>.</v>
          </cell>
        </row>
        <row r="911">
          <cell r="BA911" t="str">
            <v>.</v>
          </cell>
        </row>
        <row r="912">
          <cell r="BA912" t="str">
            <v>.</v>
          </cell>
        </row>
        <row r="913">
          <cell r="BA913" t="str">
            <v>.</v>
          </cell>
        </row>
        <row r="914">
          <cell r="BA914" t="str">
            <v>.</v>
          </cell>
        </row>
        <row r="915">
          <cell r="BA915" t="str">
            <v>.</v>
          </cell>
        </row>
        <row r="916">
          <cell r="BA916" t="str">
            <v>.</v>
          </cell>
        </row>
        <row r="917">
          <cell r="BA917" t="str">
            <v>.</v>
          </cell>
        </row>
        <row r="918">
          <cell r="BA918" t="str">
            <v>.</v>
          </cell>
        </row>
        <row r="919">
          <cell r="BA919" t="str">
            <v>.</v>
          </cell>
        </row>
        <row r="920">
          <cell r="BA920" t="str">
            <v>.</v>
          </cell>
        </row>
        <row r="921">
          <cell r="BA921" t="str">
            <v>.</v>
          </cell>
        </row>
        <row r="922">
          <cell r="BA922" t="str">
            <v>.</v>
          </cell>
        </row>
        <row r="923">
          <cell r="BA923" t="str">
            <v>.</v>
          </cell>
        </row>
        <row r="924">
          <cell r="BA924" t="str">
            <v>.</v>
          </cell>
        </row>
        <row r="925">
          <cell r="BA925" t="str">
            <v>.</v>
          </cell>
        </row>
        <row r="926">
          <cell r="BA926" t="str">
            <v>.</v>
          </cell>
        </row>
        <row r="927">
          <cell r="BA927" t="str">
            <v>.</v>
          </cell>
        </row>
        <row r="928">
          <cell r="BA928" t="str">
            <v>.</v>
          </cell>
        </row>
        <row r="929">
          <cell r="BA929" t="str">
            <v>.</v>
          </cell>
        </row>
        <row r="930">
          <cell r="BA930" t="str">
            <v>.</v>
          </cell>
        </row>
        <row r="931">
          <cell r="BA931" t="str">
            <v>.</v>
          </cell>
        </row>
        <row r="932">
          <cell r="BA932" t="str">
            <v>.</v>
          </cell>
        </row>
        <row r="933">
          <cell r="BA933" t="str">
            <v>.</v>
          </cell>
        </row>
        <row r="934">
          <cell r="BA934" t="str">
            <v>.</v>
          </cell>
        </row>
        <row r="935">
          <cell r="BA935" t="str">
            <v>.</v>
          </cell>
        </row>
        <row r="936">
          <cell r="BA936" t="str">
            <v>.</v>
          </cell>
        </row>
        <row r="937">
          <cell r="BA937" t="str">
            <v>.</v>
          </cell>
        </row>
        <row r="938">
          <cell r="BA938" t="str">
            <v>.</v>
          </cell>
        </row>
        <row r="939">
          <cell r="BA939" t="str">
            <v>.</v>
          </cell>
        </row>
        <row r="940">
          <cell r="BA940" t="str">
            <v>.</v>
          </cell>
        </row>
        <row r="941">
          <cell r="BA941" t="str">
            <v>.</v>
          </cell>
        </row>
        <row r="942">
          <cell r="BA942" t="str">
            <v>.</v>
          </cell>
        </row>
        <row r="943">
          <cell r="BA943" t="str">
            <v>.</v>
          </cell>
        </row>
        <row r="944">
          <cell r="BA944" t="str">
            <v>.</v>
          </cell>
        </row>
        <row r="945">
          <cell r="BA945" t="str">
            <v>.</v>
          </cell>
        </row>
        <row r="946">
          <cell r="BA946" t="str">
            <v>.</v>
          </cell>
        </row>
        <row r="947">
          <cell r="BA947" t="str">
            <v>.</v>
          </cell>
        </row>
        <row r="948">
          <cell r="BA948" t="str">
            <v>.</v>
          </cell>
        </row>
        <row r="949">
          <cell r="BA949" t="str">
            <v>.</v>
          </cell>
        </row>
        <row r="950">
          <cell r="BA950" t="str">
            <v>.</v>
          </cell>
        </row>
        <row r="951">
          <cell r="BA951" t="str">
            <v>.</v>
          </cell>
        </row>
        <row r="952">
          <cell r="BA952" t="str">
            <v>.</v>
          </cell>
        </row>
        <row r="953">
          <cell r="BA953" t="str">
            <v>.</v>
          </cell>
        </row>
        <row r="954">
          <cell r="BA954" t="str">
            <v>.</v>
          </cell>
        </row>
        <row r="955">
          <cell r="BA955" t="str">
            <v>.</v>
          </cell>
        </row>
        <row r="956">
          <cell r="BA956" t="str">
            <v>.</v>
          </cell>
        </row>
        <row r="957">
          <cell r="BA957" t="str">
            <v>.</v>
          </cell>
        </row>
        <row r="958">
          <cell r="BA958" t="str">
            <v>.</v>
          </cell>
        </row>
        <row r="959">
          <cell r="BA959" t="str">
            <v>.</v>
          </cell>
        </row>
        <row r="960">
          <cell r="BA960" t="str">
            <v>.</v>
          </cell>
        </row>
        <row r="961">
          <cell r="BA961" t="str">
            <v>.</v>
          </cell>
        </row>
        <row r="962">
          <cell r="BA962" t="str">
            <v>.</v>
          </cell>
        </row>
        <row r="963">
          <cell r="BA963" t="str">
            <v>.</v>
          </cell>
        </row>
        <row r="964">
          <cell r="BA964" t="str">
            <v>.</v>
          </cell>
        </row>
        <row r="965">
          <cell r="BA965" t="str">
            <v>.</v>
          </cell>
        </row>
        <row r="966">
          <cell r="BA966" t="str">
            <v>.</v>
          </cell>
        </row>
        <row r="967">
          <cell r="BA967" t="str">
            <v>.</v>
          </cell>
        </row>
        <row r="968">
          <cell r="BA968" t="str">
            <v>.</v>
          </cell>
        </row>
        <row r="969">
          <cell r="BA969" t="str">
            <v>.</v>
          </cell>
        </row>
        <row r="970">
          <cell r="BA970" t="str">
            <v>.</v>
          </cell>
        </row>
        <row r="971">
          <cell r="BA971" t="str">
            <v>.</v>
          </cell>
        </row>
        <row r="972">
          <cell r="BA972" t="str">
            <v>.</v>
          </cell>
        </row>
        <row r="973">
          <cell r="BA973" t="str">
            <v>.</v>
          </cell>
        </row>
        <row r="974">
          <cell r="BA974" t="str">
            <v>.</v>
          </cell>
        </row>
        <row r="975">
          <cell r="BA975" t="str">
            <v>.</v>
          </cell>
        </row>
        <row r="976">
          <cell r="BA976" t="str">
            <v>.</v>
          </cell>
        </row>
        <row r="977">
          <cell r="BA977" t="str">
            <v>.</v>
          </cell>
        </row>
        <row r="978">
          <cell r="BA978" t="str">
            <v>.</v>
          </cell>
        </row>
        <row r="979">
          <cell r="BA979" t="str">
            <v>.</v>
          </cell>
        </row>
        <row r="980">
          <cell r="BA980" t="str">
            <v>.</v>
          </cell>
        </row>
        <row r="981">
          <cell r="BA981" t="str">
            <v>.</v>
          </cell>
        </row>
        <row r="982">
          <cell r="BA982" t="str">
            <v>.</v>
          </cell>
        </row>
        <row r="983">
          <cell r="BA983" t="str">
            <v>.</v>
          </cell>
        </row>
        <row r="984">
          <cell r="BA984" t="str">
            <v>.</v>
          </cell>
        </row>
        <row r="985">
          <cell r="BA985" t="str">
            <v>.</v>
          </cell>
        </row>
        <row r="986">
          <cell r="BA986" t="str">
            <v>.</v>
          </cell>
        </row>
        <row r="987">
          <cell r="BA987" t="str">
            <v>.</v>
          </cell>
        </row>
        <row r="988">
          <cell r="BA988" t="str">
            <v>.</v>
          </cell>
        </row>
        <row r="989">
          <cell r="BA989" t="str">
            <v>.</v>
          </cell>
        </row>
        <row r="990">
          <cell r="BA990" t="str">
            <v>.</v>
          </cell>
        </row>
        <row r="991">
          <cell r="BA991" t="str">
            <v>.</v>
          </cell>
        </row>
        <row r="992">
          <cell r="BA992" t="str">
            <v>.</v>
          </cell>
        </row>
        <row r="993">
          <cell r="BA993" t="str">
            <v>.</v>
          </cell>
        </row>
        <row r="994">
          <cell r="BA994" t="str">
            <v>.</v>
          </cell>
        </row>
        <row r="995">
          <cell r="BA995" t="str">
            <v>.</v>
          </cell>
        </row>
        <row r="996">
          <cell r="BA996" t="str">
            <v>.</v>
          </cell>
        </row>
        <row r="997">
          <cell r="A997" t="str">
            <v>.</v>
          </cell>
          <cell r="B997" t="str">
            <v>.</v>
          </cell>
          <cell r="C997" t="str">
            <v>.</v>
          </cell>
          <cell r="D997" t="str">
            <v>.</v>
          </cell>
          <cell r="E997" t="str">
            <v>.</v>
          </cell>
          <cell r="F997" t="str">
            <v>.</v>
          </cell>
          <cell r="G997" t="str">
            <v>.</v>
          </cell>
          <cell r="H997" t="str">
            <v>.</v>
          </cell>
          <cell r="S997" t="str">
            <v>.</v>
          </cell>
          <cell r="T997" t="str">
            <v>.</v>
          </cell>
          <cell r="U997" t="str">
            <v>.</v>
          </cell>
          <cell r="V997" t="str">
            <v>.</v>
          </cell>
          <cell r="W997" t="str">
            <v>.</v>
          </cell>
          <cell r="X997" t="str">
            <v>.</v>
          </cell>
          <cell r="Y997" t="str">
            <v>.</v>
          </cell>
          <cell r="Z997" t="str">
            <v>.</v>
          </cell>
          <cell r="AA997" t="str">
            <v>.</v>
          </cell>
          <cell r="AB997" t="str">
            <v>.</v>
          </cell>
          <cell r="AC997" t="str">
            <v>.</v>
          </cell>
          <cell r="AD997" t="str">
            <v>.</v>
          </cell>
          <cell r="AE997" t="str">
            <v>.</v>
          </cell>
          <cell r="AF997" t="str">
            <v>.</v>
          </cell>
          <cell r="AG997" t="str">
            <v>.</v>
          </cell>
          <cell r="AH997" t="str">
            <v>.</v>
          </cell>
          <cell r="AI997" t="str">
            <v>.</v>
          </cell>
          <cell r="AJ997" t="str">
            <v>.</v>
          </cell>
          <cell r="AK997" t="str">
            <v>.</v>
          </cell>
          <cell r="AL997" t="str">
            <v>.</v>
          </cell>
          <cell r="AM997" t="str">
            <v>.</v>
          </cell>
          <cell r="AN997" t="str">
            <v>.</v>
          </cell>
          <cell r="AO997" t="str">
            <v>.</v>
          </cell>
          <cell r="AP997" t="str">
            <v>.</v>
          </cell>
          <cell r="AQ997" t="str">
            <v>.</v>
          </cell>
          <cell r="AR997" t="str">
            <v>.</v>
          </cell>
          <cell r="AS997" t="str">
            <v>.</v>
          </cell>
          <cell r="AT997" t="str">
            <v>.</v>
          </cell>
          <cell r="AU997" t="str">
            <v>.</v>
          </cell>
          <cell r="AV997" t="str">
            <v>.</v>
          </cell>
          <cell r="AW997" t="str">
            <v>.</v>
          </cell>
          <cell r="AX997" t="str">
            <v>.</v>
          </cell>
          <cell r="AY997" t="str">
            <v>.</v>
          </cell>
          <cell r="AZ997" t="str">
            <v>.</v>
          </cell>
          <cell r="BA997" t="str">
            <v>.</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Performance"/>
      <sheetName val="PE FY1"/>
      <sheetName val="EVEBITDA FY1"/>
      <sheetName val="Results"/>
    </sheetNames>
    <sheetDataSet>
      <sheetData sheetId="0"/>
      <sheetData sheetId="1">
        <row r="1">
          <cell r="B1" t="str">
            <v>DROG3-BR</v>
          </cell>
          <cell r="C1" t="str">
            <v>IBOVESPA-BSP</v>
          </cell>
          <cell r="D1" t="str">
            <v>USDBRL</v>
          </cell>
          <cell r="F1" t="str">
            <v>DROG (base 100)</v>
          </cell>
          <cell r="G1" t="str">
            <v>Ibovespa (base 100)</v>
          </cell>
        </row>
        <row r="2">
          <cell r="A2">
            <v>40181</v>
          </cell>
          <cell r="B2">
            <v>28</v>
          </cell>
          <cell r="C2">
            <v>68588.41</v>
          </cell>
          <cell r="D2">
            <v>1.7432000000000001</v>
          </cell>
          <cell r="F2">
            <v>100</v>
          </cell>
          <cell r="G2">
            <v>100</v>
          </cell>
        </row>
        <row r="3">
          <cell r="A3">
            <v>40182</v>
          </cell>
          <cell r="B3">
            <v>28.4</v>
          </cell>
          <cell r="C3">
            <v>70045.08</v>
          </cell>
          <cell r="D3">
            <v>1.7235</v>
          </cell>
          <cell r="F3">
            <v>101.42857142857142</v>
          </cell>
          <cell r="G3">
            <v>102.1237844702917</v>
          </cell>
        </row>
        <row r="4">
          <cell r="A4">
            <v>40183</v>
          </cell>
          <cell r="B4">
            <v>27.71</v>
          </cell>
          <cell r="C4">
            <v>70239.820000000007</v>
          </cell>
          <cell r="D4">
            <v>1.7233000000000001</v>
          </cell>
          <cell r="F4">
            <v>98.964285714285722</v>
          </cell>
          <cell r="G4">
            <v>102.40770999065293</v>
          </cell>
        </row>
        <row r="5">
          <cell r="A5">
            <v>40184</v>
          </cell>
          <cell r="B5">
            <v>27.99</v>
          </cell>
          <cell r="C5">
            <v>70729.34</v>
          </cell>
          <cell r="D5">
            <v>1.7302500000000001</v>
          </cell>
          <cell r="F5">
            <v>99.964285714285708</v>
          </cell>
          <cell r="G5">
            <v>103.1214165775238</v>
          </cell>
        </row>
        <row r="6">
          <cell r="A6">
            <v>40185</v>
          </cell>
          <cell r="B6">
            <v>27.8</v>
          </cell>
          <cell r="C6">
            <v>70451.12</v>
          </cell>
          <cell r="D6">
            <v>1.7359</v>
          </cell>
          <cell r="F6">
            <v>99.285714285714292</v>
          </cell>
          <cell r="G6">
            <v>102.715779531848</v>
          </cell>
        </row>
        <row r="7">
          <cell r="A7">
            <v>40186</v>
          </cell>
          <cell r="B7">
            <v>28.29</v>
          </cell>
          <cell r="C7">
            <v>70262.7</v>
          </cell>
          <cell r="D7">
            <v>1.7364999999999999</v>
          </cell>
          <cell r="F7">
            <v>101.03571428571428</v>
          </cell>
          <cell r="G7">
            <v>102.44106839624945</v>
          </cell>
        </row>
        <row r="8">
          <cell r="A8">
            <v>40187</v>
          </cell>
          <cell r="B8">
            <v>28.29</v>
          </cell>
          <cell r="C8">
            <v>70262.7</v>
          </cell>
          <cell r="D8">
            <v>1.7364999999999999</v>
          </cell>
          <cell r="F8">
            <v>101.03571428571428</v>
          </cell>
          <cell r="G8">
            <v>102.44106839624945</v>
          </cell>
        </row>
        <row r="9">
          <cell r="A9">
            <v>40188</v>
          </cell>
          <cell r="B9">
            <v>28.29</v>
          </cell>
          <cell r="C9">
            <v>70262.7</v>
          </cell>
          <cell r="D9">
            <v>1.7364999999999999</v>
          </cell>
          <cell r="F9">
            <v>101.03571428571428</v>
          </cell>
          <cell r="G9">
            <v>102.44106839624945</v>
          </cell>
        </row>
        <row r="10">
          <cell r="A10">
            <v>40189</v>
          </cell>
          <cell r="B10">
            <v>29.05</v>
          </cell>
          <cell r="C10">
            <v>70433.490000000005</v>
          </cell>
          <cell r="D10">
            <v>1.73075</v>
          </cell>
          <cell r="F10">
            <v>103.75000000000001</v>
          </cell>
          <cell r="G10">
            <v>102.69007548068252</v>
          </cell>
        </row>
        <row r="11">
          <cell r="A11">
            <v>40190</v>
          </cell>
          <cell r="B11">
            <v>29.19</v>
          </cell>
          <cell r="C11">
            <v>70075.78</v>
          </cell>
          <cell r="D11">
            <v>1.7364999999999999</v>
          </cell>
          <cell r="F11">
            <v>104.25</v>
          </cell>
          <cell r="G11">
            <v>102.16854421905974</v>
          </cell>
        </row>
        <row r="12">
          <cell r="A12">
            <v>40191</v>
          </cell>
          <cell r="B12">
            <v>29.9</v>
          </cell>
          <cell r="C12">
            <v>70385.47</v>
          </cell>
          <cell r="D12">
            <v>1.7474499999999999</v>
          </cell>
          <cell r="F12">
            <v>106.78571428571428</v>
          </cell>
          <cell r="G12">
            <v>102.62006365215348</v>
          </cell>
        </row>
        <row r="13">
          <cell r="A13">
            <v>40192</v>
          </cell>
          <cell r="B13">
            <v>29.9</v>
          </cell>
          <cell r="C13">
            <v>69801.42</v>
          </cell>
          <cell r="D13">
            <v>1.7695000000000001</v>
          </cell>
          <cell r="F13">
            <v>106.78571428571428</v>
          </cell>
          <cell r="G13">
            <v>101.7685349463561</v>
          </cell>
        </row>
        <row r="14">
          <cell r="A14">
            <v>40193</v>
          </cell>
          <cell r="B14">
            <v>29.79</v>
          </cell>
          <cell r="C14">
            <v>68978.3</v>
          </cell>
          <cell r="D14">
            <v>1.7683500000000001</v>
          </cell>
          <cell r="F14">
            <v>106.39285714285714</v>
          </cell>
          <cell r="G14">
            <v>100.56844880935422</v>
          </cell>
        </row>
        <row r="15">
          <cell r="A15">
            <v>40194</v>
          </cell>
          <cell r="B15">
            <v>29.79</v>
          </cell>
          <cell r="C15">
            <v>68978.3</v>
          </cell>
          <cell r="D15">
            <v>1.7683500000000001</v>
          </cell>
          <cell r="F15">
            <v>106.39285714285714</v>
          </cell>
          <cell r="G15">
            <v>100.56844880935422</v>
          </cell>
        </row>
        <row r="16">
          <cell r="A16">
            <v>40195</v>
          </cell>
          <cell r="B16">
            <v>29.79</v>
          </cell>
          <cell r="C16">
            <v>68978.3</v>
          </cell>
          <cell r="D16">
            <v>1.7683500000000001</v>
          </cell>
          <cell r="F16">
            <v>106.39285714285714</v>
          </cell>
          <cell r="G16">
            <v>100.56844880935422</v>
          </cell>
        </row>
        <row r="17">
          <cell r="A17">
            <v>40196</v>
          </cell>
          <cell r="B17">
            <v>29.79</v>
          </cell>
          <cell r="C17">
            <v>68978.3</v>
          </cell>
          <cell r="D17">
            <v>1.7683500000000001</v>
          </cell>
          <cell r="F17">
            <v>106.39285714285714</v>
          </cell>
          <cell r="G17">
            <v>100.56844880935422</v>
          </cell>
        </row>
        <row r="18">
          <cell r="A18">
            <v>40197</v>
          </cell>
          <cell r="B18">
            <v>28.99</v>
          </cell>
          <cell r="C18">
            <v>69908.59</v>
          </cell>
          <cell r="D18">
            <v>1.772</v>
          </cell>
          <cell r="F18">
            <v>103.53571428571429</v>
          </cell>
          <cell r="G18">
            <v>101.92478583480793</v>
          </cell>
        </row>
        <row r="19">
          <cell r="A19">
            <v>40198</v>
          </cell>
          <cell r="B19">
            <v>28.69</v>
          </cell>
          <cell r="C19">
            <v>68200.070000000007</v>
          </cell>
          <cell r="D19">
            <v>1.7904</v>
          </cell>
          <cell r="F19">
            <v>102.46428571428572</v>
          </cell>
          <cell r="G19">
            <v>99.433811047668257</v>
          </cell>
        </row>
        <row r="20">
          <cell r="A20">
            <v>40199</v>
          </cell>
          <cell r="B20">
            <v>27.99</v>
          </cell>
          <cell r="C20">
            <v>66270.14</v>
          </cell>
          <cell r="D20">
            <v>1.7985</v>
          </cell>
          <cell r="F20">
            <v>99.964285714285708</v>
          </cell>
          <cell r="G20">
            <v>96.62002661965775</v>
          </cell>
        </row>
        <row r="21">
          <cell r="A21">
            <v>40200</v>
          </cell>
          <cell r="B21">
            <v>28.2</v>
          </cell>
          <cell r="C21">
            <v>66220.039999999994</v>
          </cell>
          <cell r="D21">
            <v>1.8169</v>
          </cell>
          <cell r="F21">
            <v>100.71428571428571</v>
          </cell>
          <cell r="G21">
            <v>96.546982208801737</v>
          </cell>
        </row>
        <row r="22">
          <cell r="A22">
            <v>40201</v>
          </cell>
          <cell r="B22">
            <v>28.2</v>
          </cell>
          <cell r="C22">
            <v>66220.039999999994</v>
          </cell>
          <cell r="D22">
            <v>1.8169</v>
          </cell>
          <cell r="F22">
            <v>100.71428571428571</v>
          </cell>
          <cell r="G22">
            <v>96.546982208801737</v>
          </cell>
        </row>
        <row r="23">
          <cell r="A23">
            <v>40202</v>
          </cell>
          <cell r="B23">
            <v>28.2</v>
          </cell>
          <cell r="C23">
            <v>66220.039999999994</v>
          </cell>
          <cell r="D23">
            <v>1.8169</v>
          </cell>
          <cell r="F23">
            <v>100.71428571428571</v>
          </cell>
          <cell r="G23">
            <v>96.546982208801737</v>
          </cell>
        </row>
        <row r="24">
          <cell r="A24">
            <v>40203</v>
          </cell>
          <cell r="B24">
            <v>28.2</v>
          </cell>
          <cell r="C24">
            <v>66220.039999999994</v>
          </cell>
          <cell r="D24">
            <v>1.8240000000000001</v>
          </cell>
          <cell r="F24">
            <v>100.71428571428571</v>
          </cell>
          <cell r="G24">
            <v>96.546982208801737</v>
          </cell>
        </row>
        <row r="25">
          <cell r="A25">
            <v>40204</v>
          </cell>
          <cell r="B25">
            <v>27.43</v>
          </cell>
          <cell r="C25">
            <v>65523.73</v>
          </cell>
          <cell r="D25">
            <v>1.84355</v>
          </cell>
          <cell r="F25">
            <v>97.964285714285708</v>
          </cell>
          <cell r="G25">
            <v>95.531781535685113</v>
          </cell>
        </row>
        <row r="26">
          <cell r="A26">
            <v>40205</v>
          </cell>
          <cell r="B26">
            <v>26.8</v>
          </cell>
          <cell r="C26">
            <v>65069.79</v>
          </cell>
          <cell r="D26">
            <v>1.8621000000000001</v>
          </cell>
          <cell r="F26">
            <v>95.714285714285722</v>
          </cell>
          <cell r="G26">
            <v>94.869949602272456</v>
          </cell>
        </row>
        <row r="27">
          <cell r="A27">
            <v>40206</v>
          </cell>
          <cell r="B27">
            <v>26.5</v>
          </cell>
          <cell r="C27">
            <v>65587.81</v>
          </cell>
          <cell r="D27">
            <v>1.86175</v>
          </cell>
          <cell r="F27">
            <v>94.642857142857139</v>
          </cell>
          <cell r="G27">
            <v>95.625208398911695</v>
          </cell>
        </row>
        <row r="28">
          <cell r="A28">
            <v>40207</v>
          </cell>
          <cell r="B28">
            <v>27</v>
          </cell>
          <cell r="C28">
            <v>65401.77</v>
          </cell>
          <cell r="D28">
            <v>1.8714</v>
          </cell>
          <cell r="F28">
            <v>96.428571428571431</v>
          </cell>
          <cell r="G28">
            <v>95.353967237321868</v>
          </cell>
        </row>
        <row r="29">
          <cell r="A29">
            <v>40208</v>
          </cell>
          <cell r="B29">
            <v>27</v>
          </cell>
          <cell r="C29">
            <v>65401.77</v>
          </cell>
          <cell r="D29">
            <v>1.8714</v>
          </cell>
          <cell r="F29">
            <v>96.428571428571431</v>
          </cell>
          <cell r="G29">
            <v>95.353967237321868</v>
          </cell>
        </row>
        <row r="30">
          <cell r="A30">
            <v>40209</v>
          </cell>
          <cell r="B30">
            <v>27</v>
          </cell>
          <cell r="C30">
            <v>65401.77</v>
          </cell>
          <cell r="D30">
            <v>1.8714</v>
          </cell>
          <cell r="F30">
            <v>96.428571428571431</v>
          </cell>
          <cell r="G30">
            <v>95.353967237321868</v>
          </cell>
        </row>
        <row r="31">
          <cell r="A31">
            <v>40210</v>
          </cell>
          <cell r="B31">
            <v>28.19</v>
          </cell>
          <cell r="C31">
            <v>66571.740000000005</v>
          </cell>
          <cell r="D31">
            <v>1.8684499999999999</v>
          </cell>
          <cell r="F31">
            <v>100.67857142857144</v>
          </cell>
          <cell r="G31">
            <v>97.05975105706635</v>
          </cell>
        </row>
        <row r="32">
          <cell r="A32">
            <v>40211</v>
          </cell>
          <cell r="B32">
            <v>28.47</v>
          </cell>
          <cell r="C32">
            <v>67163.210000000006</v>
          </cell>
          <cell r="D32">
            <v>1.839</v>
          </cell>
          <cell r="F32">
            <v>101.67857142857142</v>
          </cell>
          <cell r="G32">
            <v>97.922097917126237</v>
          </cell>
        </row>
        <row r="33">
          <cell r="A33">
            <v>40212</v>
          </cell>
          <cell r="B33">
            <v>29.31</v>
          </cell>
          <cell r="C33">
            <v>67108.56</v>
          </cell>
          <cell r="D33">
            <v>1.8459000000000001</v>
          </cell>
          <cell r="F33">
            <v>104.67857142857142</v>
          </cell>
          <cell r="G33">
            <v>97.842419732430002</v>
          </cell>
        </row>
        <row r="34">
          <cell r="A34">
            <v>40213</v>
          </cell>
          <cell r="B34">
            <v>28.2</v>
          </cell>
          <cell r="C34">
            <v>63934.01</v>
          </cell>
          <cell r="D34">
            <v>1.8857999999999999</v>
          </cell>
          <cell r="F34">
            <v>100.71428571428571</v>
          </cell>
          <cell r="G34">
            <v>93.214013854527309</v>
          </cell>
        </row>
        <row r="35">
          <cell r="A35">
            <v>40214</v>
          </cell>
          <cell r="B35">
            <v>27.5</v>
          </cell>
          <cell r="C35">
            <v>62762.7</v>
          </cell>
          <cell r="D35">
            <v>1.875</v>
          </cell>
          <cell r="F35">
            <v>98.214285714285708</v>
          </cell>
          <cell r="G35">
            <v>91.506276351937586</v>
          </cell>
        </row>
        <row r="36">
          <cell r="A36">
            <v>40215</v>
          </cell>
          <cell r="B36">
            <v>27.5</v>
          </cell>
          <cell r="C36">
            <v>62762.7</v>
          </cell>
          <cell r="D36">
            <v>1.875</v>
          </cell>
          <cell r="F36">
            <v>98.214285714285708</v>
          </cell>
          <cell r="G36">
            <v>91.506276351937586</v>
          </cell>
        </row>
        <row r="37">
          <cell r="A37">
            <v>40216</v>
          </cell>
          <cell r="B37">
            <v>27.5</v>
          </cell>
          <cell r="C37">
            <v>62762.7</v>
          </cell>
          <cell r="D37">
            <v>1.875</v>
          </cell>
          <cell r="F37">
            <v>98.214285714285708</v>
          </cell>
          <cell r="G37">
            <v>91.506276351937586</v>
          </cell>
        </row>
        <row r="38">
          <cell r="A38">
            <v>40217</v>
          </cell>
          <cell r="B38">
            <v>28.3</v>
          </cell>
          <cell r="C38">
            <v>63153.09</v>
          </cell>
          <cell r="D38">
            <v>1.8654999999999999</v>
          </cell>
          <cell r="F38">
            <v>101.07142857142857</v>
          </cell>
          <cell r="G38">
            <v>92.075454147428104</v>
          </cell>
        </row>
        <row r="39">
          <cell r="A39">
            <v>40218</v>
          </cell>
          <cell r="B39">
            <v>29</v>
          </cell>
          <cell r="C39">
            <v>64718.17</v>
          </cell>
          <cell r="D39">
            <v>1.85425</v>
          </cell>
          <cell r="F39">
            <v>103.57142857142858</v>
          </cell>
          <cell r="G39">
            <v>94.357297391789658</v>
          </cell>
        </row>
        <row r="40">
          <cell r="A40">
            <v>40219</v>
          </cell>
          <cell r="B40">
            <v>28.99</v>
          </cell>
          <cell r="C40">
            <v>65051.42</v>
          </cell>
          <cell r="D40">
            <v>1.85595</v>
          </cell>
          <cell r="F40">
            <v>103.53571428571429</v>
          </cell>
          <cell r="G40">
            <v>94.843166651625239</v>
          </cell>
        </row>
        <row r="41">
          <cell r="A41">
            <v>40220</v>
          </cell>
          <cell r="B41">
            <v>29</v>
          </cell>
          <cell r="C41">
            <v>66128.94</v>
          </cell>
          <cell r="D41">
            <v>1.8623499999999999</v>
          </cell>
          <cell r="F41">
            <v>103.57142857142858</v>
          </cell>
          <cell r="G41">
            <v>96.41416093477018</v>
          </cell>
        </row>
        <row r="42">
          <cell r="A42">
            <v>40221</v>
          </cell>
          <cell r="B42">
            <v>28.49</v>
          </cell>
          <cell r="C42">
            <v>65854.97</v>
          </cell>
          <cell r="D42">
            <v>1.8629</v>
          </cell>
          <cell r="F42">
            <v>101.74999999999999</v>
          </cell>
          <cell r="G42">
            <v>96.014720271252813</v>
          </cell>
        </row>
        <row r="43">
          <cell r="A43">
            <v>40222</v>
          </cell>
          <cell r="B43">
            <v>28.49</v>
          </cell>
          <cell r="C43">
            <v>65854.97</v>
          </cell>
          <cell r="D43">
            <v>1.8629</v>
          </cell>
          <cell r="F43">
            <v>101.74999999999999</v>
          </cell>
          <cell r="G43">
            <v>96.014720271252813</v>
          </cell>
        </row>
        <row r="44">
          <cell r="A44">
            <v>40223</v>
          </cell>
          <cell r="B44">
            <v>28.49</v>
          </cell>
          <cell r="C44">
            <v>65854.97</v>
          </cell>
          <cell r="D44">
            <v>1.8629</v>
          </cell>
          <cell r="F44">
            <v>101.74999999999999</v>
          </cell>
          <cell r="G44">
            <v>96.014720271252813</v>
          </cell>
        </row>
        <row r="45">
          <cell r="A45">
            <v>40224</v>
          </cell>
          <cell r="B45">
            <v>28.49</v>
          </cell>
          <cell r="C45">
            <v>65854.97</v>
          </cell>
          <cell r="D45">
            <v>1.8629</v>
          </cell>
          <cell r="F45">
            <v>101.74999999999999</v>
          </cell>
          <cell r="G45">
            <v>96.014720271252813</v>
          </cell>
        </row>
        <row r="46">
          <cell r="A46">
            <v>40225</v>
          </cell>
          <cell r="B46">
            <v>28.49</v>
          </cell>
          <cell r="C46">
            <v>65854.97</v>
          </cell>
          <cell r="D46">
            <v>1.8445</v>
          </cell>
          <cell r="F46">
            <v>101.74999999999999</v>
          </cell>
          <cell r="G46">
            <v>96.014720271252813</v>
          </cell>
        </row>
        <row r="47">
          <cell r="A47">
            <v>40226</v>
          </cell>
          <cell r="B47">
            <v>28.85</v>
          </cell>
          <cell r="C47">
            <v>67284.570000000007</v>
          </cell>
          <cell r="D47">
            <v>1.8366499999999999</v>
          </cell>
          <cell r="F47">
            <v>103.03571428571429</v>
          </cell>
          <cell r="G47">
            <v>98.099037432125925</v>
          </cell>
        </row>
        <row r="48">
          <cell r="A48">
            <v>40227</v>
          </cell>
          <cell r="B48">
            <v>28.75</v>
          </cell>
          <cell r="C48">
            <v>67836.08</v>
          </cell>
          <cell r="D48">
            <v>1.8209500000000001</v>
          </cell>
          <cell r="F48">
            <v>102.67857142857142</v>
          </cell>
          <cell r="G48">
            <v>98.90312372017371</v>
          </cell>
        </row>
        <row r="49">
          <cell r="A49">
            <v>40228</v>
          </cell>
          <cell r="B49">
            <v>28.7</v>
          </cell>
          <cell r="C49">
            <v>67597.429999999993</v>
          </cell>
          <cell r="D49">
            <v>1.8131999999999999</v>
          </cell>
          <cell r="F49">
            <v>102.49999999999999</v>
          </cell>
          <cell r="G49">
            <v>98.555178637323692</v>
          </cell>
        </row>
        <row r="50">
          <cell r="A50">
            <v>40229</v>
          </cell>
          <cell r="B50">
            <v>28.7</v>
          </cell>
          <cell r="C50">
            <v>67597.429999999993</v>
          </cell>
          <cell r="D50">
            <v>1.8131999999999999</v>
          </cell>
          <cell r="F50">
            <v>102.49999999999999</v>
          </cell>
          <cell r="G50">
            <v>98.555178637323692</v>
          </cell>
        </row>
        <row r="51">
          <cell r="A51">
            <v>40230</v>
          </cell>
          <cell r="B51">
            <v>28.7</v>
          </cell>
          <cell r="C51">
            <v>67597.429999999993</v>
          </cell>
          <cell r="D51">
            <v>1.8131999999999999</v>
          </cell>
          <cell r="F51">
            <v>102.49999999999999</v>
          </cell>
          <cell r="G51">
            <v>98.555178637323692</v>
          </cell>
        </row>
        <row r="52">
          <cell r="A52">
            <v>40231</v>
          </cell>
          <cell r="B52">
            <v>28.8</v>
          </cell>
          <cell r="C52">
            <v>67184.160000000003</v>
          </cell>
          <cell r="D52">
            <v>1.8109999999999999</v>
          </cell>
          <cell r="F52">
            <v>102.85714285714288</v>
          </cell>
          <cell r="G52">
            <v>97.952642436236687</v>
          </cell>
        </row>
        <row r="53">
          <cell r="A53">
            <v>40232</v>
          </cell>
          <cell r="B53">
            <v>27.19</v>
          </cell>
          <cell r="C53">
            <v>66108.33</v>
          </cell>
          <cell r="D53">
            <v>1.8220000000000001</v>
          </cell>
          <cell r="F53">
            <v>97.107142857142861</v>
          </cell>
          <cell r="G53">
            <v>96.384112126232395</v>
          </cell>
        </row>
        <row r="54">
          <cell r="A54">
            <v>40233</v>
          </cell>
          <cell r="B54">
            <v>28</v>
          </cell>
          <cell r="C54">
            <v>65794.77</v>
          </cell>
          <cell r="D54">
            <v>1.81955</v>
          </cell>
          <cell r="F54">
            <v>100</v>
          </cell>
          <cell r="G54">
            <v>95.926950340443824</v>
          </cell>
        </row>
        <row r="55">
          <cell r="A55">
            <v>40234</v>
          </cell>
          <cell r="B55">
            <v>27.8</v>
          </cell>
          <cell r="C55">
            <v>66121.039999999994</v>
          </cell>
          <cell r="D55">
            <v>1.8353999999999999</v>
          </cell>
          <cell r="F55">
            <v>99.285714285714292</v>
          </cell>
          <cell r="G55">
            <v>96.402642953816823</v>
          </cell>
        </row>
        <row r="56">
          <cell r="A56">
            <v>40235</v>
          </cell>
          <cell r="B56">
            <v>27.8</v>
          </cell>
          <cell r="C56">
            <v>66503.27</v>
          </cell>
          <cell r="D56">
            <v>1.8089999999999999</v>
          </cell>
          <cell r="F56">
            <v>99.285714285714292</v>
          </cell>
          <cell r="G56">
            <v>96.959923695563148</v>
          </cell>
        </row>
        <row r="57">
          <cell r="A57">
            <v>40236</v>
          </cell>
          <cell r="B57">
            <v>27.8</v>
          </cell>
          <cell r="C57">
            <v>66503.27</v>
          </cell>
          <cell r="D57">
            <v>1.8089999999999999</v>
          </cell>
          <cell r="F57">
            <v>99.285714285714292</v>
          </cell>
          <cell r="G57">
            <v>96.959923695563148</v>
          </cell>
        </row>
        <row r="58">
          <cell r="A58">
            <v>40237</v>
          </cell>
          <cell r="B58">
            <v>27.8</v>
          </cell>
          <cell r="C58">
            <v>66503.27</v>
          </cell>
          <cell r="D58">
            <v>1.8089999999999999</v>
          </cell>
          <cell r="F58">
            <v>99.285714285714292</v>
          </cell>
          <cell r="G58">
            <v>96.959923695563148</v>
          </cell>
        </row>
        <row r="59">
          <cell r="A59">
            <v>40238</v>
          </cell>
          <cell r="B59">
            <v>27.78</v>
          </cell>
          <cell r="C59">
            <v>67227.929999999993</v>
          </cell>
          <cell r="D59">
            <v>1.8001</v>
          </cell>
          <cell r="F59">
            <v>99.214285714285722</v>
          </cell>
          <cell r="G59">
            <v>98.01645788260727</v>
          </cell>
        </row>
        <row r="60">
          <cell r="A60">
            <v>40239</v>
          </cell>
          <cell r="B60">
            <v>28.8</v>
          </cell>
          <cell r="C60">
            <v>67779.16</v>
          </cell>
          <cell r="D60">
            <v>1.7820499999999999</v>
          </cell>
          <cell r="F60">
            <v>102.85714285714288</v>
          </cell>
          <cell r="G60">
            <v>98.820135938418758</v>
          </cell>
        </row>
        <row r="61">
          <cell r="A61">
            <v>40240</v>
          </cell>
          <cell r="B61">
            <v>28.75</v>
          </cell>
          <cell r="C61">
            <v>67641.34</v>
          </cell>
          <cell r="D61">
            <v>1.7785</v>
          </cell>
          <cell r="F61">
            <v>102.67857142857142</v>
          </cell>
          <cell r="G61">
            <v>98.619198199812459</v>
          </cell>
        </row>
        <row r="62">
          <cell r="A62">
            <v>40241</v>
          </cell>
          <cell r="B62">
            <v>28.8</v>
          </cell>
          <cell r="C62">
            <v>67814.710000000006</v>
          </cell>
          <cell r="D62">
            <v>1.7904500000000001</v>
          </cell>
          <cell r="F62">
            <v>102.85714285714288</v>
          </cell>
          <cell r="G62">
            <v>98.871966852708795</v>
          </cell>
        </row>
        <row r="63">
          <cell r="A63">
            <v>40242</v>
          </cell>
          <cell r="B63">
            <v>28.5</v>
          </cell>
          <cell r="C63">
            <v>68846.5</v>
          </cell>
          <cell r="D63">
            <v>1.7779499999999999</v>
          </cell>
          <cell r="F63">
            <v>101.78571428571428</v>
          </cell>
          <cell r="G63">
            <v>100.37628806382885</v>
          </cell>
        </row>
        <row r="64">
          <cell r="A64">
            <v>40243</v>
          </cell>
          <cell r="B64">
            <v>28.5</v>
          </cell>
          <cell r="C64">
            <v>68846.5</v>
          </cell>
          <cell r="D64">
            <v>1.7779499999999999</v>
          </cell>
          <cell r="F64">
            <v>101.78571428571428</v>
          </cell>
          <cell r="G64">
            <v>100.37628806382885</v>
          </cell>
        </row>
        <row r="65">
          <cell r="A65">
            <v>40244</v>
          </cell>
          <cell r="B65">
            <v>28.5</v>
          </cell>
          <cell r="C65">
            <v>68846.5</v>
          </cell>
          <cell r="D65">
            <v>1.7779499999999999</v>
          </cell>
          <cell r="F65">
            <v>101.78571428571428</v>
          </cell>
          <cell r="G65">
            <v>100.37628806382885</v>
          </cell>
        </row>
        <row r="66">
          <cell r="A66">
            <v>40245</v>
          </cell>
          <cell r="B66">
            <v>28.75</v>
          </cell>
          <cell r="C66">
            <v>68575.47</v>
          </cell>
          <cell r="D66">
            <v>1.7879499999999999</v>
          </cell>
          <cell r="F66">
            <v>102.67857142857142</v>
          </cell>
          <cell r="G66">
            <v>99.981133838792886</v>
          </cell>
        </row>
        <row r="67">
          <cell r="A67">
            <v>40246</v>
          </cell>
          <cell r="B67">
            <v>28.8</v>
          </cell>
          <cell r="C67">
            <v>69576.38</v>
          </cell>
          <cell r="D67">
            <v>1.7927999999999999</v>
          </cell>
          <cell r="F67">
            <v>102.85714285714288</v>
          </cell>
          <cell r="G67">
            <v>101.44043286613584</v>
          </cell>
        </row>
        <row r="68">
          <cell r="A68">
            <v>40247</v>
          </cell>
          <cell r="B68">
            <v>28.95</v>
          </cell>
          <cell r="C68">
            <v>69979.28</v>
          </cell>
          <cell r="D68">
            <v>1.7675000000000001</v>
          </cell>
          <cell r="F68">
            <v>103.39285714285712</v>
          </cell>
          <cell r="G68">
            <v>102.02784989475626</v>
          </cell>
        </row>
        <row r="69">
          <cell r="A69">
            <v>40248</v>
          </cell>
          <cell r="B69">
            <v>29</v>
          </cell>
          <cell r="C69">
            <v>69884.61</v>
          </cell>
          <cell r="D69">
            <v>1.7692000000000001</v>
          </cell>
          <cell r="F69">
            <v>103.57142857142858</v>
          </cell>
          <cell r="G69">
            <v>101.8898236597116</v>
          </cell>
        </row>
        <row r="70">
          <cell r="A70">
            <v>40249</v>
          </cell>
          <cell r="B70">
            <v>28.7</v>
          </cell>
          <cell r="C70">
            <v>69341.38</v>
          </cell>
          <cell r="D70">
            <v>1.7661</v>
          </cell>
          <cell r="F70">
            <v>102.49999999999999</v>
          </cell>
          <cell r="G70">
            <v>101.09780938208073</v>
          </cell>
        </row>
        <row r="71">
          <cell r="A71">
            <v>40250</v>
          </cell>
          <cell r="B71">
            <v>28.7</v>
          </cell>
          <cell r="C71">
            <v>69341.38</v>
          </cell>
          <cell r="D71">
            <v>1.7661</v>
          </cell>
          <cell r="F71">
            <v>102.49999999999999</v>
          </cell>
          <cell r="G71">
            <v>101.09780938208073</v>
          </cell>
        </row>
        <row r="72">
          <cell r="A72">
            <v>40251</v>
          </cell>
          <cell r="B72">
            <v>28.7</v>
          </cell>
          <cell r="C72">
            <v>69341.38</v>
          </cell>
          <cell r="D72">
            <v>1.7661</v>
          </cell>
          <cell r="F72">
            <v>102.49999999999999</v>
          </cell>
          <cell r="G72">
            <v>101.09780938208073</v>
          </cell>
        </row>
        <row r="73">
          <cell r="A73">
            <v>40252</v>
          </cell>
          <cell r="B73">
            <v>28.5</v>
          </cell>
          <cell r="C73">
            <v>69023.75</v>
          </cell>
          <cell r="D73">
            <v>1.7669999999999999</v>
          </cell>
          <cell r="F73">
            <v>101.78571428571428</v>
          </cell>
          <cell r="G73">
            <v>100.63471364914275</v>
          </cell>
        </row>
        <row r="74">
          <cell r="A74">
            <v>40253</v>
          </cell>
          <cell r="B74">
            <v>28.45</v>
          </cell>
          <cell r="C74">
            <v>69942.210000000006</v>
          </cell>
          <cell r="D74">
            <v>1.7621500000000001</v>
          </cell>
          <cell r="F74">
            <v>101.60714285714285</v>
          </cell>
          <cell r="G74">
            <v>101.97380286261193</v>
          </cell>
        </row>
        <row r="75">
          <cell r="A75">
            <v>40254</v>
          </cell>
          <cell r="B75">
            <v>27.98</v>
          </cell>
          <cell r="C75">
            <v>69723.240000000005</v>
          </cell>
          <cell r="D75">
            <v>1.7656499999999999</v>
          </cell>
          <cell r="F75">
            <v>99.928571428571431</v>
          </cell>
          <cell r="G75">
            <v>101.6545506740862</v>
          </cell>
        </row>
        <row r="76">
          <cell r="A76">
            <v>40255</v>
          </cell>
          <cell r="B76">
            <v>28.5</v>
          </cell>
          <cell r="C76">
            <v>69697.33</v>
          </cell>
          <cell r="D76">
            <v>1.78975</v>
          </cell>
          <cell r="F76">
            <v>101.78571428571428</v>
          </cell>
          <cell r="G76">
            <v>101.61677461250378</v>
          </cell>
        </row>
        <row r="77">
          <cell r="A77">
            <v>40256</v>
          </cell>
          <cell r="B77">
            <v>28.5</v>
          </cell>
          <cell r="C77">
            <v>68828.98</v>
          </cell>
          <cell r="D77">
            <v>1.7983499999999999</v>
          </cell>
          <cell r="F77">
            <v>101.78571428571428</v>
          </cell>
          <cell r="G77">
            <v>100.35074438961334</v>
          </cell>
        </row>
        <row r="78">
          <cell r="A78">
            <v>40257</v>
          </cell>
          <cell r="B78">
            <v>28.5</v>
          </cell>
          <cell r="C78">
            <v>68828.98</v>
          </cell>
          <cell r="D78">
            <v>1.7983499999999999</v>
          </cell>
          <cell r="F78">
            <v>101.78571428571428</v>
          </cell>
          <cell r="G78">
            <v>100.35074438961334</v>
          </cell>
        </row>
        <row r="79">
          <cell r="A79">
            <v>40258</v>
          </cell>
          <cell r="B79">
            <v>28.5</v>
          </cell>
          <cell r="C79">
            <v>68828.98</v>
          </cell>
          <cell r="D79">
            <v>1.7983499999999999</v>
          </cell>
          <cell r="F79">
            <v>101.78571428571428</v>
          </cell>
          <cell r="G79">
            <v>100.35074438961334</v>
          </cell>
        </row>
        <row r="80">
          <cell r="A80">
            <v>40259</v>
          </cell>
          <cell r="B80">
            <v>28.3</v>
          </cell>
          <cell r="C80">
            <v>69041.73</v>
          </cell>
          <cell r="D80">
            <v>1.8027</v>
          </cell>
          <cell r="F80">
            <v>101.07142857142857</v>
          </cell>
          <cell r="G80">
            <v>100.66092799060364</v>
          </cell>
        </row>
        <row r="81">
          <cell r="A81">
            <v>40260</v>
          </cell>
          <cell r="B81">
            <v>28.4</v>
          </cell>
          <cell r="C81">
            <v>69386.720000000001</v>
          </cell>
          <cell r="D81">
            <v>1.78295</v>
          </cell>
          <cell r="F81">
            <v>101.42857142857142</v>
          </cell>
          <cell r="G81">
            <v>101.16391384491928</v>
          </cell>
        </row>
        <row r="82">
          <cell r="A82">
            <v>40261</v>
          </cell>
          <cell r="B82">
            <v>28.59</v>
          </cell>
          <cell r="C82">
            <v>68913.399999999994</v>
          </cell>
          <cell r="D82">
            <v>1.7886</v>
          </cell>
          <cell r="F82">
            <v>102.10714285714286</v>
          </cell>
          <cell r="G82">
            <v>100.47382640886411</v>
          </cell>
        </row>
        <row r="83">
          <cell r="A83">
            <v>40262</v>
          </cell>
          <cell r="B83">
            <v>28.55</v>
          </cell>
          <cell r="C83">
            <v>68441.66</v>
          </cell>
          <cell r="D83">
            <v>1.8047</v>
          </cell>
          <cell r="F83">
            <v>101.96428571428571</v>
          </cell>
          <cell r="G83">
            <v>99.786042568999633</v>
          </cell>
        </row>
        <row r="84">
          <cell r="A84">
            <v>40263</v>
          </cell>
          <cell r="B84">
            <v>28.59</v>
          </cell>
          <cell r="C84">
            <v>68682.66</v>
          </cell>
          <cell r="D84">
            <v>1.8210999999999999</v>
          </cell>
          <cell r="F84">
            <v>102.10714285714286</v>
          </cell>
          <cell r="G84">
            <v>100.1374138866902</v>
          </cell>
        </row>
        <row r="85">
          <cell r="A85">
            <v>40264</v>
          </cell>
          <cell r="B85">
            <v>28.59</v>
          </cell>
          <cell r="C85">
            <v>68682.66</v>
          </cell>
          <cell r="D85">
            <v>1.8210999999999999</v>
          </cell>
          <cell r="F85">
            <v>102.10714285714286</v>
          </cell>
          <cell r="G85">
            <v>100.1374138866902</v>
          </cell>
        </row>
        <row r="86">
          <cell r="A86">
            <v>40265</v>
          </cell>
          <cell r="B86">
            <v>28.59</v>
          </cell>
          <cell r="C86">
            <v>68682.66</v>
          </cell>
          <cell r="D86">
            <v>1.8210999999999999</v>
          </cell>
          <cell r="F86">
            <v>102.10714285714286</v>
          </cell>
          <cell r="G86">
            <v>100.1374138866902</v>
          </cell>
        </row>
        <row r="87">
          <cell r="A87">
            <v>40266</v>
          </cell>
          <cell r="B87">
            <v>28.52</v>
          </cell>
          <cell r="C87">
            <v>69939.12</v>
          </cell>
          <cell r="D87">
            <v>1.80975</v>
          </cell>
          <cell r="F87">
            <v>101.85714285714285</v>
          </cell>
          <cell r="G87">
            <v>101.96929772828965</v>
          </cell>
        </row>
        <row r="88">
          <cell r="A88">
            <v>40267</v>
          </cell>
          <cell r="B88">
            <v>28.5</v>
          </cell>
          <cell r="C88">
            <v>69959.58</v>
          </cell>
          <cell r="D88">
            <v>1.79495</v>
          </cell>
          <cell r="F88">
            <v>101.78571428571428</v>
          </cell>
          <cell r="G88">
            <v>101.99912784098655</v>
          </cell>
        </row>
        <row r="89">
          <cell r="A89">
            <v>40268</v>
          </cell>
          <cell r="B89">
            <v>28.59</v>
          </cell>
          <cell r="C89">
            <v>70371.539999999994</v>
          </cell>
          <cell r="D89">
            <v>1.7847</v>
          </cell>
          <cell r="F89">
            <v>102.10714285714286</v>
          </cell>
          <cell r="G89">
            <v>102.5997540983965</v>
          </cell>
        </row>
        <row r="90">
          <cell r="A90">
            <v>40269</v>
          </cell>
          <cell r="B90">
            <v>28.5</v>
          </cell>
          <cell r="C90">
            <v>71136.34</v>
          </cell>
          <cell r="D90">
            <v>1.76905</v>
          </cell>
          <cell r="F90">
            <v>101.78571428571428</v>
          </cell>
          <cell r="G90">
            <v>103.71481129246179</v>
          </cell>
        </row>
        <row r="91">
          <cell r="A91">
            <v>40270</v>
          </cell>
          <cell r="B91">
            <v>28.5</v>
          </cell>
          <cell r="C91">
            <v>71136.34</v>
          </cell>
          <cell r="D91">
            <v>1.76905</v>
          </cell>
          <cell r="F91">
            <v>101.78571428571428</v>
          </cell>
          <cell r="G91">
            <v>103.71481129246179</v>
          </cell>
        </row>
        <row r="92">
          <cell r="A92">
            <v>40271</v>
          </cell>
          <cell r="B92">
            <v>28.5</v>
          </cell>
          <cell r="C92">
            <v>71136.34</v>
          </cell>
          <cell r="D92">
            <v>1.76905</v>
          </cell>
          <cell r="F92">
            <v>101.78571428571428</v>
          </cell>
          <cell r="G92">
            <v>103.71481129246179</v>
          </cell>
        </row>
        <row r="93">
          <cell r="A93">
            <v>40272</v>
          </cell>
          <cell r="B93">
            <v>28.5</v>
          </cell>
          <cell r="C93">
            <v>71136.34</v>
          </cell>
          <cell r="D93">
            <v>1.76905</v>
          </cell>
          <cell r="F93">
            <v>101.78571428571428</v>
          </cell>
          <cell r="G93">
            <v>103.71481129246179</v>
          </cell>
        </row>
        <row r="94">
          <cell r="A94">
            <v>40273</v>
          </cell>
          <cell r="B94">
            <v>28.39</v>
          </cell>
          <cell r="C94">
            <v>71289.679999999993</v>
          </cell>
          <cell r="D94">
            <v>1.75925</v>
          </cell>
          <cell r="F94">
            <v>101.39285714285715</v>
          </cell>
          <cell r="G94">
            <v>103.93837676073842</v>
          </cell>
        </row>
        <row r="95">
          <cell r="A95">
            <v>40274</v>
          </cell>
          <cell r="B95">
            <v>27.7</v>
          </cell>
          <cell r="C95">
            <v>71095.649999999994</v>
          </cell>
          <cell r="D95">
            <v>1.7604</v>
          </cell>
          <cell r="F95">
            <v>98.928571428571416</v>
          </cell>
          <cell r="G95">
            <v>103.65548640069071</v>
          </cell>
        </row>
        <row r="96">
          <cell r="A96">
            <v>40275</v>
          </cell>
          <cell r="B96">
            <v>27.64</v>
          </cell>
          <cell r="C96">
            <v>70792.94</v>
          </cell>
          <cell r="D96">
            <v>1.7637499999999999</v>
          </cell>
          <cell r="F96">
            <v>98.714285714285722</v>
          </cell>
          <cell r="G96">
            <v>103.21414361405958</v>
          </cell>
        </row>
        <row r="97">
          <cell r="A97">
            <v>40276</v>
          </cell>
          <cell r="B97">
            <v>27.9</v>
          </cell>
          <cell r="C97">
            <v>71784.78</v>
          </cell>
          <cell r="D97">
            <v>1.7839499999999999</v>
          </cell>
          <cell r="F97">
            <v>99.642857142857139</v>
          </cell>
          <cell r="G97">
            <v>104.66021883289028</v>
          </cell>
        </row>
        <row r="98">
          <cell r="A98">
            <v>40277</v>
          </cell>
          <cell r="B98">
            <v>27.2</v>
          </cell>
          <cell r="C98">
            <v>71417.27</v>
          </cell>
          <cell r="D98">
            <v>1.7742</v>
          </cell>
          <cell r="F98">
            <v>97.142857142857139</v>
          </cell>
          <cell r="G98">
            <v>104.12439944299628</v>
          </cell>
        </row>
        <row r="99">
          <cell r="A99">
            <v>40278</v>
          </cell>
          <cell r="B99">
            <v>27.2</v>
          </cell>
          <cell r="C99">
            <v>71417.27</v>
          </cell>
          <cell r="D99">
            <v>1.7742</v>
          </cell>
          <cell r="F99">
            <v>97.142857142857139</v>
          </cell>
          <cell r="G99">
            <v>104.12439944299628</v>
          </cell>
        </row>
        <row r="100">
          <cell r="A100">
            <v>40279</v>
          </cell>
          <cell r="B100">
            <v>27.2</v>
          </cell>
          <cell r="C100">
            <v>71417.27</v>
          </cell>
          <cell r="D100">
            <v>1.7742</v>
          </cell>
          <cell r="F100">
            <v>97.142857142857139</v>
          </cell>
          <cell r="G100">
            <v>104.12439944299628</v>
          </cell>
        </row>
        <row r="101">
          <cell r="A101">
            <v>40280</v>
          </cell>
          <cell r="B101">
            <v>27.19</v>
          </cell>
          <cell r="C101">
            <v>70614.36</v>
          </cell>
          <cell r="D101">
            <v>1.75875</v>
          </cell>
          <cell r="F101">
            <v>97.107142857142861</v>
          </cell>
          <cell r="G101">
            <v>102.95377892562314</v>
          </cell>
        </row>
        <row r="102">
          <cell r="A102">
            <v>40281</v>
          </cell>
          <cell r="B102">
            <v>27.3</v>
          </cell>
          <cell r="C102">
            <v>70792.399999999994</v>
          </cell>
          <cell r="D102">
            <v>1.7659</v>
          </cell>
          <cell r="F102">
            <v>97.5</v>
          </cell>
          <cell r="G102">
            <v>103.21335630903236</v>
          </cell>
        </row>
        <row r="103">
          <cell r="A103">
            <v>40282</v>
          </cell>
          <cell r="B103">
            <v>27.15</v>
          </cell>
          <cell r="C103">
            <v>71034.850000000006</v>
          </cell>
          <cell r="D103">
            <v>1.74275</v>
          </cell>
          <cell r="F103">
            <v>96.964285714285708</v>
          </cell>
          <cell r="G103">
            <v>103.56684168651817</v>
          </cell>
        </row>
        <row r="104">
          <cell r="A104">
            <v>40283</v>
          </cell>
          <cell r="B104">
            <v>27.9</v>
          </cell>
          <cell r="C104">
            <v>70524.350000000006</v>
          </cell>
          <cell r="D104">
            <v>1.74</v>
          </cell>
          <cell r="F104">
            <v>99.642857142857139</v>
          </cell>
          <cell r="G104">
            <v>102.82254684136869</v>
          </cell>
        </row>
        <row r="105">
          <cell r="A105">
            <v>40284</v>
          </cell>
          <cell r="B105">
            <v>28</v>
          </cell>
          <cell r="C105">
            <v>69421.350000000006</v>
          </cell>
          <cell r="D105">
            <v>1.7518</v>
          </cell>
          <cell r="F105">
            <v>100</v>
          </cell>
          <cell r="G105">
            <v>101.21440342471854</v>
          </cell>
        </row>
        <row r="106">
          <cell r="A106">
            <v>40285</v>
          </cell>
          <cell r="B106">
            <v>28</v>
          </cell>
          <cell r="C106">
            <v>69421.350000000006</v>
          </cell>
          <cell r="D106">
            <v>1.7518</v>
          </cell>
          <cell r="F106">
            <v>100</v>
          </cell>
          <cell r="G106">
            <v>101.21440342471854</v>
          </cell>
        </row>
        <row r="107">
          <cell r="A107">
            <v>40286</v>
          </cell>
          <cell r="B107">
            <v>28</v>
          </cell>
          <cell r="C107">
            <v>69421.350000000006</v>
          </cell>
          <cell r="D107">
            <v>1.7518</v>
          </cell>
          <cell r="F107">
            <v>100</v>
          </cell>
          <cell r="G107">
            <v>101.21440342471854</v>
          </cell>
        </row>
        <row r="108">
          <cell r="A108">
            <v>40287</v>
          </cell>
          <cell r="B108">
            <v>28.3</v>
          </cell>
          <cell r="C108">
            <v>69097.58</v>
          </cell>
          <cell r="D108">
            <v>1.7575499999999999</v>
          </cell>
          <cell r="F108">
            <v>101.07142857142857</v>
          </cell>
          <cell r="G108">
            <v>100.74235574202697</v>
          </cell>
        </row>
        <row r="109">
          <cell r="A109">
            <v>40288</v>
          </cell>
          <cell r="B109">
            <v>28.49</v>
          </cell>
          <cell r="C109">
            <v>69318.44</v>
          </cell>
          <cell r="D109">
            <v>1.7511000000000001</v>
          </cell>
          <cell r="F109">
            <v>101.74999999999999</v>
          </cell>
          <cell r="G109">
            <v>101.06436349814787</v>
          </cell>
        </row>
        <row r="110">
          <cell r="A110">
            <v>40289</v>
          </cell>
          <cell r="B110">
            <v>28.49</v>
          </cell>
          <cell r="C110">
            <v>69318.44</v>
          </cell>
          <cell r="D110">
            <v>1.7511000000000001</v>
          </cell>
          <cell r="F110">
            <v>101.74999999999999</v>
          </cell>
          <cell r="G110">
            <v>101.06436349814787</v>
          </cell>
        </row>
        <row r="111">
          <cell r="A111">
            <v>40290</v>
          </cell>
          <cell r="B111">
            <v>29.67</v>
          </cell>
          <cell r="C111">
            <v>69386.41</v>
          </cell>
          <cell r="D111">
            <v>1.7662500000000001</v>
          </cell>
          <cell r="F111">
            <v>105.96428571428571</v>
          </cell>
          <cell r="G111">
            <v>101.16346187351479</v>
          </cell>
        </row>
        <row r="112">
          <cell r="A112">
            <v>40291</v>
          </cell>
          <cell r="B112">
            <v>29.9</v>
          </cell>
          <cell r="C112">
            <v>69509.490000000005</v>
          </cell>
          <cell r="D112">
            <v>1.7623</v>
          </cell>
          <cell r="F112">
            <v>106.78571428571428</v>
          </cell>
          <cell r="G112">
            <v>101.34290910082331</v>
          </cell>
        </row>
        <row r="113">
          <cell r="A113">
            <v>40292</v>
          </cell>
          <cell r="B113">
            <v>29.9</v>
          </cell>
          <cell r="C113">
            <v>69509.490000000005</v>
          </cell>
          <cell r="D113">
            <v>1.7623</v>
          </cell>
          <cell r="F113">
            <v>106.78571428571428</v>
          </cell>
          <cell r="G113">
            <v>101.34290910082331</v>
          </cell>
        </row>
        <row r="114">
          <cell r="A114">
            <v>40293</v>
          </cell>
          <cell r="B114">
            <v>29.9</v>
          </cell>
          <cell r="C114">
            <v>69509.490000000005</v>
          </cell>
          <cell r="D114">
            <v>1.7623</v>
          </cell>
          <cell r="F114">
            <v>106.78571428571428</v>
          </cell>
          <cell r="G114">
            <v>101.34290910082331</v>
          </cell>
        </row>
        <row r="115">
          <cell r="A115">
            <v>40294</v>
          </cell>
          <cell r="B115">
            <v>29.2</v>
          </cell>
          <cell r="C115">
            <v>68871.94</v>
          </cell>
          <cell r="D115">
            <v>1.7442500000000001</v>
          </cell>
          <cell r="F115">
            <v>104.28571428571429</v>
          </cell>
          <cell r="G115">
            <v>100.41337887844317</v>
          </cell>
        </row>
        <row r="116">
          <cell r="A116">
            <v>40295</v>
          </cell>
          <cell r="B116">
            <v>29.05</v>
          </cell>
          <cell r="C116">
            <v>66511.100000000006</v>
          </cell>
          <cell r="D116">
            <v>1.7515000000000001</v>
          </cell>
          <cell r="F116">
            <v>103.75000000000001</v>
          </cell>
          <cell r="G116">
            <v>96.971339618457407</v>
          </cell>
        </row>
        <row r="117">
          <cell r="A117">
            <v>40296</v>
          </cell>
          <cell r="B117">
            <v>29.37</v>
          </cell>
          <cell r="C117">
            <v>66655.710000000006</v>
          </cell>
          <cell r="D117">
            <v>1.7576499999999999</v>
          </cell>
          <cell r="F117">
            <v>104.89285714285714</v>
          </cell>
          <cell r="G117">
            <v>97.182176988794467</v>
          </cell>
        </row>
        <row r="118">
          <cell r="A118">
            <v>40297</v>
          </cell>
          <cell r="B118">
            <v>29.3</v>
          </cell>
          <cell r="C118">
            <v>67978.05</v>
          </cell>
          <cell r="D118">
            <v>1.7309000000000001</v>
          </cell>
          <cell r="F118">
            <v>104.64285714285715</v>
          </cell>
          <cell r="G118">
            <v>99.110112043711169</v>
          </cell>
        </row>
        <row r="119">
          <cell r="A119">
            <v>40298</v>
          </cell>
          <cell r="B119">
            <v>29.95</v>
          </cell>
          <cell r="C119">
            <v>67529.73</v>
          </cell>
          <cell r="D119">
            <v>1.73075</v>
          </cell>
          <cell r="F119">
            <v>106.96428571428571</v>
          </cell>
          <cell r="G119">
            <v>98.456473914470379</v>
          </cell>
        </row>
        <row r="120">
          <cell r="A120">
            <v>40299</v>
          </cell>
          <cell r="B120">
            <v>29.95</v>
          </cell>
          <cell r="C120">
            <v>67529.73</v>
          </cell>
          <cell r="D120">
            <v>1.73075</v>
          </cell>
          <cell r="F120">
            <v>106.96428571428571</v>
          </cell>
          <cell r="G120">
            <v>98.456473914470379</v>
          </cell>
        </row>
        <row r="121">
          <cell r="A121">
            <v>40300</v>
          </cell>
          <cell r="B121">
            <v>29.95</v>
          </cell>
          <cell r="C121">
            <v>67529.73</v>
          </cell>
          <cell r="D121">
            <v>1.73075</v>
          </cell>
          <cell r="F121">
            <v>106.96428571428571</v>
          </cell>
          <cell r="G121">
            <v>98.456473914470379</v>
          </cell>
        </row>
        <row r="122">
          <cell r="A122">
            <v>40301</v>
          </cell>
          <cell r="B122">
            <v>29.5</v>
          </cell>
          <cell r="C122">
            <v>67119.41</v>
          </cell>
          <cell r="D122">
            <v>1.7344999999999999</v>
          </cell>
          <cell r="F122">
            <v>105.35714285714286</v>
          </cell>
          <cell r="G122">
            <v>97.858238731587448</v>
          </cell>
        </row>
        <row r="123">
          <cell r="A123">
            <v>40302</v>
          </cell>
          <cell r="B123">
            <v>28.6</v>
          </cell>
          <cell r="C123">
            <v>64869.32</v>
          </cell>
          <cell r="D123">
            <v>1.7555000000000001</v>
          </cell>
          <cell r="F123">
            <v>102.14285714285715</v>
          </cell>
          <cell r="G123">
            <v>94.577669900789346</v>
          </cell>
        </row>
        <row r="124">
          <cell r="A124">
            <v>40303</v>
          </cell>
          <cell r="B124">
            <v>28.5</v>
          </cell>
          <cell r="C124">
            <v>64914.17</v>
          </cell>
          <cell r="D124">
            <v>1.7878499999999999</v>
          </cell>
          <cell r="F124">
            <v>101.78571428571428</v>
          </cell>
          <cell r="G124">
            <v>94.643059957214334</v>
          </cell>
        </row>
        <row r="125">
          <cell r="A125">
            <v>40304</v>
          </cell>
          <cell r="B125">
            <v>27.9</v>
          </cell>
          <cell r="C125">
            <v>63414.22</v>
          </cell>
          <cell r="D125">
            <v>1.8084499999999999</v>
          </cell>
          <cell r="F125">
            <v>99.642857142857139</v>
          </cell>
          <cell r="G125">
            <v>92.456174446965605</v>
          </cell>
        </row>
        <row r="126">
          <cell r="A126">
            <v>40305</v>
          </cell>
          <cell r="B126">
            <v>27.99</v>
          </cell>
          <cell r="C126">
            <v>62870.879999999997</v>
          </cell>
          <cell r="D126">
            <v>1.84975</v>
          </cell>
          <cell r="F126">
            <v>99.964285714285708</v>
          </cell>
          <cell r="G126">
            <v>91.663999792384743</v>
          </cell>
        </row>
        <row r="127">
          <cell r="A127">
            <v>40306</v>
          </cell>
          <cell r="B127">
            <v>27.99</v>
          </cell>
          <cell r="C127">
            <v>62870.879999999997</v>
          </cell>
          <cell r="D127">
            <v>1.84975</v>
          </cell>
          <cell r="F127">
            <v>99.964285714285708</v>
          </cell>
          <cell r="G127">
            <v>91.663999792384743</v>
          </cell>
        </row>
        <row r="128">
          <cell r="A128">
            <v>40307</v>
          </cell>
          <cell r="B128">
            <v>27.99</v>
          </cell>
          <cell r="C128">
            <v>62870.879999999997</v>
          </cell>
          <cell r="D128">
            <v>1.84975</v>
          </cell>
          <cell r="F128">
            <v>99.964285714285708</v>
          </cell>
          <cell r="G128">
            <v>91.663999792384743</v>
          </cell>
        </row>
        <row r="129">
          <cell r="A129">
            <v>40308</v>
          </cell>
          <cell r="B129">
            <v>29</v>
          </cell>
          <cell r="C129">
            <v>65452.68</v>
          </cell>
          <cell r="D129">
            <v>1.7876000000000001</v>
          </cell>
          <cell r="F129">
            <v>103.57142857142858</v>
          </cell>
          <cell r="G129">
            <v>95.42819260571865</v>
          </cell>
        </row>
        <row r="130">
          <cell r="A130">
            <v>40309</v>
          </cell>
          <cell r="B130">
            <v>29</v>
          </cell>
          <cell r="C130">
            <v>64424.89</v>
          </cell>
          <cell r="D130">
            <v>1.78285</v>
          </cell>
          <cell r="F130">
            <v>103.57142857142858</v>
          </cell>
          <cell r="G130">
            <v>93.92970328368888</v>
          </cell>
        </row>
        <row r="131">
          <cell r="A131">
            <v>40310</v>
          </cell>
          <cell r="B131">
            <v>29.28</v>
          </cell>
          <cell r="C131">
            <v>65223.63</v>
          </cell>
          <cell r="D131">
            <v>1.77155</v>
          </cell>
          <cell r="F131">
            <v>104.57142857142858</v>
          </cell>
          <cell r="G131">
            <v>95.094244056685369</v>
          </cell>
        </row>
        <row r="132">
          <cell r="A132">
            <v>40311</v>
          </cell>
          <cell r="B132">
            <v>28.9</v>
          </cell>
          <cell r="C132">
            <v>64788.22</v>
          </cell>
          <cell r="D132">
            <v>1.7722500000000001</v>
          </cell>
          <cell r="F132">
            <v>103.21428571428571</v>
          </cell>
          <cell r="G132">
            <v>94.459428349483531</v>
          </cell>
        </row>
        <row r="133">
          <cell r="A133">
            <v>40312</v>
          </cell>
          <cell r="B133">
            <v>28.68</v>
          </cell>
          <cell r="C133">
            <v>63412.47</v>
          </cell>
          <cell r="D133">
            <v>1.7946</v>
          </cell>
          <cell r="F133">
            <v>102.42857142857143</v>
          </cell>
          <cell r="G133">
            <v>92.453622995488587</v>
          </cell>
        </row>
        <row r="134">
          <cell r="A134">
            <v>40313</v>
          </cell>
          <cell r="B134">
            <v>28.68</v>
          </cell>
          <cell r="C134">
            <v>63412.47</v>
          </cell>
          <cell r="D134">
            <v>1.7946</v>
          </cell>
          <cell r="F134">
            <v>102.42857142857143</v>
          </cell>
          <cell r="G134">
            <v>92.453622995488587</v>
          </cell>
        </row>
        <row r="135">
          <cell r="A135">
            <v>40314</v>
          </cell>
          <cell r="B135">
            <v>28.68</v>
          </cell>
          <cell r="C135">
            <v>63412.47</v>
          </cell>
          <cell r="D135">
            <v>1.7946</v>
          </cell>
          <cell r="F135">
            <v>102.42857142857143</v>
          </cell>
          <cell r="G135">
            <v>92.453622995488587</v>
          </cell>
        </row>
        <row r="136">
          <cell r="A136">
            <v>40315</v>
          </cell>
          <cell r="B136">
            <v>28.7</v>
          </cell>
          <cell r="C136">
            <v>62866.26</v>
          </cell>
          <cell r="D136">
            <v>1.8073999999999999</v>
          </cell>
          <cell r="F136">
            <v>102.49999999999999</v>
          </cell>
          <cell r="G136">
            <v>91.657263960485452</v>
          </cell>
        </row>
        <row r="137">
          <cell r="A137">
            <v>40316</v>
          </cell>
          <cell r="B137">
            <v>28.11</v>
          </cell>
          <cell r="C137">
            <v>60841.08</v>
          </cell>
          <cell r="D137">
            <v>1.7967500000000001</v>
          </cell>
          <cell r="F137">
            <v>100.39285714285715</v>
          </cell>
          <cell r="G137">
            <v>88.704607673512186</v>
          </cell>
        </row>
        <row r="138">
          <cell r="A138">
            <v>40317</v>
          </cell>
          <cell r="B138">
            <v>27</v>
          </cell>
          <cell r="C138">
            <v>59689.32</v>
          </cell>
          <cell r="D138">
            <v>1.83765</v>
          </cell>
          <cell r="F138">
            <v>96.428571428571431</v>
          </cell>
          <cell r="G138">
            <v>87.025373528851304</v>
          </cell>
        </row>
        <row r="139">
          <cell r="A139">
            <v>40318</v>
          </cell>
          <cell r="B139">
            <v>25.01</v>
          </cell>
          <cell r="C139">
            <v>58192.08</v>
          </cell>
          <cell r="D139">
            <v>1.8864000000000001</v>
          </cell>
          <cell r="F139">
            <v>89.321428571428569</v>
          </cell>
          <cell r="G139">
            <v>84.842439123461233</v>
          </cell>
        </row>
        <row r="140">
          <cell r="A140">
            <v>40319</v>
          </cell>
          <cell r="B140">
            <v>26</v>
          </cell>
          <cell r="C140">
            <v>60259.33</v>
          </cell>
          <cell r="D140">
            <v>1.8728</v>
          </cell>
          <cell r="F140">
            <v>92.857142857142861</v>
          </cell>
          <cell r="G140">
            <v>87.856432303941716</v>
          </cell>
        </row>
        <row r="141">
          <cell r="A141">
            <v>40320</v>
          </cell>
          <cell r="B141">
            <v>26</v>
          </cell>
          <cell r="C141">
            <v>60259.33</v>
          </cell>
          <cell r="D141">
            <v>1.8728</v>
          </cell>
          <cell r="F141">
            <v>92.857142857142861</v>
          </cell>
          <cell r="G141">
            <v>87.856432303941716</v>
          </cell>
        </row>
        <row r="142">
          <cell r="A142">
            <v>40321</v>
          </cell>
          <cell r="B142">
            <v>26</v>
          </cell>
          <cell r="C142">
            <v>60259.33</v>
          </cell>
          <cell r="D142">
            <v>1.8728</v>
          </cell>
          <cell r="F142">
            <v>92.857142857142861</v>
          </cell>
          <cell r="G142">
            <v>87.856432303941716</v>
          </cell>
        </row>
        <row r="143">
          <cell r="A143">
            <v>40322</v>
          </cell>
          <cell r="B143">
            <v>26.84</v>
          </cell>
          <cell r="C143">
            <v>59915.14</v>
          </cell>
          <cell r="D143">
            <v>1.8485</v>
          </cell>
          <cell r="F143">
            <v>95.857142857142847</v>
          </cell>
          <cell r="G143">
            <v>87.354612827444171</v>
          </cell>
        </row>
        <row r="144">
          <cell r="A144">
            <v>40323</v>
          </cell>
          <cell r="B144">
            <v>28.9</v>
          </cell>
          <cell r="C144">
            <v>59184.08</v>
          </cell>
          <cell r="D144">
            <v>1.8866000000000001</v>
          </cell>
          <cell r="F144">
            <v>103.21428571428571</v>
          </cell>
          <cell r="G144">
            <v>86.288747617855549</v>
          </cell>
        </row>
        <row r="145">
          <cell r="A145">
            <v>40324</v>
          </cell>
          <cell r="B145">
            <v>28.5</v>
          </cell>
          <cell r="C145">
            <v>60190.36</v>
          </cell>
          <cell r="D145">
            <v>1.8408</v>
          </cell>
          <cell r="F145">
            <v>101.78571428571428</v>
          </cell>
          <cell r="G145">
            <v>87.755875956302233</v>
          </cell>
        </row>
        <row r="146">
          <cell r="A146">
            <v>40325</v>
          </cell>
          <cell r="B146">
            <v>29.5</v>
          </cell>
          <cell r="C146">
            <v>62091.77</v>
          </cell>
          <cell r="D146">
            <v>1.8319000000000001</v>
          </cell>
          <cell r="F146">
            <v>105.35714285714286</v>
          </cell>
          <cell r="G146">
            <v>90.528079015098896</v>
          </cell>
        </row>
        <row r="147">
          <cell r="A147">
            <v>40326</v>
          </cell>
          <cell r="B147">
            <v>29.7</v>
          </cell>
          <cell r="C147">
            <v>61946.99</v>
          </cell>
          <cell r="D147">
            <v>1.8245</v>
          </cell>
          <cell r="F147">
            <v>106.07142857142857</v>
          </cell>
          <cell r="G147">
            <v>90.316993789475504</v>
          </cell>
        </row>
        <row r="148">
          <cell r="A148">
            <v>40327</v>
          </cell>
          <cell r="B148">
            <v>29.7</v>
          </cell>
          <cell r="C148">
            <v>61946.99</v>
          </cell>
          <cell r="D148">
            <v>1.8245</v>
          </cell>
          <cell r="F148">
            <v>106.07142857142857</v>
          </cell>
          <cell r="G148">
            <v>90.316993789475504</v>
          </cell>
        </row>
        <row r="149">
          <cell r="A149">
            <v>40328</v>
          </cell>
          <cell r="B149">
            <v>29.7</v>
          </cell>
          <cell r="C149">
            <v>61946.99</v>
          </cell>
          <cell r="D149">
            <v>1.8245</v>
          </cell>
          <cell r="F149">
            <v>106.07142857142857</v>
          </cell>
          <cell r="G149">
            <v>90.316993789475504</v>
          </cell>
        </row>
        <row r="150">
          <cell r="A150">
            <v>40329</v>
          </cell>
          <cell r="B150">
            <v>29.7</v>
          </cell>
          <cell r="C150">
            <v>61946.99</v>
          </cell>
          <cell r="D150">
            <v>1.8245</v>
          </cell>
          <cell r="F150">
            <v>106.07142857142857</v>
          </cell>
          <cell r="G150">
            <v>90.316993789475504</v>
          </cell>
        </row>
        <row r="151">
          <cell r="A151">
            <v>40330</v>
          </cell>
          <cell r="B151">
            <v>29.5</v>
          </cell>
          <cell r="C151">
            <v>61840.99</v>
          </cell>
          <cell r="D151">
            <v>1.8204</v>
          </cell>
          <cell r="F151">
            <v>105.35714285714286</v>
          </cell>
          <cell r="G151">
            <v>90.162448728582561</v>
          </cell>
        </row>
        <row r="152">
          <cell r="A152">
            <v>40331</v>
          </cell>
          <cell r="B152">
            <v>29.7</v>
          </cell>
          <cell r="C152">
            <v>62942.91</v>
          </cell>
          <cell r="D152">
            <v>1.83365</v>
          </cell>
          <cell r="F152">
            <v>106.07142857142857</v>
          </cell>
          <cell r="G152">
            <v>91.769017535178321</v>
          </cell>
        </row>
        <row r="153">
          <cell r="A153">
            <v>40332</v>
          </cell>
          <cell r="B153">
            <v>29.7</v>
          </cell>
          <cell r="C153">
            <v>62942.91</v>
          </cell>
          <cell r="D153">
            <v>1.8191999999999999</v>
          </cell>
          <cell r="F153">
            <v>106.07142857142857</v>
          </cell>
          <cell r="G153">
            <v>91.769017535178321</v>
          </cell>
        </row>
        <row r="154">
          <cell r="A154">
            <v>40333</v>
          </cell>
          <cell r="B154">
            <v>30</v>
          </cell>
          <cell r="C154">
            <v>61675.75</v>
          </cell>
          <cell r="D154">
            <v>1.83975</v>
          </cell>
          <cell r="F154">
            <v>107.14285714285714</v>
          </cell>
          <cell r="G154">
            <v>89.921533390262283</v>
          </cell>
        </row>
        <row r="155">
          <cell r="A155">
            <v>40334</v>
          </cell>
          <cell r="B155">
            <v>30</v>
          </cell>
          <cell r="C155">
            <v>61675.75</v>
          </cell>
          <cell r="D155">
            <v>1.83975</v>
          </cell>
          <cell r="F155">
            <v>107.14285714285714</v>
          </cell>
          <cell r="G155">
            <v>89.921533390262283</v>
          </cell>
        </row>
        <row r="156">
          <cell r="A156">
            <v>40335</v>
          </cell>
          <cell r="B156">
            <v>30</v>
          </cell>
          <cell r="C156">
            <v>61675.75</v>
          </cell>
          <cell r="D156">
            <v>1.83975</v>
          </cell>
          <cell r="F156">
            <v>107.14285714285714</v>
          </cell>
          <cell r="G156">
            <v>89.921533390262283</v>
          </cell>
        </row>
        <row r="157">
          <cell r="A157">
            <v>40336</v>
          </cell>
          <cell r="B157">
            <v>30.49</v>
          </cell>
          <cell r="C157">
            <v>61182.92</v>
          </cell>
          <cell r="D157">
            <v>1.8701000000000001</v>
          </cell>
          <cell r="F157">
            <v>108.89285714285715</v>
          </cell>
          <cell r="G157">
            <v>89.203000915169184</v>
          </cell>
        </row>
        <row r="158">
          <cell r="A158">
            <v>40337</v>
          </cell>
          <cell r="B158">
            <v>30.45</v>
          </cell>
          <cell r="C158">
            <v>61793</v>
          </cell>
          <cell r="D158">
            <v>1.8734999999999999</v>
          </cell>
          <cell r="F158">
            <v>108.74999999999999</v>
          </cell>
          <cell r="G158">
            <v>90.092480639221691</v>
          </cell>
        </row>
        <row r="159">
          <cell r="A159">
            <v>40338</v>
          </cell>
          <cell r="B159">
            <v>30</v>
          </cell>
          <cell r="C159">
            <v>61478.61</v>
          </cell>
          <cell r="D159">
            <v>1.8412500000000001</v>
          </cell>
          <cell r="F159">
            <v>107.14285714285714</v>
          </cell>
          <cell r="G159">
            <v>89.634108736446876</v>
          </cell>
        </row>
        <row r="160">
          <cell r="A160">
            <v>40339</v>
          </cell>
          <cell r="B160">
            <v>29.9</v>
          </cell>
          <cell r="C160">
            <v>63048.800000000003</v>
          </cell>
          <cell r="D160">
            <v>1.8202499999999999</v>
          </cell>
          <cell r="F160">
            <v>106.78571428571428</v>
          </cell>
          <cell r="G160">
            <v>91.923402219121272</v>
          </cell>
        </row>
        <row r="161">
          <cell r="A161">
            <v>40340</v>
          </cell>
          <cell r="B161">
            <v>30.9</v>
          </cell>
          <cell r="C161">
            <v>63605.38</v>
          </cell>
          <cell r="D161">
            <v>1.8079000000000001</v>
          </cell>
          <cell r="F161">
            <v>110.35714285714285</v>
          </cell>
          <cell r="G161">
            <v>92.734880426591019</v>
          </cell>
        </row>
        <row r="162">
          <cell r="A162">
            <v>40341</v>
          </cell>
          <cell r="B162">
            <v>30.9</v>
          </cell>
          <cell r="C162">
            <v>63605.38</v>
          </cell>
          <cell r="D162">
            <v>1.8079000000000001</v>
          </cell>
          <cell r="F162">
            <v>110.35714285714285</v>
          </cell>
          <cell r="G162">
            <v>92.734880426591019</v>
          </cell>
        </row>
        <row r="163">
          <cell r="A163">
            <v>40342</v>
          </cell>
          <cell r="B163">
            <v>30.9</v>
          </cell>
          <cell r="C163">
            <v>63605.38</v>
          </cell>
          <cell r="D163">
            <v>1.8079000000000001</v>
          </cell>
          <cell r="F163">
            <v>110.35714285714285</v>
          </cell>
          <cell r="G163">
            <v>92.734880426591019</v>
          </cell>
        </row>
        <row r="164">
          <cell r="A164">
            <v>40343</v>
          </cell>
          <cell r="B164">
            <v>31.5</v>
          </cell>
          <cell r="C164">
            <v>63532.85</v>
          </cell>
          <cell r="D164">
            <v>1.8010999999999999</v>
          </cell>
          <cell r="F164">
            <v>112.5</v>
          </cell>
          <cell r="G164">
            <v>92.62913369766116</v>
          </cell>
        </row>
        <row r="165">
          <cell r="A165">
            <v>40344</v>
          </cell>
          <cell r="B165">
            <v>32.79</v>
          </cell>
          <cell r="C165">
            <v>64442.27</v>
          </cell>
          <cell r="D165">
            <v>1.7940499999999999</v>
          </cell>
          <cell r="F165">
            <v>117.10714285714286</v>
          </cell>
          <cell r="G165">
            <v>93.955042841786224</v>
          </cell>
        </row>
        <row r="166">
          <cell r="A166">
            <v>40345</v>
          </cell>
          <cell r="B166">
            <v>33.99</v>
          </cell>
          <cell r="C166">
            <v>64750.71</v>
          </cell>
          <cell r="D166">
            <v>1.7903500000000001</v>
          </cell>
          <cell r="F166">
            <v>121.39285714285715</v>
          </cell>
          <cell r="G166">
            <v>94.404739809539237</v>
          </cell>
        </row>
        <row r="167">
          <cell r="A167">
            <v>40346</v>
          </cell>
          <cell r="B167">
            <v>32.520000000000003</v>
          </cell>
          <cell r="C167">
            <v>64540.91</v>
          </cell>
          <cell r="D167">
            <v>1.7837000000000001</v>
          </cell>
          <cell r="F167">
            <v>116.14285714285715</v>
          </cell>
          <cell r="G167">
            <v>94.098857226753026</v>
          </cell>
        </row>
        <row r="168">
          <cell r="A168">
            <v>40347</v>
          </cell>
          <cell r="B168">
            <v>32.75</v>
          </cell>
          <cell r="C168">
            <v>64437.58</v>
          </cell>
          <cell r="D168">
            <v>1.7732000000000001</v>
          </cell>
          <cell r="F168">
            <v>116.96428571428572</v>
          </cell>
          <cell r="G168">
            <v>93.948204951827861</v>
          </cell>
        </row>
        <row r="169">
          <cell r="A169">
            <v>40348</v>
          </cell>
          <cell r="B169">
            <v>32.75</v>
          </cell>
          <cell r="C169">
            <v>64437.58</v>
          </cell>
          <cell r="D169">
            <v>1.7732000000000001</v>
          </cell>
          <cell r="F169">
            <v>116.96428571428572</v>
          </cell>
          <cell r="G169">
            <v>93.948204951827861</v>
          </cell>
        </row>
        <row r="170">
          <cell r="A170">
            <v>40349</v>
          </cell>
          <cell r="B170">
            <v>32.75</v>
          </cell>
          <cell r="C170">
            <v>64437.58</v>
          </cell>
          <cell r="D170">
            <v>1.7732000000000001</v>
          </cell>
          <cell r="F170">
            <v>116.96428571428572</v>
          </cell>
          <cell r="G170">
            <v>93.948204951827861</v>
          </cell>
        </row>
        <row r="171">
          <cell r="A171">
            <v>40350</v>
          </cell>
          <cell r="B171">
            <v>33.35</v>
          </cell>
          <cell r="C171">
            <v>64829.03</v>
          </cell>
          <cell r="D171">
            <v>1.7637</v>
          </cell>
          <cell r="F171">
            <v>119.10714285714286</v>
          </cell>
          <cell r="G171">
            <v>94.518928197927309</v>
          </cell>
        </row>
        <row r="172">
          <cell r="A172">
            <v>40351</v>
          </cell>
          <cell r="B172">
            <v>33.49</v>
          </cell>
          <cell r="C172">
            <v>64810.62</v>
          </cell>
          <cell r="D172">
            <v>1.7641500000000001</v>
          </cell>
          <cell r="F172">
            <v>119.60714285714286</v>
          </cell>
          <cell r="G172">
            <v>94.492086928389213</v>
          </cell>
        </row>
        <row r="173">
          <cell r="A173">
            <v>40352</v>
          </cell>
          <cell r="B173">
            <v>33</v>
          </cell>
          <cell r="C173">
            <v>65160.33</v>
          </cell>
          <cell r="D173">
            <v>1.7968500000000001</v>
          </cell>
          <cell r="F173">
            <v>117.85714285714286</v>
          </cell>
          <cell r="G173">
            <v>95.001954411831377</v>
          </cell>
        </row>
        <row r="174">
          <cell r="A174">
            <v>40353</v>
          </cell>
          <cell r="B174">
            <v>33.99</v>
          </cell>
          <cell r="C174">
            <v>63936.7</v>
          </cell>
          <cell r="D174">
            <v>1.7924</v>
          </cell>
          <cell r="F174">
            <v>121.39285714285715</v>
          </cell>
          <cell r="G174">
            <v>93.217935799940534</v>
          </cell>
        </row>
        <row r="175">
          <cell r="A175">
            <v>40354</v>
          </cell>
          <cell r="B175">
            <v>34</v>
          </cell>
          <cell r="C175">
            <v>64823.83</v>
          </cell>
          <cell r="D175">
            <v>1.7867999999999999</v>
          </cell>
          <cell r="F175">
            <v>121.42857142857142</v>
          </cell>
          <cell r="G175">
            <v>94.511346742109922</v>
          </cell>
        </row>
        <row r="176">
          <cell r="A176">
            <v>40355</v>
          </cell>
          <cell r="B176">
            <v>34</v>
          </cell>
          <cell r="C176">
            <v>64823.83</v>
          </cell>
          <cell r="D176">
            <v>1.7867999999999999</v>
          </cell>
          <cell r="F176">
            <v>121.42857142857142</v>
          </cell>
          <cell r="G176">
            <v>94.511346742109922</v>
          </cell>
        </row>
        <row r="177">
          <cell r="A177">
            <v>40356</v>
          </cell>
          <cell r="B177">
            <v>34</v>
          </cell>
          <cell r="C177">
            <v>64823.83</v>
          </cell>
          <cell r="D177">
            <v>1.7867999999999999</v>
          </cell>
          <cell r="F177">
            <v>121.42857142857142</v>
          </cell>
          <cell r="G177">
            <v>94.511346742109922</v>
          </cell>
        </row>
        <row r="178">
          <cell r="A178">
            <v>40357</v>
          </cell>
          <cell r="B178">
            <v>34.89</v>
          </cell>
          <cell r="C178">
            <v>64225.22</v>
          </cell>
          <cell r="D178">
            <v>1.7789999999999999</v>
          </cell>
          <cell r="F178">
            <v>124.60714285714285</v>
          </cell>
          <cell r="G178">
            <v>93.63858996002385</v>
          </cell>
        </row>
        <row r="179">
          <cell r="A179">
            <v>40358</v>
          </cell>
          <cell r="B179">
            <v>35</v>
          </cell>
          <cell r="C179">
            <v>61977.91</v>
          </cell>
          <cell r="D179">
            <v>1.8023</v>
          </cell>
          <cell r="F179">
            <v>125</v>
          </cell>
          <cell r="G179">
            <v>90.362074292143518</v>
          </cell>
        </row>
        <row r="180">
          <cell r="A180">
            <v>40359</v>
          </cell>
          <cell r="B180">
            <v>34.5</v>
          </cell>
          <cell r="C180">
            <v>60935.9</v>
          </cell>
          <cell r="D180">
            <v>1.8025</v>
          </cell>
          <cell r="F180">
            <v>123.21428571428572</v>
          </cell>
          <cell r="G180">
            <v>88.842852604397734</v>
          </cell>
        </row>
        <row r="181">
          <cell r="A181">
            <v>40360</v>
          </cell>
          <cell r="B181">
            <v>34</v>
          </cell>
          <cell r="C181">
            <v>61236.2</v>
          </cell>
          <cell r="D181">
            <v>1.8050999999999999</v>
          </cell>
          <cell r="F181">
            <v>121.42857142857142</v>
          </cell>
          <cell r="G181">
            <v>89.280681677851987</v>
          </cell>
        </row>
        <row r="182">
          <cell r="A182">
            <v>40361</v>
          </cell>
          <cell r="B182">
            <v>34.700000000000003</v>
          </cell>
          <cell r="C182">
            <v>61429.79</v>
          </cell>
          <cell r="D182">
            <v>1.7716000000000001</v>
          </cell>
          <cell r="F182">
            <v>123.92857142857143</v>
          </cell>
          <cell r="G182">
            <v>89.562930530099763</v>
          </cell>
        </row>
        <row r="183">
          <cell r="A183">
            <v>40362</v>
          </cell>
          <cell r="B183">
            <v>34.700000000000003</v>
          </cell>
          <cell r="C183">
            <v>61429.79</v>
          </cell>
          <cell r="D183">
            <v>1.7716000000000001</v>
          </cell>
          <cell r="F183">
            <v>123.92857142857143</v>
          </cell>
          <cell r="G183">
            <v>89.562930530099763</v>
          </cell>
        </row>
        <row r="184">
          <cell r="A184">
            <v>40363</v>
          </cell>
          <cell r="B184">
            <v>34.700000000000003</v>
          </cell>
          <cell r="C184">
            <v>61429.79</v>
          </cell>
          <cell r="D184">
            <v>1.7716000000000001</v>
          </cell>
          <cell r="F184">
            <v>123.92857142857143</v>
          </cell>
          <cell r="G184">
            <v>89.562930530099763</v>
          </cell>
        </row>
        <row r="185">
          <cell r="A185">
            <v>40364</v>
          </cell>
          <cell r="B185">
            <v>34.700000000000003</v>
          </cell>
          <cell r="C185">
            <v>61429.79</v>
          </cell>
          <cell r="D185">
            <v>1.7716000000000001</v>
          </cell>
          <cell r="F185">
            <v>123.92857142857143</v>
          </cell>
          <cell r="G185">
            <v>89.562930530099763</v>
          </cell>
        </row>
        <row r="186">
          <cell r="A186">
            <v>40365</v>
          </cell>
          <cell r="B186">
            <v>34.43</v>
          </cell>
          <cell r="C186">
            <v>62064.75</v>
          </cell>
          <cell r="D186">
            <v>1.7646500000000001</v>
          </cell>
          <cell r="F186">
            <v>122.96428571428571</v>
          </cell>
          <cell r="G186">
            <v>90.488684604293923</v>
          </cell>
        </row>
        <row r="187">
          <cell r="A187">
            <v>40366</v>
          </cell>
          <cell r="B187">
            <v>35</v>
          </cell>
          <cell r="C187">
            <v>63283.8</v>
          </cell>
          <cell r="D187">
            <v>1.7698</v>
          </cell>
          <cell r="F187">
            <v>125</v>
          </cell>
          <cell r="G187">
            <v>92.266025703176382</v>
          </cell>
        </row>
        <row r="188">
          <cell r="A188">
            <v>40367</v>
          </cell>
          <cell r="B188">
            <v>35</v>
          </cell>
          <cell r="C188">
            <v>63476.32</v>
          </cell>
          <cell r="D188">
            <v>1.7686999999999999</v>
          </cell>
          <cell r="F188">
            <v>125</v>
          </cell>
          <cell r="G188">
            <v>92.546714525092497</v>
          </cell>
        </row>
        <row r="189">
          <cell r="A189">
            <v>40368</v>
          </cell>
          <cell r="B189">
            <v>35</v>
          </cell>
          <cell r="C189">
            <v>63476.32</v>
          </cell>
          <cell r="D189">
            <v>1.76075</v>
          </cell>
          <cell r="F189">
            <v>125</v>
          </cell>
          <cell r="G189">
            <v>92.546714525092497</v>
          </cell>
        </row>
        <row r="190">
          <cell r="A190">
            <v>40369</v>
          </cell>
          <cell r="B190">
            <v>35</v>
          </cell>
          <cell r="C190">
            <v>63476.32</v>
          </cell>
          <cell r="D190">
            <v>1.76075</v>
          </cell>
          <cell r="F190">
            <v>125</v>
          </cell>
          <cell r="G190">
            <v>92.546714525092497</v>
          </cell>
        </row>
        <row r="191">
          <cell r="A191">
            <v>40370</v>
          </cell>
          <cell r="B191">
            <v>35</v>
          </cell>
          <cell r="C191">
            <v>63476.32</v>
          </cell>
          <cell r="D191">
            <v>1.76075</v>
          </cell>
          <cell r="F191">
            <v>125</v>
          </cell>
          <cell r="G191">
            <v>92.546714525092497</v>
          </cell>
        </row>
        <row r="192">
          <cell r="A192">
            <v>40371</v>
          </cell>
          <cell r="B192">
            <v>34.75</v>
          </cell>
          <cell r="C192">
            <v>62960.1</v>
          </cell>
          <cell r="D192">
            <v>1.76315</v>
          </cell>
          <cell r="F192">
            <v>124.10714285714286</v>
          </cell>
          <cell r="G192">
            <v>91.794080078543871</v>
          </cell>
        </row>
        <row r="193">
          <cell r="A193">
            <v>40372</v>
          </cell>
          <cell r="B193">
            <v>34.75</v>
          </cell>
          <cell r="C193">
            <v>63685.56</v>
          </cell>
          <cell r="D193">
            <v>1.7516499999999999</v>
          </cell>
          <cell r="F193">
            <v>124.10714285714286</v>
          </cell>
          <cell r="G193">
            <v>92.851780643406073</v>
          </cell>
        </row>
        <row r="194">
          <cell r="A194">
            <v>40373</v>
          </cell>
          <cell r="B194">
            <v>34.74</v>
          </cell>
          <cell r="C194">
            <v>63479.46</v>
          </cell>
          <cell r="D194">
            <v>1.7649999999999999</v>
          </cell>
          <cell r="F194">
            <v>124.07142857142858</v>
          </cell>
          <cell r="G194">
            <v>92.551292558028393</v>
          </cell>
        </row>
        <row r="195">
          <cell r="A195">
            <v>40374</v>
          </cell>
          <cell r="B195">
            <v>35</v>
          </cell>
          <cell r="C195">
            <v>63489.37</v>
          </cell>
          <cell r="D195">
            <v>1.7693000000000001</v>
          </cell>
          <cell r="F195">
            <v>125</v>
          </cell>
          <cell r="G195">
            <v>92.565741063249604</v>
          </cell>
        </row>
        <row r="196">
          <cell r="A196">
            <v>40375</v>
          </cell>
          <cell r="B196">
            <v>34.4</v>
          </cell>
          <cell r="C196">
            <v>62339.27</v>
          </cell>
          <cell r="D196">
            <v>1.7783500000000001</v>
          </cell>
          <cell r="F196">
            <v>122.85714285714285</v>
          </cell>
          <cell r="G196">
            <v>90.888927152561195</v>
          </cell>
        </row>
        <row r="197">
          <cell r="A197">
            <v>40376</v>
          </cell>
          <cell r="B197">
            <v>34.4</v>
          </cell>
          <cell r="C197">
            <v>62339.27</v>
          </cell>
          <cell r="D197">
            <v>1.7783500000000001</v>
          </cell>
          <cell r="F197">
            <v>122.85714285714285</v>
          </cell>
          <cell r="G197">
            <v>90.888927152561195</v>
          </cell>
        </row>
        <row r="198">
          <cell r="A198">
            <v>40377</v>
          </cell>
          <cell r="B198">
            <v>34.4</v>
          </cell>
          <cell r="C198">
            <v>62339.27</v>
          </cell>
          <cell r="D198">
            <v>1.7783500000000001</v>
          </cell>
          <cell r="F198">
            <v>122.85714285714285</v>
          </cell>
          <cell r="G198">
            <v>90.888927152561195</v>
          </cell>
        </row>
        <row r="199">
          <cell r="A199">
            <v>40378</v>
          </cell>
          <cell r="B199">
            <v>34.49</v>
          </cell>
          <cell r="C199">
            <v>63297.04</v>
          </cell>
          <cell r="D199">
            <v>1.7847999999999999</v>
          </cell>
          <cell r="F199">
            <v>123.17857142857143</v>
          </cell>
          <cell r="G199">
            <v>92.285329256065268</v>
          </cell>
        </row>
        <row r="200">
          <cell r="A200">
            <v>40379</v>
          </cell>
          <cell r="B200">
            <v>34.4</v>
          </cell>
          <cell r="C200">
            <v>64462.5</v>
          </cell>
          <cell r="D200">
            <v>1.7808999999999999</v>
          </cell>
          <cell r="F200">
            <v>122.85714285714285</v>
          </cell>
          <cell r="G200">
            <v>93.984537620860436</v>
          </cell>
        </row>
        <row r="201">
          <cell r="A201">
            <v>40380</v>
          </cell>
          <cell r="B201">
            <v>34.799999999999997</v>
          </cell>
          <cell r="C201">
            <v>64476.84</v>
          </cell>
          <cell r="D201">
            <v>1.77495</v>
          </cell>
          <cell r="F201">
            <v>124.28571428571426</v>
          </cell>
          <cell r="G201">
            <v>94.005444943249145</v>
          </cell>
        </row>
        <row r="202">
          <cell r="A202">
            <v>40381</v>
          </cell>
          <cell r="B202">
            <v>34.9</v>
          </cell>
          <cell r="C202">
            <v>65748.100000000006</v>
          </cell>
          <cell r="D202">
            <v>1.7615000000000001</v>
          </cell>
          <cell r="F202">
            <v>124.64285714285714</v>
          </cell>
          <cell r="G202">
            <v>95.858906774482747</v>
          </cell>
        </row>
        <row r="203">
          <cell r="A203">
            <v>40382</v>
          </cell>
          <cell r="B203">
            <v>34.200000000000003</v>
          </cell>
          <cell r="C203">
            <v>66322.990000000005</v>
          </cell>
          <cell r="D203">
            <v>1.7618</v>
          </cell>
          <cell r="F203">
            <v>122.14285714285715</v>
          </cell>
          <cell r="G203">
            <v>96.697080454263343</v>
          </cell>
        </row>
        <row r="204">
          <cell r="A204">
            <v>40383</v>
          </cell>
          <cell r="B204">
            <v>34.200000000000003</v>
          </cell>
          <cell r="C204">
            <v>66322.990000000005</v>
          </cell>
          <cell r="D204">
            <v>1.7618</v>
          </cell>
          <cell r="F204">
            <v>122.14285714285715</v>
          </cell>
          <cell r="G204">
            <v>96.697080454263343</v>
          </cell>
        </row>
        <row r="205">
          <cell r="A205">
            <v>40384</v>
          </cell>
          <cell r="B205">
            <v>34.200000000000003</v>
          </cell>
          <cell r="C205">
            <v>66322.990000000005</v>
          </cell>
          <cell r="D205">
            <v>1.7618</v>
          </cell>
          <cell r="F205">
            <v>122.14285714285715</v>
          </cell>
          <cell r="G205">
            <v>96.697080454263343</v>
          </cell>
        </row>
        <row r="206">
          <cell r="A206">
            <v>40385</v>
          </cell>
          <cell r="B206">
            <v>34.15</v>
          </cell>
          <cell r="C206">
            <v>66443.259999999995</v>
          </cell>
          <cell r="D206">
            <v>1.7714000000000001</v>
          </cell>
          <cell r="F206">
            <v>121.96428571428571</v>
          </cell>
          <cell r="G206">
            <v>96.87243077948591</v>
          </cell>
        </row>
        <row r="207">
          <cell r="A207">
            <v>40386</v>
          </cell>
          <cell r="B207">
            <v>34.700000000000003</v>
          </cell>
          <cell r="C207">
            <v>66674.44</v>
          </cell>
          <cell r="D207">
            <v>1.76675</v>
          </cell>
          <cell r="F207">
            <v>123.92857142857143</v>
          </cell>
          <cell r="G207">
            <v>97.209484809459795</v>
          </cell>
        </row>
        <row r="208">
          <cell r="A208">
            <v>40387</v>
          </cell>
          <cell r="B208">
            <v>35</v>
          </cell>
          <cell r="C208">
            <v>66808.25</v>
          </cell>
          <cell r="D208">
            <v>1.7639</v>
          </cell>
          <cell r="F208">
            <v>125</v>
          </cell>
          <cell r="G208">
            <v>97.404576079253033</v>
          </cell>
        </row>
        <row r="209">
          <cell r="A209">
            <v>40388</v>
          </cell>
          <cell r="B209">
            <v>35</v>
          </cell>
          <cell r="C209">
            <v>66953.83</v>
          </cell>
          <cell r="D209">
            <v>1.7637499999999999</v>
          </cell>
          <cell r="F209">
            <v>125</v>
          </cell>
          <cell r="G209">
            <v>97.616827682694492</v>
          </cell>
        </row>
        <row r="210">
          <cell r="A210">
            <v>40389</v>
          </cell>
          <cell r="B210">
            <v>36.6</v>
          </cell>
          <cell r="C210">
            <v>67515.399999999994</v>
          </cell>
          <cell r="D210">
            <v>1.75925</v>
          </cell>
          <cell r="F210">
            <v>130.71428571428572</v>
          </cell>
          <cell r="G210">
            <v>98.435581171804373</v>
          </cell>
        </row>
        <row r="211">
          <cell r="A211">
            <v>40390</v>
          </cell>
          <cell r="B211">
            <v>36.6</v>
          </cell>
          <cell r="C211">
            <v>67515.399999999994</v>
          </cell>
          <cell r="D211">
            <v>1.75925</v>
          </cell>
          <cell r="F211">
            <v>130.71428571428572</v>
          </cell>
          <cell r="G211">
            <v>98.435581171804373</v>
          </cell>
        </row>
        <row r="212">
          <cell r="A212">
            <v>40391</v>
          </cell>
          <cell r="B212">
            <v>36.6</v>
          </cell>
          <cell r="C212">
            <v>67515.399999999994</v>
          </cell>
          <cell r="D212">
            <v>1.75925</v>
          </cell>
          <cell r="F212">
            <v>130.71428571428572</v>
          </cell>
          <cell r="G212">
            <v>98.435581171804373</v>
          </cell>
        </row>
        <row r="213">
          <cell r="A213">
            <v>40392</v>
          </cell>
          <cell r="B213">
            <v>36.5</v>
          </cell>
          <cell r="C213">
            <v>68517.460000000006</v>
          </cell>
          <cell r="D213">
            <v>1.7472000000000001</v>
          </cell>
          <cell r="F213">
            <v>130.35714285714286</v>
          </cell>
          <cell r="G213">
            <v>99.896556867260813</v>
          </cell>
        </row>
        <row r="214">
          <cell r="A214">
            <v>40393</v>
          </cell>
          <cell r="B214">
            <v>36</v>
          </cell>
          <cell r="C214">
            <v>67997.36</v>
          </cell>
          <cell r="D214">
            <v>1.7615000000000001</v>
          </cell>
          <cell r="F214">
            <v>128.57142857142858</v>
          </cell>
          <cell r="G214">
            <v>99.138265488294593</v>
          </cell>
        </row>
        <row r="215">
          <cell r="A215">
            <v>40394</v>
          </cell>
          <cell r="B215">
            <v>35.950000000000003</v>
          </cell>
          <cell r="C215">
            <v>68272</v>
          </cell>
          <cell r="D215">
            <v>1.75925</v>
          </cell>
          <cell r="F215">
            <v>128.39285714285717</v>
          </cell>
          <cell r="G215">
            <v>99.538682993234559</v>
          </cell>
        </row>
        <row r="216">
          <cell r="A216">
            <v>40395</v>
          </cell>
          <cell r="B216">
            <v>36.25</v>
          </cell>
          <cell r="C216">
            <v>68411.72</v>
          </cell>
          <cell r="D216">
            <v>1.7563500000000001</v>
          </cell>
          <cell r="F216">
            <v>129.46428571428572</v>
          </cell>
          <cell r="G216">
            <v>99.742390879158734</v>
          </cell>
        </row>
        <row r="217">
          <cell r="A217">
            <v>40396</v>
          </cell>
          <cell r="B217">
            <v>36.36</v>
          </cell>
          <cell r="C217">
            <v>68094.759999999995</v>
          </cell>
          <cell r="D217">
            <v>1.75875</v>
          </cell>
          <cell r="F217">
            <v>129.85714285714286</v>
          </cell>
          <cell r="G217">
            <v>99.280271987643374</v>
          </cell>
        </row>
        <row r="218">
          <cell r="A218">
            <v>40397</v>
          </cell>
          <cell r="B218">
            <v>36.36</v>
          </cell>
          <cell r="C218">
            <v>68094.759999999995</v>
          </cell>
          <cell r="D218">
            <v>1.75875</v>
          </cell>
          <cell r="F218">
            <v>129.85714285714286</v>
          </cell>
          <cell r="G218">
            <v>99.280271987643374</v>
          </cell>
        </row>
        <row r="219">
          <cell r="A219">
            <v>40398</v>
          </cell>
          <cell r="B219">
            <v>36.36</v>
          </cell>
          <cell r="C219">
            <v>68094.759999999995</v>
          </cell>
          <cell r="D219">
            <v>1.75875</v>
          </cell>
          <cell r="F219">
            <v>129.85714285714286</v>
          </cell>
          <cell r="G219">
            <v>99.280271987643374</v>
          </cell>
        </row>
        <row r="220">
          <cell r="A220">
            <v>40399</v>
          </cell>
          <cell r="B220">
            <v>36.5</v>
          </cell>
          <cell r="C220">
            <v>67862.28</v>
          </cell>
          <cell r="D220">
            <v>1.7544999999999999</v>
          </cell>
          <cell r="F220">
            <v>130.35714285714286</v>
          </cell>
          <cell r="G220">
            <v>98.941322593715171</v>
          </cell>
        </row>
        <row r="221">
          <cell r="A221">
            <v>40400</v>
          </cell>
          <cell r="B221">
            <v>36.5</v>
          </cell>
          <cell r="C221">
            <v>67223.23</v>
          </cell>
          <cell r="D221">
            <v>1.7614000000000001</v>
          </cell>
          <cell r="F221">
            <v>130.35714285714286</v>
          </cell>
          <cell r="G221">
            <v>98.009605412926177</v>
          </cell>
        </row>
        <row r="222">
          <cell r="A222">
            <v>40401</v>
          </cell>
          <cell r="B222">
            <v>36</v>
          </cell>
          <cell r="C222">
            <v>65790.289999999994</v>
          </cell>
          <cell r="D222">
            <v>1.7721</v>
          </cell>
          <cell r="F222">
            <v>128.57142857142858</v>
          </cell>
          <cell r="G222">
            <v>95.920418624662659</v>
          </cell>
        </row>
        <row r="223">
          <cell r="A223">
            <v>40402</v>
          </cell>
          <cell r="B223">
            <v>35.799999999999997</v>
          </cell>
          <cell r="C223">
            <v>65966.17</v>
          </cell>
          <cell r="D223">
            <v>1.76925</v>
          </cell>
          <cell r="F223">
            <v>127.85714285714285</v>
          </cell>
          <cell r="G223">
            <v>96.176846787963143</v>
          </cell>
        </row>
        <row r="224">
          <cell r="A224">
            <v>40403</v>
          </cell>
          <cell r="B224">
            <v>38</v>
          </cell>
          <cell r="C224">
            <v>66264.429999999993</v>
          </cell>
          <cell r="D224">
            <v>1.7709999999999999</v>
          </cell>
          <cell r="F224">
            <v>135.71428571428572</v>
          </cell>
          <cell r="G224">
            <v>96.611701597981337</v>
          </cell>
        </row>
        <row r="225">
          <cell r="A225">
            <v>40404</v>
          </cell>
          <cell r="B225">
            <v>38</v>
          </cell>
          <cell r="C225">
            <v>66264.429999999993</v>
          </cell>
          <cell r="D225">
            <v>1.7709999999999999</v>
          </cell>
          <cell r="F225">
            <v>135.71428571428572</v>
          </cell>
          <cell r="G225">
            <v>96.611701597981337</v>
          </cell>
        </row>
        <row r="226">
          <cell r="A226">
            <v>40405</v>
          </cell>
          <cell r="B226">
            <v>38</v>
          </cell>
          <cell r="C226">
            <v>66264.429999999993</v>
          </cell>
          <cell r="D226">
            <v>1.7709999999999999</v>
          </cell>
          <cell r="F226">
            <v>135.71428571428572</v>
          </cell>
          <cell r="G226">
            <v>96.611701597981337</v>
          </cell>
        </row>
        <row r="227">
          <cell r="A227">
            <v>40406</v>
          </cell>
          <cell r="B227">
            <v>37.5</v>
          </cell>
          <cell r="C227">
            <v>66701.89</v>
          </cell>
          <cell r="D227">
            <v>1.76315</v>
          </cell>
          <cell r="F227">
            <v>133.92857142857142</v>
          </cell>
          <cell r="G227">
            <v>97.249506148341965</v>
          </cell>
        </row>
        <row r="228">
          <cell r="A228">
            <v>40407</v>
          </cell>
          <cell r="B228">
            <v>36.76</v>
          </cell>
          <cell r="C228">
            <v>67583.77</v>
          </cell>
          <cell r="D228">
            <v>1.75065</v>
          </cell>
          <cell r="F228">
            <v>131.28571428571428</v>
          </cell>
          <cell r="G228">
            <v>98.535262736080341</v>
          </cell>
        </row>
        <row r="229">
          <cell r="A229">
            <v>40408</v>
          </cell>
          <cell r="B229">
            <v>36.799999999999997</v>
          </cell>
          <cell r="C229">
            <v>67638.38</v>
          </cell>
          <cell r="D229">
            <v>1.7533000000000001</v>
          </cell>
          <cell r="F229">
            <v>131.42857142857142</v>
          </cell>
          <cell r="G229">
            <v>98.614882601885654</v>
          </cell>
        </row>
        <row r="230">
          <cell r="A230">
            <v>40409</v>
          </cell>
          <cell r="B230">
            <v>36.89</v>
          </cell>
          <cell r="C230">
            <v>66887.13</v>
          </cell>
          <cell r="D230">
            <v>1.76325</v>
          </cell>
          <cell r="F230">
            <v>131.75</v>
          </cell>
          <cell r="G230">
            <v>97.51958093211374</v>
          </cell>
        </row>
        <row r="231">
          <cell r="A231">
            <v>40410</v>
          </cell>
          <cell r="B231">
            <v>36.799999999999997</v>
          </cell>
          <cell r="C231">
            <v>66677.16</v>
          </cell>
          <cell r="D231">
            <v>1.764</v>
          </cell>
          <cell r="F231">
            <v>131.42857142857142</v>
          </cell>
          <cell r="G231">
            <v>97.213450494041197</v>
          </cell>
        </row>
        <row r="232">
          <cell r="A232">
            <v>40411</v>
          </cell>
          <cell r="B232">
            <v>36.799999999999997</v>
          </cell>
          <cell r="C232">
            <v>66677.16</v>
          </cell>
          <cell r="D232">
            <v>1.764</v>
          </cell>
          <cell r="F232">
            <v>131.42857142857142</v>
          </cell>
          <cell r="G232">
            <v>97.213450494041197</v>
          </cell>
        </row>
        <row r="233">
          <cell r="A233">
            <v>40412</v>
          </cell>
          <cell r="B233">
            <v>36.799999999999997</v>
          </cell>
          <cell r="C233">
            <v>66677.16</v>
          </cell>
          <cell r="D233">
            <v>1.764</v>
          </cell>
          <cell r="F233">
            <v>131.42857142857142</v>
          </cell>
          <cell r="G233">
            <v>97.213450494041197</v>
          </cell>
        </row>
        <row r="234">
          <cell r="A234">
            <v>40413</v>
          </cell>
          <cell r="B234">
            <v>37.299999999999997</v>
          </cell>
          <cell r="C234">
            <v>65981.86</v>
          </cell>
          <cell r="D234">
            <v>1.7623</v>
          </cell>
          <cell r="F234">
            <v>133.21428571428569</v>
          </cell>
          <cell r="G234">
            <v>96.199722372919851</v>
          </cell>
        </row>
        <row r="235">
          <cell r="A235">
            <v>40414</v>
          </cell>
          <cell r="B235">
            <v>37.299999999999997</v>
          </cell>
          <cell r="C235">
            <v>65156.36</v>
          </cell>
          <cell r="D235">
            <v>1.768</v>
          </cell>
          <cell r="F235">
            <v>133.21428571428569</v>
          </cell>
          <cell r="G235">
            <v>94.996166261909266</v>
          </cell>
        </row>
        <row r="236">
          <cell r="A236">
            <v>40415</v>
          </cell>
          <cell r="B236">
            <v>36.99</v>
          </cell>
          <cell r="C236">
            <v>64803.43</v>
          </cell>
          <cell r="D236">
            <v>1.7704</v>
          </cell>
          <cell r="F236">
            <v>132.10714285714286</v>
          </cell>
          <cell r="G236">
            <v>94.481604107749391</v>
          </cell>
        </row>
        <row r="237">
          <cell r="A237">
            <v>40416</v>
          </cell>
          <cell r="B237">
            <v>36.46</v>
          </cell>
          <cell r="C237">
            <v>63867.48</v>
          </cell>
          <cell r="D237">
            <v>1.7578</v>
          </cell>
          <cell r="F237">
            <v>130.21428571428572</v>
          </cell>
          <cell r="G237">
            <v>93.117014959232918</v>
          </cell>
        </row>
        <row r="238">
          <cell r="A238">
            <v>40417</v>
          </cell>
          <cell r="B238">
            <v>36.86</v>
          </cell>
          <cell r="C238">
            <v>65585.14</v>
          </cell>
          <cell r="D238">
            <v>1.75265</v>
          </cell>
          <cell r="F238">
            <v>131.64285714285714</v>
          </cell>
          <cell r="G238">
            <v>95.621315612943931</v>
          </cell>
        </row>
        <row r="239">
          <cell r="A239">
            <v>40418</v>
          </cell>
          <cell r="B239">
            <v>36.86</v>
          </cell>
          <cell r="C239">
            <v>65585.14</v>
          </cell>
          <cell r="D239">
            <v>1.75265</v>
          </cell>
          <cell r="F239">
            <v>131.64285714285714</v>
          </cell>
          <cell r="G239">
            <v>95.621315612943931</v>
          </cell>
        </row>
        <row r="240">
          <cell r="A240">
            <v>40419</v>
          </cell>
          <cell r="B240">
            <v>36.86</v>
          </cell>
          <cell r="C240">
            <v>65585.14</v>
          </cell>
          <cell r="D240">
            <v>1.75265</v>
          </cell>
          <cell r="F240">
            <v>131.64285714285714</v>
          </cell>
          <cell r="G240">
            <v>95.621315612943931</v>
          </cell>
        </row>
        <row r="241">
          <cell r="A241">
            <v>40420</v>
          </cell>
          <cell r="B241">
            <v>36.75</v>
          </cell>
          <cell r="C241">
            <v>64260.79</v>
          </cell>
          <cell r="D241">
            <v>1.7556</v>
          </cell>
          <cell r="F241">
            <v>131.25</v>
          </cell>
          <cell r="G241">
            <v>93.690450033759348</v>
          </cell>
        </row>
        <row r="242">
          <cell r="A242">
            <v>40421</v>
          </cell>
          <cell r="B242">
            <v>36.99</v>
          </cell>
          <cell r="C242">
            <v>65145.45</v>
          </cell>
          <cell r="D242">
            <v>1.7539499999999999</v>
          </cell>
          <cell r="F242">
            <v>132.10714285714286</v>
          </cell>
          <cell r="G242">
            <v>94.980259784415466</v>
          </cell>
        </row>
        <row r="243">
          <cell r="A243">
            <v>40422</v>
          </cell>
          <cell r="B243">
            <v>37.1</v>
          </cell>
          <cell r="C243">
            <v>67072.53</v>
          </cell>
          <cell r="D243">
            <v>1.7400500000000001</v>
          </cell>
          <cell r="F243">
            <v>132.5</v>
          </cell>
          <cell r="G243">
            <v>97.789888991449132</v>
          </cell>
        </row>
        <row r="244">
          <cell r="A244">
            <v>40423</v>
          </cell>
          <cell r="B244">
            <v>37.25</v>
          </cell>
          <cell r="C244">
            <v>66808.08</v>
          </cell>
          <cell r="D244">
            <v>1.7364999999999999</v>
          </cell>
          <cell r="F244">
            <v>133.03571428571428</v>
          </cell>
          <cell r="G244">
            <v>97.404328223966701</v>
          </cell>
        </row>
        <row r="245">
          <cell r="A245">
            <v>40424</v>
          </cell>
          <cell r="B245">
            <v>37.71</v>
          </cell>
          <cell r="C245">
            <v>66678.62</v>
          </cell>
          <cell r="D245">
            <v>1.72525</v>
          </cell>
          <cell r="F245">
            <v>134.67857142857142</v>
          </cell>
          <cell r="G245">
            <v>97.215579133559132</v>
          </cell>
        </row>
        <row r="246">
          <cell r="A246">
            <v>40425</v>
          </cell>
          <cell r="B246">
            <v>37.71</v>
          </cell>
          <cell r="C246">
            <v>66678.62</v>
          </cell>
          <cell r="D246">
            <v>1.72525</v>
          </cell>
          <cell r="F246">
            <v>134.67857142857142</v>
          </cell>
          <cell r="G246">
            <v>97.215579133559132</v>
          </cell>
        </row>
        <row r="247">
          <cell r="A247">
            <v>40426</v>
          </cell>
          <cell r="B247">
            <v>37.71</v>
          </cell>
          <cell r="C247">
            <v>66678.62</v>
          </cell>
          <cell r="D247">
            <v>1.72525</v>
          </cell>
          <cell r="F247">
            <v>134.67857142857142</v>
          </cell>
          <cell r="G247">
            <v>97.215579133559132</v>
          </cell>
        </row>
        <row r="248">
          <cell r="A248">
            <v>40427</v>
          </cell>
          <cell r="B248">
            <v>37.71</v>
          </cell>
          <cell r="C248">
            <v>66678.62</v>
          </cell>
          <cell r="D248">
            <v>1.72525</v>
          </cell>
          <cell r="F248">
            <v>134.67857142857142</v>
          </cell>
          <cell r="G248">
            <v>97.215579133559132</v>
          </cell>
        </row>
        <row r="249">
          <cell r="A249">
            <v>40428</v>
          </cell>
          <cell r="B249">
            <v>37.1</v>
          </cell>
          <cell r="C249">
            <v>66747.3</v>
          </cell>
          <cell r="D249">
            <v>1.72695</v>
          </cell>
          <cell r="F249">
            <v>132.5</v>
          </cell>
          <cell r="G249">
            <v>97.315712669239602</v>
          </cell>
        </row>
        <row r="250">
          <cell r="A250">
            <v>40429</v>
          </cell>
          <cell r="B250">
            <v>37.549999999999997</v>
          </cell>
          <cell r="C250">
            <v>66407.28</v>
          </cell>
          <cell r="D250">
            <v>1.7230000000000001</v>
          </cell>
          <cell r="F250">
            <v>134.10714285714283</v>
          </cell>
          <cell r="G250">
            <v>96.819972937118663</v>
          </cell>
        </row>
        <row r="251">
          <cell r="A251">
            <v>40430</v>
          </cell>
          <cell r="B251">
            <v>37.549999999999997</v>
          </cell>
          <cell r="C251">
            <v>66624.100000000006</v>
          </cell>
          <cell r="D251">
            <v>1.722</v>
          </cell>
          <cell r="F251">
            <v>134.10714285714283</v>
          </cell>
          <cell r="G251">
            <v>97.136090485258379</v>
          </cell>
        </row>
        <row r="252">
          <cell r="A252">
            <v>40431</v>
          </cell>
          <cell r="B252">
            <v>39</v>
          </cell>
          <cell r="C252">
            <v>66806.789999999994</v>
          </cell>
          <cell r="D252">
            <v>1.7174</v>
          </cell>
          <cell r="F252">
            <v>139.28571428571428</v>
          </cell>
          <cell r="G252">
            <v>97.402447439735056</v>
          </cell>
        </row>
        <row r="253">
          <cell r="A253">
            <v>40432</v>
          </cell>
          <cell r="B253">
            <v>39</v>
          </cell>
          <cell r="C253">
            <v>66806.789999999994</v>
          </cell>
          <cell r="D253">
            <v>1.7174</v>
          </cell>
          <cell r="F253">
            <v>139.28571428571428</v>
          </cell>
          <cell r="G253">
            <v>97.402447439735056</v>
          </cell>
        </row>
        <row r="254">
          <cell r="A254">
            <v>40433</v>
          </cell>
          <cell r="B254">
            <v>39</v>
          </cell>
          <cell r="C254">
            <v>66806.789999999994</v>
          </cell>
          <cell r="D254">
            <v>1.7174</v>
          </cell>
          <cell r="F254">
            <v>139.28571428571428</v>
          </cell>
          <cell r="G254">
            <v>97.402447439735056</v>
          </cell>
        </row>
        <row r="255">
          <cell r="A255">
            <v>40434</v>
          </cell>
          <cell r="B255">
            <v>40.5</v>
          </cell>
          <cell r="C255">
            <v>68030.58</v>
          </cell>
          <cell r="D255">
            <v>1.7152000000000001</v>
          </cell>
          <cell r="F255">
            <v>144.64285714285714</v>
          </cell>
          <cell r="G255">
            <v>99.18669932718953</v>
          </cell>
        </row>
        <row r="256">
          <cell r="A256">
            <v>40435</v>
          </cell>
          <cell r="B256">
            <v>40.4</v>
          </cell>
          <cell r="C256">
            <v>67691.850000000006</v>
          </cell>
          <cell r="D256">
            <v>1.70675</v>
          </cell>
          <cell r="F256">
            <v>144.28571428571428</v>
          </cell>
          <cell r="G256">
            <v>98.692840379300236</v>
          </cell>
        </row>
        <row r="257">
          <cell r="A257">
            <v>40436</v>
          </cell>
          <cell r="B257">
            <v>41.74</v>
          </cell>
          <cell r="C257">
            <v>68106.850000000006</v>
          </cell>
          <cell r="D257">
            <v>1.7116</v>
          </cell>
          <cell r="F257">
            <v>149.07142857142858</v>
          </cell>
          <cell r="G257">
            <v>99.297898872418827</v>
          </cell>
        </row>
        <row r="258">
          <cell r="A258">
            <v>40437</v>
          </cell>
          <cell r="B258">
            <v>40.25</v>
          </cell>
          <cell r="C258">
            <v>67662.990000000005</v>
          </cell>
          <cell r="D258">
            <v>1.71715</v>
          </cell>
          <cell r="F258">
            <v>143.75</v>
          </cell>
          <cell r="G258">
            <v>98.650763299513727</v>
          </cell>
        </row>
        <row r="259">
          <cell r="A259">
            <v>40438</v>
          </cell>
          <cell r="B259">
            <v>41.01</v>
          </cell>
          <cell r="C259">
            <v>67089.119999999995</v>
          </cell>
          <cell r="D259">
            <v>1.7159</v>
          </cell>
          <cell r="F259">
            <v>146.46428571428572</v>
          </cell>
          <cell r="G259">
            <v>97.81407675145114</v>
          </cell>
        </row>
        <row r="260">
          <cell r="A260">
            <v>40439</v>
          </cell>
          <cell r="B260">
            <v>41.01</v>
          </cell>
          <cell r="C260">
            <v>67089.119999999995</v>
          </cell>
          <cell r="D260">
            <v>1.7159</v>
          </cell>
          <cell r="F260">
            <v>146.46428571428572</v>
          </cell>
          <cell r="G260">
            <v>97.81407675145114</v>
          </cell>
        </row>
        <row r="261">
          <cell r="A261">
            <v>40440</v>
          </cell>
          <cell r="B261">
            <v>41.01</v>
          </cell>
          <cell r="C261">
            <v>67089.119999999995</v>
          </cell>
          <cell r="D261">
            <v>1.7159</v>
          </cell>
          <cell r="F261">
            <v>146.46428571428572</v>
          </cell>
          <cell r="G261">
            <v>97.81407675145114</v>
          </cell>
        </row>
        <row r="262">
          <cell r="A262">
            <v>40441</v>
          </cell>
          <cell r="B262">
            <v>41</v>
          </cell>
          <cell r="C262">
            <v>68190.460000000006</v>
          </cell>
          <cell r="D262">
            <v>1.7173</v>
          </cell>
          <cell r="F262">
            <v>146.42857142857142</v>
          </cell>
          <cell r="G262">
            <v>99.419799934128818</v>
          </cell>
        </row>
        <row r="263">
          <cell r="A263">
            <v>40442</v>
          </cell>
          <cell r="B263">
            <v>41</v>
          </cell>
          <cell r="C263">
            <v>67719.13</v>
          </cell>
          <cell r="D263">
            <v>1.7299</v>
          </cell>
          <cell r="F263">
            <v>146.42857142857142</v>
          </cell>
          <cell r="G263">
            <v>98.732613862896073</v>
          </cell>
        </row>
        <row r="264">
          <cell r="A264">
            <v>40443</v>
          </cell>
          <cell r="B264">
            <v>41.1</v>
          </cell>
          <cell r="C264">
            <v>68325.179999999993</v>
          </cell>
          <cell r="D264">
            <v>1.7190000000000001</v>
          </cell>
          <cell r="F264">
            <v>146.78571428571431</v>
          </cell>
          <cell r="G264">
            <v>99.616217958690086</v>
          </cell>
        </row>
        <row r="265">
          <cell r="A265">
            <v>40444</v>
          </cell>
          <cell r="B265">
            <v>41</v>
          </cell>
          <cell r="C265">
            <v>68794.320000000007</v>
          </cell>
          <cell r="D265">
            <v>1.7211000000000001</v>
          </cell>
          <cell r="F265">
            <v>146.42857142857142</v>
          </cell>
          <cell r="G265">
            <v>100.3002110706459</v>
          </cell>
        </row>
        <row r="266">
          <cell r="A266">
            <v>40445</v>
          </cell>
          <cell r="B266">
            <v>41</v>
          </cell>
          <cell r="C266">
            <v>68196.479999999996</v>
          </cell>
          <cell r="D266">
            <v>1.7124999999999999</v>
          </cell>
          <cell r="F266">
            <v>146.42857142857142</v>
          </cell>
          <cell r="G266">
            <v>99.428576927209704</v>
          </cell>
        </row>
        <row r="267">
          <cell r="A267">
            <v>40446</v>
          </cell>
          <cell r="B267">
            <v>41</v>
          </cell>
          <cell r="C267">
            <v>68196.479999999996</v>
          </cell>
          <cell r="D267">
            <v>1.7124999999999999</v>
          </cell>
          <cell r="F267">
            <v>146.42857142857142</v>
          </cell>
          <cell r="G267">
            <v>99.428576927209704</v>
          </cell>
        </row>
        <row r="268">
          <cell r="A268">
            <v>40447</v>
          </cell>
          <cell r="B268">
            <v>41</v>
          </cell>
          <cell r="C268">
            <v>68196.479999999996</v>
          </cell>
          <cell r="D268">
            <v>1.7124999999999999</v>
          </cell>
          <cell r="F268">
            <v>146.42857142857142</v>
          </cell>
          <cell r="G268">
            <v>99.428576927209704</v>
          </cell>
        </row>
        <row r="269">
          <cell r="A269">
            <v>40448</v>
          </cell>
          <cell r="B269">
            <v>40.5</v>
          </cell>
          <cell r="C269">
            <v>68815.97</v>
          </cell>
          <cell r="D269">
            <v>1.7117500000000001</v>
          </cell>
          <cell r="F269">
            <v>144.64285714285714</v>
          </cell>
          <cell r="G269">
            <v>100.33177617034714</v>
          </cell>
        </row>
        <row r="270">
          <cell r="A270">
            <v>40449</v>
          </cell>
          <cell r="B270">
            <v>41.25</v>
          </cell>
          <cell r="C270">
            <v>69227.63</v>
          </cell>
          <cell r="D270">
            <v>1.7088000000000001</v>
          </cell>
          <cell r="F270">
            <v>147.32142857142858</v>
          </cell>
          <cell r="G270">
            <v>100.93196503607533</v>
          </cell>
        </row>
        <row r="271">
          <cell r="A271">
            <v>40450</v>
          </cell>
          <cell r="B271">
            <v>42.9</v>
          </cell>
          <cell r="C271">
            <v>69228.240000000005</v>
          </cell>
          <cell r="D271">
            <v>1.7072499999999999</v>
          </cell>
          <cell r="F271">
            <v>153.21428571428569</v>
          </cell>
          <cell r="G271">
            <v>100.93285439916161</v>
          </cell>
        </row>
        <row r="272">
          <cell r="A272">
            <v>40451</v>
          </cell>
          <cell r="B272">
            <v>43.2</v>
          </cell>
          <cell r="C272">
            <v>69429.78</v>
          </cell>
          <cell r="D272">
            <v>1.6941999999999999</v>
          </cell>
          <cell r="F272">
            <v>154.28571428571431</v>
          </cell>
          <cell r="G272">
            <v>101.22669413097636</v>
          </cell>
        </row>
        <row r="273">
          <cell r="A273">
            <v>40452</v>
          </cell>
          <cell r="B273">
            <v>43.85</v>
          </cell>
          <cell r="C273">
            <v>70229.350000000006</v>
          </cell>
          <cell r="D273">
            <v>1.6854</v>
          </cell>
          <cell r="F273">
            <v>156.60714285714286</v>
          </cell>
          <cell r="G273">
            <v>102.39244502095907</v>
          </cell>
        </row>
        <row r="274">
          <cell r="A274">
            <v>40453</v>
          </cell>
          <cell r="B274">
            <v>43.85</v>
          </cell>
          <cell r="C274">
            <v>70229.350000000006</v>
          </cell>
          <cell r="D274">
            <v>1.6854</v>
          </cell>
          <cell r="F274">
            <v>156.60714285714286</v>
          </cell>
          <cell r="G274">
            <v>102.39244502095907</v>
          </cell>
        </row>
        <row r="275">
          <cell r="A275">
            <v>40454</v>
          </cell>
          <cell r="B275">
            <v>43.85</v>
          </cell>
          <cell r="C275">
            <v>70229.350000000006</v>
          </cell>
          <cell r="D275">
            <v>1.6854</v>
          </cell>
          <cell r="F275">
            <v>156.60714285714286</v>
          </cell>
          <cell r="G275">
            <v>102.39244502095907</v>
          </cell>
        </row>
        <row r="276">
          <cell r="A276">
            <v>40455</v>
          </cell>
          <cell r="B276">
            <v>44.35</v>
          </cell>
          <cell r="C276">
            <v>70384.92</v>
          </cell>
          <cell r="D276">
            <v>1.6857</v>
          </cell>
          <cell r="F276">
            <v>158.39285714285717</v>
          </cell>
          <cell r="G276">
            <v>102.61926176740354</v>
          </cell>
        </row>
        <row r="277">
          <cell r="A277">
            <v>40456</v>
          </cell>
          <cell r="B277">
            <v>46</v>
          </cell>
          <cell r="C277">
            <v>71283.11</v>
          </cell>
          <cell r="D277">
            <v>1.6820999999999999</v>
          </cell>
          <cell r="F277">
            <v>164.28571428571428</v>
          </cell>
          <cell r="G277">
            <v>103.9287978829076</v>
          </cell>
        </row>
        <row r="278">
          <cell r="A278">
            <v>40457</v>
          </cell>
          <cell r="B278">
            <v>45.4</v>
          </cell>
          <cell r="C278">
            <v>70541.37</v>
          </cell>
          <cell r="D278">
            <v>1.6806000000000001</v>
          </cell>
          <cell r="F278">
            <v>162.14285714285714</v>
          </cell>
          <cell r="G278">
            <v>102.84736152944789</v>
          </cell>
        </row>
        <row r="279">
          <cell r="A279">
            <v>40458</v>
          </cell>
          <cell r="B279">
            <v>44</v>
          </cell>
          <cell r="C279">
            <v>69918.399999999994</v>
          </cell>
          <cell r="D279">
            <v>1.6775500000000001</v>
          </cell>
          <cell r="F279">
            <v>157.14285714285714</v>
          </cell>
          <cell r="G279">
            <v>101.9390885428019</v>
          </cell>
        </row>
        <row r="280">
          <cell r="A280">
            <v>40459</v>
          </cell>
          <cell r="B280">
            <v>45.23</v>
          </cell>
          <cell r="C280">
            <v>70808.800000000003</v>
          </cell>
          <cell r="D280">
            <v>1.6810499999999999</v>
          </cell>
          <cell r="F280">
            <v>161.53571428571428</v>
          </cell>
          <cell r="G280">
            <v>103.23726705430261</v>
          </cell>
        </row>
        <row r="281">
          <cell r="A281">
            <v>40460</v>
          </cell>
          <cell r="B281">
            <v>45.23</v>
          </cell>
          <cell r="C281">
            <v>70808.800000000003</v>
          </cell>
          <cell r="D281">
            <v>1.6810499999999999</v>
          </cell>
          <cell r="F281">
            <v>161.53571428571428</v>
          </cell>
          <cell r="G281">
            <v>103.23726705430261</v>
          </cell>
        </row>
        <row r="282">
          <cell r="A282">
            <v>40461</v>
          </cell>
          <cell r="B282">
            <v>45.23</v>
          </cell>
          <cell r="C282">
            <v>70808.800000000003</v>
          </cell>
          <cell r="D282">
            <v>1.6810499999999999</v>
          </cell>
          <cell r="F282">
            <v>161.53571428571428</v>
          </cell>
          <cell r="G282">
            <v>103.23726705430261</v>
          </cell>
        </row>
        <row r="283">
          <cell r="A283">
            <v>40462</v>
          </cell>
          <cell r="B283">
            <v>47</v>
          </cell>
          <cell r="C283">
            <v>70946.490000000005</v>
          </cell>
          <cell r="D283">
            <v>1.6640999999999999</v>
          </cell>
          <cell r="F283">
            <v>167.85714285714286</v>
          </cell>
          <cell r="G283">
            <v>103.43801525651347</v>
          </cell>
        </row>
        <row r="284">
          <cell r="A284">
            <v>40463</v>
          </cell>
          <cell r="B284">
            <v>47</v>
          </cell>
          <cell r="C284">
            <v>70946.490000000005</v>
          </cell>
          <cell r="D284">
            <v>1.66995</v>
          </cell>
          <cell r="F284">
            <v>167.85714285714286</v>
          </cell>
          <cell r="G284">
            <v>103.43801525651347</v>
          </cell>
        </row>
        <row r="285">
          <cell r="A285">
            <v>40464</v>
          </cell>
          <cell r="B285">
            <v>49.4</v>
          </cell>
          <cell r="C285">
            <v>71674.899999999994</v>
          </cell>
          <cell r="D285">
            <v>1.6567000000000001</v>
          </cell>
          <cell r="F285">
            <v>176.42857142857142</v>
          </cell>
          <cell r="G285">
            <v>104.50001683957973</v>
          </cell>
        </row>
        <row r="286">
          <cell r="A286">
            <v>40465</v>
          </cell>
          <cell r="B286">
            <v>49.5</v>
          </cell>
          <cell r="C286">
            <v>71692.289999999994</v>
          </cell>
          <cell r="D286">
            <v>1.65615</v>
          </cell>
          <cell r="F286">
            <v>176.78571428571428</v>
          </cell>
          <cell r="G286">
            <v>104.5253709773998</v>
          </cell>
        </row>
        <row r="287">
          <cell r="A287">
            <v>40466</v>
          </cell>
          <cell r="B287">
            <v>49.5</v>
          </cell>
          <cell r="C287">
            <v>71830.179999999993</v>
          </cell>
          <cell r="D287">
            <v>1.66235</v>
          </cell>
          <cell r="F287">
            <v>176.78571428571428</v>
          </cell>
          <cell r="G287">
            <v>104.72641077406517</v>
          </cell>
        </row>
        <row r="288">
          <cell r="A288">
            <v>40467</v>
          </cell>
          <cell r="B288">
            <v>49.5</v>
          </cell>
          <cell r="C288">
            <v>71830.179999999993</v>
          </cell>
          <cell r="D288">
            <v>1.66235</v>
          </cell>
          <cell r="F288">
            <v>176.78571428571428</v>
          </cell>
          <cell r="G288">
            <v>104.72641077406517</v>
          </cell>
        </row>
        <row r="289">
          <cell r="A289">
            <v>40468</v>
          </cell>
          <cell r="B289">
            <v>49.5</v>
          </cell>
          <cell r="C289">
            <v>71830.179999999993</v>
          </cell>
          <cell r="D289">
            <v>1.66235</v>
          </cell>
          <cell r="F289">
            <v>176.78571428571428</v>
          </cell>
          <cell r="G289">
            <v>104.72641077406517</v>
          </cell>
        </row>
        <row r="290">
          <cell r="A290">
            <v>40469</v>
          </cell>
          <cell r="B290">
            <v>48.29</v>
          </cell>
          <cell r="C290">
            <v>71735.53</v>
          </cell>
          <cell r="D290">
            <v>1.6594500000000001</v>
          </cell>
          <cell r="F290">
            <v>172.46428571428572</v>
          </cell>
          <cell r="G290">
            <v>104.58841369846597</v>
          </cell>
        </row>
        <row r="291">
          <cell r="A291">
            <v>40470</v>
          </cell>
          <cell r="B291">
            <v>46.6</v>
          </cell>
          <cell r="C291">
            <v>69863.58</v>
          </cell>
          <cell r="D291">
            <v>1.6898500000000001</v>
          </cell>
          <cell r="F291">
            <v>166.42857142857144</v>
          </cell>
          <cell r="G291">
            <v>101.85916250281934</v>
          </cell>
        </row>
        <row r="292">
          <cell r="A292">
            <v>40471</v>
          </cell>
          <cell r="B292">
            <v>46</v>
          </cell>
          <cell r="C292">
            <v>70404.679999999993</v>
          </cell>
          <cell r="D292">
            <v>1.6756500000000001</v>
          </cell>
          <cell r="F292">
            <v>164.28571428571428</v>
          </cell>
          <cell r="G292">
            <v>102.64807129950964</v>
          </cell>
        </row>
        <row r="293">
          <cell r="A293">
            <v>40472</v>
          </cell>
          <cell r="B293">
            <v>45.45</v>
          </cell>
          <cell r="C293">
            <v>69652.100000000006</v>
          </cell>
          <cell r="D293">
            <v>1.69085</v>
          </cell>
          <cell r="F293">
            <v>162.32142857142858</v>
          </cell>
          <cell r="G293">
            <v>101.55083052661521</v>
          </cell>
        </row>
        <row r="294">
          <cell r="A294">
            <v>40473</v>
          </cell>
          <cell r="B294">
            <v>45</v>
          </cell>
          <cell r="C294">
            <v>69529.73</v>
          </cell>
          <cell r="D294">
            <v>1.69495</v>
          </cell>
          <cell r="F294">
            <v>160.71428571428572</v>
          </cell>
          <cell r="G294">
            <v>101.37241845962022</v>
          </cell>
        </row>
        <row r="295">
          <cell r="A295">
            <v>40474</v>
          </cell>
          <cell r="B295">
            <v>45</v>
          </cell>
          <cell r="C295">
            <v>69529.73</v>
          </cell>
          <cell r="D295">
            <v>1.69495</v>
          </cell>
          <cell r="F295">
            <v>160.71428571428572</v>
          </cell>
          <cell r="G295">
            <v>101.37241845962022</v>
          </cell>
        </row>
        <row r="296">
          <cell r="A296">
            <v>40475</v>
          </cell>
          <cell r="B296">
            <v>45</v>
          </cell>
          <cell r="C296">
            <v>69529.73</v>
          </cell>
          <cell r="D296">
            <v>1.69495</v>
          </cell>
          <cell r="F296">
            <v>160.71428571428572</v>
          </cell>
          <cell r="G296">
            <v>101.37241845962022</v>
          </cell>
        </row>
        <row r="297">
          <cell r="A297">
            <v>40476</v>
          </cell>
          <cell r="B297">
            <v>43.85</v>
          </cell>
          <cell r="C297">
            <v>69580.28</v>
          </cell>
          <cell r="D297">
            <v>1.7056500000000001</v>
          </cell>
          <cell r="F297">
            <v>156.60714285714286</v>
          </cell>
          <cell r="G297">
            <v>101.44611895799886</v>
          </cell>
        </row>
        <row r="298">
          <cell r="A298">
            <v>40477</v>
          </cell>
          <cell r="B298">
            <v>42.7</v>
          </cell>
          <cell r="C298">
            <v>70740.39</v>
          </cell>
          <cell r="D298">
            <v>1.70705</v>
          </cell>
          <cell r="F298">
            <v>152.5</v>
          </cell>
          <cell r="G298">
            <v>103.13752717113576</v>
          </cell>
        </row>
        <row r="299">
          <cell r="A299">
            <v>40478</v>
          </cell>
          <cell r="B299">
            <v>40.89</v>
          </cell>
          <cell r="C299">
            <v>70568.94</v>
          </cell>
          <cell r="D299">
            <v>1.7161500000000001</v>
          </cell>
          <cell r="F299">
            <v>146.03571428571428</v>
          </cell>
          <cell r="G299">
            <v>102.88755782500279</v>
          </cell>
        </row>
        <row r="300">
          <cell r="A300">
            <v>40479</v>
          </cell>
          <cell r="B300">
            <v>42.64</v>
          </cell>
          <cell r="C300">
            <v>70320.13</v>
          </cell>
          <cell r="D300">
            <v>1.7134</v>
          </cell>
          <cell r="F300">
            <v>152.28571428571428</v>
          </cell>
          <cell r="G300">
            <v>102.52479974386344</v>
          </cell>
        </row>
        <row r="301">
          <cell r="A301">
            <v>40480</v>
          </cell>
          <cell r="B301">
            <v>43.03</v>
          </cell>
          <cell r="C301">
            <v>70673.3</v>
          </cell>
          <cell r="D301">
            <v>1.69665</v>
          </cell>
          <cell r="F301">
            <v>153.67857142857144</v>
          </cell>
          <cell r="G301">
            <v>103.0397118113687</v>
          </cell>
        </row>
        <row r="302">
          <cell r="A302">
            <v>40481</v>
          </cell>
          <cell r="B302">
            <v>43.03</v>
          </cell>
          <cell r="C302">
            <v>70673.3</v>
          </cell>
          <cell r="D302">
            <v>1.69665</v>
          </cell>
          <cell r="F302">
            <v>153.67857142857144</v>
          </cell>
          <cell r="G302">
            <v>103.0397118113687</v>
          </cell>
        </row>
        <row r="303">
          <cell r="A303">
            <v>40482</v>
          </cell>
          <cell r="B303">
            <v>43.03</v>
          </cell>
          <cell r="C303">
            <v>70673.3</v>
          </cell>
          <cell r="D303">
            <v>1.69665</v>
          </cell>
          <cell r="F303">
            <v>153.67857142857144</v>
          </cell>
          <cell r="G303">
            <v>103.0397118113687</v>
          </cell>
        </row>
        <row r="304">
          <cell r="A304">
            <v>40483</v>
          </cell>
          <cell r="B304">
            <v>43.89</v>
          </cell>
          <cell r="C304">
            <v>71560.929999999993</v>
          </cell>
          <cell r="D304">
            <v>1.7047000000000001</v>
          </cell>
          <cell r="F304">
            <v>156.75</v>
          </cell>
          <cell r="G304">
            <v>104.33385173967437</v>
          </cell>
        </row>
        <row r="305">
          <cell r="A305">
            <v>40484</v>
          </cell>
          <cell r="B305">
            <v>43.89</v>
          </cell>
          <cell r="C305">
            <v>71560.929999999993</v>
          </cell>
          <cell r="D305">
            <v>1.7038</v>
          </cell>
          <cell r="F305">
            <v>156.75</v>
          </cell>
          <cell r="G305">
            <v>104.33385173967437</v>
          </cell>
        </row>
        <row r="306">
          <cell r="A306">
            <v>40485</v>
          </cell>
          <cell r="B306">
            <v>45.5</v>
          </cell>
          <cell r="C306">
            <v>71904.77</v>
          </cell>
          <cell r="D306">
            <v>1.6991499999999999</v>
          </cell>
          <cell r="F306">
            <v>162.5</v>
          </cell>
          <cell r="G306">
            <v>104.83516092587655</v>
          </cell>
        </row>
        <row r="307">
          <cell r="A307">
            <v>40486</v>
          </cell>
          <cell r="B307">
            <v>43.01</v>
          </cell>
          <cell r="C307">
            <v>72995.69</v>
          </cell>
          <cell r="D307">
            <v>1.6793</v>
          </cell>
          <cell r="F307">
            <v>153.60714285714286</v>
          </cell>
          <cell r="G307">
            <v>106.42569203747397</v>
          </cell>
        </row>
      </sheetData>
      <sheetData sheetId="2">
        <row r="1">
          <cell r="C1" t="str">
            <v>Mean</v>
          </cell>
          <cell r="D1" t="str">
            <v>StdDev</v>
          </cell>
          <cell r="F1" t="e">
            <v>#DIV/0!</v>
          </cell>
        </row>
        <row r="2">
          <cell r="B2" t="str">
            <v>DROG3-BR</v>
          </cell>
          <cell r="C2" t="e">
            <v>#DIV/0!</v>
          </cell>
          <cell r="D2" t="e">
            <v>#DIV/0!</v>
          </cell>
          <cell r="F2" t="e">
            <v>#DIV/0!</v>
          </cell>
        </row>
        <row r="3">
          <cell r="B3" t="str">
            <v>PE</v>
          </cell>
          <cell r="C3" t="str">
            <v>Mean</v>
          </cell>
          <cell r="D3" t="str">
            <v>+1 StdDev</v>
          </cell>
          <cell r="E3" t="str">
            <v>-1 StdDev</v>
          </cell>
          <cell r="F3" t="e">
            <v>#DIV/0!</v>
          </cell>
        </row>
        <row r="4">
          <cell r="A4">
            <v>39448</v>
          </cell>
          <cell r="B4" t="str">
            <v>#Calc</v>
          </cell>
          <cell r="C4" t="e">
            <v>#DIV/0!</v>
          </cell>
          <cell r="D4" t="e">
            <v>#DIV/0!</v>
          </cell>
          <cell r="E4" t="e">
            <v>#DIV/0!</v>
          </cell>
        </row>
        <row r="5">
          <cell r="A5">
            <v>39449</v>
          </cell>
          <cell r="B5" t="str">
            <v>#Calc</v>
          </cell>
          <cell r="C5" t="e">
            <v>#DIV/0!</v>
          </cell>
          <cell r="D5" t="e">
            <v>#DIV/0!</v>
          </cell>
          <cell r="E5" t="e">
            <v>#DIV/0!</v>
          </cell>
        </row>
        <row r="6">
          <cell r="A6">
            <v>39450</v>
          </cell>
          <cell r="B6" t="str">
            <v>#Calc</v>
          </cell>
          <cell r="C6" t="e">
            <v>#DIV/0!</v>
          </cell>
          <cell r="D6" t="e">
            <v>#DIV/0!</v>
          </cell>
          <cell r="E6" t="e">
            <v>#DIV/0!</v>
          </cell>
        </row>
        <row r="7">
          <cell r="A7">
            <v>39451</v>
          </cell>
          <cell r="B7" t="str">
            <v>#Calc</v>
          </cell>
          <cell r="C7" t="e">
            <v>#DIV/0!</v>
          </cell>
          <cell r="D7" t="e">
            <v>#DIV/0!</v>
          </cell>
          <cell r="E7" t="e">
            <v>#DIV/0!</v>
          </cell>
        </row>
        <row r="8">
          <cell r="A8">
            <v>39452</v>
          </cell>
          <cell r="B8" t="str">
            <v>#Calc</v>
          </cell>
          <cell r="C8" t="e">
            <v>#DIV/0!</v>
          </cell>
          <cell r="D8" t="e">
            <v>#DIV/0!</v>
          </cell>
          <cell r="E8" t="e">
            <v>#DIV/0!</v>
          </cell>
        </row>
        <row r="9">
          <cell r="A9">
            <v>39453</v>
          </cell>
          <cell r="B9" t="str">
            <v>#Calc</v>
          </cell>
          <cell r="C9" t="e">
            <v>#DIV/0!</v>
          </cell>
          <cell r="D9" t="e">
            <v>#DIV/0!</v>
          </cell>
          <cell r="E9" t="e">
            <v>#DIV/0!</v>
          </cell>
        </row>
        <row r="10">
          <cell r="A10">
            <v>39454</v>
          </cell>
          <cell r="B10" t="str">
            <v>#Calc</v>
          </cell>
          <cell r="C10" t="e">
            <v>#DIV/0!</v>
          </cell>
          <cell r="D10" t="e">
            <v>#DIV/0!</v>
          </cell>
          <cell r="E10" t="e">
            <v>#DIV/0!</v>
          </cell>
        </row>
        <row r="11">
          <cell r="A11">
            <v>39455</v>
          </cell>
          <cell r="B11" t="str">
            <v>#Calc</v>
          </cell>
          <cell r="C11" t="e">
            <v>#DIV/0!</v>
          </cell>
          <cell r="D11" t="e">
            <v>#DIV/0!</v>
          </cell>
          <cell r="E11" t="e">
            <v>#DIV/0!</v>
          </cell>
        </row>
        <row r="12">
          <cell r="A12">
            <v>39456</v>
          </cell>
          <cell r="B12" t="str">
            <v>#Calc</v>
          </cell>
          <cell r="C12" t="e">
            <v>#DIV/0!</v>
          </cell>
          <cell r="D12" t="e">
            <v>#DIV/0!</v>
          </cell>
          <cell r="E12" t="e">
            <v>#DIV/0!</v>
          </cell>
        </row>
        <row r="13">
          <cell r="A13">
            <v>39457</v>
          </cell>
          <cell r="B13" t="str">
            <v>#Calc</v>
          </cell>
          <cell r="C13" t="e">
            <v>#DIV/0!</v>
          </cell>
          <cell r="D13" t="e">
            <v>#DIV/0!</v>
          </cell>
          <cell r="E13" t="e">
            <v>#DIV/0!</v>
          </cell>
        </row>
        <row r="14">
          <cell r="A14">
            <v>39458</v>
          </cell>
          <cell r="B14" t="str">
            <v>#Calc</v>
          </cell>
          <cell r="C14" t="e">
            <v>#DIV/0!</v>
          </cell>
          <cell r="D14" t="e">
            <v>#DIV/0!</v>
          </cell>
          <cell r="E14" t="e">
            <v>#DIV/0!</v>
          </cell>
        </row>
        <row r="15">
          <cell r="A15">
            <v>39459</v>
          </cell>
          <cell r="B15" t="str">
            <v>#Calc</v>
          </cell>
          <cell r="C15" t="e">
            <v>#DIV/0!</v>
          </cell>
          <cell r="D15" t="e">
            <v>#DIV/0!</v>
          </cell>
          <cell r="E15" t="e">
            <v>#DIV/0!</v>
          </cell>
        </row>
        <row r="16">
          <cell r="A16">
            <v>39460</v>
          </cell>
          <cell r="B16" t="str">
            <v>#Calc</v>
          </cell>
          <cell r="C16" t="e">
            <v>#DIV/0!</v>
          </cell>
          <cell r="D16" t="e">
            <v>#DIV/0!</v>
          </cell>
          <cell r="E16" t="e">
            <v>#DIV/0!</v>
          </cell>
        </row>
        <row r="17">
          <cell r="A17">
            <v>39461</v>
          </cell>
          <cell r="B17" t="str">
            <v>#Calc</v>
          </cell>
          <cell r="C17" t="e">
            <v>#DIV/0!</v>
          </cell>
          <cell r="D17" t="e">
            <v>#DIV/0!</v>
          </cell>
          <cell r="E17" t="e">
            <v>#DIV/0!</v>
          </cell>
        </row>
        <row r="18">
          <cell r="A18">
            <v>39462</v>
          </cell>
          <cell r="B18" t="str">
            <v>#Calc</v>
          </cell>
          <cell r="C18" t="e">
            <v>#DIV/0!</v>
          </cell>
          <cell r="D18" t="e">
            <v>#DIV/0!</v>
          </cell>
          <cell r="E18" t="e">
            <v>#DIV/0!</v>
          </cell>
        </row>
        <row r="19">
          <cell r="A19">
            <v>39463</v>
          </cell>
          <cell r="B19" t="str">
            <v>#Calc</v>
          </cell>
          <cell r="C19" t="e">
            <v>#DIV/0!</v>
          </cell>
          <cell r="D19" t="e">
            <v>#DIV/0!</v>
          </cell>
          <cell r="E19" t="e">
            <v>#DIV/0!</v>
          </cell>
        </row>
        <row r="20">
          <cell r="A20">
            <v>39464</v>
          </cell>
          <cell r="B20" t="str">
            <v>#Calc</v>
          </cell>
          <cell r="C20" t="e">
            <v>#DIV/0!</v>
          </cell>
          <cell r="D20" t="e">
            <v>#DIV/0!</v>
          </cell>
          <cell r="E20" t="e">
            <v>#DIV/0!</v>
          </cell>
        </row>
        <row r="21">
          <cell r="A21">
            <v>39465</v>
          </cell>
          <cell r="B21" t="str">
            <v>#Calc</v>
          </cell>
          <cell r="C21" t="e">
            <v>#DIV/0!</v>
          </cell>
          <cell r="D21" t="e">
            <v>#DIV/0!</v>
          </cell>
          <cell r="E21" t="e">
            <v>#DIV/0!</v>
          </cell>
        </row>
        <row r="22">
          <cell r="A22">
            <v>39466</v>
          </cell>
          <cell r="B22" t="str">
            <v>#Calc</v>
          </cell>
          <cell r="C22" t="e">
            <v>#DIV/0!</v>
          </cell>
          <cell r="D22" t="e">
            <v>#DIV/0!</v>
          </cell>
          <cell r="E22" t="e">
            <v>#DIV/0!</v>
          </cell>
        </row>
        <row r="23">
          <cell r="A23">
            <v>39467</v>
          </cell>
          <cell r="B23" t="str">
            <v>#Calc</v>
          </cell>
          <cell r="C23" t="e">
            <v>#DIV/0!</v>
          </cell>
          <cell r="D23" t="e">
            <v>#DIV/0!</v>
          </cell>
          <cell r="E23" t="e">
            <v>#DIV/0!</v>
          </cell>
        </row>
        <row r="24">
          <cell r="A24">
            <v>39468</v>
          </cell>
          <cell r="B24" t="str">
            <v>#Calc</v>
          </cell>
          <cell r="C24" t="e">
            <v>#DIV/0!</v>
          </cell>
          <cell r="D24" t="e">
            <v>#DIV/0!</v>
          </cell>
          <cell r="E24" t="e">
            <v>#DIV/0!</v>
          </cell>
        </row>
        <row r="25">
          <cell r="A25">
            <v>39469</v>
          </cell>
          <cell r="B25" t="str">
            <v>#Calc</v>
          </cell>
          <cell r="C25" t="e">
            <v>#DIV/0!</v>
          </cell>
          <cell r="D25" t="e">
            <v>#DIV/0!</v>
          </cell>
          <cell r="E25" t="e">
            <v>#DIV/0!</v>
          </cell>
        </row>
        <row r="26">
          <cell r="A26">
            <v>39470</v>
          </cell>
          <cell r="B26" t="str">
            <v>#Calc</v>
          </cell>
          <cell r="C26" t="e">
            <v>#DIV/0!</v>
          </cell>
          <cell r="D26" t="e">
            <v>#DIV/0!</v>
          </cell>
          <cell r="E26" t="e">
            <v>#DIV/0!</v>
          </cell>
        </row>
        <row r="27">
          <cell r="A27">
            <v>39471</v>
          </cell>
          <cell r="B27" t="str">
            <v>#Calc</v>
          </cell>
          <cell r="C27" t="e">
            <v>#DIV/0!</v>
          </cell>
          <cell r="D27" t="e">
            <v>#DIV/0!</v>
          </cell>
          <cell r="E27" t="e">
            <v>#DIV/0!</v>
          </cell>
        </row>
        <row r="28">
          <cell r="A28">
            <v>39472</v>
          </cell>
          <cell r="B28" t="str">
            <v>#Calc</v>
          </cell>
          <cell r="C28" t="e">
            <v>#DIV/0!</v>
          </cell>
          <cell r="D28" t="e">
            <v>#DIV/0!</v>
          </cell>
          <cell r="E28" t="e">
            <v>#DIV/0!</v>
          </cell>
        </row>
        <row r="29">
          <cell r="A29">
            <v>39473</v>
          </cell>
          <cell r="B29" t="str">
            <v>#Calc</v>
          </cell>
          <cell r="C29" t="e">
            <v>#DIV/0!</v>
          </cell>
          <cell r="D29" t="e">
            <v>#DIV/0!</v>
          </cell>
          <cell r="E29" t="e">
            <v>#DIV/0!</v>
          </cell>
        </row>
        <row r="30">
          <cell r="A30">
            <v>39474</v>
          </cell>
          <cell r="B30" t="str">
            <v>#Calc</v>
          </cell>
          <cell r="C30" t="e">
            <v>#DIV/0!</v>
          </cell>
          <cell r="D30" t="e">
            <v>#DIV/0!</v>
          </cell>
          <cell r="E30" t="e">
            <v>#DIV/0!</v>
          </cell>
        </row>
        <row r="31">
          <cell r="A31">
            <v>39475</v>
          </cell>
          <cell r="B31" t="str">
            <v>#Calc</v>
          </cell>
          <cell r="C31" t="e">
            <v>#DIV/0!</v>
          </cell>
          <cell r="D31" t="e">
            <v>#DIV/0!</v>
          </cell>
          <cell r="E31" t="e">
            <v>#DIV/0!</v>
          </cell>
        </row>
        <row r="32">
          <cell r="A32">
            <v>39476</v>
          </cell>
          <cell r="B32" t="str">
            <v>#Calc</v>
          </cell>
          <cell r="C32" t="e">
            <v>#DIV/0!</v>
          </cell>
          <cell r="D32" t="e">
            <v>#DIV/0!</v>
          </cell>
          <cell r="E32" t="e">
            <v>#DIV/0!</v>
          </cell>
        </row>
        <row r="33">
          <cell r="A33">
            <v>39477</v>
          </cell>
          <cell r="B33" t="str">
            <v>#Calc</v>
          </cell>
          <cell r="C33" t="e">
            <v>#DIV/0!</v>
          </cell>
          <cell r="D33" t="e">
            <v>#DIV/0!</v>
          </cell>
          <cell r="E33" t="e">
            <v>#DIV/0!</v>
          </cell>
        </row>
        <row r="34">
          <cell r="A34">
            <v>39478</v>
          </cell>
          <cell r="B34" t="str">
            <v>#Calc</v>
          </cell>
          <cell r="C34" t="e">
            <v>#DIV/0!</v>
          </cell>
          <cell r="D34" t="e">
            <v>#DIV/0!</v>
          </cell>
          <cell r="E34" t="e">
            <v>#DIV/0!</v>
          </cell>
        </row>
        <row r="35">
          <cell r="A35">
            <v>39479</v>
          </cell>
          <cell r="B35" t="str">
            <v>#Calc</v>
          </cell>
          <cell r="C35" t="e">
            <v>#DIV/0!</v>
          </cell>
          <cell r="D35" t="e">
            <v>#DIV/0!</v>
          </cell>
          <cell r="E35" t="e">
            <v>#DIV/0!</v>
          </cell>
        </row>
        <row r="36">
          <cell r="A36">
            <v>39480</v>
          </cell>
          <cell r="B36" t="str">
            <v>#Calc</v>
          </cell>
          <cell r="C36" t="e">
            <v>#DIV/0!</v>
          </cell>
          <cell r="D36" t="e">
            <v>#DIV/0!</v>
          </cell>
          <cell r="E36" t="e">
            <v>#DIV/0!</v>
          </cell>
        </row>
        <row r="37">
          <cell r="A37">
            <v>39481</v>
          </cell>
          <cell r="B37" t="str">
            <v>#Calc</v>
          </cell>
          <cell r="C37" t="e">
            <v>#DIV/0!</v>
          </cell>
          <cell r="D37" t="e">
            <v>#DIV/0!</v>
          </cell>
          <cell r="E37" t="e">
            <v>#DIV/0!</v>
          </cell>
        </row>
        <row r="38">
          <cell r="A38">
            <v>39482</v>
          </cell>
          <cell r="B38" t="str">
            <v>#Calc</v>
          </cell>
          <cell r="C38" t="e">
            <v>#DIV/0!</v>
          </cell>
          <cell r="D38" t="e">
            <v>#DIV/0!</v>
          </cell>
          <cell r="E38" t="e">
            <v>#DIV/0!</v>
          </cell>
        </row>
        <row r="39">
          <cell r="A39">
            <v>39483</v>
          </cell>
          <cell r="B39" t="str">
            <v>#Calc</v>
          </cell>
          <cell r="C39" t="e">
            <v>#DIV/0!</v>
          </cell>
          <cell r="D39" t="e">
            <v>#DIV/0!</v>
          </cell>
          <cell r="E39" t="e">
            <v>#DIV/0!</v>
          </cell>
        </row>
        <row r="40">
          <cell r="A40">
            <v>39484</v>
          </cell>
          <cell r="B40" t="str">
            <v>#Calc</v>
          </cell>
          <cell r="C40" t="e">
            <v>#DIV/0!</v>
          </cell>
          <cell r="D40" t="e">
            <v>#DIV/0!</v>
          </cell>
          <cell r="E40" t="e">
            <v>#DIV/0!</v>
          </cell>
        </row>
        <row r="41">
          <cell r="A41">
            <v>39485</v>
          </cell>
          <cell r="B41" t="str">
            <v>#Calc</v>
          </cell>
          <cell r="C41" t="e">
            <v>#DIV/0!</v>
          </cell>
          <cell r="D41" t="e">
            <v>#DIV/0!</v>
          </cell>
          <cell r="E41" t="e">
            <v>#DIV/0!</v>
          </cell>
        </row>
        <row r="42">
          <cell r="A42">
            <v>39486</v>
          </cell>
          <cell r="B42" t="str">
            <v>#Calc</v>
          </cell>
          <cell r="C42" t="e">
            <v>#DIV/0!</v>
          </cell>
          <cell r="D42" t="e">
            <v>#DIV/0!</v>
          </cell>
          <cell r="E42" t="e">
            <v>#DIV/0!</v>
          </cell>
        </row>
        <row r="43">
          <cell r="A43">
            <v>39487</v>
          </cell>
          <cell r="B43" t="str">
            <v>#Calc</v>
          </cell>
          <cell r="C43" t="e">
            <v>#DIV/0!</v>
          </cell>
          <cell r="D43" t="e">
            <v>#DIV/0!</v>
          </cell>
          <cell r="E43" t="e">
            <v>#DIV/0!</v>
          </cell>
        </row>
        <row r="44">
          <cell r="A44">
            <v>39488</v>
          </cell>
          <cell r="B44" t="str">
            <v>#Calc</v>
          </cell>
          <cell r="C44" t="e">
            <v>#DIV/0!</v>
          </cell>
          <cell r="D44" t="e">
            <v>#DIV/0!</v>
          </cell>
          <cell r="E44" t="e">
            <v>#DIV/0!</v>
          </cell>
        </row>
        <row r="45">
          <cell r="A45">
            <v>39489</v>
          </cell>
          <cell r="B45" t="str">
            <v>#Calc</v>
          </cell>
          <cell r="C45" t="e">
            <v>#DIV/0!</v>
          </cell>
          <cell r="D45" t="e">
            <v>#DIV/0!</v>
          </cell>
          <cell r="E45" t="e">
            <v>#DIV/0!</v>
          </cell>
        </row>
        <row r="46">
          <cell r="A46">
            <v>39490</v>
          </cell>
          <cell r="B46" t="str">
            <v>#Calc</v>
          </cell>
          <cell r="C46" t="e">
            <v>#DIV/0!</v>
          </cell>
          <cell r="D46" t="e">
            <v>#DIV/0!</v>
          </cell>
          <cell r="E46" t="e">
            <v>#DIV/0!</v>
          </cell>
        </row>
        <row r="47">
          <cell r="A47">
            <v>39491</v>
          </cell>
          <cell r="B47" t="str">
            <v>#Calc</v>
          </cell>
          <cell r="C47" t="e">
            <v>#DIV/0!</v>
          </cell>
          <cell r="D47" t="e">
            <v>#DIV/0!</v>
          </cell>
          <cell r="E47" t="e">
            <v>#DIV/0!</v>
          </cell>
        </row>
        <row r="48">
          <cell r="A48">
            <v>39492</v>
          </cell>
          <cell r="B48" t="str">
            <v>#Calc</v>
          </cell>
          <cell r="C48" t="e">
            <v>#DIV/0!</v>
          </cell>
          <cell r="D48" t="e">
            <v>#DIV/0!</v>
          </cell>
          <cell r="E48" t="e">
            <v>#DIV/0!</v>
          </cell>
        </row>
        <row r="49">
          <cell r="A49">
            <v>39493</v>
          </cell>
          <cell r="B49" t="str">
            <v>#Calc</v>
          </cell>
          <cell r="C49" t="e">
            <v>#DIV/0!</v>
          </cell>
          <cell r="D49" t="e">
            <v>#DIV/0!</v>
          </cell>
          <cell r="E49" t="e">
            <v>#DIV/0!</v>
          </cell>
        </row>
        <row r="50">
          <cell r="A50">
            <v>39494</v>
          </cell>
          <cell r="B50" t="str">
            <v>#Calc</v>
          </cell>
          <cell r="C50" t="e">
            <v>#DIV/0!</v>
          </cell>
          <cell r="D50" t="e">
            <v>#DIV/0!</v>
          </cell>
          <cell r="E50" t="e">
            <v>#DIV/0!</v>
          </cell>
        </row>
        <row r="51">
          <cell r="A51">
            <v>39495</v>
          </cell>
          <cell r="B51" t="str">
            <v>#Calc</v>
          </cell>
          <cell r="C51" t="e">
            <v>#DIV/0!</v>
          </cell>
          <cell r="D51" t="e">
            <v>#DIV/0!</v>
          </cell>
          <cell r="E51" t="e">
            <v>#DIV/0!</v>
          </cell>
        </row>
        <row r="52">
          <cell r="A52">
            <v>39496</v>
          </cell>
          <cell r="B52" t="str">
            <v>#Calc</v>
          </cell>
          <cell r="C52" t="e">
            <v>#DIV/0!</v>
          </cell>
          <cell r="D52" t="e">
            <v>#DIV/0!</v>
          </cell>
          <cell r="E52" t="e">
            <v>#DIV/0!</v>
          </cell>
        </row>
        <row r="53">
          <cell r="A53">
            <v>39497</v>
          </cell>
          <cell r="B53" t="str">
            <v>#Calc</v>
          </cell>
          <cell r="C53" t="e">
            <v>#DIV/0!</v>
          </cell>
          <cell r="D53" t="e">
            <v>#DIV/0!</v>
          </cell>
          <cell r="E53" t="e">
            <v>#DIV/0!</v>
          </cell>
        </row>
        <row r="54">
          <cell r="A54">
            <v>39498</v>
          </cell>
          <cell r="B54" t="str">
            <v>#Calc</v>
          </cell>
          <cell r="C54" t="e">
            <v>#DIV/0!</v>
          </cell>
          <cell r="D54" t="e">
            <v>#DIV/0!</v>
          </cell>
          <cell r="E54" t="e">
            <v>#DIV/0!</v>
          </cell>
        </row>
        <row r="55">
          <cell r="A55">
            <v>39499</v>
          </cell>
          <cell r="B55" t="str">
            <v>#Calc</v>
          </cell>
          <cell r="C55" t="e">
            <v>#DIV/0!</v>
          </cell>
          <cell r="D55" t="e">
            <v>#DIV/0!</v>
          </cell>
          <cell r="E55" t="e">
            <v>#DIV/0!</v>
          </cell>
        </row>
        <row r="56">
          <cell r="A56">
            <v>39500</v>
          </cell>
          <cell r="B56" t="str">
            <v>#Calc</v>
          </cell>
          <cell r="C56" t="e">
            <v>#DIV/0!</v>
          </cell>
          <cell r="D56" t="e">
            <v>#DIV/0!</v>
          </cell>
          <cell r="E56" t="e">
            <v>#DIV/0!</v>
          </cell>
        </row>
        <row r="57">
          <cell r="A57">
            <v>39501</v>
          </cell>
          <cell r="B57" t="str">
            <v>#Calc</v>
          </cell>
          <cell r="C57" t="e">
            <v>#DIV/0!</v>
          </cell>
          <cell r="D57" t="e">
            <v>#DIV/0!</v>
          </cell>
          <cell r="E57" t="e">
            <v>#DIV/0!</v>
          </cell>
        </row>
        <row r="58">
          <cell r="A58">
            <v>39502</v>
          </cell>
          <cell r="B58" t="str">
            <v>#Calc</v>
          </cell>
          <cell r="C58" t="e">
            <v>#DIV/0!</v>
          </cell>
          <cell r="D58" t="e">
            <v>#DIV/0!</v>
          </cell>
          <cell r="E58" t="e">
            <v>#DIV/0!</v>
          </cell>
        </row>
        <row r="59">
          <cell r="A59">
            <v>39503</v>
          </cell>
          <cell r="B59" t="str">
            <v>#Calc</v>
          </cell>
          <cell r="C59" t="e">
            <v>#DIV/0!</v>
          </cell>
          <cell r="D59" t="e">
            <v>#DIV/0!</v>
          </cell>
          <cell r="E59" t="e">
            <v>#DIV/0!</v>
          </cell>
        </row>
        <row r="60">
          <cell r="A60">
            <v>39504</v>
          </cell>
          <cell r="B60" t="str">
            <v>#Calc</v>
          </cell>
          <cell r="C60" t="e">
            <v>#DIV/0!</v>
          </cell>
          <cell r="D60" t="e">
            <v>#DIV/0!</v>
          </cell>
          <cell r="E60" t="e">
            <v>#DIV/0!</v>
          </cell>
        </row>
        <row r="61">
          <cell r="A61">
            <v>39505</v>
          </cell>
          <cell r="B61" t="str">
            <v>#Calc</v>
          </cell>
          <cell r="C61" t="e">
            <v>#DIV/0!</v>
          </cell>
          <cell r="D61" t="e">
            <v>#DIV/0!</v>
          </cell>
          <cell r="E61" t="e">
            <v>#DIV/0!</v>
          </cell>
        </row>
        <row r="62">
          <cell r="A62">
            <v>39506</v>
          </cell>
          <cell r="B62" t="str">
            <v>#Calc</v>
          </cell>
          <cell r="C62" t="e">
            <v>#DIV/0!</v>
          </cell>
          <cell r="D62" t="e">
            <v>#DIV/0!</v>
          </cell>
          <cell r="E62" t="e">
            <v>#DIV/0!</v>
          </cell>
        </row>
        <row r="63">
          <cell r="A63">
            <v>39507</v>
          </cell>
          <cell r="B63" t="str">
            <v>#Calc</v>
          </cell>
          <cell r="C63" t="e">
            <v>#DIV/0!</v>
          </cell>
          <cell r="D63" t="e">
            <v>#DIV/0!</v>
          </cell>
          <cell r="E63" t="e">
            <v>#DIV/0!</v>
          </cell>
        </row>
        <row r="64">
          <cell r="A64">
            <v>39508</v>
          </cell>
          <cell r="B64" t="str">
            <v>#Calc</v>
          </cell>
          <cell r="C64" t="e">
            <v>#DIV/0!</v>
          </cell>
          <cell r="D64" t="e">
            <v>#DIV/0!</v>
          </cell>
          <cell r="E64" t="e">
            <v>#DIV/0!</v>
          </cell>
        </row>
        <row r="65">
          <cell r="A65">
            <v>39509</v>
          </cell>
          <cell r="B65" t="str">
            <v>#Calc</v>
          </cell>
          <cell r="C65" t="e">
            <v>#DIV/0!</v>
          </cell>
          <cell r="D65" t="e">
            <v>#DIV/0!</v>
          </cell>
          <cell r="E65" t="e">
            <v>#DIV/0!</v>
          </cell>
        </row>
        <row r="66">
          <cell r="A66">
            <v>39510</v>
          </cell>
          <cell r="B66" t="str">
            <v>#Calc</v>
          </cell>
          <cell r="C66" t="e">
            <v>#DIV/0!</v>
          </cell>
          <cell r="D66" t="e">
            <v>#DIV/0!</v>
          </cell>
          <cell r="E66" t="e">
            <v>#DIV/0!</v>
          </cell>
        </row>
        <row r="67">
          <cell r="A67">
            <v>39511</v>
          </cell>
          <cell r="B67" t="str">
            <v>#Calc</v>
          </cell>
          <cell r="C67" t="e">
            <v>#DIV/0!</v>
          </cell>
          <cell r="D67" t="e">
            <v>#DIV/0!</v>
          </cell>
          <cell r="E67" t="e">
            <v>#DIV/0!</v>
          </cell>
        </row>
        <row r="68">
          <cell r="A68">
            <v>39512</v>
          </cell>
          <cell r="B68" t="str">
            <v>#Calc</v>
          </cell>
          <cell r="C68" t="e">
            <v>#DIV/0!</v>
          </cell>
          <cell r="D68" t="e">
            <v>#DIV/0!</v>
          </cell>
          <cell r="E68" t="e">
            <v>#DIV/0!</v>
          </cell>
        </row>
        <row r="69">
          <cell r="A69">
            <v>39513</v>
          </cell>
          <cell r="B69" t="str">
            <v>#Calc</v>
          </cell>
          <cell r="C69" t="e">
            <v>#DIV/0!</v>
          </cell>
          <cell r="D69" t="e">
            <v>#DIV/0!</v>
          </cell>
          <cell r="E69" t="e">
            <v>#DIV/0!</v>
          </cell>
        </row>
        <row r="70">
          <cell r="A70">
            <v>39514</v>
          </cell>
          <cell r="B70" t="str">
            <v>#Calc</v>
          </cell>
          <cell r="C70" t="e">
            <v>#DIV/0!</v>
          </cell>
          <cell r="D70" t="e">
            <v>#DIV/0!</v>
          </cell>
          <cell r="E70" t="e">
            <v>#DIV/0!</v>
          </cell>
        </row>
        <row r="71">
          <cell r="A71">
            <v>39515</v>
          </cell>
          <cell r="B71" t="str">
            <v>#Calc</v>
          </cell>
          <cell r="C71" t="e">
            <v>#DIV/0!</v>
          </cell>
          <cell r="D71" t="e">
            <v>#DIV/0!</v>
          </cell>
          <cell r="E71" t="e">
            <v>#DIV/0!</v>
          </cell>
        </row>
        <row r="72">
          <cell r="A72">
            <v>39516</v>
          </cell>
          <cell r="B72" t="str">
            <v>#Calc</v>
          </cell>
          <cell r="C72" t="e">
            <v>#DIV/0!</v>
          </cell>
          <cell r="D72" t="e">
            <v>#DIV/0!</v>
          </cell>
          <cell r="E72" t="e">
            <v>#DIV/0!</v>
          </cell>
        </row>
        <row r="73">
          <cell r="A73">
            <v>39517</v>
          </cell>
          <cell r="B73" t="str">
            <v>#Calc</v>
          </cell>
          <cell r="C73" t="e">
            <v>#DIV/0!</v>
          </cell>
          <cell r="D73" t="e">
            <v>#DIV/0!</v>
          </cell>
          <cell r="E73" t="e">
            <v>#DIV/0!</v>
          </cell>
        </row>
        <row r="74">
          <cell r="A74">
            <v>39518</v>
          </cell>
          <cell r="B74" t="str">
            <v>#Calc</v>
          </cell>
          <cell r="C74" t="e">
            <v>#DIV/0!</v>
          </cell>
          <cell r="D74" t="e">
            <v>#DIV/0!</v>
          </cell>
          <cell r="E74" t="e">
            <v>#DIV/0!</v>
          </cell>
        </row>
        <row r="75">
          <cell r="A75">
            <v>39519</v>
          </cell>
          <cell r="B75" t="str">
            <v>#Calc</v>
          </cell>
          <cell r="C75" t="e">
            <v>#DIV/0!</v>
          </cell>
          <cell r="D75" t="e">
            <v>#DIV/0!</v>
          </cell>
          <cell r="E75" t="e">
            <v>#DIV/0!</v>
          </cell>
        </row>
        <row r="76">
          <cell r="A76">
            <v>39520</v>
          </cell>
          <cell r="B76" t="str">
            <v>#Calc</v>
          </cell>
          <cell r="C76" t="e">
            <v>#DIV/0!</v>
          </cell>
          <cell r="D76" t="e">
            <v>#DIV/0!</v>
          </cell>
          <cell r="E76" t="e">
            <v>#DIV/0!</v>
          </cell>
        </row>
        <row r="77">
          <cell r="A77">
            <v>39521</v>
          </cell>
          <cell r="B77" t="str">
            <v>#Calc</v>
          </cell>
          <cell r="C77" t="e">
            <v>#DIV/0!</v>
          </cell>
          <cell r="D77" t="e">
            <v>#DIV/0!</v>
          </cell>
          <cell r="E77" t="e">
            <v>#DIV/0!</v>
          </cell>
        </row>
        <row r="78">
          <cell r="A78">
            <v>39522</v>
          </cell>
          <cell r="B78" t="str">
            <v>#Calc</v>
          </cell>
          <cell r="C78" t="e">
            <v>#DIV/0!</v>
          </cell>
          <cell r="D78" t="e">
            <v>#DIV/0!</v>
          </cell>
          <cell r="E78" t="e">
            <v>#DIV/0!</v>
          </cell>
        </row>
        <row r="79">
          <cell r="A79">
            <v>39523</v>
          </cell>
          <cell r="B79" t="str">
            <v>#Calc</v>
          </cell>
          <cell r="C79" t="e">
            <v>#DIV/0!</v>
          </cell>
          <cell r="D79" t="e">
            <v>#DIV/0!</v>
          </cell>
          <cell r="E79" t="e">
            <v>#DIV/0!</v>
          </cell>
        </row>
        <row r="80">
          <cell r="A80">
            <v>39524</v>
          </cell>
          <cell r="B80" t="str">
            <v>#Calc</v>
          </cell>
          <cell r="C80" t="e">
            <v>#DIV/0!</v>
          </cell>
          <cell r="D80" t="e">
            <v>#DIV/0!</v>
          </cell>
          <cell r="E80" t="e">
            <v>#DIV/0!</v>
          </cell>
        </row>
        <row r="81">
          <cell r="A81">
            <v>39525</v>
          </cell>
          <cell r="B81" t="str">
            <v>#Calc</v>
          </cell>
          <cell r="C81" t="e">
            <v>#DIV/0!</v>
          </cell>
          <cell r="D81" t="e">
            <v>#DIV/0!</v>
          </cell>
          <cell r="E81" t="e">
            <v>#DIV/0!</v>
          </cell>
        </row>
        <row r="82">
          <cell r="A82">
            <v>39526</v>
          </cell>
          <cell r="B82" t="str">
            <v>#Calc</v>
          </cell>
          <cell r="C82" t="e">
            <v>#DIV/0!</v>
          </cell>
          <cell r="D82" t="e">
            <v>#DIV/0!</v>
          </cell>
          <cell r="E82" t="e">
            <v>#DIV/0!</v>
          </cell>
        </row>
        <row r="83">
          <cell r="A83">
            <v>39527</v>
          </cell>
          <cell r="B83" t="str">
            <v>#Calc</v>
          </cell>
          <cell r="C83" t="e">
            <v>#DIV/0!</v>
          </cell>
          <cell r="D83" t="e">
            <v>#DIV/0!</v>
          </cell>
          <cell r="E83" t="e">
            <v>#DIV/0!</v>
          </cell>
        </row>
        <row r="84">
          <cell r="A84">
            <v>39528</v>
          </cell>
          <cell r="B84" t="str">
            <v>#Calc</v>
          </cell>
          <cell r="C84" t="e">
            <v>#DIV/0!</v>
          </cell>
          <cell r="D84" t="e">
            <v>#DIV/0!</v>
          </cell>
          <cell r="E84" t="e">
            <v>#DIV/0!</v>
          </cell>
        </row>
        <row r="85">
          <cell r="A85">
            <v>39529</v>
          </cell>
          <cell r="B85" t="str">
            <v>#Calc</v>
          </cell>
          <cell r="C85" t="e">
            <v>#DIV/0!</v>
          </cell>
          <cell r="D85" t="e">
            <v>#DIV/0!</v>
          </cell>
          <cell r="E85" t="e">
            <v>#DIV/0!</v>
          </cell>
        </row>
        <row r="86">
          <cell r="A86">
            <v>39530</v>
          </cell>
          <cell r="B86" t="str">
            <v>#Calc</v>
          </cell>
          <cell r="C86" t="e">
            <v>#DIV/0!</v>
          </cell>
          <cell r="D86" t="e">
            <v>#DIV/0!</v>
          </cell>
          <cell r="E86" t="e">
            <v>#DIV/0!</v>
          </cell>
        </row>
        <row r="87">
          <cell r="A87">
            <v>39531</v>
          </cell>
          <cell r="B87" t="str">
            <v>#Calc</v>
          </cell>
          <cell r="C87" t="e">
            <v>#DIV/0!</v>
          </cell>
          <cell r="D87" t="e">
            <v>#DIV/0!</v>
          </cell>
          <cell r="E87" t="e">
            <v>#DIV/0!</v>
          </cell>
        </row>
        <row r="88">
          <cell r="A88">
            <v>39532</v>
          </cell>
          <cell r="B88" t="str">
            <v>#Calc</v>
          </cell>
          <cell r="C88" t="e">
            <v>#DIV/0!</v>
          </cell>
          <cell r="D88" t="e">
            <v>#DIV/0!</v>
          </cell>
          <cell r="E88" t="e">
            <v>#DIV/0!</v>
          </cell>
        </row>
        <row r="89">
          <cell r="A89">
            <v>39533</v>
          </cell>
          <cell r="B89" t="str">
            <v>#Calc</v>
          </cell>
          <cell r="C89" t="e">
            <v>#DIV/0!</v>
          </cell>
          <cell r="D89" t="e">
            <v>#DIV/0!</v>
          </cell>
          <cell r="E89" t="e">
            <v>#DIV/0!</v>
          </cell>
        </row>
        <row r="90">
          <cell r="A90">
            <v>39534</v>
          </cell>
          <cell r="B90" t="str">
            <v>#Calc</v>
          </cell>
          <cell r="C90" t="e">
            <v>#DIV/0!</v>
          </cell>
          <cell r="D90" t="e">
            <v>#DIV/0!</v>
          </cell>
          <cell r="E90" t="e">
            <v>#DIV/0!</v>
          </cell>
        </row>
        <row r="91">
          <cell r="A91">
            <v>39535</v>
          </cell>
          <cell r="B91" t="str">
            <v>#Calc</v>
          </cell>
          <cell r="C91" t="e">
            <v>#DIV/0!</v>
          </cell>
          <cell r="D91" t="e">
            <v>#DIV/0!</v>
          </cell>
          <cell r="E91" t="e">
            <v>#DIV/0!</v>
          </cell>
        </row>
        <row r="92">
          <cell r="A92">
            <v>39536</v>
          </cell>
          <cell r="B92" t="str">
            <v>#Calc</v>
          </cell>
          <cell r="C92" t="e">
            <v>#DIV/0!</v>
          </cell>
          <cell r="D92" t="e">
            <v>#DIV/0!</v>
          </cell>
          <cell r="E92" t="e">
            <v>#DIV/0!</v>
          </cell>
        </row>
        <row r="93">
          <cell r="A93">
            <v>39537</v>
          </cell>
          <cell r="B93" t="str">
            <v>#Calc</v>
          </cell>
          <cell r="C93" t="e">
            <v>#DIV/0!</v>
          </cell>
          <cell r="D93" t="e">
            <v>#DIV/0!</v>
          </cell>
          <cell r="E93" t="e">
            <v>#DIV/0!</v>
          </cell>
        </row>
        <row r="94">
          <cell r="A94">
            <v>39538</v>
          </cell>
          <cell r="B94" t="str">
            <v>#Calc</v>
          </cell>
          <cell r="C94" t="e">
            <v>#DIV/0!</v>
          </cell>
          <cell r="D94" t="e">
            <v>#DIV/0!</v>
          </cell>
          <cell r="E94" t="e">
            <v>#DIV/0!</v>
          </cell>
        </row>
        <row r="95">
          <cell r="A95">
            <v>39539</v>
          </cell>
          <cell r="B95" t="str">
            <v>#Calc</v>
          </cell>
          <cell r="C95" t="e">
            <v>#DIV/0!</v>
          </cell>
          <cell r="D95" t="e">
            <v>#DIV/0!</v>
          </cell>
          <cell r="E95" t="e">
            <v>#DIV/0!</v>
          </cell>
        </row>
        <row r="96">
          <cell r="A96">
            <v>39540</v>
          </cell>
          <cell r="B96" t="str">
            <v>#Calc</v>
          </cell>
          <cell r="C96" t="e">
            <v>#DIV/0!</v>
          </cell>
          <cell r="D96" t="e">
            <v>#DIV/0!</v>
          </cell>
          <cell r="E96" t="e">
            <v>#DIV/0!</v>
          </cell>
        </row>
        <row r="97">
          <cell r="A97">
            <v>39541</v>
          </cell>
          <cell r="B97" t="str">
            <v>#Calc</v>
          </cell>
          <cell r="C97" t="e">
            <v>#DIV/0!</v>
          </cell>
          <cell r="D97" t="e">
            <v>#DIV/0!</v>
          </cell>
          <cell r="E97" t="e">
            <v>#DIV/0!</v>
          </cell>
        </row>
        <row r="98">
          <cell r="A98">
            <v>39542</v>
          </cell>
          <cell r="B98" t="str">
            <v>#Calc</v>
          </cell>
          <cell r="C98" t="e">
            <v>#DIV/0!</v>
          </cell>
          <cell r="D98" t="e">
            <v>#DIV/0!</v>
          </cell>
          <cell r="E98" t="e">
            <v>#DIV/0!</v>
          </cell>
        </row>
        <row r="99">
          <cell r="A99">
            <v>39543</v>
          </cell>
          <cell r="B99" t="str">
            <v>#Calc</v>
          </cell>
          <cell r="C99" t="e">
            <v>#DIV/0!</v>
          </cell>
          <cell r="D99" t="e">
            <v>#DIV/0!</v>
          </cell>
          <cell r="E99" t="e">
            <v>#DIV/0!</v>
          </cell>
        </row>
        <row r="100">
          <cell r="A100">
            <v>39544</v>
          </cell>
          <cell r="B100" t="str">
            <v>#Calc</v>
          </cell>
          <cell r="C100" t="e">
            <v>#DIV/0!</v>
          </cell>
          <cell r="D100" t="e">
            <v>#DIV/0!</v>
          </cell>
          <cell r="E100" t="e">
            <v>#DIV/0!</v>
          </cell>
        </row>
        <row r="101">
          <cell r="A101">
            <v>39545</v>
          </cell>
          <cell r="B101" t="str">
            <v>#Calc</v>
          </cell>
          <cell r="C101" t="e">
            <v>#DIV/0!</v>
          </cell>
          <cell r="D101" t="e">
            <v>#DIV/0!</v>
          </cell>
          <cell r="E101" t="e">
            <v>#DIV/0!</v>
          </cell>
        </row>
        <row r="102">
          <cell r="A102">
            <v>39546</v>
          </cell>
          <cell r="B102" t="str">
            <v>#Calc</v>
          </cell>
          <cell r="C102" t="e">
            <v>#DIV/0!</v>
          </cell>
          <cell r="D102" t="e">
            <v>#DIV/0!</v>
          </cell>
          <cell r="E102" t="e">
            <v>#DIV/0!</v>
          </cell>
        </row>
        <row r="103">
          <cell r="A103">
            <v>39547</v>
          </cell>
          <cell r="B103" t="str">
            <v>#Calc</v>
          </cell>
          <cell r="C103" t="e">
            <v>#DIV/0!</v>
          </cell>
          <cell r="D103" t="e">
            <v>#DIV/0!</v>
          </cell>
          <cell r="E103" t="e">
            <v>#DIV/0!</v>
          </cell>
        </row>
        <row r="104">
          <cell r="A104">
            <v>39548</v>
          </cell>
          <cell r="B104" t="str">
            <v>#Calc</v>
          </cell>
          <cell r="C104" t="e">
            <v>#DIV/0!</v>
          </cell>
          <cell r="D104" t="e">
            <v>#DIV/0!</v>
          </cell>
          <cell r="E104" t="e">
            <v>#DIV/0!</v>
          </cell>
        </row>
        <row r="105">
          <cell r="A105">
            <v>39549</v>
          </cell>
          <cell r="B105" t="str">
            <v>#Calc</v>
          </cell>
          <cell r="C105" t="e">
            <v>#DIV/0!</v>
          </cell>
          <cell r="D105" t="e">
            <v>#DIV/0!</v>
          </cell>
          <cell r="E105" t="e">
            <v>#DIV/0!</v>
          </cell>
        </row>
        <row r="106">
          <cell r="A106">
            <v>39550</v>
          </cell>
          <cell r="B106" t="str">
            <v>#Calc</v>
          </cell>
          <cell r="C106" t="e">
            <v>#DIV/0!</v>
          </cell>
          <cell r="D106" t="e">
            <v>#DIV/0!</v>
          </cell>
          <cell r="E106" t="e">
            <v>#DIV/0!</v>
          </cell>
        </row>
        <row r="107">
          <cell r="A107">
            <v>39551</v>
          </cell>
          <cell r="B107" t="str">
            <v>#Calc</v>
          </cell>
          <cell r="C107" t="e">
            <v>#DIV/0!</v>
          </cell>
          <cell r="D107" t="e">
            <v>#DIV/0!</v>
          </cell>
          <cell r="E107" t="e">
            <v>#DIV/0!</v>
          </cell>
        </row>
        <row r="108">
          <cell r="A108">
            <v>39552</v>
          </cell>
          <cell r="B108" t="str">
            <v>#Calc</v>
          </cell>
          <cell r="C108" t="e">
            <v>#DIV/0!</v>
          </cell>
          <cell r="D108" t="e">
            <v>#DIV/0!</v>
          </cell>
          <cell r="E108" t="e">
            <v>#DIV/0!</v>
          </cell>
        </row>
        <row r="109">
          <cell r="A109">
            <v>39553</v>
          </cell>
          <cell r="B109" t="str">
            <v>#Calc</v>
          </cell>
          <cell r="C109" t="e">
            <v>#DIV/0!</v>
          </cell>
          <cell r="D109" t="e">
            <v>#DIV/0!</v>
          </cell>
          <cell r="E109" t="e">
            <v>#DIV/0!</v>
          </cell>
        </row>
        <row r="110">
          <cell r="A110">
            <v>39554</v>
          </cell>
          <cell r="B110" t="str">
            <v>#Calc</v>
          </cell>
          <cell r="C110" t="e">
            <v>#DIV/0!</v>
          </cell>
          <cell r="D110" t="e">
            <v>#DIV/0!</v>
          </cell>
          <cell r="E110" t="e">
            <v>#DIV/0!</v>
          </cell>
        </row>
        <row r="111">
          <cell r="A111">
            <v>39555</v>
          </cell>
          <cell r="B111" t="str">
            <v>#Calc</v>
          </cell>
          <cell r="C111" t="e">
            <v>#DIV/0!</v>
          </cell>
          <cell r="D111" t="e">
            <v>#DIV/0!</v>
          </cell>
          <cell r="E111" t="e">
            <v>#DIV/0!</v>
          </cell>
        </row>
        <row r="112">
          <cell r="A112">
            <v>39556</v>
          </cell>
          <cell r="B112" t="str">
            <v>#Calc</v>
          </cell>
          <cell r="C112" t="e">
            <v>#DIV/0!</v>
          </cell>
          <cell r="D112" t="e">
            <v>#DIV/0!</v>
          </cell>
          <cell r="E112" t="e">
            <v>#DIV/0!</v>
          </cell>
        </row>
        <row r="113">
          <cell r="A113">
            <v>39557</v>
          </cell>
          <cell r="B113" t="str">
            <v>#Calc</v>
          </cell>
          <cell r="C113" t="e">
            <v>#DIV/0!</v>
          </cell>
          <cell r="D113" t="e">
            <v>#DIV/0!</v>
          </cell>
          <cell r="E113" t="e">
            <v>#DIV/0!</v>
          </cell>
        </row>
        <row r="114">
          <cell r="A114">
            <v>39558</v>
          </cell>
          <cell r="B114" t="str">
            <v>#Calc</v>
          </cell>
          <cell r="C114" t="e">
            <v>#DIV/0!</v>
          </cell>
          <cell r="D114" t="e">
            <v>#DIV/0!</v>
          </cell>
          <cell r="E114" t="e">
            <v>#DIV/0!</v>
          </cell>
        </row>
        <row r="115">
          <cell r="A115">
            <v>39559</v>
          </cell>
          <cell r="B115" t="str">
            <v>#Calc</v>
          </cell>
          <cell r="C115" t="e">
            <v>#DIV/0!</v>
          </cell>
          <cell r="D115" t="e">
            <v>#DIV/0!</v>
          </cell>
          <cell r="E115" t="e">
            <v>#DIV/0!</v>
          </cell>
        </row>
        <row r="116">
          <cell r="A116">
            <v>39560</v>
          </cell>
          <cell r="B116" t="str">
            <v>#Calc</v>
          </cell>
          <cell r="C116" t="e">
            <v>#DIV/0!</v>
          </cell>
          <cell r="D116" t="e">
            <v>#DIV/0!</v>
          </cell>
          <cell r="E116" t="e">
            <v>#DIV/0!</v>
          </cell>
        </row>
        <row r="117">
          <cell r="A117">
            <v>39561</v>
          </cell>
          <cell r="B117" t="str">
            <v>#Calc</v>
          </cell>
          <cell r="C117" t="e">
            <v>#DIV/0!</v>
          </cell>
          <cell r="D117" t="e">
            <v>#DIV/0!</v>
          </cell>
          <cell r="E117" t="e">
            <v>#DIV/0!</v>
          </cell>
        </row>
        <row r="118">
          <cell r="A118">
            <v>39562</v>
          </cell>
          <cell r="B118" t="str">
            <v>#Calc</v>
          </cell>
          <cell r="C118" t="e">
            <v>#DIV/0!</v>
          </cell>
          <cell r="D118" t="e">
            <v>#DIV/0!</v>
          </cell>
          <cell r="E118" t="e">
            <v>#DIV/0!</v>
          </cell>
        </row>
        <row r="119">
          <cell r="A119">
            <v>39563</v>
          </cell>
          <cell r="B119" t="str">
            <v>#Calc</v>
          </cell>
          <cell r="C119" t="e">
            <v>#DIV/0!</v>
          </cell>
          <cell r="D119" t="e">
            <v>#DIV/0!</v>
          </cell>
          <cell r="E119" t="e">
            <v>#DIV/0!</v>
          </cell>
        </row>
        <row r="120">
          <cell r="A120">
            <v>39564</v>
          </cell>
          <cell r="B120" t="str">
            <v>#Calc</v>
          </cell>
          <cell r="C120" t="e">
            <v>#DIV/0!</v>
          </cell>
          <cell r="D120" t="e">
            <v>#DIV/0!</v>
          </cell>
          <cell r="E120" t="e">
            <v>#DIV/0!</v>
          </cell>
        </row>
        <row r="121">
          <cell r="A121">
            <v>39565</v>
          </cell>
          <cell r="B121" t="str">
            <v>#Calc</v>
          </cell>
          <cell r="C121" t="e">
            <v>#DIV/0!</v>
          </cell>
          <cell r="D121" t="e">
            <v>#DIV/0!</v>
          </cell>
          <cell r="E121" t="e">
            <v>#DIV/0!</v>
          </cell>
        </row>
        <row r="122">
          <cell r="A122">
            <v>39566</v>
          </cell>
          <cell r="B122" t="str">
            <v>#Calc</v>
          </cell>
          <cell r="C122" t="e">
            <v>#DIV/0!</v>
          </cell>
          <cell r="D122" t="e">
            <v>#DIV/0!</v>
          </cell>
          <cell r="E122" t="e">
            <v>#DIV/0!</v>
          </cell>
        </row>
        <row r="123">
          <cell r="A123">
            <v>39567</v>
          </cell>
          <cell r="B123" t="str">
            <v>#Calc</v>
          </cell>
          <cell r="C123" t="e">
            <v>#DIV/0!</v>
          </cell>
          <cell r="D123" t="e">
            <v>#DIV/0!</v>
          </cell>
          <cell r="E123" t="e">
            <v>#DIV/0!</v>
          </cell>
        </row>
        <row r="124">
          <cell r="A124">
            <v>39568</v>
          </cell>
          <cell r="B124" t="str">
            <v>#Calc</v>
          </cell>
          <cell r="C124" t="e">
            <v>#DIV/0!</v>
          </cell>
          <cell r="D124" t="e">
            <v>#DIV/0!</v>
          </cell>
          <cell r="E124" t="e">
            <v>#DIV/0!</v>
          </cell>
        </row>
        <row r="125">
          <cell r="A125">
            <v>39569</v>
          </cell>
          <cell r="B125" t="str">
            <v>#Calc</v>
          </cell>
          <cell r="C125" t="e">
            <v>#DIV/0!</v>
          </cell>
          <cell r="D125" t="e">
            <v>#DIV/0!</v>
          </cell>
          <cell r="E125" t="e">
            <v>#DIV/0!</v>
          </cell>
        </row>
        <row r="126">
          <cell r="A126">
            <v>39570</v>
          </cell>
          <cell r="B126" t="str">
            <v>#Calc</v>
          </cell>
          <cell r="C126" t="e">
            <v>#DIV/0!</v>
          </cell>
          <cell r="D126" t="e">
            <v>#DIV/0!</v>
          </cell>
          <cell r="E126" t="e">
            <v>#DIV/0!</v>
          </cell>
        </row>
        <row r="127">
          <cell r="A127">
            <v>39571</v>
          </cell>
          <cell r="B127" t="str">
            <v>#Calc</v>
          </cell>
          <cell r="C127" t="e">
            <v>#DIV/0!</v>
          </cell>
          <cell r="D127" t="e">
            <v>#DIV/0!</v>
          </cell>
          <cell r="E127" t="e">
            <v>#DIV/0!</v>
          </cell>
        </row>
        <row r="128">
          <cell r="A128">
            <v>39572</v>
          </cell>
          <cell r="B128" t="str">
            <v>#Calc</v>
          </cell>
          <cell r="C128" t="e">
            <v>#DIV/0!</v>
          </cell>
          <cell r="D128" t="e">
            <v>#DIV/0!</v>
          </cell>
          <cell r="E128" t="e">
            <v>#DIV/0!</v>
          </cell>
        </row>
        <row r="129">
          <cell r="A129">
            <v>39573</v>
          </cell>
          <cell r="B129" t="str">
            <v>#Calc</v>
          </cell>
          <cell r="C129" t="e">
            <v>#DIV/0!</v>
          </cell>
          <cell r="D129" t="e">
            <v>#DIV/0!</v>
          </cell>
          <cell r="E129" t="e">
            <v>#DIV/0!</v>
          </cell>
        </row>
        <row r="130">
          <cell r="A130">
            <v>39574</v>
          </cell>
          <cell r="B130" t="str">
            <v>#Calc</v>
          </cell>
          <cell r="C130" t="e">
            <v>#DIV/0!</v>
          </cell>
          <cell r="D130" t="e">
            <v>#DIV/0!</v>
          </cell>
          <cell r="E130" t="e">
            <v>#DIV/0!</v>
          </cell>
        </row>
        <row r="131">
          <cell r="A131">
            <v>39575</v>
          </cell>
          <cell r="B131" t="str">
            <v>#Calc</v>
          </cell>
          <cell r="C131" t="e">
            <v>#DIV/0!</v>
          </cell>
          <cell r="D131" t="e">
            <v>#DIV/0!</v>
          </cell>
          <cell r="E131" t="e">
            <v>#DIV/0!</v>
          </cell>
        </row>
        <row r="132">
          <cell r="A132">
            <v>39576</v>
          </cell>
          <cell r="B132" t="str">
            <v>#Calc</v>
          </cell>
          <cell r="C132" t="e">
            <v>#DIV/0!</v>
          </cell>
          <cell r="D132" t="e">
            <v>#DIV/0!</v>
          </cell>
          <cell r="E132" t="e">
            <v>#DIV/0!</v>
          </cell>
        </row>
        <row r="133">
          <cell r="A133">
            <v>39577</v>
          </cell>
          <cell r="B133" t="str">
            <v>#Calc</v>
          </cell>
          <cell r="C133" t="e">
            <v>#DIV/0!</v>
          </cell>
          <cell r="D133" t="e">
            <v>#DIV/0!</v>
          </cell>
          <cell r="E133" t="e">
            <v>#DIV/0!</v>
          </cell>
        </row>
        <row r="134">
          <cell r="A134">
            <v>39578</v>
          </cell>
          <cell r="B134" t="str">
            <v>#Calc</v>
          </cell>
          <cell r="C134" t="e">
            <v>#DIV/0!</v>
          </cell>
          <cell r="D134" t="e">
            <v>#DIV/0!</v>
          </cell>
          <cell r="E134" t="e">
            <v>#DIV/0!</v>
          </cell>
        </row>
        <row r="135">
          <cell r="A135">
            <v>39579</v>
          </cell>
          <cell r="B135" t="str">
            <v>#Calc</v>
          </cell>
          <cell r="C135" t="e">
            <v>#DIV/0!</v>
          </cell>
          <cell r="D135" t="e">
            <v>#DIV/0!</v>
          </cell>
          <cell r="E135" t="e">
            <v>#DIV/0!</v>
          </cell>
        </row>
        <row r="136">
          <cell r="A136">
            <v>39580</v>
          </cell>
          <cell r="B136" t="str">
            <v>#Calc</v>
          </cell>
          <cell r="C136" t="e">
            <v>#DIV/0!</v>
          </cell>
          <cell r="D136" t="e">
            <v>#DIV/0!</v>
          </cell>
          <cell r="E136" t="e">
            <v>#DIV/0!</v>
          </cell>
        </row>
        <row r="137">
          <cell r="A137">
            <v>39581</v>
          </cell>
          <cell r="B137" t="str">
            <v>#Calc</v>
          </cell>
          <cell r="C137" t="e">
            <v>#DIV/0!</v>
          </cell>
          <cell r="D137" t="e">
            <v>#DIV/0!</v>
          </cell>
          <cell r="E137" t="e">
            <v>#DIV/0!</v>
          </cell>
        </row>
        <row r="138">
          <cell r="A138">
            <v>39582</v>
          </cell>
          <cell r="B138" t="str">
            <v>#Calc</v>
          </cell>
          <cell r="C138" t="e">
            <v>#DIV/0!</v>
          </cell>
          <cell r="D138" t="e">
            <v>#DIV/0!</v>
          </cell>
          <cell r="E138" t="e">
            <v>#DIV/0!</v>
          </cell>
        </row>
        <row r="139">
          <cell r="A139">
            <v>39583</v>
          </cell>
          <cell r="B139" t="str">
            <v>#Calc</v>
          </cell>
          <cell r="C139" t="e">
            <v>#DIV/0!</v>
          </cell>
          <cell r="D139" t="e">
            <v>#DIV/0!</v>
          </cell>
          <cell r="E139" t="e">
            <v>#DIV/0!</v>
          </cell>
        </row>
        <row r="140">
          <cell r="A140">
            <v>39584</v>
          </cell>
          <cell r="B140" t="str">
            <v>#Calc</v>
          </cell>
          <cell r="C140" t="e">
            <v>#DIV/0!</v>
          </cell>
          <cell r="D140" t="e">
            <v>#DIV/0!</v>
          </cell>
          <cell r="E140" t="e">
            <v>#DIV/0!</v>
          </cell>
        </row>
        <row r="141">
          <cell r="A141">
            <v>39585</v>
          </cell>
          <cell r="B141" t="str">
            <v>#Calc</v>
          </cell>
          <cell r="C141" t="e">
            <v>#DIV/0!</v>
          </cell>
          <cell r="D141" t="e">
            <v>#DIV/0!</v>
          </cell>
          <cell r="E141" t="e">
            <v>#DIV/0!</v>
          </cell>
        </row>
        <row r="142">
          <cell r="A142">
            <v>39586</v>
          </cell>
          <cell r="B142" t="str">
            <v>#Calc</v>
          </cell>
          <cell r="C142" t="e">
            <v>#DIV/0!</v>
          </cell>
          <cell r="D142" t="e">
            <v>#DIV/0!</v>
          </cell>
          <cell r="E142" t="e">
            <v>#DIV/0!</v>
          </cell>
        </row>
        <row r="143">
          <cell r="A143">
            <v>39587</v>
          </cell>
          <cell r="B143" t="str">
            <v>#Calc</v>
          </cell>
          <cell r="C143" t="e">
            <v>#DIV/0!</v>
          </cell>
          <cell r="D143" t="e">
            <v>#DIV/0!</v>
          </cell>
          <cell r="E143" t="e">
            <v>#DIV/0!</v>
          </cell>
        </row>
        <row r="144">
          <cell r="A144">
            <v>39588</v>
          </cell>
          <cell r="B144" t="str">
            <v>#Calc</v>
          </cell>
          <cell r="C144" t="e">
            <v>#DIV/0!</v>
          </cell>
          <cell r="D144" t="e">
            <v>#DIV/0!</v>
          </cell>
          <cell r="E144" t="e">
            <v>#DIV/0!</v>
          </cell>
        </row>
        <row r="145">
          <cell r="A145">
            <v>39589</v>
          </cell>
          <cell r="B145" t="str">
            <v>#Calc</v>
          </cell>
          <cell r="C145" t="e">
            <v>#DIV/0!</v>
          </cell>
          <cell r="D145" t="e">
            <v>#DIV/0!</v>
          </cell>
          <cell r="E145" t="e">
            <v>#DIV/0!</v>
          </cell>
        </row>
        <row r="146">
          <cell r="A146">
            <v>39590</v>
          </cell>
          <cell r="B146" t="str">
            <v>#Calc</v>
          </cell>
          <cell r="C146" t="e">
            <v>#DIV/0!</v>
          </cell>
          <cell r="D146" t="e">
            <v>#DIV/0!</v>
          </cell>
          <cell r="E146" t="e">
            <v>#DIV/0!</v>
          </cell>
        </row>
        <row r="147">
          <cell r="A147">
            <v>39591</v>
          </cell>
          <cell r="B147" t="str">
            <v>#Calc</v>
          </cell>
          <cell r="C147" t="e">
            <v>#DIV/0!</v>
          </cell>
          <cell r="D147" t="e">
            <v>#DIV/0!</v>
          </cell>
          <cell r="E147" t="e">
            <v>#DIV/0!</v>
          </cell>
        </row>
        <row r="148">
          <cell r="A148">
            <v>39592</v>
          </cell>
          <cell r="B148" t="str">
            <v>#Calc</v>
          </cell>
          <cell r="C148" t="e">
            <v>#DIV/0!</v>
          </cell>
          <cell r="D148" t="e">
            <v>#DIV/0!</v>
          </cell>
          <cell r="E148" t="e">
            <v>#DIV/0!</v>
          </cell>
        </row>
        <row r="149">
          <cell r="A149">
            <v>39593</v>
          </cell>
          <cell r="B149" t="str">
            <v>#Calc</v>
          </cell>
          <cell r="C149" t="e">
            <v>#DIV/0!</v>
          </cell>
          <cell r="D149" t="e">
            <v>#DIV/0!</v>
          </cell>
          <cell r="E149" t="e">
            <v>#DIV/0!</v>
          </cell>
        </row>
        <row r="150">
          <cell r="A150">
            <v>39594</v>
          </cell>
          <cell r="B150" t="str">
            <v>#Calc</v>
          </cell>
          <cell r="C150" t="e">
            <v>#DIV/0!</v>
          </cell>
          <cell r="D150" t="e">
            <v>#DIV/0!</v>
          </cell>
          <cell r="E150" t="e">
            <v>#DIV/0!</v>
          </cell>
        </row>
        <row r="151">
          <cell r="A151">
            <v>39595</v>
          </cell>
          <cell r="B151" t="str">
            <v>#Calc</v>
          </cell>
          <cell r="C151" t="e">
            <v>#DIV/0!</v>
          </cell>
          <cell r="D151" t="e">
            <v>#DIV/0!</v>
          </cell>
          <cell r="E151" t="e">
            <v>#DIV/0!</v>
          </cell>
        </row>
        <row r="152">
          <cell r="A152">
            <v>39596</v>
          </cell>
          <cell r="B152" t="str">
            <v>#Calc</v>
          </cell>
          <cell r="C152" t="e">
            <v>#DIV/0!</v>
          </cell>
          <cell r="D152" t="e">
            <v>#DIV/0!</v>
          </cell>
          <cell r="E152" t="e">
            <v>#DIV/0!</v>
          </cell>
        </row>
        <row r="153">
          <cell r="A153">
            <v>39597</v>
          </cell>
          <cell r="B153" t="str">
            <v>#Calc</v>
          </cell>
          <cell r="C153" t="e">
            <v>#DIV/0!</v>
          </cell>
          <cell r="D153" t="e">
            <v>#DIV/0!</v>
          </cell>
          <cell r="E153" t="e">
            <v>#DIV/0!</v>
          </cell>
        </row>
        <row r="154">
          <cell r="A154">
            <v>39598</v>
          </cell>
          <cell r="B154" t="str">
            <v>#Calc</v>
          </cell>
          <cell r="C154" t="e">
            <v>#DIV/0!</v>
          </cell>
          <cell r="D154" t="e">
            <v>#DIV/0!</v>
          </cell>
          <cell r="E154" t="e">
            <v>#DIV/0!</v>
          </cell>
        </row>
        <row r="155">
          <cell r="A155">
            <v>39599</v>
          </cell>
          <cell r="B155" t="str">
            <v>#Calc</v>
          </cell>
          <cell r="C155" t="e">
            <v>#DIV/0!</v>
          </cell>
          <cell r="D155" t="e">
            <v>#DIV/0!</v>
          </cell>
          <cell r="E155" t="e">
            <v>#DIV/0!</v>
          </cell>
        </row>
        <row r="156">
          <cell r="A156">
            <v>39600</v>
          </cell>
          <cell r="B156" t="str">
            <v>#Calc</v>
          </cell>
          <cell r="C156" t="e">
            <v>#DIV/0!</v>
          </cell>
          <cell r="D156" t="e">
            <v>#DIV/0!</v>
          </cell>
          <cell r="E156" t="e">
            <v>#DIV/0!</v>
          </cell>
        </row>
        <row r="157">
          <cell r="A157">
            <v>39601</v>
          </cell>
          <cell r="B157" t="str">
            <v>#Calc</v>
          </cell>
          <cell r="C157" t="e">
            <v>#DIV/0!</v>
          </cell>
          <cell r="D157" t="e">
            <v>#DIV/0!</v>
          </cell>
          <cell r="E157" t="e">
            <v>#DIV/0!</v>
          </cell>
        </row>
        <row r="158">
          <cell r="A158">
            <v>39602</v>
          </cell>
          <cell r="B158" t="str">
            <v>#Calc</v>
          </cell>
          <cell r="C158" t="e">
            <v>#DIV/0!</v>
          </cell>
          <cell r="D158" t="e">
            <v>#DIV/0!</v>
          </cell>
          <cell r="E158" t="e">
            <v>#DIV/0!</v>
          </cell>
        </row>
        <row r="159">
          <cell r="A159">
            <v>39603</v>
          </cell>
          <cell r="B159" t="str">
            <v>#Calc</v>
          </cell>
          <cell r="C159" t="e">
            <v>#DIV/0!</v>
          </cell>
          <cell r="D159" t="e">
            <v>#DIV/0!</v>
          </cell>
          <cell r="E159" t="e">
            <v>#DIV/0!</v>
          </cell>
        </row>
        <row r="160">
          <cell r="A160">
            <v>39604</v>
          </cell>
          <cell r="B160" t="str">
            <v>#Calc</v>
          </cell>
          <cell r="C160" t="e">
            <v>#DIV/0!</v>
          </cell>
          <cell r="D160" t="e">
            <v>#DIV/0!</v>
          </cell>
          <cell r="E160" t="e">
            <v>#DIV/0!</v>
          </cell>
        </row>
        <row r="161">
          <cell r="A161">
            <v>39605</v>
          </cell>
          <cell r="B161" t="str">
            <v>#Calc</v>
          </cell>
          <cell r="C161" t="e">
            <v>#DIV/0!</v>
          </cell>
          <cell r="D161" t="e">
            <v>#DIV/0!</v>
          </cell>
          <cell r="E161" t="e">
            <v>#DIV/0!</v>
          </cell>
        </row>
        <row r="162">
          <cell r="A162">
            <v>39606</v>
          </cell>
          <cell r="B162" t="str">
            <v>#Calc</v>
          </cell>
          <cell r="C162" t="e">
            <v>#DIV/0!</v>
          </cell>
          <cell r="D162" t="e">
            <v>#DIV/0!</v>
          </cell>
          <cell r="E162" t="e">
            <v>#DIV/0!</v>
          </cell>
        </row>
        <row r="163">
          <cell r="A163">
            <v>39607</v>
          </cell>
          <cell r="B163" t="str">
            <v>#Calc</v>
          </cell>
          <cell r="C163" t="e">
            <v>#DIV/0!</v>
          </cell>
          <cell r="D163" t="e">
            <v>#DIV/0!</v>
          </cell>
          <cell r="E163" t="e">
            <v>#DIV/0!</v>
          </cell>
        </row>
        <row r="164">
          <cell r="A164">
            <v>39608</v>
          </cell>
          <cell r="B164" t="str">
            <v>#Calc</v>
          </cell>
          <cell r="C164" t="e">
            <v>#DIV/0!</v>
          </cell>
          <cell r="D164" t="e">
            <v>#DIV/0!</v>
          </cell>
          <cell r="E164" t="e">
            <v>#DIV/0!</v>
          </cell>
        </row>
        <row r="165">
          <cell r="A165">
            <v>39609</v>
          </cell>
          <cell r="B165" t="str">
            <v>#Calc</v>
          </cell>
          <cell r="C165" t="e">
            <v>#DIV/0!</v>
          </cell>
          <cell r="D165" t="e">
            <v>#DIV/0!</v>
          </cell>
          <cell r="E165" t="e">
            <v>#DIV/0!</v>
          </cell>
        </row>
        <row r="166">
          <cell r="A166">
            <v>39610</v>
          </cell>
          <cell r="B166" t="str">
            <v>#Calc</v>
          </cell>
          <cell r="C166" t="e">
            <v>#DIV/0!</v>
          </cell>
          <cell r="D166" t="e">
            <v>#DIV/0!</v>
          </cell>
          <cell r="E166" t="e">
            <v>#DIV/0!</v>
          </cell>
        </row>
        <row r="167">
          <cell r="A167">
            <v>39611</v>
          </cell>
          <cell r="B167" t="str">
            <v>#Calc</v>
          </cell>
          <cell r="C167" t="e">
            <v>#DIV/0!</v>
          </cell>
          <cell r="D167" t="e">
            <v>#DIV/0!</v>
          </cell>
          <cell r="E167" t="e">
            <v>#DIV/0!</v>
          </cell>
        </row>
        <row r="168">
          <cell r="A168">
            <v>39612</v>
          </cell>
          <cell r="B168" t="str">
            <v>#Calc</v>
          </cell>
          <cell r="C168" t="e">
            <v>#DIV/0!</v>
          </cell>
          <cell r="D168" t="e">
            <v>#DIV/0!</v>
          </cell>
          <cell r="E168" t="e">
            <v>#DIV/0!</v>
          </cell>
        </row>
        <row r="169">
          <cell r="A169">
            <v>39613</v>
          </cell>
          <cell r="B169" t="str">
            <v>#Calc</v>
          </cell>
          <cell r="C169" t="e">
            <v>#DIV/0!</v>
          </cell>
          <cell r="D169" t="e">
            <v>#DIV/0!</v>
          </cell>
          <cell r="E169" t="e">
            <v>#DIV/0!</v>
          </cell>
        </row>
        <row r="170">
          <cell r="A170">
            <v>39614</v>
          </cell>
          <cell r="B170" t="str">
            <v>#Calc</v>
          </cell>
          <cell r="C170" t="e">
            <v>#DIV/0!</v>
          </cell>
          <cell r="D170" t="e">
            <v>#DIV/0!</v>
          </cell>
          <cell r="E170" t="e">
            <v>#DIV/0!</v>
          </cell>
        </row>
        <row r="171">
          <cell r="A171">
            <v>39615</v>
          </cell>
          <cell r="B171" t="str">
            <v>#Calc</v>
          </cell>
          <cell r="C171" t="e">
            <v>#DIV/0!</v>
          </cell>
          <cell r="D171" t="e">
            <v>#DIV/0!</v>
          </cell>
          <cell r="E171" t="e">
            <v>#DIV/0!</v>
          </cell>
        </row>
        <row r="172">
          <cell r="A172">
            <v>39616</v>
          </cell>
          <cell r="B172" t="str">
            <v>#Calc</v>
          </cell>
          <cell r="C172" t="e">
            <v>#DIV/0!</v>
          </cell>
          <cell r="D172" t="e">
            <v>#DIV/0!</v>
          </cell>
          <cell r="E172" t="e">
            <v>#DIV/0!</v>
          </cell>
        </row>
        <row r="173">
          <cell r="A173">
            <v>39617</v>
          </cell>
          <cell r="B173" t="str">
            <v>#Calc</v>
          </cell>
          <cell r="C173" t="e">
            <v>#DIV/0!</v>
          </cell>
          <cell r="D173" t="e">
            <v>#DIV/0!</v>
          </cell>
          <cell r="E173" t="e">
            <v>#DIV/0!</v>
          </cell>
        </row>
        <row r="174">
          <cell r="A174">
            <v>39618</v>
          </cell>
          <cell r="B174" t="str">
            <v>#Calc</v>
          </cell>
          <cell r="C174" t="e">
            <v>#DIV/0!</v>
          </cell>
          <cell r="D174" t="e">
            <v>#DIV/0!</v>
          </cell>
          <cell r="E174" t="e">
            <v>#DIV/0!</v>
          </cell>
        </row>
        <row r="175">
          <cell r="A175">
            <v>39619</v>
          </cell>
          <cell r="B175" t="str">
            <v>#Calc</v>
          </cell>
          <cell r="C175" t="e">
            <v>#DIV/0!</v>
          </cell>
          <cell r="D175" t="e">
            <v>#DIV/0!</v>
          </cell>
          <cell r="E175" t="e">
            <v>#DIV/0!</v>
          </cell>
        </row>
        <row r="176">
          <cell r="A176">
            <v>39620</v>
          </cell>
          <cell r="B176" t="str">
            <v>#Calc</v>
          </cell>
          <cell r="C176" t="e">
            <v>#DIV/0!</v>
          </cell>
          <cell r="D176" t="e">
            <v>#DIV/0!</v>
          </cell>
          <cell r="E176" t="e">
            <v>#DIV/0!</v>
          </cell>
        </row>
        <row r="177">
          <cell r="A177">
            <v>39621</v>
          </cell>
          <cell r="B177" t="str">
            <v>#Calc</v>
          </cell>
          <cell r="C177" t="e">
            <v>#DIV/0!</v>
          </cell>
          <cell r="D177" t="e">
            <v>#DIV/0!</v>
          </cell>
          <cell r="E177" t="e">
            <v>#DIV/0!</v>
          </cell>
        </row>
        <row r="178">
          <cell r="A178">
            <v>39622</v>
          </cell>
          <cell r="B178" t="str">
            <v>#Calc</v>
          </cell>
          <cell r="C178" t="e">
            <v>#DIV/0!</v>
          </cell>
          <cell r="D178" t="e">
            <v>#DIV/0!</v>
          </cell>
          <cell r="E178" t="e">
            <v>#DIV/0!</v>
          </cell>
        </row>
        <row r="179">
          <cell r="A179">
            <v>39623</v>
          </cell>
          <cell r="B179" t="str">
            <v>#Calc</v>
          </cell>
          <cell r="C179" t="e">
            <v>#DIV/0!</v>
          </cell>
          <cell r="D179" t="e">
            <v>#DIV/0!</v>
          </cell>
          <cell r="E179" t="e">
            <v>#DIV/0!</v>
          </cell>
        </row>
        <row r="180">
          <cell r="A180">
            <v>39624</v>
          </cell>
          <cell r="B180" t="str">
            <v>#Calc</v>
          </cell>
          <cell r="C180" t="e">
            <v>#DIV/0!</v>
          </cell>
          <cell r="D180" t="e">
            <v>#DIV/0!</v>
          </cell>
          <cell r="E180" t="e">
            <v>#DIV/0!</v>
          </cell>
        </row>
        <row r="181">
          <cell r="A181">
            <v>39625</v>
          </cell>
          <cell r="B181" t="str">
            <v>#Calc</v>
          </cell>
          <cell r="C181" t="e">
            <v>#DIV/0!</v>
          </cell>
          <cell r="D181" t="e">
            <v>#DIV/0!</v>
          </cell>
          <cell r="E181" t="e">
            <v>#DIV/0!</v>
          </cell>
        </row>
        <row r="182">
          <cell r="A182">
            <v>39626</v>
          </cell>
          <cell r="B182" t="str">
            <v>#Calc</v>
          </cell>
          <cell r="C182" t="e">
            <v>#DIV/0!</v>
          </cell>
          <cell r="D182" t="e">
            <v>#DIV/0!</v>
          </cell>
          <cell r="E182" t="e">
            <v>#DIV/0!</v>
          </cell>
        </row>
        <row r="183">
          <cell r="A183">
            <v>39627</v>
          </cell>
          <cell r="B183" t="str">
            <v>#Calc</v>
          </cell>
          <cell r="C183" t="e">
            <v>#DIV/0!</v>
          </cell>
          <cell r="D183" t="e">
            <v>#DIV/0!</v>
          </cell>
          <cell r="E183" t="e">
            <v>#DIV/0!</v>
          </cell>
        </row>
        <row r="184">
          <cell r="A184">
            <v>39628</v>
          </cell>
          <cell r="B184" t="str">
            <v>#Calc</v>
          </cell>
          <cell r="C184" t="e">
            <v>#DIV/0!</v>
          </cell>
          <cell r="D184" t="e">
            <v>#DIV/0!</v>
          </cell>
          <cell r="E184" t="e">
            <v>#DIV/0!</v>
          </cell>
        </row>
        <row r="185">
          <cell r="A185">
            <v>39629</v>
          </cell>
          <cell r="B185" t="str">
            <v>#Calc</v>
          </cell>
          <cell r="C185" t="e">
            <v>#DIV/0!</v>
          </cell>
          <cell r="D185" t="e">
            <v>#DIV/0!</v>
          </cell>
          <cell r="E185" t="e">
            <v>#DIV/0!</v>
          </cell>
        </row>
        <row r="186">
          <cell r="A186">
            <v>39630</v>
          </cell>
          <cell r="B186" t="str">
            <v>#Calc</v>
          </cell>
          <cell r="C186" t="e">
            <v>#DIV/0!</v>
          </cell>
          <cell r="D186" t="e">
            <v>#DIV/0!</v>
          </cell>
          <cell r="E186" t="e">
            <v>#DIV/0!</v>
          </cell>
        </row>
        <row r="187">
          <cell r="A187">
            <v>39631</v>
          </cell>
          <cell r="B187" t="str">
            <v>#Calc</v>
          </cell>
          <cell r="C187" t="e">
            <v>#DIV/0!</v>
          </cell>
          <cell r="D187" t="e">
            <v>#DIV/0!</v>
          </cell>
          <cell r="E187" t="e">
            <v>#DIV/0!</v>
          </cell>
        </row>
        <row r="188">
          <cell r="A188">
            <v>39632</v>
          </cell>
          <cell r="B188" t="str">
            <v>#Calc</v>
          </cell>
          <cell r="C188" t="e">
            <v>#DIV/0!</v>
          </cell>
          <cell r="D188" t="e">
            <v>#DIV/0!</v>
          </cell>
          <cell r="E188" t="e">
            <v>#DIV/0!</v>
          </cell>
        </row>
        <row r="189">
          <cell r="A189">
            <v>39633</v>
          </cell>
          <cell r="B189" t="str">
            <v>#Calc</v>
          </cell>
          <cell r="C189" t="e">
            <v>#DIV/0!</v>
          </cell>
          <cell r="D189" t="e">
            <v>#DIV/0!</v>
          </cell>
          <cell r="E189" t="e">
            <v>#DIV/0!</v>
          </cell>
        </row>
        <row r="190">
          <cell r="A190">
            <v>39634</v>
          </cell>
          <cell r="B190" t="str">
            <v>#Calc</v>
          </cell>
          <cell r="C190" t="e">
            <v>#DIV/0!</v>
          </cell>
          <cell r="D190" t="e">
            <v>#DIV/0!</v>
          </cell>
          <cell r="E190" t="e">
            <v>#DIV/0!</v>
          </cell>
        </row>
        <row r="191">
          <cell r="A191">
            <v>39635</v>
          </cell>
          <cell r="B191" t="str">
            <v>#Calc</v>
          </cell>
          <cell r="C191" t="e">
            <v>#DIV/0!</v>
          </cell>
          <cell r="D191" t="e">
            <v>#DIV/0!</v>
          </cell>
          <cell r="E191" t="e">
            <v>#DIV/0!</v>
          </cell>
        </row>
        <row r="192">
          <cell r="A192">
            <v>39636</v>
          </cell>
          <cell r="B192" t="str">
            <v>#Calc</v>
          </cell>
          <cell r="C192" t="e">
            <v>#DIV/0!</v>
          </cell>
          <cell r="D192" t="e">
            <v>#DIV/0!</v>
          </cell>
          <cell r="E192" t="e">
            <v>#DIV/0!</v>
          </cell>
        </row>
        <row r="193">
          <cell r="A193">
            <v>39637</v>
          </cell>
          <cell r="B193" t="str">
            <v>#Calc</v>
          </cell>
          <cell r="C193" t="e">
            <v>#DIV/0!</v>
          </cell>
          <cell r="D193" t="e">
            <v>#DIV/0!</v>
          </cell>
          <cell r="E193" t="e">
            <v>#DIV/0!</v>
          </cell>
        </row>
        <row r="194">
          <cell r="A194">
            <v>39638</v>
          </cell>
          <cell r="B194" t="str">
            <v>#Calc</v>
          </cell>
          <cell r="C194" t="e">
            <v>#DIV/0!</v>
          </cell>
          <cell r="D194" t="e">
            <v>#DIV/0!</v>
          </cell>
          <cell r="E194" t="e">
            <v>#DIV/0!</v>
          </cell>
        </row>
        <row r="195">
          <cell r="A195">
            <v>39639</v>
          </cell>
          <cell r="B195" t="str">
            <v>#Calc</v>
          </cell>
          <cell r="C195" t="e">
            <v>#DIV/0!</v>
          </cell>
          <cell r="D195" t="e">
            <v>#DIV/0!</v>
          </cell>
          <cell r="E195" t="e">
            <v>#DIV/0!</v>
          </cell>
        </row>
        <row r="196">
          <cell r="A196">
            <v>39640</v>
          </cell>
          <cell r="B196" t="str">
            <v>#Calc</v>
          </cell>
          <cell r="C196" t="e">
            <v>#DIV/0!</v>
          </cell>
          <cell r="D196" t="e">
            <v>#DIV/0!</v>
          </cell>
          <cell r="E196" t="e">
            <v>#DIV/0!</v>
          </cell>
        </row>
        <row r="197">
          <cell r="A197">
            <v>39641</v>
          </cell>
          <cell r="B197" t="str">
            <v>#Calc</v>
          </cell>
          <cell r="C197" t="e">
            <v>#DIV/0!</v>
          </cell>
          <cell r="D197" t="e">
            <v>#DIV/0!</v>
          </cell>
          <cell r="E197" t="e">
            <v>#DIV/0!</v>
          </cell>
        </row>
        <row r="198">
          <cell r="A198">
            <v>39642</v>
          </cell>
          <cell r="B198" t="str">
            <v>#Calc</v>
          </cell>
          <cell r="C198" t="e">
            <v>#DIV/0!</v>
          </cell>
          <cell r="D198" t="e">
            <v>#DIV/0!</v>
          </cell>
          <cell r="E198" t="e">
            <v>#DIV/0!</v>
          </cell>
        </row>
        <row r="199">
          <cell r="A199">
            <v>39643</v>
          </cell>
          <cell r="B199" t="str">
            <v>#Calc</v>
          </cell>
          <cell r="C199" t="e">
            <v>#DIV/0!</v>
          </cell>
          <cell r="D199" t="e">
            <v>#DIV/0!</v>
          </cell>
          <cell r="E199" t="e">
            <v>#DIV/0!</v>
          </cell>
        </row>
        <row r="200">
          <cell r="A200">
            <v>39644</v>
          </cell>
          <cell r="B200" t="str">
            <v>#Calc</v>
          </cell>
          <cell r="C200" t="e">
            <v>#DIV/0!</v>
          </cell>
          <cell r="D200" t="e">
            <v>#DIV/0!</v>
          </cell>
          <cell r="E200" t="e">
            <v>#DIV/0!</v>
          </cell>
        </row>
        <row r="201">
          <cell r="A201">
            <v>39645</v>
          </cell>
          <cell r="B201" t="str">
            <v>#Calc</v>
          </cell>
          <cell r="C201" t="e">
            <v>#DIV/0!</v>
          </cell>
          <cell r="D201" t="e">
            <v>#DIV/0!</v>
          </cell>
          <cell r="E201" t="e">
            <v>#DIV/0!</v>
          </cell>
        </row>
        <row r="202">
          <cell r="A202">
            <v>39646</v>
          </cell>
          <cell r="B202" t="str">
            <v>#Calc</v>
          </cell>
          <cell r="C202" t="e">
            <v>#DIV/0!</v>
          </cell>
          <cell r="D202" t="e">
            <v>#DIV/0!</v>
          </cell>
          <cell r="E202" t="e">
            <v>#DIV/0!</v>
          </cell>
        </row>
        <row r="203">
          <cell r="A203">
            <v>39647</v>
          </cell>
          <cell r="B203" t="str">
            <v>#Calc</v>
          </cell>
          <cell r="C203" t="e">
            <v>#DIV/0!</v>
          </cell>
          <cell r="D203" t="e">
            <v>#DIV/0!</v>
          </cell>
          <cell r="E203" t="e">
            <v>#DIV/0!</v>
          </cell>
        </row>
        <row r="204">
          <cell r="A204">
            <v>39648</v>
          </cell>
          <cell r="B204" t="str">
            <v>#Calc</v>
          </cell>
          <cell r="C204" t="e">
            <v>#DIV/0!</v>
          </cell>
          <cell r="D204" t="e">
            <v>#DIV/0!</v>
          </cell>
          <cell r="E204" t="e">
            <v>#DIV/0!</v>
          </cell>
        </row>
        <row r="205">
          <cell r="A205">
            <v>39649</v>
          </cell>
          <cell r="B205" t="str">
            <v>#Calc</v>
          </cell>
          <cell r="C205" t="e">
            <v>#DIV/0!</v>
          </cell>
          <cell r="D205" t="e">
            <v>#DIV/0!</v>
          </cell>
          <cell r="E205" t="e">
            <v>#DIV/0!</v>
          </cell>
        </row>
        <row r="206">
          <cell r="A206">
            <v>39650</v>
          </cell>
          <cell r="B206" t="str">
            <v>#Calc</v>
          </cell>
          <cell r="C206" t="e">
            <v>#DIV/0!</v>
          </cell>
          <cell r="D206" t="e">
            <v>#DIV/0!</v>
          </cell>
          <cell r="E206" t="e">
            <v>#DIV/0!</v>
          </cell>
        </row>
        <row r="207">
          <cell r="A207">
            <v>39651</v>
          </cell>
          <cell r="B207" t="str">
            <v>#Calc</v>
          </cell>
          <cell r="C207" t="e">
            <v>#DIV/0!</v>
          </cell>
          <cell r="D207" t="e">
            <v>#DIV/0!</v>
          </cell>
          <cell r="E207" t="e">
            <v>#DIV/0!</v>
          </cell>
        </row>
        <row r="208">
          <cell r="A208">
            <v>39652</v>
          </cell>
          <cell r="B208" t="str">
            <v>#Calc</v>
          </cell>
          <cell r="C208" t="e">
            <v>#DIV/0!</v>
          </cell>
          <cell r="D208" t="e">
            <v>#DIV/0!</v>
          </cell>
          <cell r="E208" t="e">
            <v>#DIV/0!</v>
          </cell>
        </row>
        <row r="209">
          <cell r="A209">
            <v>39653</v>
          </cell>
          <cell r="B209" t="str">
            <v>#Calc</v>
          </cell>
          <cell r="C209" t="e">
            <v>#DIV/0!</v>
          </cell>
          <cell r="D209" t="e">
            <v>#DIV/0!</v>
          </cell>
          <cell r="E209" t="e">
            <v>#DIV/0!</v>
          </cell>
        </row>
        <row r="210">
          <cell r="A210">
            <v>39654</v>
          </cell>
          <cell r="B210" t="str">
            <v>#Calc</v>
          </cell>
          <cell r="C210" t="e">
            <v>#DIV/0!</v>
          </cell>
          <cell r="D210" t="e">
            <v>#DIV/0!</v>
          </cell>
          <cell r="E210" t="e">
            <v>#DIV/0!</v>
          </cell>
        </row>
        <row r="211">
          <cell r="A211">
            <v>39655</v>
          </cell>
          <cell r="B211" t="str">
            <v>#Calc</v>
          </cell>
          <cell r="C211" t="e">
            <v>#DIV/0!</v>
          </cell>
          <cell r="D211" t="e">
            <v>#DIV/0!</v>
          </cell>
          <cell r="E211" t="e">
            <v>#DIV/0!</v>
          </cell>
        </row>
        <row r="212">
          <cell r="A212">
            <v>39656</v>
          </cell>
          <cell r="B212" t="str">
            <v>#Calc</v>
          </cell>
          <cell r="C212" t="e">
            <v>#DIV/0!</v>
          </cell>
          <cell r="D212" t="e">
            <v>#DIV/0!</v>
          </cell>
          <cell r="E212" t="e">
            <v>#DIV/0!</v>
          </cell>
        </row>
        <row r="213">
          <cell r="A213">
            <v>39657</v>
          </cell>
          <cell r="B213" t="str">
            <v>#Calc</v>
          </cell>
          <cell r="C213" t="e">
            <v>#DIV/0!</v>
          </cell>
          <cell r="D213" t="e">
            <v>#DIV/0!</v>
          </cell>
          <cell r="E213" t="e">
            <v>#DIV/0!</v>
          </cell>
        </row>
        <row r="214">
          <cell r="A214">
            <v>39658</v>
          </cell>
          <cell r="B214" t="str">
            <v>#Calc</v>
          </cell>
          <cell r="C214" t="e">
            <v>#DIV/0!</v>
          </cell>
          <cell r="D214" t="e">
            <v>#DIV/0!</v>
          </cell>
          <cell r="E214" t="e">
            <v>#DIV/0!</v>
          </cell>
        </row>
        <row r="215">
          <cell r="A215">
            <v>39659</v>
          </cell>
          <cell r="B215" t="str">
            <v>#Calc</v>
          </cell>
          <cell r="C215" t="e">
            <v>#DIV/0!</v>
          </cell>
          <cell r="D215" t="e">
            <v>#DIV/0!</v>
          </cell>
          <cell r="E215" t="e">
            <v>#DIV/0!</v>
          </cell>
        </row>
        <row r="216">
          <cell r="A216">
            <v>39660</v>
          </cell>
          <cell r="B216" t="str">
            <v>#Calc</v>
          </cell>
          <cell r="C216" t="e">
            <v>#DIV/0!</v>
          </cell>
          <cell r="D216" t="e">
            <v>#DIV/0!</v>
          </cell>
          <cell r="E216" t="e">
            <v>#DIV/0!</v>
          </cell>
        </row>
        <row r="217">
          <cell r="A217">
            <v>39661</v>
          </cell>
          <cell r="B217" t="str">
            <v>#Calc</v>
          </cell>
          <cell r="C217" t="e">
            <v>#DIV/0!</v>
          </cell>
          <cell r="D217" t="e">
            <v>#DIV/0!</v>
          </cell>
          <cell r="E217" t="e">
            <v>#DIV/0!</v>
          </cell>
        </row>
        <row r="218">
          <cell r="A218">
            <v>39662</v>
          </cell>
          <cell r="B218" t="str">
            <v>#Calc</v>
          </cell>
          <cell r="C218" t="e">
            <v>#DIV/0!</v>
          </cell>
          <cell r="D218" t="e">
            <v>#DIV/0!</v>
          </cell>
          <cell r="E218" t="e">
            <v>#DIV/0!</v>
          </cell>
        </row>
        <row r="219">
          <cell r="A219">
            <v>39663</v>
          </cell>
          <cell r="B219" t="str">
            <v>#Calc</v>
          </cell>
          <cell r="C219" t="e">
            <v>#DIV/0!</v>
          </cell>
          <cell r="D219" t="e">
            <v>#DIV/0!</v>
          </cell>
          <cell r="E219" t="e">
            <v>#DIV/0!</v>
          </cell>
        </row>
        <row r="220">
          <cell r="A220">
            <v>39664</v>
          </cell>
          <cell r="B220" t="str">
            <v>#Calc</v>
          </cell>
          <cell r="C220" t="e">
            <v>#DIV/0!</v>
          </cell>
          <cell r="D220" t="e">
            <v>#DIV/0!</v>
          </cell>
          <cell r="E220" t="e">
            <v>#DIV/0!</v>
          </cell>
        </row>
        <row r="221">
          <cell r="A221">
            <v>39665</v>
          </cell>
          <cell r="B221" t="str">
            <v>#Calc</v>
          </cell>
          <cell r="C221" t="e">
            <v>#DIV/0!</v>
          </cell>
          <cell r="D221" t="e">
            <v>#DIV/0!</v>
          </cell>
          <cell r="E221" t="e">
            <v>#DIV/0!</v>
          </cell>
        </row>
        <row r="222">
          <cell r="A222">
            <v>39666</v>
          </cell>
          <cell r="B222" t="str">
            <v>#Calc</v>
          </cell>
          <cell r="C222" t="e">
            <v>#DIV/0!</v>
          </cell>
          <cell r="D222" t="e">
            <v>#DIV/0!</v>
          </cell>
          <cell r="E222" t="e">
            <v>#DIV/0!</v>
          </cell>
        </row>
        <row r="223">
          <cell r="A223">
            <v>39667</v>
          </cell>
          <cell r="B223" t="str">
            <v>#Calc</v>
          </cell>
          <cell r="C223" t="e">
            <v>#DIV/0!</v>
          </cell>
          <cell r="D223" t="e">
            <v>#DIV/0!</v>
          </cell>
          <cell r="E223" t="e">
            <v>#DIV/0!</v>
          </cell>
        </row>
        <row r="224">
          <cell r="A224">
            <v>39668</v>
          </cell>
          <cell r="B224" t="str">
            <v>#Calc</v>
          </cell>
          <cell r="C224" t="e">
            <v>#DIV/0!</v>
          </cell>
          <cell r="D224" t="e">
            <v>#DIV/0!</v>
          </cell>
          <cell r="E224" t="e">
            <v>#DIV/0!</v>
          </cell>
        </row>
        <row r="225">
          <cell r="A225">
            <v>39669</v>
          </cell>
          <cell r="B225" t="str">
            <v>#Calc</v>
          </cell>
          <cell r="C225" t="e">
            <v>#DIV/0!</v>
          </cell>
          <cell r="D225" t="e">
            <v>#DIV/0!</v>
          </cell>
          <cell r="E225" t="e">
            <v>#DIV/0!</v>
          </cell>
        </row>
        <row r="226">
          <cell r="A226">
            <v>39670</v>
          </cell>
          <cell r="B226" t="str">
            <v>#Calc</v>
          </cell>
          <cell r="C226" t="e">
            <v>#DIV/0!</v>
          </cell>
          <cell r="D226" t="e">
            <v>#DIV/0!</v>
          </cell>
          <cell r="E226" t="e">
            <v>#DIV/0!</v>
          </cell>
        </row>
        <row r="227">
          <cell r="A227">
            <v>39671</v>
          </cell>
          <cell r="B227" t="str">
            <v>#Calc</v>
          </cell>
          <cell r="C227" t="e">
            <v>#DIV/0!</v>
          </cell>
          <cell r="D227" t="e">
            <v>#DIV/0!</v>
          </cell>
          <cell r="E227" t="e">
            <v>#DIV/0!</v>
          </cell>
        </row>
        <row r="228">
          <cell r="A228">
            <v>39672</v>
          </cell>
          <cell r="B228" t="str">
            <v>#Calc</v>
          </cell>
          <cell r="C228" t="e">
            <v>#DIV/0!</v>
          </cell>
          <cell r="D228" t="e">
            <v>#DIV/0!</v>
          </cell>
          <cell r="E228" t="e">
            <v>#DIV/0!</v>
          </cell>
        </row>
        <row r="229">
          <cell r="A229">
            <v>39673</v>
          </cell>
          <cell r="B229" t="str">
            <v>#Calc</v>
          </cell>
          <cell r="C229" t="e">
            <v>#DIV/0!</v>
          </cell>
          <cell r="D229" t="e">
            <v>#DIV/0!</v>
          </cell>
          <cell r="E229" t="e">
            <v>#DIV/0!</v>
          </cell>
        </row>
        <row r="230">
          <cell r="A230">
            <v>39674</v>
          </cell>
          <cell r="B230" t="str">
            <v>#Calc</v>
          </cell>
          <cell r="C230" t="e">
            <v>#DIV/0!</v>
          </cell>
          <cell r="D230" t="e">
            <v>#DIV/0!</v>
          </cell>
          <cell r="E230" t="e">
            <v>#DIV/0!</v>
          </cell>
        </row>
        <row r="231">
          <cell r="A231">
            <v>39675</v>
          </cell>
          <cell r="B231" t="str">
            <v>#Calc</v>
          </cell>
          <cell r="C231" t="e">
            <v>#DIV/0!</v>
          </cell>
          <cell r="D231" t="e">
            <v>#DIV/0!</v>
          </cell>
          <cell r="E231" t="e">
            <v>#DIV/0!</v>
          </cell>
        </row>
        <row r="232">
          <cell r="A232">
            <v>39676</v>
          </cell>
          <cell r="B232" t="str">
            <v>#Calc</v>
          </cell>
          <cell r="C232" t="e">
            <v>#DIV/0!</v>
          </cell>
          <cell r="D232" t="e">
            <v>#DIV/0!</v>
          </cell>
          <cell r="E232" t="e">
            <v>#DIV/0!</v>
          </cell>
        </row>
        <row r="233">
          <cell r="A233">
            <v>39677</v>
          </cell>
          <cell r="B233" t="str">
            <v>#Calc</v>
          </cell>
          <cell r="C233" t="e">
            <v>#DIV/0!</v>
          </cell>
          <cell r="D233" t="e">
            <v>#DIV/0!</v>
          </cell>
          <cell r="E233" t="e">
            <v>#DIV/0!</v>
          </cell>
        </row>
        <row r="234">
          <cell r="A234">
            <v>39678</v>
          </cell>
          <cell r="B234" t="str">
            <v>#Calc</v>
          </cell>
          <cell r="C234" t="e">
            <v>#DIV/0!</v>
          </cell>
          <cell r="D234" t="e">
            <v>#DIV/0!</v>
          </cell>
          <cell r="E234" t="e">
            <v>#DIV/0!</v>
          </cell>
        </row>
        <row r="235">
          <cell r="A235">
            <v>39679</v>
          </cell>
          <cell r="B235" t="str">
            <v>#Calc</v>
          </cell>
          <cell r="C235" t="e">
            <v>#DIV/0!</v>
          </cell>
          <cell r="D235" t="e">
            <v>#DIV/0!</v>
          </cell>
          <cell r="E235" t="e">
            <v>#DIV/0!</v>
          </cell>
        </row>
        <row r="236">
          <cell r="A236">
            <v>39680</v>
          </cell>
          <cell r="B236" t="str">
            <v>#Calc</v>
          </cell>
          <cell r="C236" t="e">
            <v>#DIV/0!</v>
          </cell>
          <cell r="D236" t="e">
            <v>#DIV/0!</v>
          </cell>
          <cell r="E236" t="e">
            <v>#DIV/0!</v>
          </cell>
        </row>
        <row r="237">
          <cell r="A237">
            <v>39681</v>
          </cell>
          <cell r="B237" t="str">
            <v>#Calc</v>
          </cell>
          <cell r="C237" t="e">
            <v>#DIV/0!</v>
          </cell>
          <cell r="D237" t="e">
            <v>#DIV/0!</v>
          </cell>
          <cell r="E237" t="e">
            <v>#DIV/0!</v>
          </cell>
        </row>
        <row r="238">
          <cell r="A238">
            <v>39682</v>
          </cell>
          <cell r="B238" t="str">
            <v>#Calc</v>
          </cell>
          <cell r="C238" t="e">
            <v>#DIV/0!</v>
          </cell>
          <cell r="D238" t="e">
            <v>#DIV/0!</v>
          </cell>
          <cell r="E238" t="e">
            <v>#DIV/0!</v>
          </cell>
        </row>
        <row r="239">
          <cell r="A239">
            <v>39683</v>
          </cell>
          <cell r="B239" t="str">
            <v>#Calc</v>
          </cell>
          <cell r="C239" t="e">
            <v>#DIV/0!</v>
          </cell>
          <cell r="D239" t="e">
            <v>#DIV/0!</v>
          </cell>
          <cell r="E239" t="e">
            <v>#DIV/0!</v>
          </cell>
        </row>
        <row r="240">
          <cell r="A240">
            <v>39684</v>
          </cell>
          <cell r="B240" t="str">
            <v>#Calc</v>
          </cell>
          <cell r="C240" t="e">
            <v>#DIV/0!</v>
          </cell>
          <cell r="D240" t="e">
            <v>#DIV/0!</v>
          </cell>
          <cell r="E240" t="e">
            <v>#DIV/0!</v>
          </cell>
        </row>
        <row r="241">
          <cell r="A241">
            <v>39685</v>
          </cell>
          <cell r="B241" t="str">
            <v>#Calc</v>
          </cell>
          <cell r="C241" t="e">
            <v>#DIV/0!</v>
          </cell>
          <cell r="D241" t="e">
            <v>#DIV/0!</v>
          </cell>
          <cell r="E241" t="e">
            <v>#DIV/0!</v>
          </cell>
        </row>
        <row r="242">
          <cell r="A242">
            <v>39686</v>
          </cell>
          <cell r="B242" t="str">
            <v>#Calc</v>
          </cell>
          <cell r="C242" t="e">
            <v>#DIV/0!</v>
          </cell>
          <cell r="D242" t="e">
            <v>#DIV/0!</v>
          </cell>
          <cell r="E242" t="e">
            <v>#DIV/0!</v>
          </cell>
        </row>
        <row r="243">
          <cell r="A243">
            <v>39687</v>
          </cell>
          <cell r="B243" t="str">
            <v>#Calc</v>
          </cell>
          <cell r="C243" t="e">
            <v>#DIV/0!</v>
          </cell>
          <cell r="D243" t="e">
            <v>#DIV/0!</v>
          </cell>
          <cell r="E243" t="e">
            <v>#DIV/0!</v>
          </cell>
        </row>
        <row r="244">
          <cell r="A244">
            <v>39688</v>
          </cell>
          <cell r="B244" t="str">
            <v>#Calc</v>
          </cell>
          <cell r="C244" t="e">
            <v>#DIV/0!</v>
          </cell>
          <cell r="D244" t="e">
            <v>#DIV/0!</v>
          </cell>
          <cell r="E244" t="e">
            <v>#DIV/0!</v>
          </cell>
        </row>
        <row r="245">
          <cell r="A245">
            <v>39689</v>
          </cell>
          <cell r="B245" t="str">
            <v>#Calc</v>
          </cell>
          <cell r="C245" t="e">
            <v>#DIV/0!</v>
          </cell>
          <cell r="D245" t="e">
            <v>#DIV/0!</v>
          </cell>
          <cell r="E245" t="e">
            <v>#DIV/0!</v>
          </cell>
        </row>
        <row r="246">
          <cell r="A246">
            <v>39690</v>
          </cell>
          <cell r="B246" t="str">
            <v>#Calc</v>
          </cell>
          <cell r="C246" t="e">
            <v>#DIV/0!</v>
          </cell>
          <cell r="D246" t="e">
            <v>#DIV/0!</v>
          </cell>
          <cell r="E246" t="e">
            <v>#DIV/0!</v>
          </cell>
        </row>
        <row r="247">
          <cell r="A247">
            <v>39691</v>
          </cell>
          <cell r="B247" t="str">
            <v>#Calc</v>
          </cell>
          <cell r="C247" t="e">
            <v>#DIV/0!</v>
          </cell>
          <cell r="D247" t="e">
            <v>#DIV/0!</v>
          </cell>
          <cell r="E247" t="e">
            <v>#DIV/0!</v>
          </cell>
        </row>
        <row r="248">
          <cell r="A248">
            <v>39692</v>
          </cell>
          <cell r="B248" t="str">
            <v>#Calc</v>
          </cell>
          <cell r="C248" t="e">
            <v>#DIV/0!</v>
          </cell>
          <cell r="D248" t="e">
            <v>#DIV/0!</v>
          </cell>
          <cell r="E248" t="e">
            <v>#DIV/0!</v>
          </cell>
        </row>
        <row r="249">
          <cell r="A249">
            <v>39693</v>
          </cell>
          <cell r="B249" t="str">
            <v>#Calc</v>
          </cell>
          <cell r="C249" t="e">
            <v>#DIV/0!</v>
          </cell>
          <cell r="D249" t="e">
            <v>#DIV/0!</v>
          </cell>
          <cell r="E249" t="e">
            <v>#DIV/0!</v>
          </cell>
        </row>
        <row r="250">
          <cell r="A250">
            <v>39694</v>
          </cell>
          <cell r="B250" t="str">
            <v>#Calc</v>
          </cell>
          <cell r="C250" t="e">
            <v>#DIV/0!</v>
          </cell>
          <cell r="D250" t="e">
            <v>#DIV/0!</v>
          </cell>
          <cell r="E250" t="e">
            <v>#DIV/0!</v>
          </cell>
        </row>
        <row r="251">
          <cell r="A251">
            <v>39695</v>
          </cell>
          <cell r="B251" t="str">
            <v>#Calc</v>
          </cell>
          <cell r="C251" t="e">
            <v>#DIV/0!</v>
          </cell>
          <cell r="D251" t="e">
            <v>#DIV/0!</v>
          </cell>
          <cell r="E251" t="e">
            <v>#DIV/0!</v>
          </cell>
        </row>
        <row r="252">
          <cell r="A252">
            <v>39696</v>
          </cell>
          <cell r="B252" t="str">
            <v>#Calc</v>
          </cell>
          <cell r="C252" t="e">
            <v>#DIV/0!</v>
          </cell>
          <cell r="D252" t="e">
            <v>#DIV/0!</v>
          </cell>
          <cell r="E252" t="e">
            <v>#DIV/0!</v>
          </cell>
        </row>
        <row r="253">
          <cell r="A253">
            <v>39697</v>
          </cell>
          <cell r="B253" t="str">
            <v>#Calc</v>
          </cell>
          <cell r="C253" t="e">
            <v>#DIV/0!</v>
          </cell>
          <cell r="D253" t="e">
            <v>#DIV/0!</v>
          </cell>
          <cell r="E253" t="e">
            <v>#DIV/0!</v>
          </cell>
        </row>
        <row r="254">
          <cell r="A254">
            <v>39698</v>
          </cell>
          <cell r="B254" t="str">
            <v>#Calc</v>
          </cell>
          <cell r="C254" t="e">
            <v>#DIV/0!</v>
          </cell>
          <cell r="D254" t="e">
            <v>#DIV/0!</v>
          </cell>
          <cell r="E254" t="e">
            <v>#DIV/0!</v>
          </cell>
        </row>
        <row r="255">
          <cell r="A255">
            <v>39699</v>
          </cell>
          <cell r="B255" t="str">
            <v>#Calc</v>
          </cell>
          <cell r="C255" t="e">
            <v>#DIV/0!</v>
          </cell>
          <cell r="D255" t="e">
            <v>#DIV/0!</v>
          </cell>
          <cell r="E255" t="e">
            <v>#DIV/0!</v>
          </cell>
        </row>
        <row r="256">
          <cell r="A256">
            <v>39700</v>
          </cell>
          <cell r="B256" t="str">
            <v>#Calc</v>
          </cell>
          <cell r="C256" t="e">
            <v>#DIV/0!</v>
          </cell>
          <cell r="D256" t="e">
            <v>#DIV/0!</v>
          </cell>
          <cell r="E256" t="e">
            <v>#DIV/0!</v>
          </cell>
        </row>
        <row r="257">
          <cell r="A257">
            <v>39701</v>
          </cell>
          <cell r="B257" t="str">
            <v>#Calc</v>
          </cell>
          <cell r="C257" t="e">
            <v>#DIV/0!</v>
          </cell>
          <cell r="D257" t="e">
            <v>#DIV/0!</v>
          </cell>
          <cell r="E257" t="e">
            <v>#DIV/0!</v>
          </cell>
        </row>
        <row r="258">
          <cell r="A258">
            <v>39702</v>
          </cell>
          <cell r="B258" t="str">
            <v>#Calc</v>
          </cell>
          <cell r="C258" t="e">
            <v>#DIV/0!</v>
          </cell>
          <cell r="D258" t="e">
            <v>#DIV/0!</v>
          </cell>
          <cell r="E258" t="e">
            <v>#DIV/0!</v>
          </cell>
        </row>
        <row r="259">
          <cell r="A259">
            <v>39703</v>
          </cell>
          <cell r="B259" t="str">
            <v>#Calc</v>
          </cell>
          <cell r="C259" t="e">
            <v>#DIV/0!</v>
          </cell>
          <cell r="D259" t="e">
            <v>#DIV/0!</v>
          </cell>
          <cell r="E259" t="e">
            <v>#DIV/0!</v>
          </cell>
        </row>
        <row r="260">
          <cell r="A260">
            <v>39704</v>
          </cell>
          <cell r="B260" t="str">
            <v>#Calc</v>
          </cell>
          <cell r="C260" t="e">
            <v>#DIV/0!</v>
          </cell>
          <cell r="D260" t="e">
            <v>#DIV/0!</v>
          </cell>
          <cell r="E260" t="e">
            <v>#DIV/0!</v>
          </cell>
        </row>
        <row r="261">
          <cell r="A261">
            <v>39705</v>
          </cell>
          <cell r="B261" t="str">
            <v>#Calc</v>
          </cell>
          <cell r="C261" t="e">
            <v>#DIV/0!</v>
          </cell>
          <cell r="D261" t="e">
            <v>#DIV/0!</v>
          </cell>
          <cell r="E261" t="e">
            <v>#DIV/0!</v>
          </cell>
        </row>
        <row r="262">
          <cell r="A262">
            <v>39706</v>
          </cell>
          <cell r="B262" t="str">
            <v>#Calc</v>
          </cell>
          <cell r="C262" t="e">
            <v>#DIV/0!</v>
          </cell>
          <cell r="D262" t="e">
            <v>#DIV/0!</v>
          </cell>
          <cell r="E262" t="e">
            <v>#DIV/0!</v>
          </cell>
        </row>
        <row r="263">
          <cell r="A263">
            <v>39707</v>
          </cell>
          <cell r="B263" t="str">
            <v>#Calc</v>
          </cell>
          <cell r="C263" t="e">
            <v>#DIV/0!</v>
          </cell>
          <cell r="D263" t="e">
            <v>#DIV/0!</v>
          </cell>
          <cell r="E263" t="e">
            <v>#DIV/0!</v>
          </cell>
        </row>
        <row r="264">
          <cell r="A264">
            <v>39708</v>
          </cell>
          <cell r="B264" t="str">
            <v>#Calc</v>
          </cell>
          <cell r="C264" t="e">
            <v>#DIV/0!</v>
          </cell>
          <cell r="D264" t="e">
            <v>#DIV/0!</v>
          </cell>
          <cell r="E264" t="e">
            <v>#DIV/0!</v>
          </cell>
        </row>
        <row r="265">
          <cell r="A265">
            <v>39709</v>
          </cell>
          <cell r="B265" t="str">
            <v>#Calc</v>
          </cell>
          <cell r="C265" t="e">
            <v>#DIV/0!</v>
          </cell>
          <cell r="D265" t="e">
            <v>#DIV/0!</v>
          </cell>
          <cell r="E265" t="e">
            <v>#DIV/0!</v>
          </cell>
        </row>
        <row r="266">
          <cell r="A266">
            <v>39710</v>
          </cell>
          <cell r="B266" t="str">
            <v>#Calc</v>
          </cell>
          <cell r="C266" t="e">
            <v>#DIV/0!</v>
          </cell>
          <cell r="D266" t="e">
            <v>#DIV/0!</v>
          </cell>
          <cell r="E266" t="e">
            <v>#DIV/0!</v>
          </cell>
        </row>
        <row r="267">
          <cell r="A267">
            <v>39711</v>
          </cell>
          <cell r="B267" t="str">
            <v>#Calc</v>
          </cell>
          <cell r="C267" t="e">
            <v>#DIV/0!</v>
          </cell>
          <cell r="D267" t="e">
            <v>#DIV/0!</v>
          </cell>
          <cell r="E267" t="e">
            <v>#DIV/0!</v>
          </cell>
        </row>
        <row r="268">
          <cell r="A268">
            <v>39712</v>
          </cell>
          <cell r="B268" t="str">
            <v>#Calc</v>
          </cell>
          <cell r="C268" t="e">
            <v>#DIV/0!</v>
          </cell>
          <cell r="D268" t="e">
            <v>#DIV/0!</v>
          </cell>
          <cell r="E268" t="e">
            <v>#DIV/0!</v>
          </cell>
        </row>
        <row r="269">
          <cell r="A269">
            <v>39713</v>
          </cell>
          <cell r="B269" t="str">
            <v>#Calc</v>
          </cell>
          <cell r="C269" t="e">
            <v>#DIV/0!</v>
          </cell>
          <cell r="D269" t="e">
            <v>#DIV/0!</v>
          </cell>
          <cell r="E269" t="e">
            <v>#DIV/0!</v>
          </cell>
        </row>
        <row r="270">
          <cell r="A270">
            <v>39714</v>
          </cell>
          <cell r="B270" t="str">
            <v>#Calc</v>
          </cell>
          <cell r="C270" t="e">
            <v>#DIV/0!</v>
          </cell>
          <cell r="D270" t="e">
            <v>#DIV/0!</v>
          </cell>
          <cell r="E270" t="e">
            <v>#DIV/0!</v>
          </cell>
        </row>
        <row r="271">
          <cell r="A271">
            <v>39715</v>
          </cell>
          <cell r="B271" t="str">
            <v>#Calc</v>
          </cell>
          <cell r="C271" t="e">
            <v>#DIV/0!</v>
          </cell>
          <cell r="D271" t="e">
            <v>#DIV/0!</v>
          </cell>
          <cell r="E271" t="e">
            <v>#DIV/0!</v>
          </cell>
        </row>
        <row r="272">
          <cell r="A272">
            <v>39716</v>
          </cell>
          <cell r="B272" t="str">
            <v>#Calc</v>
          </cell>
          <cell r="C272" t="e">
            <v>#DIV/0!</v>
          </cell>
          <cell r="D272" t="e">
            <v>#DIV/0!</v>
          </cell>
          <cell r="E272" t="e">
            <v>#DIV/0!</v>
          </cell>
        </row>
        <row r="273">
          <cell r="A273">
            <v>39717</v>
          </cell>
          <cell r="B273" t="str">
            <v>#Calc</v>
          </cell>
          <cell r="C273" t="e">
            <v>#DIV/0!</v>
          </cell>
          <cell r="D273" t="e">
            <v>#DIV/0!</v>
          </cell>
          <cell r="E273" t="e">
            <v>#DIV/0!</v>
          </cell>
        </row>
        <row r="274">
          <cell r="A274">
            <v>39718</v>
          </cell>
          <cell r="B274" t="str">
            <v>#Calc</v>
          </cell>
          <cell r="C274" t="e">
            <v>#DIV/0!</v>
          </cell>
          <cell r="D274" t="e">
            <v>#DIV/0!</v>
          </cell>
          <cell r="E274" t="e">
            <v>#DIV/0!</v>
          </cell>
        </row>
        <row r="275">
          <cell r="A275">
            <v>39719</v>
          </cell>
          <cell r="B275" t="str">
            <v>#Calc</v>
          </cell>
          <cell r="C275" t="e">
            <v>#DIV/0!</v>
          </cell>
          <cell r="D275" t="e">
            <v>#DIV/0!</v>
          </cell>
          <cell r="E275" t="e">
            <v>#DIV/0!</v>
          </cell>
        </row>
        <row r="276">
          <cell r="A276">
            <v>39720</v>
          </cell>
          <cell r="B276" t="str">
            <v>#Calc</v>
          </cell>
          <cell r="C276" t="e">
            <v>#DIV/0!</v>
          </cell>
          <cell r="D276" t="e">
            <v>#DIV/0!</v>
          </cell>
          <cell r="E276" t="e">
            <v>#DIV/0!</v>
          </cell>
        </row>
        <row r="277">
          <cell r="A277">
            <v>39721</v>
          </cell>
          <cell r="B277" t="str">
            <v>#Calc</v>
          </cell>
          <cell r="C277" t="e">
            <v>#DIV/0!</v>
          </cell>
          <cell r="D277" t="e">
            <v>#DIV/0!</v>
          </cell>
          <cell r="E277" t="e">
            <v>#DIV/0!</v>
          </cell>
        </row>
        <row r="278">
          <cell r="A278">
            <v>39722</v>
          </cell>
          <cell r="B278" t="str">
            <v>#Calc</v>
          </cell>
          <cell r="C278" t="e">
            <v>#DIV/0!</v>
          </cell>
          <cell r="D278" t="e">
            <v>#DIV/0!</v>
          </cell>
          <cell r="E278" t="e">
            <v>#DIV/0!</v>
          </cell>
        </row>
        <row r="279">
          <cell r="A279">
            <v>39723</v>
          </cell>
          <cell r="B279" t="str">
            <v>#Calc</v>
          </cell>
          <cell r="C279" t="e">
            <v>#DIV/0!</v>
          </cell>
          <cell r="D279" t="e">
            <v>#DIV/0!</v>
          </cell>
          <cell r="E279" t="e">
            <v>#DIV/0!</v>
          </cell>
        </row>
        <row r="280">
          <cell r="A280">
            <v>39724</v>
          </cell>
          <cell r="B280" t="str">
            <v>#Calc</v>
          </cell>
          <cell r="C280" t="e">
            <v>#DIV/0!</v>
          </cell>
          <cell r="D280" t="e">
            <v>#DIV/0!</v>
          </cell>
          <cell r="E280" t="e">
            <v>#DIV/0!</v>
          </cell>
        </row>
        <row r="281">
          <cell r="A281">
            <v>39725</v>
          </cell>
          <cell r="B281" t="str">
            <v>#Calc</v>
          </cell>
          <cell r="C281" t="e">
            <v>#DIV/0!</v>
          </cell>
          <cell r="D281" t="e">
            <v>#DIV/0!</v>
          </cell>
          <cell r="E281" t="e">
            <v>#DIV/0!</v>
          </cell>
        </row>
        <row r="282">
          <cell r="A282">
            <v>39726</v>
          </cell>
          <cell r="B282" t="str">
            <v>#Calc</v>
          </cell>
          <cell r="C282" t="e">
            <v>#DIV/0!</v>
          </cell>
          <cell r="D282" t="e">
            <v>#DIV/0!</v>
          </cell>
          <cell r="E282" t="e">
            <v>#DIV/0!</v>
          </cell>
        </row>
        <row r="283">
          <cell r="A283">
            <v>39727</v>
          </cell>
          <cell r="B283" t="str">
            <v>#Calc</v>
          </cell>
          <cell r="C283" t="e">
            <v>#DIV/0!</v>
          </cell>
          <cell r="D283" t="e">
            <v>#DIV/0!</v>
          </cell>
          <cell r="E283" t="e">
            <v>#DIV/0!</v>
          </cell>
        </row>
        <row r="284">
          <cell r="A284">
            <v>39728</v>
          </cell>
          <cell r="B284" t="str">
            <v>#Calc</v>
          </cell>
          <cell r="C284" t="e">
            <v>#DIV/0!</v>
          </cell>
          <cell r="D284" t="e">
            <v>#DIV/0!</v>
          </cell>
          <cell r="E284" t="e">
            <v>#DIV/0!</v>
          </cell>
        </row>
        <row r="285">
          <cell r="A285">
            <v>39729</v>
          </cell>
          <cell r="B285" t="str">
            <v>#Calc</v>
          </cell>
          <cell r="C285" t="e">
            <v>#DIV/0!</v>
          </cell>
          <cell r="D285" t="e">
            <v>#DIV/0!</v>
          </cell>
          <cell r="E285" t="e">
            <v>#DIV/0!</v>
          </cell>
        </row>
        <row r="286">
          <cell r="A286">
            <v>39730</v>
          </cell>
          <cell r="B286" t="str">
            <v>#Calc</v>
          </cell>
          <cell r="C286" t="e">
            <v>#DIV/0!</v>
          </cell>
          <cell r="D286" t="e">
            <v>#DIV/0!</v>
          </cell>
          <cell r="E286" t="e">
            <v>#DIV/0!</v>
          </cell>
        </row>
        <row r="287">
          <cell r="A287">
            <v>39731</v>
          </cell>
          <cell r="B287" t="str">
            <v>#Calc</v>
          </cell>
          <cell r="C287" t="e">
            <v>#DIV/0!</v>
          </cell>
          <cell r="D287" t="e">
            <v>#DIV/0!</v>
          </cell>
          <cell r="E287" t="e">
            <v>#DIV/0!</v>
          </cell>
        </row>
        <row r="288">
          <cell r="A288">
            <v>39732</v>
          </cell>
          <cell r="B288" t="str">
            <v>#Calc</v>
          </cell>
          <cell r="C288" t="e">
            <v>#DIV/0!</v>
          </cell>
          <cell r="D288" t="e">
            <v>#DIV/0!</v>
          </cell>
          <cell r="E288" t="e">
            <v>#DIV/0!</v>
          </cell>
        </row>
        <row r="289">
          <cell r="A289">
            <v>39733</v>
          </cell>
          <cell r="B289" t="str">
            <v>#Calc</v>
          </cell>
          <cell r="C289" t="e">
            <v>#DIV/0!</v>
          </cell>
          <cell r="D289" t="e">
            <v>#DIV/0!</v>
          </cell>
          <cell r="E289" t="e">
            <v>#DIV/0!</v>
          </cell>
        </row>
        <row r="290">
          <cell r="A290">
            <v>39734</v>
          </cell>
          <cell r="B290" t="str">
            <v>#Calc</v>
          </cell>
          <cell r="C290" t="e">
            <v>#DIV/0!</v>
          </cell>
          <cell r="D290" t="e">
            <v>#DIV/0!</v>
          </cell>
          <cell r="E290" t="e">
            <v>#DIV/0!</v>
          </cell>
        </row>
        <row r="291">
          <cell r="A291">
            <v>39735</v>
          </cell>
          <cell r="B291" t="str">
            <v>#Calc</v>
          </cell>
          <cell r="C291" t="e">
            <v>#DIV/0!</v>
          </cell>
          <cell r="D291" t="e">
            <v>#DIV/0!</v>
          </cell>
          <cell r="E291" t="e">
            <v>#DIV/0!</v>
          </cell>
        </row>
        <row r="292">
          <cell r="A292">
            <v>39736</v>
          </cell>
          <cell r="B292" t="str">
            <v>#Calc</v>
          </cell>
          <cell r="C292" t="e">
            <v>#DIV/0!</v>
          </cell>
          <cell r="D292" t="e">
            <v>#DIV/0!</v>
          </cell>
          <cell r="E292" t="e">
            <v>#DIV/0!</v>
          </cell>
        </row>
        <row r="293">
          <cell r="A293">
            <v>39737</v>
          </cell>
          <cell r="B293" t="str">
            <v>#Calc</v>
          </cell>
          <cell r="C293" t="e">
            <v>#DIV/0!</v>
          </cell>
          <cell r="D293" t="e">
            <v>#DIV/0!</v>
          </cell>
          <cell r="E293" t="e">
            <v>#DIV/0!</v>
          </cell>
        </row>
        <row r="294">
          <cell r="A294">
            <v>39738</v>
          </cell>
          <cell r="B294" t="str">
            <v>#Calc</v>
          </cell>
          <cell r="C294" t="e">
            <v>#DIV/0!</v>
          </cell>
          <cell r="D294" t="e">
            <v>#DIV/0!</v>
          </cell>
          <cell r="E294" t="e">
            <v>#DIV/0!</v>
          </cell>
        </row>
        <row r="295">
          <cell r="A295">
            <v>39739</v>
          </cell>
          <cell r="B295" t="str">
            <v>#Calc</v>
          </cell>
          <cell r="C295" t="e">
            <v>#DIV/0!</v>
          </cell>
          <cell r="D295" t="e">
            <v>#DIV/0!</v>
          </cell>
          <cell r="E295" t="e">
            <v>#DIV/0!</v>
          </cell>
        </row>
        <row r="296">
          <cell r="A296">
            <v>39740</v>
          </cell>
          <cell r="B296" t="str">
            <v>#Calc</v>
          </cell>
          <cell r="C296" t="e">
            <v>#DIV/0!</v>
          </cell>
          <cell r="D296" t="e">
            <v>#DIV/0!</v>
          </cell>
          <cell r="E296" t="e">
            <v>#DIV/0!</v>
          </cell>
        </row>
        <row r="297">
          <cell r="A297">
            <v>39741</v>
          </cell>
          <cell r="B297" t="str">
            <v>#Calc</v>
          </cell>
          <cell r="C297" t="e">
            <v>#DIV/0!</v>
          </cell>
          <cell r="D297" t="e">
            <v>#DIV/0!</v>
          </cell>
          <cell r="E297" t="e">
            <v>#DIV/0!</v>
          </cell>
        </row>
        <row r="298">
          <cell r="A298">
            <v>39742</v>
          </cell>
          <cell r="B298" t="str">
            <v>#Calc</v>
          </cell>
          <cell r="C298" t="e">
            <v>#DIV/0!</v>
          </cell>
          <cell r="D298" t="e">
            <v>#DIV/0!</v>
          </cell>
          <cell r="E298" t="e">
            <v>#DIV/0!</v>
          </cell>
        </row>
        <row r="299">
          <cell r="A299">
            <v>39743</v>
          </cell>
          <cell r="B299" t="str">
            <v>#Calc</v>
          </cell>
          <cell r="C299" t="e">
            <v>#DIV/0!</v>
          </cell>
          <cell r="D299" t="e">
            <v>#DIV/0!</v>
          </cell>
          <cell r="E299" t="e">
            <v>#DIV/0!</v>
          </cell>
        </row>
        <row r="300">
          <cell r="A300">
            <v>39744</v>
          </cell>
          <cell r="B300" t="str">
            <v>#Calc</v>
          </cell>
          <cell r="C300" t="e">
            <v>#DIV/0!</v>
          </cell>
          <cell r="D300" t="e">
            <v>#DIV/0!</v>
          </cell>
          <cell r="E300" t="e">
            <v>#DIV/0!</v>
          </cell>
        </row>
        <row r="301">
          <cell r="A301">
            <v>39745</v>
          </cell>
          <cell r="B301" t="str">
            <v>#Calc</v>
          </cell>
          <cell r="C301" t="e">
            <v>#DIV/0!</v>
          </cell>
          <cell r="D301" t="e">
            <v>#DIV/0!</v>
          </cell>
          <cell r="E301" t="e">
            <v>#DIV/0!</v>
          </cell>
        </row>
        <row r="302">
          <cell r="A302">
            <v>39746</v>
          </cell>
          <cell r="B302" t="str">
            <v>#Calc</v>
          </cell>
          <cell r="C302" t="e">
            <v>#DIV/0!</v>
          </cell>
          <cell r="D302" t="e">
            <v>#DIV/0!</v>
          </cell>
          <cell r="E302" t="e">
            <v>#DIV/0!</v>
          </cell>
        </row>
        <row r="303">
          <cell r="A303">
            <v>39747</v>
          </cell>
          <cell r="B303" t="str">
            <v>#Calc</v>
          </cell>
          <cell r="C303" t="e">
            <v>#DIV/0!</v>
          </cell>
          <cell r="D303" t="e">
            <v>#DIV/0!</v>
          </cell>
          <cell r="E303" t="e">
            <v>#DIV/0!</v>
          </cell>
        </row>
        <row r="304">
          <cell r="A304">
            <v>39748</v>
          </cell>
          <cell r="B304" t="str">
            <v>#Calc</v>
          </cell>
          <cell r="C304" t="e">
            <v>#DIV/0!</v>
          </cell>
          <cell r="D304" t="e">
            <v>#DIV/0!</v>
          </cell>
          <cell r="E304" t="e">
            <v>#DIV/0!</v>
          </cell>
        </row>
        <row r="305">
          <cell r="A305">
            <v>39749</v>
          </cell>
          <cell r="B305" t="str">
            <v>#Calc</v>
          </cell>
          <cell r="C305" t="e">
            <v>#DIV/0!</v>
          </cell>
          <cell r="D305" t="e">
            <v>#DIV/0!</v>
          </cell>
          <cell r="E305" t="e">
            <v>#DIV/0!</v>
          </cell>
        </row>
        <row r="306">
          <cell r="A306">
            <v>39750</v>
          </cell>
          <cell r="B306" t="str">
            <v>#Calc</v>
          </cell>
          <cell r="C306" t="e">
            <v>#DIV/0!</v>
          </cell>
          <cell r="D306" t="e">
            <v>#DIV/0!</v>
          </cell>
          <cell r="E306" t="e">
            <v>#DIV/0!</v>
          </cell>
        </row>
        <row r="307">
          <cell r="A307">
            <v>39751</v>
          </cell>
          <cell r="B307" t="str">
            <v>#Calc</v>
          </cell>
          <cell r="C307" t="e">
            <v>#DIV/0!</v>
          </cell>
          <cell r="D307" t="e">
            <v>#DIV/0!</v>
          </cell>
          <cell r="E307" t="e">
            <v>#DIV/0!</v>
          </cell>
        </row>
        <row r="308">
          <cell r="A308">
            <v>39752</v>
          </cell>
          <cell r="B308" t="str">
            <v>#Calc</v>
          </cell>
          <cell r="C308" t="e">
            <v>#DIV/0!</v>
          </cell>
          <cell r="D308" t="e">
            <v>#DIV/0!</v>
          </cell>
          <cell r="E308" t="e">
            <v>#DIV/0!</v>
          </cell>
        </row>
        <row r="309">
          <cell r="A309">
            <v>39753</v>
          </cell>
          <cell r="B309" t="str">
            <v>#Calc</v>
          </cell>
          <cell r="C309" t="e">
            <v>#DIV/0!</v>
          </cell>
          <cell r="D309" t="e">
            <v>#DIV/0!</v>
          </cell>
          <cell r="E309" t="e">
            <v>#DIV/0!</v>
          </cell>
        </row>
        <row r="310">
          <cell r="A310">
            <v>39754</v>
          </cell>
          <cell r="B310" t="str">
            <v>#Calc</v>
          </cell>
          <cell r="C310" t="e">
            <v>#DIV/0!</v>
          </cell>
          <cell r="D310" t="e">
            <v>#DIV/0!</v>
          </cell>
          <cell r="E310" t="e">
            <v>#DIV/0!</v>
          </cell>
        </row>
        <row r="311">
          <cell r="A311">
            <v>39755</v>
          </cell>
          <cell r="B311" t="str">
            <v>#Calc</v>
          </cell>
          <cell r="C311" t="e">
            <v>#DIV/0!</v>
          </cell>
          <cell r="D311" t="e">
            <v>#DIV/0!</v>
          </cell>
          <cell r="E311" t="e">
            <v>#DIV/0!</v>
          </cell>
        </row>
        <row r="312">
          <cell r="A312">
            <v>39756</v>
          </cell>
          <cell r="B312" t="str">
            <v>#Calc</v>
          </cell>
          <cell r="C312" t="e">
            <v>#DIV/0!</v>
          </cell>
          <cell r="D312" t="e">
            <v>#DIV/0!</v>
          </cell>
          <cell r="E312" t="e">
            <v>#DIV/0!</v>
          </cell>
        </row>
        <row r="313">
          <cell r="A313">
            <v>39757</v>
          </cell>
          <cell r="B313" t="str">
            <v>#Calc</v>
          </cell>
          <cell r="C313" t="e">
            <v>#DIV/0!</v>
          </cell>
          <cell r="D313" t="e">
            <v>#DIV/0!</v>
          </cell>
          <cell r="E313" t="e">
            <v>#DIV/0!</v>
          </cell>
        </row>
        <row r="314">
          <cell r="A314">
            <v>39758</v>
          </cell>
          <cell r="B314" t="str">
            <v>#Calc</v>
          </cell>
          <cell r="C314" t="e">
            <v>#DIV/0!</v>
          </cell>
          <cell r="D314" t="e">
            <v>#DIV/0!</v>
          </cell>
          <cell r="E314" t="e">
            <v>#DIV/0!</v>
          </cell>
        </row>
        <row r="315">
          <cell r="A315">
            <v>39759</v>
          </cell>
          <cell r="B315" t="str">
            <v>#Calc</v>
          </cell>
          <cell r="C315" t="e">
            <v>#DIV/0!</v>
          </cell>
          <cell r="D315" t="e">
            <v>#DIV/0!</v>
          </cell>
          <cell r="E315" t="e">
            <v>#DIV/0!</v>
          </cell>
        </row>
        <row r="316">
          <cell r="A316">
            <v>39760</v>
          </cell>
          <cell r="B316" t="str">
            <v>#Calc</v>
          </cell>
          <cell r="C316" t="e">
            <v>#DIV/0!</v>
          </cell>
          <cell r="D316" t="e">
            <v>#DIV/0!</v>
          </cell>
          <cell r="E316" t="e">
            <v>#DIV/0!</v>
          </cell>
        </row>
        <row r="317">
          <cell r="A317">
            <v>39761</v>
          </cell>
          <cell r="B317" t="str">
            <v>#Calc</v>
          </cell>
          <cell r="C317" t="e">
            <v>#DIV/0!</v>
          </cell>
          <cell r="D317" t="e">
            <v>#DIV/0!</v>
          </cell>
          <cell r="E317" t="e">
            <v>#DIV/0!</v>
          </cell>
        </row>
        <row r="318">
          <cell r="A318">
            <v>39762</v>
          </cell>
          <cell r="B318" t="str">
            <v>#Calc</v>
          </cell>
          <cell r="C318" t="e">
            <v>#DIV/0!</v>
          </cell>
          <cell r="D318" t="e">
            <v>#DIV/0!</v>
          </cell>
          <cell r="E318" t="e">
            <v>#DIV/0!</v>
          </cell>
        </row>
        <row r="319">
          <cell r="A319">
            <v>39763</v>
          </cell>
          <cell r="B319" t="str">
            <v>#Calc</v>
          </cell>
          <cell r="C319" t="e">
            <v>#DIV/0!</v>
          </cell>
          <cell r="D319" t="e">
            <v>#DIV/0!</v>
          </cell>
          <cell r="E319" t="e">
            <v>#DIV/0!</v>
          </cell>
        </row>
        <row r="320">
          <cell r="A320">
            <v>39764</v>
          </cell>
          <cell r="B320" t="str">
            <v>#Calc</v>
          </cell>
          <cell r="C320" t="e">
            <v>#DIV/0!</v>
          </cell>
          <cell r="D320" t="e">
            <v>#DIV/0!</v>
          </cell>
          <cell r="E320" t="e">
            <v>#DIV/0!</v>
          </cell>
        </row>
        <row r="321">
          <cell r="A321">
            <v>39765</v>
          </cell>
          <cell r="B321" t="str">
            <v>#Calc</v>
          </cell>
          <cell r="C321" t="e">
            <v>#DIV/0!</v>
          </cell>
          <cell r="D321" t="e">
            <v>#DIV/0!</v>
          </cell>
          <cell r="E321" t="e">
            <v>#DIV/0!</v>
          </cell>
        </row>
        <row r="322">
          <cell r="A322">
            <v>39766</v>
          </cell>
          <cell r="B322" t="str">
            <v>#Calc</v>
          </cell>
          <cell r="C322" t="e">
            <v>#DIV/0!</v>
          </cell>
          <cell r="D322" t="e">
            <v>#DIV/0!</v>
          </cell>
          <cell r="E322" t="e">
            <v>#DIV/0!</v>
          </cell>
        </row>
        <row r="323">
          <cell r="A323">
            <v>39767</v>
          </cell>
          <cell r="B323" t="str">
            <v>#Calc</v>
          </cell>
          <cell r="C323" t="e">
            <v>#DIV/0!</v>
          </cell>
          <cell r="D323" t="e">
            <v>#DIV/0!</v>
          </cell>
          <cell r="E323" t="e">
            <v>#DIV/0!</v>
          </cell>
        </row>
        <row r="324">
          <cell r="A324">
            <v>39768</v>
          </cell>
          <cell r="B324" t="str">
            <v>#Calc</v>
          </cell>
          <cell r="C324" t="e">
            <v>#DIV/0!</v>
          </cell>
          <cell r="D324" t="e">
            <v>#DIV/0!</v>
          </cell>
          <cell r="E324" t="e">
            <v>#DIV/0!</v>
          </cell>
        </row>
        <row r="325">
          <cell r="A325">
            <v>39769</v>
          </cell>
          <cell r="B325" t="str">
            <v>#Calc</v>
          </cell>
          <cell r="C325" t="e">
            <v>#DIV/0!</v>
          </cell>
          <cell r="D325" t="e">
            <v>#DIV/0!</v>
          </cell>
          <cell r="E325" t="e">
            <v>#DIV/0!</v>
          </cell>
        </row>
        <row r="326">
          <cell r="A326">
            <v>39770</v>
          </cell>
          <cell r="B326" t="str">
            <v>#Calc</v>
          </cell>
          <cell r="C326" t="e">
            <v>#DIV/0!</v>
          </cell>
          <cell r="D326" t="e">
            <v>#DIV/0!</v>
          </cell>
          <cell r="E326" t="e">
            <v>#DIV/0!</v>
          </cell>
        </row>
        <row r="327">
          <cell r="A327">
            <v>39771</v>
          </cell>
          <cell r="B327" t="str">
            <v>#Calc</v>
          </cell>
          <cell r="C327" t="e">
            <v>#DIV/0!</v>
          </cell>
          <cell r="D327" t="e">
            <v>#DIV/0!</v>
          </cell>
          <cell r="E327" t="e">
            <v>#DIV/0!</v>
          </cell>
        </row>
        <row r="328">
          <cell r="A328">
            <v>39772</v>
          </cell>
          <cell r="B328" t="str">
            <v>#Calc</v>
          </cell>
          <cell r="C328" t="e">
            <v>#DIV/0!</v>
          </cell>
          <cell r="D328" t="e">
            <v>#DIV/0!</v>
          </cell>
          <cell r="E328" t="e">
            <v>#DIV/0!</v>
          </cell>
        </row>
        <row r="329">
          <cell r="A329">
            <v>39773</v>
          </cell>
          <cell r="B329" t="str">
            <v>#Calc</v>
          </cell>
          <cell r="C329" t="e">
            <v>#DIV/0!</v>
          </cell>
          <cell r="D329" t="e">
            <v>#DIV/0!</v>
          </cell>
          <cell r="E329" t="e">
            <v>#DIV/0!</v>
          </cell>
        </row>
        <row r="330">
          <cell r="A330">
            <v>39774</v>
          </cell>
          <cell r="B330" t="str">
            <v>#Calc</v>
          </cell>
          <cell r="C330" t="e">
            <v>#DIV/0!</v>
          </cell>
          <cell r="D330" t="e">
            <v>#DIV/0!</v>
          </cell>
          <cell r="E330" t="e">
            <v>#DIV/0!</v>
          </cell>
        </row>
        <row r="331">
          <cell r="A331">
            <v>39775</v>
          </cell>
          <cell r="B331" t="str">
            <v>#Calc</v>
          </cell>
          <cell r="C331" t="e">
            <v>#DIV/0!</v>
          </cell>
          <cell r="D331" t="e">
            <v>#DIV/0!</v>
          </cell>
          <cell r="E331" t="e">
            <v>#DIV/0!</v>
          </cell>
        </row>
        <row r="332">
          <cell r="A332">
            <v>39776</v>
          </cell>
          <cell r="B332" t="str">
            <v>#Calc</v>
          </cell>
          <cell r="C332" t="e">
            <v>#DIV/0!</v>
          </cell>
          <cell r="D332" t="e">
            <v>#DIV/0!</v>
          </cell>
          <cell r="E332" t="e">
            <v>#DIV/0!</v>
          </cell>
        </row>
        <row r="333">
          <cell r="A333">
            <v>39777</v>
          </cell>
          <cell r="B333" t="str">
            <v>#Calc</v>
          </cell>
          <cell r="C333" t="e">
            <v>#DIV/0!</v>
          </cell>
          <cell r="D333" t="e">
            <v>#DIV/0!</v>
          </cell>
          <cell r="E333" t="e">
            <v>#DIV/0!</v>
          </cell>
        </row>
        <row r="334">
          <cell r="A334">
            <v>39778</v>
          </cell>
          <cell r="B334" t="str">
            <v>#Calc</v>
          </cell>
          <cell r="C334" t="e">
            <v>#DIV/0!</v>
          </cell>
          <cell r="D334" t="e">
            <v>#DIV/0!</v>
          </cell>
          <cell r="E334" t="e">
            <v>#DIV/0!</v>
          </cell>
        </row>
        <row r="335">
          <cell r="A335">
            <v>39779</v>
          </cell>
          <cell r="B335" t="str">
            <v>#Calc</v>
          </cell>
          <cell r="C335" t="e">
            <v>#DIV/0!</v>
          </cell>
          <cell r="D335" t="e">
            <v>#DIV/0!</v>
          </cell>
          <cell r="E335" t="e">
            <v>#DIV/0!</v>
          </cell>
        </row>
        <row r="336">
          <cell r="A336">
            <v>39780</v>
          </cell>
          <cell r="B336" t="str">
            <v>#Calc</v>
          </cell>
          <cell r="C336" t="e">
            <v>#DIV/0!</v>
          </cell>
          <cell r="D336" t="e">
            <v>#DIV/0!</v>
          </cell>
          <cell r="E336" t="e">
            <v>#DIV/0!</v>
          </cell>
        </row>
        <row r="337">
          <cell r="A337">
            <v>39781</v>
          </cell>
          <cell r="B337" t="str">
            <v>#Calc</v>
          </cell>
          <cell r="C337" t="e">
            <v>#DIV/0!</v>
          </cell>
          <cell r="D337" t="e">
            <v>#DIV/0!</v>
          </cell>
          <cell r="E337" t="e">
            <v>#DIV/0!</v>
          </cell>
        </row>
        <row r="338">
          <cell r="A338">
            <v>39782</v>
          </cell>
          <cell r="B338" t="str">
            <v>#Calc</v>
          </cell>
          <cell r="C338" t="e">
            <v>#DIV/0!</v>
          </cell>
          <cell r="D338" t="e">
            <v>#DIV/0!</v>
          </cell>
          <cell r="E338" t="e">
            <v>#DIV/0!</v>
          </cell>
        </row>
        <row r="339">
          <cell r="A339">
            <v>39783</v>
          </cell>
          <cell r="B339" t="str">
            <v>#Calc</v>
          </cell>
          <cell r="C339" t="e">
            <v>#DIV/0!</v>
          </cell>
          <cell r="D339" t="e">
            <v>#DIV/0!</v>
          </cell>
          <cell r="E339" t="e">
            <v>#DIV/0!</v>
          </cell>
        </row>
        <row r="340">
          <cell r="A340">
            <v>39784</v>
          </cell>
          <cell r="B340" t="str">
            <v>#Calc</v>
          </cell>
          <cell r="C340" t="e">
            <v>#DIV/0!</v>
          </cell>
          <cell r="D340" t="e">
            <v>#DIV/0!</v>
          </cell>
          <cell r="E340" t="e">
            <v>#DIV/0!</v>
          </cell>
        </row>
        <row r="341">
          <cell r="A341">
            <v>39785</v>
          </cell>
          <cell r="B341" t="str">
            <v>#Calc</v>
          </cell>
          <cell r="C341" t="e">
            <v>#DIV/0!</v>
          </cell>
          <cell r="D341" t="e">
            <v>#DIV/0!</v>
          </cell>
          <cell r="E341" t="e">
            <v>#DIV/0!</v>
          </cell>
        </row>
        <row r="342">
          <cell r="A342">
            <v>39786</v>
          </cell>
          <cell r="B342" t="str">
            <v>#Calc</v>
          </cell>
          <cell r="C342" t="e">
            <v>#DIV/0!</v>
          </cell>
          <cell r="D342" t="e">
            <v>#DIV/0!</v>
          </cell>
          <cell r="E342" t="e">
            <v>#DIV/0!</v>
          </cell>
        </row>
        <row r="343">
          <cell r="A343">
            <v>39787</v>
          </cell>
          <cell r="B343" t="str">
            <v>#Calc</v>
          </cell>
          <cell r="C343" t="e">
            <v>#DIV/0!</v>
          </cell>
          <cell r="D343" t="e">
            <v>#DIV/0!</v>
          </cell>
          <cell r="E343" t="e">
            <v>#DIV/0!</v>
          </cell>
        </row>
        <row r="344">
          <cell r="A344">
            <v>39788</v>
          </cell>
          <cell r="B344" t="str">
            <v>#Calc</v>
          </cell>
          <cell r="C344" t="e">
            <v>#DIV/0!</v>
          </cell>
          <cell r="D344" t="e">
            <v>#DIV/0!</v>
          </cell>
          <cell r="E344" t="e">
            <v>#DIV/0!</v>
          </cell>
        </row>
        <row r="345">
          <cell r="A345">
            <v>39789</v>
          </cell>
          <cell r="B345" t="str">
            <v>#Calc</v>
          </cell>
          <cell r="C345" t="e">
            <v>#DIV/0!</v>
          </cell>
          <cell r="D345" t="e">
            <v>#DIV/0!</v>
          </cell>
          <cell r="E345" t="e">
            <v>#DIV/0!</v>
          </cell>
        </row>
        <row r="346">
          <cell r="A346">
            <v>39790</v>
          </cell>
          <cell r="B346" t="str">
            <v>#Calc</v>
          </cell>
          <cell r="C346" t="e">
            <v>#DIV/0!</v>
          </cell>
          <cell r="D346" t="e">
            <v>#DIV/0!</v>
          </cell>
          <cell r="E346" t="e">
            <v>#DIV/0!</v>
          </cell>
        </row>
        <row r="347">
          <cell r="A347">
            <v>39791</v>
          </cell>
          <cell r="B347" t="str">
            <v>#Calc</v>
          </cell>
          <cell r="C347" t="e">
            <v>#DIV/0!</v>
          </cell>
          <cell r="D347" t="e">
            <v>#DIV/0!</v>
          </cell>
          <cell r="E347" t="e">
            <v>#DIV/0!</v>
          </cell>
        </row>
        <row r="348">
          <cell r="A348">
            <v>39792</v>
          </cell>
          <cell r="B348" t="str">
            <v>#Calc</v>
          </cell>
          <cell r="C348" t="e">
            <v>#DIV/0!</v>
          </cell>
          <cell r="D348" t="e">
            <v>#DIV/0!</v>
          </cell>
          <cell r="E348" t="e">
            <v>#DIV/0!</v>
          </cell>
        </row>
        <row r="349">
          <cell r="A349">
            <v>39793</v>
          </cell>
          <cell r="B349" t="str">
            <v>#Calc</v>
          </cell>
          <cell r="C349" t="e">
            <v>#DIV/0!</v>
          </cell>
          <cell r="D349" t="e">
            <v>#DIV/0!</v>
          </cell>
          <cell r="E349" t="e">
            <v>#DIV/0!</v>
          </cell>
        </row>
        <row r="350">
          <cell r="A350">
            <v>39794</v>
          </cell>
          <cell r="B350" t="str">
            <v>#Calc</v>
          </cell>
          <cell r="C350" t="e">
            <v>#DIV/0!</v>
          </cell>
          <cell r="D350" t="e">
            <v>#DIV/0!</v>
          </cell>
          <cell r="E350" t="e">
            <v>#DIV/0!</v>
          </cell>
        </row>
        <row r="351">
          <cell r="A351">
            <v>39795</v>
          </cell>
          <cell r="B351" t="str">
            <v>#Calc</v>
          </cell>
          <cell r="C351" t="e">
            <v>#DIV/0!</v>
          </cell>
          <cell r="D351" t="e">
            <v>#DIV/0!</v>
          </cell>
          <cell r="E351" t="e">
            <v>#DIV/0!</v>
          </cell>
        </row>
        <row r="352">
          <cell r="A352">
            <v>39796</v>
          </cell>
          <cell r="B352" t="str">
            <v>#Calc</v>
          </cell>
          <cell r="C352" t="e">
            <v>#DIV/0!</v>
          </cell>
          <cell r="D352" t="e">
            <v>#DIV/0!</v>
          </cell>
          <cell r="E352" t="e">
            <v>#DIV/0!</v>
          </cell>
        </row>
        <row r="353">
          <cell r="A353">
            <v>39797</v>
          </cell>
          <cell r="B353" t="str">
            <v>#Calc</v>
          </cell>
          <cell r="C353" t="e">
            <v>#DIV/0!</v>
          </cell>
          <cell r="D353" t="e">
            <v>#DIV/0!</v>
          </cell>
          <cell r="E353" t="e">
            <v>#DIV/0!</v>
          </cell>
        </row>
        <row r="354">
          <cell r="A354">
            <v>39798</v>
          </cell>
          <cell r="B354" t="str">
            <v>#Calc</v>
          </cell>
          <cell r="C354" t="e">
            <v>#DIV/0!</v>
          </cell>
          <cell r="D354" t="e">
            <v>#DIV/0!</v>
          </cell>
          <cell r="E354" t="e">
            <v>#DIV/0!</v>
          </cell>
        </row>
        <row r="355">
          <cell r="A355">
            <v>39799</v>
          </cell>
          <cell r="B355" t="str">
            <v>#Calc</v>
          </cell>
          <cell r="C355" t="e">
            <v>#DIV/0!</v>
          </cell>
          <cell r="D355" t="e">
            <v>#DIV/0!</v>
          </cell>
          <cell r="E355" t="e">
            <v>#DIV/0!</v>
          </cell>
        </row>
        <row r="356">
          <cell r="A356">
            <v>39800</v>
          </cell>
          <cell r="B356" t="str">
            <v>#Calc</v>
          </cell>
          <cell r="C356" t="e">
            <v>#DIV/0!</v>
          </cell>
          <cell r="D356" t="e">
            <v>#DIV/0!</v>
          </cell>
          <cell r="E356" t="e">
            <v>#DIV/0!</v>
          </cell>
        </row>
        <row r="357">
          <cell r="A357">
            <v>39801</v>
          </cell>
          <cell r="B357" t="str">
            <v>#Calc</v>
          </cell>
          <cell r="C357" t="e">
            <v>#DIV/0!</v>
          </cell>
          <cell r="D357" t="e">
            <v>#DIV/0!</v>
          </cell>
          <cell r="E357" t="e">
            <v>#DIV/0!</v>
          </cell>
        </row>
        <row r="358">
          <cell r="A358">
            <v>39802</v>
          </cell>
          <cell r="B358" t="str">
            <v>#Calc</v>
          </cell>
          <cell r="C358" t="e">
            <v>#DIV/0!</v>
          </cell>
          <cell r="D358" t="e">
            <v>#DIV/0!</v>
          </cell>
          <cell r="E358" t="e">
            <v>#DIV/0!</v>
          </cell>
        </row>
        <row r="359">
          <cell r="A359">
            <v>39803</v>
          </cell>
          <cell r="B359" t="str">
            <v>#Calc</v>
          </cell>
          <cell r="C359" t="e">
            <v>#DIV/0!</v>
          </cell>
          <cell r="D359" t="e">
            <v>#DIV/0!</v>
          </cell>
          <cell r="E359" t="e">
            <v>#DIV/0!</v>
          </cell>
        </row>
        <row r="360">
          <cell r="A360">
            <v>39804</v>
          </cell>
          <cell r="B360" t="str">
            <v>#Calc</v>
          </cell>
          <cell r="C360" t="e">
            <v>#DIV/0!</v>
          </cell>
          <cell r="D360" t="e">
            <v>#DIV/0!</v>
          </cell>
          <cell r="E360" t="e">
            <v>#DIV/0!</v>
          </cell>
        </row>
        <row r="361">
          <cell r="A361">
            <v>39805</v>
          </cell>
          <cell r="B361" t="str">
            <v>#Calc</v>
          </cell>
          <cell r="C361" t="e">
            <v>#DIV/0!</v>
          </cell>
          <cell r="D361" t="e">
            <v>#DIV/0!</v>
          </cell>
          <cell r="E361" t="e">
            <v>#DIV/0!</v>
          </cell>
        </row>
        <row r="362">
          <cell r="A362">
            <v>39806</v>
          </cell>
          <cell r="B362" t="str">
            <v>#Calc</v>
          </cell>
          <cell r="C362" t="e">
            <v>#DIV/0!</v>
          </cell>
          <cell r="D362" t="e">
            <v>#DIV/0!</v>
          </cell>
          <cell r="E362" t="e">
            <v>#DIV/0!</v>
          </cell>
        </row>
        <row r="363">
          <cell r="A363">
            <v>39807</v>
          </cell>
          <cell r="B363" t="str">
            <v>#Calc</v>
          </cell>
          <cell r="C363" t="e">
            <v>#DIV/0!</v>
          </cell>
          <cell r="D363" t="e">
            <v>#DIV/0!</v>
          </cell>
          <cell r="E363" t="e">
            <v>#DIV/0!</v>
          </cell>
        </row>
        <row r="364">
          <cell r="A364">
            <v>39808</v>
          </cell>
          <cell r="B364" t="str">
            <v>#Calc</v>
          </cell>
          <cell r="C364" t="e">
            <v>#DIV/0!</v>
          </cell>
          <cell r="D364" t="e">
            <v>#DIV/0!</v>
          </cell>
          <cell r="E364" t="e">
            <v>#DIV/0!</v>
          </cell>
        </row>
        <row r="365">
          <cell r="A365">
            <v>39809</v>
          </cell>
          <cell r="B365" t="str">
            <v>#Calc</v>
          </cell>
          <cell r="C365" t="e">
            <v>#DIV/0!</v>
          </cell>
          <cell r="D365" t="e">
            <v>#DIV/0!</v>
          </cell>
          <cell r="E365" t="e">
            <v>#DIV/0!</v>
          </cell>
        </row>
        <row r="366">
          <cell r="A366">
            <v>39810</v>
          </cell>
          <cell r="B366" t="str">
            <v>#Calc</v>
          </cell>
          <cell r="C366" t="e">
            <v>#DIV/0!</v>
          </cell>
          <cell r="D366" t="e">
            <v>#DIV/0!</v>
          </cell>
          <cell r="E366" t="e">
            <v>#DIV/0!</v>
          </cell>
        </row>
        <row r="367">
          <cell r="A367">
            <v>39811</v>
          </cell>
          <cell r="B367" t="str">
            <v>#Calc</v>
          </cell>
          <cell r="C367" t="e">
            <v>#DIV/0!</v>
          </cell>
          <cell r="D367" t="e">
            <v>#DIV/0!</v>
          </cell>
          <cell r="E367" t="e">
            <v>#DIV/0!</v>
          </cell>
        </row>
        <row r="368">
          <cell r="A368">
            <v>39812</v>
          </cell>
          <cell r="B368" t="str">
            <v>#Calc</v>
          </cell>
          <cell r="C368" t="e">
            <v>#DIV/0!</v>
          </cell>
          <cell r="D368" t="e">
            <v>#DIV/0!</v>
          </cell>
          <cell r="E368" t="e">
            <v>#DIV/0!</v>
          </cell>
        </row>
        <row r="369">
          <cell r="A369">
            <v>39813</v>
          </cell>
          <cell r="B369" t="str">
            <v>#Calc</v>
          </cell>
          <cell r="C369" t="e">
            <v>#DIV/0!</v>
          </cell>
          <cell r="D369" t="e">
            <v>#DIV/0!</v>
          </cell>
          <cell r="E369" t="e">
            <v>#DIV/0!</v>
          </cell>
        </row>
        <row r="370">
          <cell r="A370">
            <v>39814</v>
          </cell>
          <cell r="B370" t="str">
            <v>#Calc</v>
          </cell>
          <cell r="C370" t="e">
            <v>#DIV/0!</v>
          </cell>
          <cell r="D370" t="e">
            <v>#DIV/0!</v>
          </cell>
          <cell r="E370" t="e">
            <v>#DIV/0!</v>
          </cell>
        </row>
        <row r="371">
          <cell r="A371">
            <v>39815</v>
          </cell>
          <cell r="B371" t="str">
            <v>#Calc</v>
          </cell>
          <cell r="C371" t="e">
            <v>#DIV/0!</v>
          </cell>
          <cell r="D371" t="e">
            <v>#DIV/0!</v>
          </cell>
          <cell r="E371" t="e">
            <v>#DIV/0!</v>
          </cell>
        </row>
        <row r="372">
          <cell r="A372">
            <v>39816</v>
          </cell>
          <cell r="B372" t="str">
            <v>#Calc</v>
          </cell>
          <cell r="C372" t="e">
            <v>#DIV/0!</v>
          </cell>
          <cell r="D372" t="e">
            <v>#DIV/0!</v>
          </cell>
          <cell r="E372" t="e">
            <v>#DIV/0!</v>
          </cell>
        </row>
        <row r="373">
          <cell r="A373">
            <v>39817</v>
          </cell>
          <cell r="B373" t="str">
            <v>#Calc</v>
          </cell>
          <cell r="C373" t="e">
            <v>#DIV/0!</v>
          </cell>
          <cell r="D373" t="e">
            <v>#DIV/0!</v>
          </cell>
          <cell r="E373" t="e">
            <v>#DIV/0!</v>
          </cell>
        </row>
        <row r="374">
          <cell r="A374">
            <v>39818</v>
          </cell>
          <cell r="B374" t="str">
            <v>#Calc</v>
          </cell>
          <cell r="C374" t="e">
            <v>#DIV/0!</v>
          </cell>
          <cell r="D374" t="e">
            <v>#DIV/0!</v>
          </cell>
          <cell r="E374" t="e">
            <v>#DIV/0!</v>
          </cell>
        </row>
        <row r="375">
          <cell r="A375">
            <v>39819</v>
          </cell>
          <cell r="B375" t="str">
            <v>#Calc</v>
          </cell>
          <cell r="C375" t="e">
            <v>#DIV/0!</v>
          </cell>
          <cell r="D375" t="e">
            <v>#DIV/0!</v>
          </cell>
          <cell r="E375" t="e">
            <v>#DIV/0!</v>
          </cell>
        </row>
        <row r="376">
          <cell r="A376">
            <v>39820</v>
          </cell>
          <cell r="B376" t="str">
            <v>#Calc</v>
          </cell>
          <cell r="C376" t="e">
            <v>#DIV/0!</v>
          </cell>
          <cell r="D376" t="e">
            <v>#DIV/0!</v>
          </cell>
          <cell r="E376" t="e">
            <v>#DIV/0!</v>
          </cell>
        </row>
        <row r="377">
          <cell r="A377">
            <v>39821</v>
          </cell>
          <cell r="B377" t="str">
            <v>#Calc</v>
          </cell>
          <cell r="C377" t="e">
            <v>#DIV/0!</v>
          </cell>
          <cell r="D377" t="e">
            <v>#DIV/0!</v>
          </cell>
          <cell r="E377" t="e">
            <v>#DIV/0!</v>
          </cell>
        </row>
        <row r="378">
          <cell r="A378">
            <v>39822</v>
          </cell>
          <cell r="B378" t="str">
            <v>#Calc</v>
          </cell>
          <cell r="C378" t="e">
            <v>#DIV/0!</v>
          </cell>
          <cell r="D378" t="e">
            <v>#DIV/0!</v>
          </cell>
          <cell r="E378" t="e">
            <v>#DIV/0!</v>
          </cell>
        </row>
        <row r="379">
          <cell r="A379">
            <v>39823</v>
          </cell>
          <cell r="B379" t="str">
            <v>#Calc</v>
          </cell>
          <cell r="C379" t="e">
            <v>#DIV/0!</v>
          </cell>
          <cell r="D379" t="e">
            <v>#DIV/0!</v>
          </cell>
          <cell r="E379" t="e">
            <v>#DIV/0!</v>
          </cell>
        </row>
        <row r="380">
          <cell r="A380">
            <v>39824</v>
          </cell>
          <cell r="B380" t="str">
            <v>#Calc</v>
          </cell>
          <cell r="C380" t="e">
            <v>#DIV/0!</v>
          </cell>
          <cell r="D380" t="e">
            <v>#DIV/0!</v>
          </cell>
          <cell r="E380" t="e">
            <v>#DIV/0!</v>
          </cell>
        </row>
        <row r="381">
          <cell r="A381">
            <v>39825</v>
          </cell>
          <cell r="B381" t="str">
            <v>#Calc</v>
          </cell>
          <cell r="C381" t="e">
            <v>#DIV/0!</v>
          </cell>
          <cell r="D381" t="e">
            <v>#DIV/0!</v>
          </cell>
          <cell r="E381" t="e">
            <v>#DIV/0!</v>
          </cell>
        </row>
        <row r="382">
          <cell r="A382">
            <v>39826</v>
          </cell>
          <cell r="B382" t="str">
            <v>#Calc</v>
          </cell>
          <cell r="C382" t="e">
            <v>#DIV/0!</v>
          </cell>
          <cell r="D382" t="e">
            <v>#DIV/0!</v>
          </cell>
          <cell r="E382" t="e">
            <v>#DIV/0!</v>
          </cell>
        </row>
        <row r="383">
          <cell r="A383">
            <v>39827</v>
          </cell>
          <cell r="B383" t="str">
            <v>#Calc</v>
          </cell>
          <cell r="C383" t="e">
            <v>#DIV/0!</v>
          </cell>
          <cell r="D383" t="e">
            <v>#DIV/0!</v>
          </cell>
          <cell r="E383" t="e">
            <v>#DIV/0!</v>
          </cell>
        </row>
        <row r="384">
          <cell r="A384">
            <v>39828</v>
          </cell>
          <cell r="B384" t="str">
            <v>#Calc</v>
          </cell>
          <cell r="C384" t="e">
            <v>#DIV/0!</v>
          </cell>
          <cell r="D384" t="e">
            <v>#DIV/0!</v>
          </cell>
          <cell r="E384" t="e">
            <v>#DIV/0!</v>
          </cell>
        </row>
        <row r="385">
          <cell r="A385">
            <v>39829</v>
          </cell>
          <cell r="B385" t="str">
            <v>#Calc</v>
          </cell>
          <cell r="C385" t="e">
            <v>#DIV/0!</v>
          </cell>
          <cell r="D385" t="e">
            <v>#DIV/0!</v>
          </cell>
          <cell r="E385" t="e">
            <v>#DIV/0!</v>
          </cell>
        </row>
        <row r="386">
          <cell r="A386">
            <v>39830</v>
          </cell>
          <cell r="B386" t="str">
            <v>#Calc</v>
          </cell>
          <cell r="C386" t="e">
            <v>#DIV/0!</v>
          </cell>
          <cell r="D386" t="e">
            <v>#DIV/0!</v>
          </cell>
          <cell r="E386" t="e">
            <v>#DIV/0!</v>
          </cell>
        </row>
        <row r="387">
          <cell r="A387">
            <v>39831</v>
          </cell>
          <cell r="B387" t="str">
            <v>#Calc</v>
          </cell>
          <cell r="C387" t="e">
            <v>#DIV/0!</v>
          </cell>
          <cell r="D387" t="e">
            <v>#DIV/0!</v>
          </cell>
          <cell r="E387" t="e">
            <v>#DIV/0!</v>
          </cell>
        </row>
        <row r="388">
          <cell r="A388">
            <v>39832</v>
          </cell>
          <cell r="B388" t="str">
            <v>#Calc</v>
          </cell>
          <cell r="C388" t="e">
            <v>#DIV/0!</v>
          </cell>
          <cell r="D388" t="e">
            <v>#DIV/0!</v>
          </cell>
          <cell r="E388" t="e">
            <v>#DIV/0!</v>
          </cell>
        </row>
        <row r="389">
          <cell r="A389">
            <v>39833</v>
          </cell>
          <cell r="B389" t="str">
            <v>#Calc</v>
          </cell>
          <cell r="C389" t="e">
            <v>#DIV/0!</v>
          </cell>
          <cell r="D389" t="e">
            <v>#DIV/0!</v>
          </cell>
          <cell r="E389" t="e">
            <v>#DIV/0!</v>
          </cell>
        </row>
        <row r="390">
          <cell r="A390">
            <v>39834</v>
          </cell>
          <cell r="B390" t="str">
            <v>#Calc</v>
          </cell>
          <cell r="C390" t="e">
            <v>#DIV/0!</v>
          </cell>
          <cell r="D390" t="e">
            <v>#DIV/0!</v>
          </cell>
          <cell r="E390" t="e">
            <v>#DIV/0!</v>
          </cell>
        </row>
        <row r="391">
          <cell r="A391">
            <v>39835</v>
          </cell>
          <cell r="B391" t="str">
            <v>#Calc</v>
          </cell>
          <cell r="C391" t="e">
            <v>#DIV/0!</v>
          </cell>
          <cell r="D391" t="e">
            <v>#DIV/0!</v>
          </cell>
          <cell r="E391" t="e">
            <v>#DIV/0!</v>
          </cell>
        </row>
        <row r="392">
          <cell r="A392">
            <v>39836</v>
          </cell>
          <cell r="B392" t="str">
            <v>#Calc</v>
          </cell>
          <cell r="C392" t="e">
            <v>#DIV/0!</v>
          </cell>
          <cell r="D392" t="e">
            <v>#DIV/0!</v>
          </cell>
          <cell r="E392" t="e">
            <v>#DIV/0!</v>
          </cell>
        </row>
        <row r="393">
          <cell r="A393">
            <v>39837</v>
          </cell>
          <cell r="B393" t="str">
            <v>#Calc</v>
          </cell>
          <cell r="C393" t="e">
            <v>#DIV/0!</v>
          </cell>
          <cell r="D393" t="e">
            <v>#DIV/0!</v>
          </cell>
          <cell r="E393" t="e">
            <v>#DIV/0!</v>
          </cell>
        </row>
        <row r="394">
          <cell r="A394">
            <v>39838</v>
          </cell>
          <cell r="B394" t="str">
            <v>#Calc</v>
          </cell>
          <cell r="C394" t="e">
            <v>#DIV/0!</v>
          </cell>
          <cell r="D394" t="e">
            <v>#DIV/0!</v>
          </cell>
          <cell r="E394" t="e">
            <v>#DIV/0!</v>
          </cell>
        </row>
        <row r="395">
          <cell r="A395">
            <v>39839</v>
          </cell>
          <cell r="B395" t="str">
            <v>#Calc</v>
          </cell>
          <cell r="C395" t="e">
            <v>#DIV/0!</v>
          </cell>
          <cell r="D395" t="e">
            <v>#DIV/0!</v>
          </cell>
          <cell r="E395" t="e">
            <v>#DIV/0!</v>
          </cell>
        </row>
        <row r="396">
          <cell r="A396">
            <v>39840</v>
          </cell>
          <cell r="B396" t="str">
            <v>#Calc</v>
          </cell>
          <cell r="C396" t="e">
            <v>#DIV/0!</v>
          </cell>
          <cell r="D396" t="e">
            <v>#DIV/0!</v>
          </cell>
          <cell r="E396" t="e">
            <v>#DIV/0!</v>
          </cell>
        </row>
        <row r="397">
          <cell r="A397">
            <v>39841</v>
          </cell>
          <cell r="B397" t="str">
            <v>#Calc</v>
          </cell>
          <cell r="C397" t="e">
            <v>#DIV/0!</v>
          </cell>
          <cell r="D397" t="e">
            <v>#DIV/0!</v>
          </cell>
          <cell r="E397" t="e">
            <v>#DIV/0!</v>
          </cell>
        </row>
        <row r="398">
          <cell r="A398">
            <v>39842</v>
          </cell>
          <cell r="B398" t="str">
            <v>#Calc</v>
          </cell>
          <cell r="C398" t="e">
            <v>#DIV/0!</v>
          </cell>
          <cell r="D398" t="e">
            <v>#DIV/0!</v>
          </cell>
          <cell r="E398" t="e">
            <v>#DIV/0!</v>
          </cell>
        </row>
        <row r="399">
          <cell r="A399">
            <v>39843</v>
          </cell>
          <cell r="B399" t="str">
            <v>#Calc</v>
          </cell>
          <cell r="C399" t="e">
            <v>#DIV/0!</v>
          </cell>
          <cell r="D399" t="e">
            <v>#DIV/0!</v>
          </cell>
          <cell r="E399" t="e">
            <v>#DIV/0!</v>
          </cell>
        </row>
        <row r="400">
          <cell r="A400">
            <v>39844</v>
          </cell>
          <cell r="B400" t="str">
            <v>#Calc</v>
          </cell>
          <cell r="C400" t="e">
            <v>#DIV/0!</v>
          </cell>
          <cell r="D400" t="e">
            <v>#DIV/0!</v>
          </cell>
          <cell r="E400" t="e">
            <v>#DIV/0!</v>
          </cell>
        </row>
        <row r="401">
          <cell r="A401">
            <v>39845</v>
          </cell>
          <cell r="B401" t="str">
            <v>#Calc</v>
          </cell>
          <cell r="C401" t="e">
            <v>#DIV/0!</v>
          </cell>
          <cell r="D401" t="e">
            <v>#DIV/0!</v>
          </cell>
          <cell r="E401" t="e">
            <v>#DIV/0!</v>
          </cell>
        </row>
        <row r="402">
          <cell r="A402">
            <v>39846</v>
          </cell>
          <cell r="B402" t="str">
            <v>#Calc</v>
          </cell>
          <cell r="C402" t="e">
            <v>#DIV/0!</v>
          </cell>
          <cell r="D402" t="e">
            <v>#DIV/0!</v>
          </cell>
          <cell r="E402" t="e">
            <v>#DIV/0!</v>
          </cell>
        </row>
        <row r="403">
          <cell r="A403">
            <v>39847</v>
          </cell>
          <cell r="B403" t="str">
            <v>#Calc</v>
          </cell>
          <cell r="C403" t="e">
            <v>#DIV/0!</v>
          </cell>
          <cell r="D403" t="e">
            <v>#DIV/0!</v>
          </cell>
          <cell r="E403" t="e">
            <v>#DIV/0!</v>
          </cell>
        </row>
        <row r="404">
          <cell r="A404">
            <v>39848</v>
          </cell>
          <cell r="B404" t="str">
            <v>#Calc</v>
          </cell>
          <cell r="C404" t="e">
            <v>#DIV/0!</v>
          </cell>
          <cell r="D404" t="e">
            <v>#DIV/0!</v>
          </cell>
          <cell r="E404" t="e">
            <v>#DIV/0!</v>
          </cell>
        </row>
        <row r="405">
          <cell r="A405">
            <v>39849</v>
          </cell>
          <cell r="B405" t="str">
            <v>#Calc</v>
          </cell>
          <cell r="C405" t="e">
            <v>#DIV/0!</v>
          </cell>
          <cell r="D405" t="e">
            <v>#DIV/0!</v>
          </cell>
          <cell r="E405" t="e">
            <v>#DIV/0!</v>
          </cell>
        </row>
        <row r="406">
          <cell r="A406">
            <v>39850</v>
          </cell>
          <cell r="B406" t="str">
            <v>#Calc</v>
          </cell>
          <cell r="C406" t="e">
            <v>#DIV/0!</v>
          </cell>
          <cell r="D406" t="e">
            <v>#DIV/0!</v>
          </cell>
          <cell r="E406" t="e">
            <v>#DIV/0!</v>
          </cell>
        </row>
        <row r="407">
          <cell r="A407">
            <v>39851</v>
          </cell>
          <cell r="B407" t="str">
            <v>#Calc</v>
          </cell>
          <cell r="C407" t="e">
            <v>#DIV/0!</v>
          </cell>
          <cell r="D407" t="e">
            <v>#DIV/0!</v>
          </cell>
          <cell r="E407" t="e">
            <v>#DIV/0!</v>
          </cell>
        </row>
        <row r="408">
          <cell r="A408">
            <v>39852</v>
          </cell>
          <cell r="B408" t="str">
            <v>#Calc</v>
          </cell>
          <cell r="C408" t="e">
            <v>#DIV/0!</v>
          </cell>
          <cell r="D408" t="e">
            <v>#DIV/0!</v>
          </cell>
          <cell r="E408" t="e">
            <v>#DIV/0!</v>
          </cell>
        </row>
        <row r="409">
          <cell r="A409">
            <v>39853</v>
          </cell>
          <cell r="B409" t="str">
            <v>#Calc</v>
          </cell>
          <cell r="C409" t="e">
            <v>#DIV/0!</v>
          </cell>
          <cell r="D409" t="e">
            <v>#DIV/0!</v>
          </cell>
          <cell r="E409" t="e">
            <v>#DIV/0!</v>
          </cell>
        </row>
        <row r="410">
          <cell r="A410">
            <v>39854</v>
          </cell>
          <cell r="B410" t="str">
            <v>#Calc</v>
          </cell>
          <cell r="C410" t="e">
            <v>#DIV/0!</v>
          </cell>
          <cell r="D410" t="e">
            <v>#DIV/0!</v>
          </cell>
          <cell r="E410" t="e">
            <v>#DIV/0!</v>
          </cell>
        </row>
        <row r="411">
          <cell r="A411">
            <v>39855</v>
          </cell>
          <cell r="B411" t="str">
            <v>#Calc</v>
          </cell>
          <cell r="C411" t="e">
            <v>#DIV/0!</v>
          </cell>
          <cell r="D411" t="e">
            <v>#DIV/0!</v>
          </cell>
          <cell r="E411" t="e">
            <v>#DIV/0!</v>
          </cell>
        </row>
        <row r="412">
          <cell r="A412">
            <v>39856</v>
          </cell>
          <cell r="B412" t="str">
            <v>#Calc</v>
          </cell>
          <cell r="C412" t="e">
            <v>#DIV/0!</v>
          </cell>
          <cell r="D412" t="e">
            <v>#DIV/0!</v>
          </cell>
          <cell r="E412" t="e">
            <v>#DIV/0!</v>
          </cell>
        </row>
        <row r="413">
          <cell r="A413">
            <v>39857</v>
          </cell>
          <cell r="B413" t="str">
            <v>#Calc</v>
          </cell>
          <cell r="C413" t="e">
            <v>#DIV/0!</v>
          </cell>
          <cell r="D413" t="e">
            <v>#DIV/0!</v>
          </cell>
          <cell r="E413" t="e">
            <v>#DIV/0!</v>
          </cell>
        </row>
        <row r="414">
          <cell r="A414">
            <v>39858</v>
          </cell>
          <cell r="B414" t="str">
            <v>#Calc</v>
          </cell>
          <cell r="C414" t="e">
            <v>#DIV/0!</v>
          </cell>
          <cell r="D414" t="e">
            <v>#DIV/0!</v>
          </cell>
          <cell r="E414" t="e">
            <v>#DIV/0!</v>
          </cell>
        </row>
        <row r="415">
          <cell r="A415">
            <v>39859</v>
          </cell>
          <cell r="B415" t="str">
            <v>#Calc</v>
          </cell>
          <cell r="C415" t="e">
            <v>#DIV/0!</v>
          </cell>
          <cell r="D415" t="e">
            <v>#DIV/0!</v>
          </cell>
          <cell r="E415" t="e">
            <v>#DIV/0!</v>
          </cell>
        </row>
        <row r="416">
          <cell r="A416">
            <v>39860</v>
          </cell>
          <cell r="B416" t="str">
            <v>#Calc</v>
          </cell>
          <cell r="C416" t="e">
            <v>#DIV/0!</v>
          </cell>
          <cell r="D416" t="e">
            <v>#DIV/0!</v>
          </cell>
          <cell r="E416" t="e">
            <v>#DIV/0!</v>
          </cell>
        </row>
        <row r="417">
          <cell r="A417">
            <v>39861</v>
          </cell>
          <cell r="B417" t="str">
            <v>#Calc</v>
          </cell>
          <cell r="C417" t="e">
            <v>#DIV/0!</v>
          </cell>
          <cell r="D417" t="e">
            <v>#DIV/0!</v>
          </cell>
          <cell r="E417" t="e">
            <v>#DIV/0!</v>
          </cell>
        </row>
        <row r="418">
          <cell r="A418">
            <v>39862</v>
          </cell>
          <cell r="B418" t="str">
            <v>#Calc</v>
          </cell>
          <cell r="C418" t="e">
            <v>#DIV/0!</v>
          </cell>
          <cell r="D418" t="e">
            <v>#DIV/0!</v>
          </cell>
          <cell r="E418" t="e">
            <v>#DIV/0!</v>
          </cell>
        </row>
        <row r="419">
          <cell r="A419">
            <v>39863</v>
          </cell>
          <cell r="B419" t="str">
            <v>#Calc</v>
          </cell>
          <cell r="C419" t="e">
            <v>#DIV/0!</v>
          </cell>
          <cell r="D419" t="e">
            <v>#DIV/0!</v>
          </cell>
          <cell r="E419" t="e">
            <v>#DIV/0!</v>
          </cell>
        </row>
        <row r="420">
          <cell r="A420">
            <v>39864</v>
          </cell>
          <cell r="B420" t="str">
            <v>#Calc</v>
          </cell>
          <cell r="C420" t="e">
            <v>#DIV/0!</v>
          </cell>
          <cell r="D420" t="e">
            <v>#DIV/0!</v>
          </cell>
          <cell r="E420" t="e">
            <v>#DIV/0!</v>
          </cell>
        </row>
        <row r="421">
          <cell r="A421">
            <v>39865</v>
          </cell>
          <cell r="B421" t="str">
            <v>#Calc</v>
          </cell>
          <cell r="C421" t="e">
            <v>#DIV/0!</v>
          </cell>
          <cell r="D421" t="e">
            <v>#DIV/0!</v>
          </cell>
          <cell r="E421" t="e">
            <v>#DIV/0!</v>
          </cell>
        </row>
        <row r="422">
          <cell r="A422">
            <v>39866</v>
          </cell>
          <cell r="B422" t="str">
            <v>#Calc</v>
          </cell>
          <cell r="C422" t="e">
            <v>#DIV/0!</v>
          </cell>
          <cell r="D422" t="e">
            <v>#DIV/0!</v>
          </cell>
          <cell r="E422" t="e">
            <v>#DIV/0!</v>
          </cell>
        </row>
        <row r="423">
          <cell r="A423">
            <v>39867</v>
          </cell>
          <cell r="B423" t="str">
            <v>#Calc</v>
          </cell>
          <cell r="C423" t="e">
            <v>#DIV/0!</v>
          </cell>
          <cell r="D423" t="e">
            <v>#DIV/0!</v>
          </cell>
          <cell r="E423" t="e">
            <v>#DIV/0!</v>
          </cell>
        </row>
        <row r="424">
          <cell r="A424">
            <v>39868</v>
          </cell>
          <cell r="B424" t="str">
            <v>#Calc</v>
          </cell>
          <cell r="C424" t="e">
            <v>#DIV/0!</v>
          </cell>
          <cell r="D424" t="e">
            <v>#DIV/0!</v>
          </cell>
          <cell r="E424" t="e">
            <v>#DIV/0!</v>
          </cell>
        </row>
        <row r="425">
          <cell r="A425">
            <v>39869</v>
          </cell>
          <cell r="B425" t="str">
            <v>#Calc</v>
          </cell>
          <cell r="C425" t="e">
            <v>#DIV/0!</v>
          </cell>
          <cell r="D425" t="e">
            <v>#DIV/0!</v>
          </cell>
          <cell r="E425" t="e">
            <v>#DIV/0!</v>
          </cell>
        </row>
        <row r="426">
          <cell r="A426">
            <v>39870</v>
          </cell>
          <cell r="B426" t="str">
            <v>#Calc</v>
          </cell>
          <cell r="C426" t="e">
            <v>#DIV/0!</v>
          </cell>
          <cell r="D426" t="e">
            <v>#DIV/0!</v>
          </cell>
          <cell r="E426" t="e">
            <v>#DIV/0!</v>
          </cell>
        </row>
        <row r="427">
          <cell r="A427">
            <v>39871</v>
          </cell>
          <cell r="B427" t="str">
            <v>#Calc</v>
          </cell>
          <cell r="C427" t="e">
            <v>#DIV/0!</v>
          </cell>
          <cell r="D427" t="e">
            <v>#DIV/0!</v>
          </cell>
          <cell r="E427" t="e">
            <v>#DIV/0!</v>
          </cell>
        </row>
        <row r="428">
          <cell r="A428">
            <v>39872</v>
          </cell>
          <cell r="B428" t="str">
            <v>#Calc</v>
          </cell>
          <cell r="C428" t="e">
            <v>#DIV/0!</v>
          </cell>
          <cell r="D428" t="e">
            <v>#DIV/0!</v>
          </cell>
          <cell r="E428" t="e">
            <v>#DIV/0!</v>
          </cell>
        </row>
        <row r="429">
          <cell r="A429">
            <v>39873</v>
          </cell>
          <cell r="B429" t="str">
            <v>#Calc</v>
          </cell>
          <cell r="C429" t="e">
            <v>#DIV/0!</v>
          </cell>
          <cell r="D429" t="e">
            <v>#DIV/0!</v>
          </cell>
          <cell r="E429" t="e">
            <v>#DIV/0!</v>
          </cell>
        </row>
        <row r="430">
          <cell r="A430">
            <v>39874</v>
          </cell>
          <cell r="B430" t="str">
            <v>#Calc</v>
          </cell>
          <cell r="C430" t="e">
            <v>#DIV/0!</v>
          </cell>
          <cell r="D430" t="e">
            <v>#DIV/0!</v>
          </cell>
          <cell r="E430" t="e">
            <v>#DIV/0!</v>
          </cell>
        </row>
        <row r="431">
          <cell r="A431">
            <v>39875</v>
          </cell>
          <cell r="B431" t="str">
            <v>#Calc</v>
          </cell>
          <cell r="C431" t="e">
            <v>#DIV/0!</v>
          </cell>
          <cell r="D431" t="e">
            <v>#DIV/0!</v>
          </cell>
          <cell r="E431" t="e">
            <v>#DIV/0!</v>
          </cell>
        </row>
        <row r="432">
          <cell r="A432">
            <v>39876</v>
          </cell>
          <cell r="B432" t="str">
            <v>#Calc</v>
          </cell>
          <cell r="C432" t="e">
            <v>#DIV/0!</v>
          </cell>
          <cell r="D432" t="e">
            <v>#DIV/0!</v>
          </cell>
          <cell r="E432" t="e">
            <v>#DIV/0!</v>
          </cell>
        </row>
        <row r="433">
          <cell r="A433">
            <v>39877</v>
          </cell>
          <cell r="B433" t="str">
            <v>#Calc</v>
          </cell>
          <cell r="C433" t="e">
            <v>#DIV/0!</v>
          </cell>
          <cell r="D433" t="e">
            <v>#DIV/0!</v>
          </cell>
          <cell r="E433" t="e">
            <v>#DIV/0!</v>
          </cell>
        </row>
        <row r="434">
          <cell r="A434">
            <v>39878</v>
          </cell>
          <cell r="B434" t="str">
            <v>#Calc</v>
          </cell>
          <cell r="C434" t="e">
            <v>#DIV/0!</v>
          </cell>
          <cell r="D434" t="e">
            <v>#DIV/0!</v>
          </cell>
          <cell r="E434" t="e">
            <v>#DIV/0!</v>
          </cell>
        </row>
        <row r="435">
          <cell r="A435">
            <v>39879</v>
          </cell>
          <cell r="B435" t="str">
            <v>#Calc</v>
          </cell>
          <cell r="C435" t="e">
            <v>#DIV/0!</v>
          </cell>
          <cell r="D435" t="e">
            <v>#DIV/0!</v>
          </cell>
          <cell r="E435" t="e">
            <v>#DIV/0!</v>
          </cell>
        </row>
        <row r="436">
          <cell r="A436">
            <v>39880</v>
          </cell>
          <cell r="B436" t="str">
            <v>#Calc</v>
          </cell>
          <cell r="C436" t="e">
            <v>#DIV/0!</v>
          </cell>
          <cell r="D436" t="e">
            <v>#DIV/0!</v>
          </cell>
          <cell r="E436" t="e">
            <v>#DIV/0!</v>
          </cell>
        </row>
        <row r="437">
          <cell r="A437">
            <v>39881</v>
          </cell>
          <cell r="B437" t="str">
            <v>#Calc</v>
          </cell>
          <cell r="C437" t="e">
            <v>#DIV/0!</v>
          </cell>
          <cell r="D437" t="e">
            <v>#DIV/0!</v>
          </cell>
          <cell r="E437" t="e">
            <v>#DIV/0!</v>
          </cell>
        </row>
        <row r="438">
          <cell r="A438">
            <v>39882</v>
          </cell>
          <cell r="B438" t="str">
            <v>#Calc</v>
          </cell>
          <cell r="C438" t="e">
            <v>#DIV/0!</v>
          </cell>
          <cell r="D438" t="e">
            <v>#DIV/0!</v>
          </cell>
          <cell r="E438" t="e">
            <v>#DIV/0!</v>
          </cell>
        </row>
        <row r="439">
          <cell r="A439">
            <v>39883</v>
          </cell>
          <cell r="B439" t="str">
            <v>#Calc</v>
          </cell>
          <cell r="C439" t="e">
            <v>#DIV/0!</v>
          </cell>
          <cell r="D439" t="e">
            <v>#DIV/0!</v>
          </cell>
          <cell r="E439" t="e">
            <v>#DIV/0!</v>
          </cell>
        </row>
        <row r="440">
          <cell r="A440">
            <v>39884</v>
          </cell>
          <cell r="B440" t="str">
            <v>#Calc</v>
          </cell>
          <cell r="C440" t="e">
            <v>#DIV/0!</v>
          </cell>
          <cell r="D440" t="e">
            <v>#DIV/0!</v>
          </cell>
          <cell r="E440" t="e">
            <v>#DIV/0!</v>
          </cell>
        </row>
        <row r="441">
          <cell r="A441">
            <v>39885</v>
          </cell>
          <cell r="B441" t="str">
            <v>#Calc</v>
          </cell>
          <cell r="C441" t="e">
            <v>#DIV/0!</v>
          </cell>
          <cell r="D441" t="e">
            <v>#DIV/0!</v>
          </cell>
          <cell r="E441" t="e">
            <v>#DIV/0!</v>
          </cell>
        </row>
        <row r="442">
          <cell r="A442">
            <v>39886</v>
          </cell>
          <cell r="B442" t="str">
            <v>#Calc</v>
          </cell>
          <cell r="C442" t="e">
            <v>#DIV/0!</v>
          </cell>
          <cell r="D442" t="e">
            <v>#DIV/0!</v>
          </cell>
          <cell r="E442" t="e">
            <v>#DIV/0!</v>
          </cell>
        </row>
        <row r="443">
          <cell r="A443">
            <v>39887</v>
          </cell>
          <cell r="B443" t="str">
            <v>#Calc</v>
          </cell>
          <cell r="C443" t="e">
            <v>#DIV/0!</v>
          </cell>
          <cell r="D443" t="e">
            <v>#DIV/0!</v>
          </cell>
          <cell r="E443" t="e">
            <v>#DIV/0!</v>
          </cell>
        </row>
        <row r="444">
          <cell r="A444">
            <v>39888</v>
          </cell>
          <cell r="B444" t="str">
            <v>#Calc</v>
          </cell>
          <cell r="C444" t="e">
            <v>#DIV/0!</v>
          </cell>
          <cell r="D444" t="e">
            <v>#DIV/0!</v>
          </cell>
          <cell r="E444" t="e">
            <v>#DIV/0!</v>
          </cell>
        </row>
        <row r="445">
          <cell r="A445">
            <v>39889</v>
          </cell>
          <cell r="B445" t="str">
            <v>#Calc</v>
          </cell>
          <cell r="C445" t="e">
            <v>#DIV/0!</v>
          </cell>
          <cell r="D445" t="e">
            <v>#DIV/0!</v>
          </cell>
          <cell r="E445" t="e">
            <v>#DIV/0!</v>
          </cell>
        </row>
        <row r="446">
          <cell r="A446">
            <v>39890</v>
          </cell>
          <cell r="B446" t="str">
            <v>#Calc</v>
          </cell>
          <cell r="C446" t="e">
            <v>#DIV/0!</v>
          </cell>
          <cell r="D446" t="e">
            <v>#DIV/0!</v>
          </cell>
          <cell r="E446" t="e">
            <v>#DIV/0!</v>
          </cell>
        </row>
        <row r="447">
          <cell r="A447">
            <v>39891</v>
          </cell>
          <cell r="B447" t="str">
            <v>#Calc</v>
          </cell>
          <cell r="C447" t="e">
            <v>#DIV/0!</v>
          </cell>
          <cell r="D447" t="e">
            <v>#DIV/0!</v>
          </cell>
          <cell r="E447" t="e">
            <v>#DIV/0!</v>
          </cell>
        </row>
        <row r="448">
          <cell r="A448">
            <v>39892</v>
          </cell>
          <cell r="B448" t="str">
            <v>#Calc</v>
          </cell>
          <cell r="C448" t="e">
            <v>#DIV/0!</v>
          </cell>
          <cell r="D448" t="e">
            <v>#DIV/0!</v>
          </cell>
          <cell r="E448" t="e">
            <v>#DIV/0!</v>
          </cell>
        </row>
        <row r="449">
          <cell r="A449">
            <v>39893</v>
          </cell>
          <cell r="B449" t="str">
            <v>#Calc</v>
          </cell>
          <cell r="C449" t="e">
            <v>#DIV/0!</v>
          </cell>
          <cell r="D449" t="e">
            <v>#DIV/0!</v>
          </cell>
          <cell r="E449" t="e">
            <v>#DIV/0!</v>
          </cell>
        </row>
        <row r="450">
          <cell r="A450">
            <v>39894</v>
          </cell>
          <cell r="B450" t="str">
            <v>#Calc</v>
          </cell>
          <cell r="C450" t="e">
            <v>#DIV/0!</v>
          </cell>
          <cell r="D450" t="e">
            <v>#DIV/0!</v>
          </cell>
          <cell r="E450" t="e">
            <v>#DIV/0!</v>
          </cell>
        </row>
        <row r="451">
          <cell r="A451">
            <v>39895</v>
          </cell>
          <cell r="B451" t="str">
            <v>#Calc</v>
          </cell>
          <cell r="C451" t="e">
            <v>#DIV/0!</v>
          </cell>
          <cell r="D451" t="e">
            <v>#DIV/0!</v>
          </cell>
          <cell r="E451" t="e">
            <v>#DIV/0!</v>
          </cell>
        </row>
        <row r="452">
          <cell r="A452">
            <v>39896</v>
          </cell>
          <cell r="B452" t="str">
            <v>#Calc</v>
          </cell>
          <cell r="C452" t="e">
            <v>#DIV/0!</v>
          </cell>
          <cell r="D452" t="e">
            <v>#DIV/0!</v>
          </cell>
          <cell r="E452" t="e">
            <v>#DIV/0!</v>
          </cell>
        </row>
        <row r="453">
          <cell r="A453">
            <v>39897</v>
          </cell>
          <cell r="B453" t="str">
            <v>#Calc</v>
          </cell>
          <cell r="C453" t="e">
            <v>#DIV/0!</v>
          </cell>
          <cell r="D453" t="e">
            <v>#DIV/0!</v>
          </cell>
          <cell r="E453" t="e">
            <v>#DIV/0!</v>
          </cell>
        </row>
        <row r="454">
          <cell r="A454">
            <v>39898</v>
          </cell>
          <cell r="B454" t="str">
            <v>#Calc</v>
          </cell>
          <cell r="C454" t="e">
            <v>#DIV/0!</v>
          </cell>
          <cell r="D454" t="e">
            <v>#DIV/0!</v>
          </cell>
          <cell r="E454" t="e">
            <v>#DIV/0!</v>
          </cell>
        </row>
        <row r="455">
          <cell r="A455">
            <v>39899</v>
          </cell>
          <cell r="B455" t="str">
            <v>#Calc</v>
          </cell>
          <cell r="C455" t="e">
            <v>#DIV/0!</v>
          </cell>
          <cell r="D455" t="e">
            <v>#DIV/0!</v>
          </cell>
          <cell r="E455" t="e">
            <v>#DIV/0!</v>
          </cell>
        </row>
        <row r="456">
          <cell r="A456">
            <v>39900</v>
          </cell>
          <cell r="B456" t="str">
            <v>#Calc</v>
          </cell>
          <cell r="C456" t="e">
            <v>#DIV/0!</v>
          </cell>
          <cell r="D456" t="e">
            <v>#DIV/0!</v>
          </cell>
          <cell r="E456" t="e">
            <v>#DIV/0!</v>
          </cell>
        </row>
        <row r="457">
          <cell r="A457">
            <v>39901</v>
          </cell>
          <cell r="B457" t="str">
            <v>#Calc</v>
          </cell>
          <cell r="C457" t="e">
            <v>#DIV/0!</v>
          </cell>
          <cell r="D457" t="e">
            <v>#DIV/0!</v>
          </cell>
          <cell r="E457" t="e">
            <v>#DIV/0!</v>
          </cell>
        </row>
        <row r="458">
          <cell r="A458">
            <v>39902</v>
          </cell>
          <cell r="B458" t="str">
            <v>#Calc</v>
          </cell>
          <cell r="C458" t="e">
            <v>#DIV/0!</v>
          </cell>
          <cell r="D458" t="e">
            <v>#DIV/0!</v>
          </cell>
          <cell r="E458" t="e">
            <v>#DIV/0!</v>
          </cell>
        </row>
        <row r="459">
          <cell r="A459">
            <v>39903</v>
          </cell>
          <cell r="B459" t="str">
            <v>#Calc</v>
          </cell>
          <cell r="C459" t="e">
            <v>#DIV/0!</v>
          </cell>
          <cell r="D459" t="e">
            <v>#DIV/0!</v>
          </cell>
          <cell r="E459" t="e">
            <v>#DIV/0!</v>
          </cell>
        </row>
        <row r="460">
          <cell r="A460">
            <v>39904</v>
          </cell>
          <cell r="B460" t="str">
            <v>#Calc</v>
          </cell>
          <cell r="C460" t="e">
            <v>#DIV/0!</v>
          </cell>
          <cell r="D460" t="e">
            <v>#DIV/0!</v>
          </cell>
          <cell r="E460" t="e">
            <v>#DIV/0!</v>
          </cell>
        </row>
        <row r="461">
          <cell r="A461">
            <v>39905</v>
          </cell>
          <cell r="B461" t="str">
            <v>#Calc</v>
          </cell>
          <cell r="C461" t="e">
            <v>#DIV/0!</v>
          </cell>
          <cell r="D461" t="e">
            <v>#DIV/0!</v>
          </cell>
          <cell r="E461" t="e">
            <v>#DIV/0!</v>
          </cell>
        </row>
        <row r="462">
          <cell r="A462">
            <v>39906</v>
          </cell>
          <cell r="B462" t="str">
            <v>#Calc</v>
          </cell>
          <cell r="C462" t="e">
            <v>#DIV/0!</v>
          </cell>
          <cell r="D462" t="e">
            <v>#DIV/0!</v>
          </cell>
          <cell r="E462" t="e">
            <v>#DIV/0!</v>
          </cell>
        </row>
        <row r="463">
          <cell r="A463">
            <v>39907</v>
          </cell>
          <cell r="B463" t="str">
            <v>#Calc</v>
          </cell>
          <cell r="C463" t="e">
            <v>#DIV/0!</v>
          </cell>
          <cell r="D463" t="e">
            <v>#DIV/0!</v>
          </cell>
          <cell r="E463" t="e">
            <v>#DIV/0!</v>
          </cell>
        </row>
        <row r="464">
          <cell r="A464">
            <v>39908</v>
          </cell>
          <cell r="B464" t="str">
            <v>#Calc</v>
          </cell>
          <cell r="C464" t="e">
            <v>#DIV/0!</v>
          </cell>
          <cell r="D464" t="e">
            <v>#DIV/0!</v>
          </cell>
          <cell r="E464" t="e">
            <v>#DIV/0!</v>
          </cell>
        </row>
        <row r="465">
          <cell r="A465">
            <v>39909</v>
          </cell>
          <cell r="B465" t="str">
            <v>#Calc</v>
          </cell>
          <cell r="C465" t="e">
            <v>#DIV/0!</v>
          </cell>
          <cell r="D465" t="e">
            <v>#DIV/0!</v>
          </cell>
          <cell r="E465" t="e">
            <v>#DIV/0!</v>
          </cell>
        </row>
        <row r="466">
          <cell r="A466">
            <v>39910</v>
          </cell>
          <cell r="B466" t="str">
            <v>#Calc</v>
          </cell>
          <cell r="C466" t="e">
            <v>#DIV/0!</v>
          </cell>
          <cell r="D466" t="e">
            <v>#DIV/0!</v>
          </cell>
          <cell r="E466" t="e">
            <v>#DIV/0!</v>
          </cell>
        </row>
        <row r="467">
          <cell r="A467">
            <v>39911</v>
          </cell>
          <cell r="B467" t="str">
            <v>#Calc</v>
          </cell>
          <cell r="C467" t="e">
            <v>#DIV/0!</v>
          </cell>
          <cell r="D467" t="e">
            <v>#DIV/0!</v>
          </cell>
          <cell r="E467" t="e">
            <v>#DIV/0!</v>
          </cell>
        </row>
        <row r="468">
          <cell r="A468">
            <v>39912</v>
          </cell>
          <cell r="B468" t="str">
            <v>#Calc</v>
          </cell>
          <cell r="C468" t="e">
            <v>#DIV/0!</v>
          </cell>
          <cell r="D468" t="e">
            <v>#DIV/0!</v>
          </cell>
          <cell r="E468" t="e">
            <v>#DIV/0!</v>
          </cell>
        </row>
        <row r="469">
          <cell r="A469">
            <v>39913</v>
          </cell>
          <cell r="B469" t="str">
            <v>#Calc</v>
          </cell>
          <cell r="C469" t="e">
            <v>#DIV/0!</v>
          </cell>
          <cell r="D469" t="e">
            <v>#DIV/0!</v>
          </cell>
          <cell r="E469" t="e">
            <v>#DIV/0!</v>
          </cell>
        </row>
        <row r="470">
          <cell r="A470">
            <v>39914</v>
          </cell>
          <cell r="B470" t="str">
            <v>#Calc</v>
          </cell>
          <cell r="C470" t="e">
            <v>#DIV/0!</v>
          </cell>
          <cell r="D470" t="e">
            <v>#DIV/0!</v>
          </cell>
          <cell r="E470" t="e">
            <v>#DIV/0!</v>
          </cell>
        </row>
        <row r="471">
          <cell r="A471">
            <v>39915</v>
          </cell>
          <cell r="B471" t="str">
            <v>#Calc</v>
          </cell>
          <cell r="C471" t="e">
            <v>#DIV/0!</v>
          </cell>
          <cell r="D471" t="e">
            <v>#DIV/0!</v>
          </cell>
          <cell r="E471" t="e">
            <v>#DIV/0!</v>
          </cell>
        </row>
        <row r="472">
          <cell r="A472">
            <v>39916</v>
          </cell>
          <cell r="B472" t="str">
            <v>#Calc</v>
          </cell>
          <cell r="C472" t="e">
            <v>#DIV/0!</v>
          </cell>
          <cell r="D472" t="e">
            <v>#DIV/0!</v>
          </cell>
          <cell r="E472" t="e">
            <v>#DIV/0!</v>
          </cell>
        </row>
        <row r="473">
          <cell r="A473">
            <v>39917</v>
          </cell>
          <cell r="B473" t="str">
            <v>#Calc</v>
          </cell>
          <cell r="C473" t="e">
            <v>#DIV/0!</v>
          </cell>
          <cell r="D473" t="e">
            <v>#DIV/0!</v>
          </cell>
          <cell r="E473" t="e">
            <v>#DIV/0!</v>
          </cell>
        </row>
        <row r="474">
          <cell r="A474">
            <v>39918</v>
          </cell>
          <cell r="B474" t="str">
            <v>#Calc</v>
          </cell>
          <cell r="C474" t="e">
            <v>#DIV/0!</v>
          </cell>
          <cell r="D474" t="e">
            <v>#DIV/0!</v>
          </cell>
          <cell r="E474" t="e">
            <v>#DIV/0!</v>
          </cell>
        </row>
        <row r="475">
          <cell r="A475">
            <v>39919</v>
          </cell>
          <cell r="B475" t="str">
            <v>#Calc</v>
          </cell>
          <cell r="C475" t="e">
            <v>#DIV/0!</v>
          </cell>
          <cell r="D475" t="e">
            <v>#DIV/0!</v>
          </cell>
          <cell r="E475" t="e">
            <v>#DIV/0!</v>
          </cell>
        </row>
        <row r="476">
          <cell r="A476">
            <v>39920</v>
          </cell>
          <cell r="B476" t="str">
            <v>#Calc</v>
          </cell>
          <cell r="C476" t="e">
            <v>#DIV/0!</v>
          </cell>
          <cell r="D476" t="e">
            <v>#DIV/0!</v>
          </cell>
          <cell r="E476" t="e">
            <v>#DIV/0!</v>
          </cell>
        </row>
        <row r="477">
          <cell r="A477">
            <v>39921</v>
          </cell>
          <cell r="B477" t="str">
            <v>#Calc</v>
          </cell>
          <cell r="C477" t="e">
            <v>#DIV/0!</v>
          </cell>
          <cell r="D477" t="e">
            <v>#DIV/0!</v>
          </cell>
          <cell r="E477" t="e">
            <v>#DIV/0!</v>
          </cell>
        </row>
        <row r="478">
          <cell r="A478">
            <v>39922</v>
          </cell>
          <cell r="B478" t="str">
            <v>#Calc</v>
          </cell>
          <cell r="C478" t="e">
            <v>#DIV/0!</v>
          </cell>
          <cell r="D478" t="e">
            <v>#DIV/0!</v>
          </cell>
          <cell r="E478" t="e">
            <v>#DIV/0!</v>
          </cell>
        </row>
        <row r="479">
          <cell r="A479">
            <v>39923</v>
          </cell>
          <cell r="B479" t="str">
            <v>#Calc</v>
          </cell>
          <cell r="C479" t="e">
            <v>#DIV/0!</v>
          </cell>
          <cell r="D479" t="e">
            <v>#DIV/0!</v>
          </cell>
          <cell r="E479" t="e">
            <v>#DIV/0!</v>
          </cell>
        </row>
        <row r="480">
          <cell r="A480">
            <v>39924</v>
          </cell>
          <cell r="B480" t="str">
            <v>#Calc</v>
          </cell>
          <cell r="C480" t="e">
            <v>#DIV/0!</v>
          </cell>
          <cell r="D480" t="e">
            <v>#DIV/0!</v>
          </cell>
          <cell r="E480" t="e">
            <v>#DIV/0!</v>
          </cell>
        </row>
        <row r="481">
          <cell r="A481">
            <v>39925</v>
          </cell>
          <cell r="B481" t="str">
            <v>#Calc</v>
          </cell>
          <cell r="C481" t="e">
            <v>#DIV/0!</v>
          </cell>
          <cell r="D481" t="e">
            <v>#DIV/0!</v>
          </cell>
          <cell r="E481" t="e">
            <v>#DIV/0!</v>
          </cell>
        </row>
        <row r="482">
          <cell r="A482">
            <v>39926</v>
          </cell>
          <cell r="B482" t="str">
            <v>#Calc</v>
          </cell>
          <cell r="C482" t="e">
            <v>#DIV/0!</v>
          </cell>
          <cell r="D482" t="e">
            <v>#DIV/0!</v>
          </cell>
          <cell r="E482" t="e">
            <v>#DIV/0!</v>
          </cell>
        </row>
        <row r="483">
          <cell r="A483">
            <v>39927</v>
          </cell>
          <cell r="B483" t="str">
            <v>#Calc</v>
          </cell>
          <cell r="C483" t="e">
            <v>#DIV/0!</v>
          </cell>
          <cell r="D483" t="e">
            <v>#DIV/0!</v>
          </cell>
          <cell r="E483" t="e">
            <v>#DIV/0!</v>
          </cell>
        </row>
        <row r="484">
          <cell r="A484">
            <v>39928</v>
          </cell>
          <cell r="B484" t="str">
            <v>#Calc</v>
          </cell>
          <cell r="C484" t="e">
            <v>#DIV/0!</v>
          </cell>
          <cell r="D484" t="e">
            <v>#DIV/0!</v>
          </cell>
          <cell r="E484" t="e">
            <v>#DIV/0!</v>
          </cell>
        </row>
        <row r="485">
          <cell r="A485">
            <v>39929</v>
          </cell>
          <cell r="B485" t="str">
            <v>#Calc</v>
          </cell>
          <cell r="C485" t="e">
            <v>#DIV/0!</v>
          </cell>
          <cell r="D485" t="e">
            <v>#DIV/0!</v>
          </cell>
          <cell r="E485" t="e">
            <v>#DIV/0!</v>
          </cell>
        </row>
        <row r="486">
          <cell r="A486">
            <v>39930</v>
          </cell>
          <cell r="B486" t="str">
            <v>#Calc</v>
          </cell>
          <cell r="C486" t="e">
            <v>#DIV/0!</v>
          </cell>
          <cell r="D486" t="e">
            <v>#DIV/0!</v>
          </cell>
          <cell r="E486" t="e">
            <v>#DIV/0!</v>
          </cell>
        </row>
        <row r="487">
          <cell r="A487">
            <v>39931</v>
          </cell>
          <cell r="B487" t="str">
            <v>#Calc</v>
          </cell>
          <cell r="C487" t="e">
            <v>#DIV/0!</v>
          </cell>
          <cell r="D487" t="e">
            <v>#DIV/0!</v>
          </cell>
          <cell r="E487" t="e">
            <v>#DIV/0!</v>
          </cell>
        </row>
        <row r="488">
          <cell r="A488">
            <v>39932</v>
          </cell>
          <cell r="B488" t="str">
            <v>#Calc</v>
          </cell>
          <cell r="C488" t="e">
            <v>#DIV/0!</v>
          </cell>
          <cell r="D488" t="e">
            <v>#DIV/0!</v>
          </cell>
          <cell r="E488" t="e">
            <v>#DIV/0!</v>
          </cell>
        </row>
        <row r="489">
          <cell r="A489">
            <v>39933</v>
          </cell>
          <cell r="B489" t="str">
            <v>#Calc</v>
          </cell>
          <cell r="C489" t="e">
            <v>#DIV/0!</v>
          </cell>
          <cell r="D489" t="e">
            <v>#DIV/0!</v>
          </cell>
          <cell r="E489" t="e">
            <v>#DIV/0!</v>
          </cell>
        </row>
        <row r="490">
          <cell r="A490">
            <v>39934</v>
          </cell>
          <cell r="B490" t="str">
            <v>#Calc</v>
          </cell>
          <cell r="C490" t="e">
            <v>#DIV/0!</v>
          </cell>
          <cell r="D490" t="e">
            <v>#DIV/0!</v>
          </cell>
          <cell r="E490" t="e">
            <v>#DIV/0!</v>
          </cell>
        </row>
        <row r="491">
          <cell r="A491">
            <v>39935</v>
          </cell>
          <cell r="B491" t="str">
            <v>#Calc</v>
          </cell>
          <cell r="C491" t="e">
            <v>#DIV/0!</v>
          </cell>
          <cell r="D491" t="e">
            <v>#DIV/0!</v>
          </cell>
          <cell r="E491" t="e">
            <v>#DIV/0!</v>
          </cell>
        </row>
        <row r="492">
          <cell r="A492">
            <v>39936</v>
          </cell>
          <cell r="B492" t="str">
            <v>#Calc</v>
          </cell>
          <cell r="C492" t="e">
            <v>#DIV/0!</v>
          </cell>
          <cell r="D492" t="e">
            <v>#DIV/0!</v>
          </cell>
          <cell r="E492" t="e">
            <v>#DIV/0!</v>
          </cell>
        </row>
        <row r="493">
          <cell r="A493">
            <v>39937</v>
          </cell>
          <cell r="B493" t="str">
            <v>#Calc</v>
          </cell>
          <cell r="C493" t="e">
            <v>#DIV/0!</v>
          </cell>
          <cell r="D493" t="e">
            <v>#DIV/0!</v>
          </cell>
          <cell r="E493" t="e">
            <v>#DIV/0!</v>
          </cell>
        </row>
        <row r="494">
          <cell r="A494">
            <v>39938</v>
          </cell>
          <cell r="B494" t="str">
            <v>#Calc</v>
          </cell>
          <cell r="C494" t="e">
            <v>#DIV/0!</v>
          </cell>
          <cell r="D494" t="e">
            <v>#DIV/0!</v>
          </cell>
          <cell r="E494" t="e">
            <v>#DIV/0!</v>
          </cell>
        </row>
        <row r="495">
          <cell r="A495">
            <v>39939</v>
          </cell>
          <cell r="B495" t="str">
            <v>#Calc</v>
          </cell>
          <cell r="C495" t="e">
            <v>#DIV/0!</v>
          </cell>
          <cell r="D495" t="e">
            <v>#DIV/0!</v>
          </cell>
          <cell r="E495" t="e">
            <v>#DIV/0!</v>
          </cell>
        </row>
        <row r="496">
          <cell r="A496">
            <v>39940</v>
          </cell>
          <cell r="B496" t="str">
            <v>#Calc</v>
          </cell>
          <cell r="C496" t="e">
            <v>#DIV/0!</v>
          </cell>
          <cell r="D496" t="e">
            <v>#DIV/0!</v>
          </cell>
          <cell r="E496" t="e">
            <v>#DIV/0!</v>
          </cell>
        </row>
        <row r="497">
          <cell r="A497">
            <v>39941</v>
          </cell>
          <cell r="B497" t="str">
            <v>#Calc</v>
          </cell>
          <cell r="C497" t="e">
            <v>#DIV/0!</v>
          </cell>
          <cell r="D497" t="e">
            <v>#DIV/0!</v>
          </cell>
          <cell r="E497" t="e">
            <v>#DIV/0!</v>
          </cell>
        </row>
        <row r="498">
          <cell r="A498">
            <v>39942</v>
          </cell>
          <cell r="B498" t="str">
            <v>#Calc</v>
          </cell>
          <cell r="C498" t="e">
            <v>#DIV/0!</v>
          </cell>
          <cell r="D498" t="e">
            <v>#DIV/0!</v>
          </cell>
          <cell r="E498" t="e">
            <v>#DIV/0!</v>
          </cell>
        </row>
        <row r="499">
          <cell r="A499">
            <v>39943</v>
          </cell>
          <cell r="B499" t="str">
            <v>#Calc</v>
          </cell>
          <cell r="C499" t="e">
            <v>#DIV/0!</v>
          </cell>
          <cell r="D499" t="e">
            <v>#DIV/0!</v>
          </cell>
          <cell r="E499" t="e">
            <v>#DIV/0!</v>
          </cell>
        </row>
        <row r="500">
          <cell r="A500">
            <v>39944</v>
          </cell>
          <cell r="B500" t="str">
            <v>#Calc</v>
          </cell>
          <cell r="C500" t="e">
            <v>#DIV/0!</v>
          </cell>
          <cell r="D500" t="e">
            <v>#DIV/0!</v>
          </cell>
          <cell r="E500" t="e">
            <v>#DIV/0!</v>
          </cell>
        </row>
        <row r="501">
          <cell r="A501">
            <v>39945</v>
          </cell>
          <cell r="B501" t="str">
            <v>#Calc</v>
          </cell>
          <cell r="C501" t="e">
            <v>#DIV/0!</v>
          </cell>
          <cell r="D501" t="e">
            <v>#DIV/0!</v>
          </cell>
          <cell r="E501" t="e">
            <v>#DIV/0!</v>
          </cell>
        </row>
        <row r="502">
          <cell r="A502">
            <v>39946</v>
          </cell>
          <cell r="B502" t="str">
            <v>#Calc</v>
          </cell>
          <cell r="C502" t="e">
            <v>#DIV/0!</v>
          </cell>
          <cell r="D502" t="e">
            <v>#DIV/0!</v>
          </cell>
          <cell r="E502" t="e">
            <v>#DIV/0!</v>
          </cell>
        </row>
        <row r="503">
          <cell r="A503">
            <v>39947</v>
          </cell>
          <cell r="B503" t="str">
            <v>#Calc</v>
          </cell>
          <cell r="C503" t="e">
            <v>#DIV/0!</v>
          </cell>
          <cell r="D503" t="e">
            <v>#DIV/0!</v>
          </cell>
          <cell r="E503" t="e">
            <v>#DIV/0!</v>
          </cell>
        </row>
        <row r="504">
          <cell r="A504">
            <v>39948</v>
          </cell>
          <cell r="B504" t="str">
            <v>#Calc</v>
          </cell>
          <cell r="C504" t="e">
            <v>#DIV/0!</v>
          </cell>
          <cell r="D504" t="e">
            <v>#DIV/0!</v>
          </cell>
          <cell r="E504" t="e">
            <v>#DIV/0!</v>
          </cell>
        </row>
        <row r="505">
          <cell r="A505">
            <v>39949</v>
          </cell>
          <cell r="B505" t="str">
            <v>#Calc</v>
          </cell>
          <cell r="C505" t="e">
            <v>#DIV/0!</v>
          </cell>
          <cell r="D505" t="e">
            <v>#DIV/0!</v>
          </cell>
          <cell r="E505" t="e">
            <v>#DIV/0!</v>
          </cell>
        </row>
        <row r="506">
          <cell r="A506">
            <v>39950</v>
          </cell>
          <cell r="B506" t="str">
            <v>#Calc</v>
          </cell>
          <cell r="C506" t="e">
            <v>#DIV/0!</v>
          </cell>
          <cell r="D506" t="e">
            <v>#DIV/0!</v>
          </cell>
          <cell r="E506" t="e">
            <v>#DIV/0!</v>
          </cell>
        </row>
        <row r="507">
          <cell r="A507">
            <v>39951</v>
          </cell>
          <cell r="B507" t="str">
            <v>#Calc</v>
          </cell>
          <cell r="C507" t="e">
            <v>#DIV/0!</v>
          </cell>
          <cell r="D507" t="e">
            <v>#DIV/0!</v>
          </cell>
          <cell r="E507" t="e">
            <v>#DIV/0!</v>
          </cell>
        </row>
        <row r="508">
          <cell r="A508">
            <v>39952</v>
          </cell>
          <cell r="B508" t="str">
            <v>#Calc</v>
          </cell>
          <cell r="C508" t="e">
            <v>#DIV/0!</v>
          </cell>
          <cell r="D508" t="e">
            <v>#DIV/0!</v>
          </cell>
          <cell r="E508" t="e">
            <v>#DIV/0!</v>
          </cell>
        </row>
        <row r="509">
          <cell r="A509">
            <v>39953</v>
          </cell>
          <cell r="B509" t="str">
            <v>#Calc</v>
          </cell>
          <cell r="C509" t="e">
            <v>#DIV/0!</v>
          </cell>
          <cell r="D509" t="e">
            <v>#DIV/0!</v>
          </cell>
          <cell r="E509" t="e">
            <v>#DIV/0!</v>
          </cell>
        </row>
        <row r="510">
          <cell r="A510">
            <v>39954</v>
          </cell>
          <cell r="B510" t="str">
            <v>#Calc</v>
          </cell>
          <cell r="C510" t="e">
            <v>#DIV/0!</v>
          </cell>
          <cell r="D510" t="e">
            <v>#DIV/0!</v>
          </cell>
          <cell r="E510" t="e">
            <v>#DIV/0!</v>
          </cell>
        </row>
        <row r="511">
          <cell r="A511">
            <v>39955</v>
          </cell>
          <cell r="B511" t="str">
            <v>#Calc</v>
          </cell>
          <cell r="C511" t="e">
            <v>#DIV/0!</v>
          </cell>
          <cell r="D511" t="e">
            <v>#DIV/0!</v>
          </cell>
          <cell r="E511" t="e">
            <v>#DIV/0!</v>
          </cell>
        </row>
        <row r="512">
          <cell r="A512">
            <v>39956</v>
          </cell>
          <cell r="B512" t="str">
            <v>#Calc</v>
          </cell>
          <cell r="C512" t="e">
            <v>#DIV/0!</v>
          </cell>
          <cell r="D512" t="e">
            <v>#DIV/0!</v>
          </cell>
          <cell r="E512" t="e">
            <v>#DIV/0!</v>
          </cell>
        </row>
        <row r="513">
          <cell r="A513">
            <v>39957</v>
          </cell>
          <cell r="B513" t="str">
            <v>#Calc</v>
          </cell>
          <cell r="C513" t="e">
            <v>#DIV/0!</v>
          </cell>
          <cell r="D513" t="e">
            <v>#DIV/0!</v>
          </cell>
          <cell r="E513" t="e">
            <v>#DIV/0!</v>
          </cell>
        </row>
        <row r="514">
          <cell r="A514">
            <v>39958</v>
          </cell>
          <cell r="B514" t="str">
            <v>#Calc</v>
          </cell>
          <cell r="C514" t="e">
            <v>#DIV/0!</v>
          </cell>
          <cell r="D514" t="e">
            <v>#DIV/0!</v>
          </cell>
          <cell r="E514" t="e">
            <v>#DIV/0!</v>
          </cell>
        </row>
        <row r="515">
          <cell r="A515">
            <v>39959</v>
          </cell>
          <cell r="B515" t="str">
            <v>#Calc</v>
          </cell>
          <cell r="C515" t="e">
            <v>#DIV/0!</v>
          </cell>
          <cell r="D515" t="e">
            <v>#DIV/0!</v>
          </cell>
          <cell r="E515" t="e">
            <v>#DIV/0!</v>
          </cell>
        </row>
        <row r="516">
          <cell r="A516">
            <v>39960</v>
          </cell>
          <cell r="B516" t="str">
            <v>#Calc</v>
          </cell>
          <cell r="C516" t="e">
            <v>#DIV/0!</v>
          </cell>
          <cell r="D516" t="e">
            <v>#DIV/0!</v>
          </cell>
          <cell r="E516" t="e">
            <v>#DIV/0!</v>
          </cell>
        </row>
        <row r="517">
          <cell r="A517">
            <v>39961</v>
          </cell>
          <cell r="B517" t="str">
            <v>#Calc</v>
          </cell>
          <cell r="C517" t="e">
            <v>#DIV/0!</v>
          </cell>
          <cell r="D517" t="e">
            <v>#DIV/0!</v>
          </cell>
          <cell r="E517" t="e">
            <v>#DIV/0!</v>
          </cell>
        </row>
        <row r="518">
          <cell r="A518">
            <v>39962</v>
          </cell>
          <cell r="B518" t="str">
            <v>#Calc</v>
          </cell>
          <cell r="C518" t="e">
            <v>#DIV/0!</v>
          </cell>
          <cell r="D518" t="e">
            <v>#DIV/0!</v>
          </cell>
          <cell r="E518" t="e">
            <v>#DIV/0!</v>
          </cell>
        </row>
        <row r="519">
          <cell r="A519">
            <v>39963</v>
          </cell>
          <cell r="B519" t="str">
            <v>#Calc</v>
          </cell>
          <cell r="C519" t="e">
            <v>#DIV/0!</v>
          </cell>
          <cell r="D519" t="e">
            <v>#DIV/0!</v>
          </cell>
          <cell r="E519" t="e">
            <v>#DIV/0!</v>
          </cell>
        </row>
        <row r="520">
          <cell r="A520">
            <v>39964</v>
          </cell>
          <cell r="B520" t="str">
            <v>#Calc</v>
          </cell>
          <cell r="C520" t="e">
            <v>#DIV/0!</v>
          </cell>
          <cell r="D520" t="e">
            <v>#DIV/0!</v>
          </cell>
          <cell r="E520" t="e">
            <v>#DIV/0!</v>
          </cell>
        </row>
        <row r="521">
          <cell r="A521">
            <v>39965</v>
          </cell>
          <cell r="B521" t="str">
            <v>#Calc</v>
          </cell>
          <cell r="C521" t="e">
            <v>#DIV/0!</v>
          </cell>
          <cell r="D521" t="e">
            <v>#DIV/0!</v>
          </cell>
          <cell r="E521" t="e">
            <v>#DIV/0!</v>
          </cell>
        </row>
        <row r="522">
          <cell r="A522">
            <v>39966</v>
          </cell>
          <cell r="B522" t="str">
            <v>#Calc</v>
          </cell>
          <cell r="C522" t="e">
            <v>#DIV/0!</v>
          </cell>
          <cell r="D522" t="e">
            <v>#DIV/0!</v>
          </cell>
          <cell r="E522" t="e">
            <v>#DIV/0!</v>
          </cell>
        </row>
        <row r="523">
          <cell r="A523">
            <v>39967</v>
          </cell>
          <cell r="B523" t="str">
            <v>#Calc</v>
          </cell>
          <cell r="C523" t="e">
            <v>#DIV/0!</v>
          </cell>
          <cell r="D523" t="e">
            <v>#DIV/0!</v>
          </cell>
          <cell r="E523" t="e">
            <v>#DIV/0!</v>
          </cell>
        </row>
        <row r="524">
          <cell r="A524">
            <v>39968</v>
          </cell>
          <cell r="B524" t="str">
            <v>#Calc</v>
          </cell>
          <cell r="C524" t="e">
            <v>#DIV/0!</v>
          </cell>
          <cell r="D524" t="e">
            <v>#DIV/0!</v>
          </cell>
          <cell r="E524" t="e">
            <v>#DIV/0!</v>
          </cell>
        </row>
        <row r="525">
          <cell r="A525">
            <v>39969</v>
          </cell>
          <cell r="B525" t="str">
            <v>#Calc</v>
          </cell>
          <cell r="C525" t="e">
            <v>#DIV/0!</v>
          </cell>
          <cell r="D525" t="e">
            <v>#DIV/0!</v>
          </cell>
          <cell r="E525" t="e">
            <v>#DIV/0!</v>
          </cell>
        </row>
        <row r="526">
          <cell r="A526">
            <v>39970</v>
          </cell>
          <cell r="B526" t="str">
            <v>#Calc</v>
          </cell>
          <cell r="C526" t="e">
            <v>#DIV/0!</v>
          </cell>
          <cell r="D526" t="e">
            <v>#DIV/0!</v>
          </cell>
          <cell r="E526" t="e">
            <v>#DIV/0!</v>
          </cell>
        </row>
        <row r="527">
          <cell r="A527">
            <v>39971</v>
          </cell>
          <cell r="B527" t="str">
            <v>#Calc</v>
          </cell>
          <cell r="C527" t="e">
            <v>#DIV/0!</v>
          </cell>
          <cell r="D527" t="e">
            <v>#DIV/0!</v>
          </cell>
          <cell r="E527" t="e">
            <v>#DIV/0!</v>
          </cell>
        </row>
        <row r="528">
          <cell r="A528">
            <v>39972</v>
          </cell>
          <cell r="B528" t="str">
            <v>#Calc</v>
          </cell>
          <cell r="C528" t="e">
            <v>#DIV/0!</v>
          </cell>
          <cell r="D528" t="e">
            <v>#DIV/0!</v>
          </cell>
          <cell r="E528" t="e">
            <v>#DIV/0!</v>
          </cell>
        </row>
        <row r="529">
          <cell r="A529">
            <v>39973</v>
          </cell>
          <cell r="B529" t="str">
            <v>#Calc</v>
          </cell>
          <cell r="C529" t="e">
            <v>#DIV/0!</v>
          </cell>
          <cell r="D529" t="e">
            <v>#DIV/0!</v>
          </cell>
          <cell r="E529" t="e">
            <v>#DIV/0!</v>
          </cell>
        </row>
        <row r="530">
          <cell r="A530">
            <v>39974</v>
          </cell>
          <cell r="B530" t="str">
            <v>#Calc</v>
          </cell>
          <cell r="C530" t="e">
            <v>#DIV/0!</v>
          </cell>
          <cell r="D530" t="e">
            <v>#DIV/0!</v>
          </cell>
          <cell r="E530" t="e">
            <v>#DIV/0!</v>
          </cell>
        </row>
        <row r="531">
          <cell r="A531">
            <v>39975</v>
          </cell>
          <cell r="B531" t="str">
            <v>#Calc</v>
          </cell>
          <cell r="C531" t="e">
            <v>#DIV/0!</v>
          </cell>
          <cell r="D531" t="e">
            <v>#DIV/0!</v>
          </cell>
          <cell r="E531" t="e">
            <v>#DIV/0!</v>
          </cell>
        </row>
        <row r="532">
          <cell r="A532">
            <v>39976</v>
          </cell>
          <cell r="B532" t="str">
            <v>#Calc</v>
          </cell>
          <cell r="C532" t="e">
            <v>#DIV/0!</v>
          </cell>
          <cell r="D532" t="e">
            <v>#DIV/0!</v>
          </cell>
          <cell r="E532" t="e">
            <v>#DIV/0!</v>
          </cell>
        </row>
        <row r="533">
          <cell r="A533">
            <v>39977</v>
          </cell>
          <cell r="B533" t="str">
            <v>#Calc</v>
          </cell>
          <cell r="C533" t="e">
            <v>#DIV/0!</v>
          </cell>
          <cell r="D533" t="e">
            <v>#DIV/0!</v>
          </cell>
          <cell r="E533" t="e">
            <v>#DIV/0!</v>
          </cell>
        </row>
        <row r="534">
          <cell r="A534">
            <v>39978</v>
          </cell>
          <cell r="B534" t="str">
            <v>#Calc</v>
          </cell>
          <cell r="C534" t="e">
            <v>#DIV/0!</v>
          </cell>
          <cell r="D534" t="e">
            <v>#DIV/0!</v>
          </cell>
          <cell r="E534" t="e">
            <v>#DIV/0!</v>
          </cell>
        </row>
        <row r="535">
          <cell r="A535">
            <v>39979</v>
          </cell>
          <cell r="B535" t="str">
            <v>#Calc</v>
          </cell>
          <cell r="C535" t="e">
            <v>#DIV/0!</v>
          </cell>
          <cell r="D535" t="e">
            <v>#DIV/0!</v>
          </cell>
          <cell r="E535" t="e">
            <v>#DIV/0!</v>
          </cell>
        </row>
        <row r="536">
          <cell r="A536">
            <v>39980</v>
          </cell>
          <cell r="B536" t="str">
            <v>#Calc</v>
          </cell>
          <cell r="C536" t="e">
            <v>#DIV/0!</v>
          </cell>
          <cell r="D536" t="e">
            <v>#DIV/0!</v>
          </cell>
          <cell r="E536" t="e">
            <v>#DIV/0!</v>
          </cell>
        </row>
        <row r="537">
          <cell r="A537">
            <v>39981</v>
          </cell>
          <cell r="B537" t="str">
            <v>#Calc</v>
          </cell>
          <cell r="C537" t="e">
            <v>#DIV/0!</v>
          </cell>
          <cell r="D537" t="e">
            <v>#DIV/0!</v>
          </cell>
          <cell r="E537" t="e">
            <v>#DIV/0!</v>
          </cell>
        </row>
        <row r="538">
          <cell r="A538">
            <v>39982</v>
          </cell>
          <cell r="B538" t="str">
            <v>#Calc</v>
          </cell>
          <cell r="C538" t="e">
            <v>#DIV/0!</v>
          </cell>
          <cell r="D538" t="e">
            <v>#DIV/0!</v>
          </cell>
          <cell r="E538" t="e">
            <v>#DIV/0!</v>
          </cell>
        </row>
        <row r="539">
          <cell r="A539">
            <v>39983</v>
          </cell>
          <cell r="B539" t="str">
            <v>#Calc</v>
          </cell>
          <cell r="C539" t="e">
            <v>#DIV/0!</v>
          </cell>
          <cell r="D539" t="e">
            <v>#DIV/0!</v>
          </cell>
          <cell r="E539" t="e">
            <v>#DIV/0!</v>
          </cell>
        </row>
        <row r="540">
          <cell r="A540">
            <v>39984</v>
          </cell>
          <cell r="B540" t="str">
            <v>#Calc</v>
          </cell>
          <cell r="C540" t="e">
            <v>#DIV/0!</v>
          </cell>
          <cell r="D540" t="e">
            <v>#DIV/0!</v>
          </cell>
          <cell r="E540" t="e">
            <v>#DIV/0!</v>
          </cell>
        </row>
        <row r="541">
          <cell r="A541">
            <v>39985</v>
          </cell>
          <cell r="B541" t="str">
            <v>#Calc</v>
          </cell>
          <cell r="C541" t="e">
            <v>#DIV/0!</v>
          </cell>
          <cell r="D541" t="e">
            <v>#DIV/0!</v>
          </cell>
          <cell r="E541" t="e">
            <v>#DIV/0!</v>
          </cell>
        </row>
        <row r="542">
          <cell r="A542">
            <v>39986</v>
          </cell>
          <cell r="B542" t="str">
            <v>#Calc</v>
          </cell>
          <cell r="C542" t="e">
            <v>#DIV/0!</v>
          </cell>
          <cell r="D542" t="e">
            <v>#DIV/0!</v>
          </cell>
          <cell r="E542" t="e">
            <v>#DIV/0!</v>
          </cell>
        </row>
        <row r="543">
          <cell r="A543">
            <v>39987</v>
          </cell>
          <cell r="B543" t="str">
            <v>#Calc</v>
          </cell>
          <cell r="C543" t="e">
            <v>#DIV/0!</v>
          </cell>
          <cell r="D543" t="e">
            <v>#DIV/0!</v>
          </cell>
          <cell r="E543" t="e">
            <v>#DIV/0!</v>
          </cell>
        </row>
        <row r="544">
          <cell r="A544">
            <v>39988</v>
          </cell>
          <cell r="B544" t="str">
            <v>#Calc</v>
          </cell>
          <cell r="C544" t="e">
            <v>#DIV/0!</v>
          </cell>
          <cell r="D544" t="e">
            <v>#DIV/0!</v>
          </cell>
          <cell r="E544" t="e">
            <v>#DIV/0!</v>
          </cell>
        </row>
        <row r="545">
          <cell r="A545">
            <v>39989</v>
          </cell>
          <cell r="B545" t="str">
            <v>#Calc</v>
          </cell>
          <cell r="C545" t="e">
            <v>#DIV/0!</v>
          </cell>
          <cell r="D545" t="e">
            <v>#DIV/0!</v>
          </cell>
          <cell r="E545" t="e">
            <v>#DIV/0!</v>
          </cell>
        </row>
        <row r="546">
          <cell r="A546">
            <v>39990</v>
          </cell>
          <cell r="B546" t="str">
            <v>#Calc</v>
          </cell>
          <cell r="C546" t="e">
            <v>#DIV/0!</v>
          </cell>
          <cell r="D546" t="e">
            <v>#DIV/0!</v>
          </cell>
          <cell r="E546" t="e">
            <v>#DIV/0!</v>
          </cell>
        </row>
        <row r="547">
          <cell r="A547">
            <v>39991</v>
          </cell>
          <cell r="B547" t="str">
            <v>#Calc</v>
          </cell>
          <cell r="C547" t="e">
            <v>#DIV/0!</v>
          </cell>
          <cell r="D547" t="e">
            <v>#DIV/0!</v>
          </cell>
          <cell r="E547" t="e">
            <v>#DIV/0!</v>
          </cell>
        </row>
        <row r="548">
          <cell r="A548">
            <v>39992</v>
          </cell>
          <cell r="B548" t="str">
            <v>#Calc</v>
          </cell>
          <cell r="C548" t="e">
            <v>#DIV/0!</v>
          </cell>
          <cell r="D548" t="e">
            <v>#DIV/0!</v>
          </cell>
          <cell r="E548" t="e">
            <v>#DIV/0!</v>
          </cell>
        </row>
        <row r="549">
          <cell r="A549">
            <v>39993</v>
          </cell>
          <cell r="B549" t="str">
            <v>#Calc</v>
          </cell>
          <cell r="C549" t="e">
            <v>#DIV/0!</v>
          </cell>
          <cell r="D549" t="e">
            <v>#DIV/0!</v>
          </cell>
          <cell r="E549" t="e">
            <v>#DIV/0!</v>
          </cell>
        </row>
        <row r="550">
          <cell r="A550">
            <v>39994</v>
          </cell>
          <cell r="B550" t="str">
            <v>#Calc</v>
          </cell>
          <cell r="C550" t="e">
            <v>#DIV/0!</v>
          </cell>
          <cell r="D550" t="e">
            <v>#DIV/0!</v>
          </cell>
          <cell r="E550" t="e">
            <v>#DIV/0!</v>
          </cell>
        </row>
        <row r="551">
          <cell r="A551">
            <v>39995</v>
          </cell>
          <cell r="B551" t="str">
            <v>#Calc</v>
          </cell>
          <cell r="C551" t="e">
            <v>#DIV/0!</v>
          </cell>
          <cell r="D551" t="e">
            <v>#DIV/0!</v>
          </cell>
          <cell r="E551" t="e">
            <v>#DIV/0!</v>
          </cell>
        </row>
        <row r="552">
          <cell r="A552">
            <v>39996</v>
          </cell>
          <cell r="B552" t="str">
            <v>#Calc</v>
          </cell>
          <cell r="C552" t="e">
            <v>#DIV/0!</v>
          </cell>
          <cell r="D552" t="e">
            <v>#DIV/0!</v>
          </cell>
          <cell r="E552" t="e">
            <v>#DIV/0!</v>
          </cell>
        </row>
        <row r="553">
          <cell r="A553">
            <v>39997</v>
          </cell>
          <cell r="B553" t="str">
            <v>#Calc</v>
          </cell>
          <cell r="C553" t="e">
            <v>#DIV/0!</v>
          </cell>
          <cell r="D553" t="e">
            <v>#DIV/0!</v>
          </cell>
          <cell r="E553" t="e">
            <v>#DIV/0!</v>
          </cell>
        </row>
        <row r="554">
          <cell r="A554">
            <v>39998</v>
          </cell>
          <cell r="B554" t="str">
            <v>#Calc</v>
          </cell>
          <cell r="C554" t="e">
            <v>#DIV/0!</v>
          </cell>
          <cell r="D554" t="e">
            <v>#DIV/0!</v>
          </cell>
          <cell r="E554" t="e">
            <v>#DIV/0!</v>
          </cell>
        </row>
        <row r="555">
          <cell r="A555">
            <v>39999</v>
          </cell>
          <cell r="B555" t="str">
            <v>#Calc</v>
          </cell>
          <cell r="C555" t="e">
            <v>#DIV/0!</v>
          </cell>
          <cell r="D555" t="e">
            <v>#DIV/0!</v>
          </cell>
          <cell r="E555" t="e">
            <v>#DIV/0!</v>
          </cell>
        </row>
        <row r="556">
          <cell r="A556">
            <v>40000</v>
          </cell>
          <cell r="B556" t="str">
            <v>#Calc</v>
          </cell>
          <cell r="C556" t="e">
            <v>#DIV/0!</v>
          </cell>
          <cell r="D556" t="e">
            <v>#DIV/0!</v>
          </cell>
          <cell r="E556" t="e">
            <v>#DIV/0!</v>
          </cell>
        </row>
        <row r="557">
          <cell r="A557">
            <v>40001</v>
          </cell>
          <cell r="B557" t="str">
            <v>#Calc</v>
          </cell>
          <cell r="C557" t="e">
            <v>#DIV/0!</v>
          </cell>
          <cell r="D557" t="e">
            <v>#DIV/0!</v>
          </cell>
          <cell r="E557" t="e">
            <v>#DIV/0!</v>
          </cell>
        </row>
        <row r="558">
          <cell r="A558">
            <v>40002</v>
          </cell>
          <cell r="B558" t="str">
            <v>#Calc</v>
          </cell>
          <cell r="C558" t="e">
            <v>#DIV/0!</v>
          </cell>
          <cell r="D558" t="e">
            <v>#DIV/0!</v>
          </cell>
          <cell r="E558" t="e">
            <v>#DIV/0!</v>
          </cell>
        </row>
        <row r="559">
          <cell r="A559">
            <v>40003</v>
          </cell>
          <cell r="B559" t="str">
            <v>#Calc</v>
          </cell>
          <cell r="C559" t="e">
            <v>#DIV/0!</v>
          </cell>
          <cell r="D559" t="e">
            <v>#DIV/0!</v>
          </cell>
          <cell r="E559" t="e">
            <v>#DIV/0!</v>
          </cell>
        </row>
        <row r="560">
          <cell r="A560">
            <v>40004</v>
          </cell>
          <cell r="B560" t="str">
            <v>#Calc</v>
          </cell>
          <cell r="C560" t="e">
            <v>#DIV/0!</v>
          </cell>
          <cell r="D560" t="e">
            <v>#DIV/0!</v>
          </cell>
          <cell r="E560" t="e">
            <v>#DIV/0!</v>
          </cell>
        </row>
        <row r="561">
          <cell r="A561">
            <v>40005</v>
          </cell>
          <cell r="B561" t="str">
            <v>#Calc</v>
          </cell>
          <cell r="C561" t="e">
            <v>#DIV/0!</v>
          </cell>
          <cell r="D561" t="e">
            <v>#DIV/0!</v>
          </cell>
          <cell r="E561" t="e">
            <v>#DIV/0!</v>
          </cell>
        </row>
        <row r="562">
          <cell r="A562">
            <v>40006</v>
          </cell>
          <cell r="B562" t="str">
            <v>#Calc</v>
          </cell>
          <cell r="C562" t="e">
            <v>#DIV/0!</v>
          </cell>
          <cell r="D562" t="e">
            <v>#DIV/0!</v>
          </cell>
          <cell r="E562" t="e">
            <v>#DIV/0!</v>
          </cell>
        </row>
        <row r="563">
          <cell r="A563">
            <v>40007</v>
          </cell>
          <cell r="B563" t="str">
            <v>#Calc</v>
          </cell>
          <cell r="C563" t="e">
            <v>#DIV/0!</v>
          </cell>
          <cell r="D563" t="e">
            <v>#DIV/0!</v>
          </cell>
          <cell r="E563" t="e">
            <v>#DIV/0!</v>
          </cell>
        </row>
        <row r="564">
          <cell r="A564">
            <v>40008</v>
          </cell>
          <cell r="B564" t="str">
            <v>#Calc</v>
          </cell>
          <cell r="C564" t="e">
            <v>#DIV/0!</v>
          </cell>
          <cell r="D564" t="e">
            <v>#DIV/0!</v>
          </cell>
          <cell r="E564" t="e">
            <v>#DIV/0!</v>
          </cell>
        </row>
        <row r="565">
          <cell r="A565">
            <v>40009</v>
          </cell>
          <cell r="B565" t="str">
            <v>#Calc</v>
          </cell>
          <cell r="C565" t="e">
            <v>#DIV/0!</v>
          </cell>
          <cell r="D565" t="e">
            <v>#DIV/0!</v>
          </cell>
          <cell r="E565" t="e">
            <v>#DIV/0!</v>
          </cell>
        </row>
        <row r="566">
          <cell r="A566">
            <v>40010</v>
          </cell>
          <cell r="B566" t="str">
            <v>#Calc</v>
          </cell>
          <cell r="C566" t="e">
            <v>#DIV/0!</v>
          </cell>
          <cell r="D566" t="e">
            <v>#DIV/0!</v>
          </cell>
          <cell r="E566" t="e">
            <v>#DIV/0!</v>
          </cell>
        </row>
        <row r="567">
          <cell r="A567">
            <v>40011</v>
          </cell>
          <cell r="B567" t="str">
            <v>#Calc</v>
          </cell>
          <cell r="C567" t="e">
            <v>#DIV/0!</v>
          </cell>
          <cell r="D567" t="e">
            <v>#DIV/0!</v>
          </cell>
          <cell r="E567" t="e">
            <v>#DIV/0!</v>
          </cell>
        </row>
        <row r="568">
          <cell r="A568">
            <v>40012</v>
          </cell>
          <cell r="B568" t="str">
            <v>#Calc</v>
          </cell>
          <cell r="C568" t="e">
            <v>#DIV/0!</v>
          </cell>
          <cell r="D568" t="e">
            <v>#DIV/0!</v>
          </cell>
          <cell r="E568" t="e">
            <v>#DIV/0!</v>
          </cell>
        </row>
        <row r="569">
          <cell r="A569">
            <v>40013</v>
          </cell>
          <cell r="B569" t="str">
            <v>#Calc</v>
          </cell>
          <cell r="C569" t="e">
            <v>#DIV/0!</v>
          </cell>
          <cell r="D569" t="e">
            <v>#DIV/0!</v>
          </cell>
          <cell r="E569" t="e">
            <v>#DIV/0!</v>
          </cell>
        </row>
        <row r="570">
          <cell r="A570">
            <v>40014</v>
          </cell>
          <cell r="B570" t="str">
            <v>#Calc</v>
          </cell>
          <cell r="C570" t="e">
            <v>#DIV/0!</v>
          </cell>
          <cell r="D570" t="e">
            <v>#DIV/0!</v>
          </cell>
          <cell r="E570" t="e">
            <v>#DIV/0!</v>
          </cell>
        </row>
        <row r="571">
          <cell r="A571">
            <v>40015</v>
          </cell>
          <cell r="B571" t="str">
            <v>#Calc</v>
          </cell>
          <cell r="C571" t="e">
            <v>#DIV/0!</v>
          </cell>
          <cell r="D571" t="e">
            <v>#DIV/0!</v>
          </cell>
          <cell r="E571" t="e">
            <v>#DIV/0!</v>
          </cell>
        </row>
        <row r="572">
          <cell r="A572">
            <v>40016</v>
          </cell>
          <cell r="B572" t="str">
            <v>#Calc</v>
          </cell>
          <cell r="C572" t="e">
            <v>#DIV/0!</v>
          </cell>
          <cell r="D572" t="e">
            <v>#DIV/0!</v>
          </cell>
          <cell r="E572" t="e">
            <v>#DIV/0!</v>
          </cell>
        </row>
        <row r="573">
          <cell r="A573">
            <v>40017</v>
          </cell>
          <cell r="B573" t="str">
            <v>#Calc</v>
          </cell>
          <cell r="C573" t="e">
            <v>#DIV/0!</v>
          </cell>
          <cell r="D573" t="e">
            <v>#DIV/0!</v>
          </cell>
          <cell r="E573" t="e">
            <v>#DIV/0!</v>
          </cell>
        </row>
        <row r="574">
          <cell r="A574">
            <v>40018</v>
          </cell>
          <cell r="B574" t="str">
            <v>#Calc</v>
          </cell>
          <cell r="C574" t="e">
            <v>#DIV/0!</v>
          </cell>
          <cell r="D574" t="e">
            <v>#DIV/0!</v>
          </cell>
          <cell r="E574" t="e">
            <v>#DIV/0!</v>
          </cell>
        </row>
        <row r="575">
          <cell r="A575">
            <v>40019</v>
          </cell>
          <cell r="B575" t="str">
            <v>#Calc</v>
          </cell>
          <cell r="C575" t="e">
            <v>#DIV/0!</v>
          </cell>
          <cell r="D575" t="e">
            <v>#DIV/0!</v>
          </cell>
          <cell r="E575" t="e">
            <v>#DIV/0!</v>
          </cell>
        </row>
        <row r="576">
          <cell r="A576">
            <v>40020</v>
          </cell>
          <cell r="B576" t="str">
            <v>#Calc</v>
          </cell>
          <cell r="C576" t="e">
            <v>#DIV/0!</v>
          </cell>
          <cell r="D576" t="e">
            <v>#DIV/0!</v>
          </cell>
          <cell r="E576" t="e">
            <v>#DIV/0!</v>
          </cell>
        </row>
        <row r="577">
          <cell r="A577">
            <v>40021</v>
          </cell>
          <cell r="B577" t="str">
            <v>#Calc</v>
          </cell>
          <cell r="C577" t="e">
            <v>#DIV/0!</v>
          </cell>
          <cell r="D577" t="e">
            <v>#DIV/0!</v>
          </cell>
          <cell r="E577" t="e">
            <v>#DIV/0!</v>
          </cell>
        </row>
        <row r="578">
          <cell r="A578">
            <v>40022</v>
          </cell>
          <cell r="B578" t="str">
            <v>#Calc</v>
          </cell>
          <cell r="C578" t="e">
            <v>#DIV/0!</v>
          </cell>
          <cell r="D578" t="e">
            <v>#DIV/0!</v>
          </cell>
          <cell r="E578" t="e">
            <v>#DIV/0!</v>
          </cell>
        </row>
        <row r="579">
          <cell r="A579">
            <v>40023</v>
          </cell>
          <cell r="B579" t="str">
            <v>#Calc</v>
          </cell>
          <cell r="C579" t="e">
            <v>#DIV/0!</v>
          </cell>
          <cell r="D579" t="e">
            <v>#DIV/0!</v>
          </cell>
          <cell r="E579" t="e">
            <v>#DIV/0!</v>
          </cell>
        </row>
        <row r="580">
          <cell r="A580">
            <v>40024</v>
          </cell>
          <cell r="B580" t="str">
            <v>#Calc</v>
          </cell>
          <cell r="C580" t="e">
            <v>#DIV/0!</v>
          </cell>
          <cell r="D580" t="e">
            <v>#DIV/0!</v>
          </cell>
          <cell r="E580" t="e">
            <v>#DIV/0!</v>
          </cell>
        </row>
        <row r="581">
          <cell r="A581">
            <v>40025</v>
          </cell>
          <cell r="B581" t="str">
            <v>#Calc</v>
          </cell>
          <cell r="C581" t="e">
            <v>#DIV/0!</v>
          </cell>
          <cell r="D581" t="e">
            <v>#DIV/0!</v>
          </cell>
          <cell r="E581" t="e">
            <v>#DIV/0!</v>
          </cell>
        </row>
        <row r="582">
          <cell r="A582">
            <v>40026</v>
          </cell>
          <cell r="B582" t="str">
            <v>#Calc</v>
          </cell>
          <cell r="C582" t="e">
            <v>#DIV/0!</v>
          </cell>
          <cell r="D582" t="e">
            <v>#DIV/0!</v>
          </cell>
          <cell r="E582" t="e">
            <v>#DIV/0!</v>
          </cell>
        </row>
        <row r="583">
          <cell r="A583">
            <v>40027</v>
          </cell>
          <cell r="B583" t="str">
            <v>#Calc</v>
          </cell>
          <cell r="C583" t="e">
            <v>#DIV/0!</v>
          </cell>
          <cell r="D583" t="e">
            <v>#DIV/0!</v>
          </cell>
          <cell r="E583" t="e">
            <v>#DIV/0!</v>
          </cell>
        </row>
        <row r="584">
          <cell r="A584">
            <v>40028</v>
          </cell>
          <cell r="B584" t="str">
            <v>#Calc</v>
          </cell>
          <cell r="C584" t="e">
            <v>#DIV/0!</v>
          </cell>
          <cell r="D584" t="e">
            <v>#DIV/0!</v>
          </cell>
          <cell r="E584" t="e">
            <v>#DIV/0!</v>
          </cell>
        </row>
        <row r="585">
          <cell r="A585">
            <v>40029</v>
          </cell>
          <cell r="B585" t="str">
            <v>#Calc</v>
          </cell>
          <cell r="C585" t="e">
            <v>#DIV/0!</v>
          </cell>
          <cell r="D585" t="e">
            <v>#DIV/0!</v>
          </cell>
          <cell r="E585" t="e">
            <v>#DIV/0!</v>
          </cell>
        </row>
        <row r="586">
          <cell r="A586">
            <v>40030</v>
          </cell>
          <cell r="B586" t="str">
            <v>#Calc</v>
          </cell>
          <cell r="C586" t="e">
            <v>#DIV/0!</v>
          </cell>
          <cell r="D586" t="e">
            <v>#DIV/0!</v>
          </cell>
          <cell r="E586" t="e">
            <v>#DIV/0!</v>
          </cell>
        </row>
        <row r="587">
          <cell r="A587">
            <v>40031</v>
          </cell>
          <cell r="B587" t="str">
            <v>#Calc</v>
          </cell>
          <cell r="C587" t="e">
            <v>#DIV/0!</v>
          </cell>
          <cell r="D587" t="e">
            <v>#DIV/0!</v>
          </cell>
          <cell r="E587" t="e">
            <v>#DIV/0!</v>
          </cell>
        </row>
        <row r="588">
          <cell r="A588">
            <v>40032</v>
          </cell>
          <cell r="B588" t="str">
            <v>#Calc</v>
          </cell>
          <cell r="C588" t="e">
            <v>#DIV/0!</v>
          </cell>
          <cell r="D588" t="e">
            <v>#DIV/0!</v>
          </cell>
          <cell r="E588" t="e">
            <v>#DIV/0!</v>
          </cell>
        </row>
        <row r="589">
          <cell r="A589">
            <v>40033</v>
          </cell>
          <cell r="B589" t="str">
            <v>#Calc</v>
          </cell>
          <cell r="C589" t="e">
            <v>#DIV/0!</v>
          </cell>
          <cell r="D589" t="e">
            <v>#DIV/0!</v>
          </cell>
          <cell r="E589" t="e">
            <v>#DIV/0!</v>
          </cell>
        </row>
        <row r="590">
          <cell r="A590">
            <v>40034</v>
          </cell>
          <cell r="B590" t="str">
            <v>#Calc</v>
          </cell>
          <cell r="C590" t="e">
            <v>#DIV/0!</v>
          </cell>
          <cell r="D590" t="e">
            <v>#DIV/0!</v>
          </cell>
          <cell r="E590" t="e">
            <v>#DIV/0!</v>
          </cell>
        </row>
        <row r="591">
          <cell r="A591">
            <v>40035</v>
          </cell>
          <cell r="B591" t="str">
            <v>#Calc</v>
          </cell>
          <cell r="C591" t="e">
            <v>#DIV/0!</v>
          </cell>
          <cell r="D591" t="e">
            <v>#DIV/0!</v>
          </cell>
          <cell r="E591" t="e">
            <v>#DIV/0!</v>
          </cell>
        </row>
        <row r="592">
          <cell r="A592">
            <v>40036</v>
          </cell>
          <cell r="B592" t="str">
            <v>#Calc</v>
          </cell>
          <cell r="C592" t="e">
            <v>#DIV/0!</v>
          </cell>
          <cell r="D592" t="e">
            <v>#DIV/0!</v>
          </cell>
          <cell r="E592" t="e">
            <v>#DIV/0!</v>
          </cell>
        </row>
        <row r="593">
          <cell r="A593">
            <v>40037</v>
          </cell>
          <cell r="B593" t="str">
            <v>#Calc</v>
          </cell>
          <cell r="C593" t="e">
            <v>#DIV/0!</v>
          </cell>
          <cell r="D593" t="e">
            <v>#DIV/0!</v>
          </cell>
          <cell r="E593" t="e">
            <v>#DIV/0!</v>
          </cell>
        </row>
        <row r="594">
          <cell r="A594">
            <v>40038</v>
          </cell>
          <cell r="B594" t="str">
            <v>#Calc</v>
          </cell>
          <cell r="C594" t="e">
            <v>#DIV/0!</v>
          </cell>
          <cell r="D594" t="e">
            <v>#DIV/0!</v>
          </cell>
          <cell r="E594" t="e">
            <v>#DIV/0!</v>
          </cell>
        </row>
        <row r="595">
          <cell r="A595">
            <v>40039</v>
          </cell>
          <cell r="B595" t="str">
            <v>#Calc</v>
          </cell>
          <cell r="C595" t="e">
            <v>#DIV/0!</v>
          </cell>
          <cell r="D595" t="e">
            <v>#DIV/0!</v>
          </cell>
          <cell r="E595" t="e">
            <v>#DIV/0!</v>
          </cell>
        </row>
        <row r="596">
          <cell r="A596">
            <v>40040</v>
          </cell>
          <cell r="B596" t="str">
            <v>#Calc</v>
          </cell>
          <cell r="C596" t="e">
            <v>#DIV/0!</v>
          </cell>
          <cell r="D596" t="e">
            <v>#DIV/0!</v>
          </cell>
          <cell r="E596" t="e">
            <v>#DIV/0!</v>
          </cell>
        </row>
        <row r="597">
          <cell r="A597">
            <v>40041</v>
          </cell>
          <cell r="B597" t="str">
            <v>#Calc</v>
          </cell>
          <cell r="C597" t="e">
            <v>#DIV/0!</v>
          </cell>
          <cell r="D597" t="e">
            <v>#DIV/0!</v>
          </cell>
          <cell r="E597" t="e">
            <v>#DIV/0!</v>
          </cell>
        </row>
        <row r="598">
          <cell r="A598">
            <v>40042</v>
          </cell>
          <cell r="B598" t="str">
            <v>#Calc</v>
          </cell>
          <cell r="C598" t="e">
            <v>#DIV/0!</v>
          </cell>
          <cell r="D598" t="e">
            <v>#DIV/0!</v>
          </cell>
          <cell r="E598" t="e">
            <v>#DIV/0!</v>
          </cell>
        </row>
        <row r="599">
          <cell r="A599">
            <v>40043</v>
          </cell>
          <cell r="B599" t="str">
            <v>#Calc</v>
          </cell>
          <cell r="C599" t="e">
            <v>#DIV/0!</v>
          </cell>
          <cell r="D599" t="e">
            <v>#DIV/0!</v>
          </cell>
          <cell r="E599" t="e">
            <v>#DIV/0!</v>
          </cell>
        </row>
        <row r="600">
          <cell r="A600">
            <v>40044</v>
          </cell>
          <cell r="B600" t="str">
            <v>#Calc</v>
          </cell>
          <cell r="C600" t="e">
            <v>#DIV/0!</v>
          </cell>
          <cell r="D600" t="e">
            <v>#DIV/0!</v>
          </cell>
          <cell r="E600" t="e">
            <v>#DIV/0!</v>
          </cell>
        </row>
        <row r="601">
          <cell r="A601">
            <v>40045</v>
          </cell>
          <cell r="B601" t="str">
            <v>#Calc</v>
          </cell>
          <cell r="C601" t="e">
            <v>#DIV/0!</v>
          </cell>
          <cell r="D601" t="e">
            <v>#DIV/0!</v>
          </cell>
          <cell r="E601" t="e">
            <v>#DIV/0!</v>
          </cell>
        </row>
        <row r="602">
          <cell r="A602">
            <v>40046</v>
          </cell>
          <cell r="B602" t="str">
            <v>#Calc</v>
          </cell>
          <cell r="C602" t="e">
            <v>#DIV/0!</v>
          </cell>
          <cell r="D602" t="e">
            <v>#DIV/0!</v>
          </cell>
          <cell r="E602" t="e">
            <v>#DIV/0!</v>
          </cell>
        </row>
        <row r="603">
          <cell r="A603">
            <v>40047</v>
          </cell>
          <cell r="B603" t="str">
            <v>#Calc</v>
          </cell>
          <cell r="C603" t="e">
            <v>#DIV/0!</v>
          </cell>
          <cell r="D603" t="e">
            <v>#DIV/0!</v>
          </cell>
          <cell r="E603" t="e">
            <v>#DIV/0!</v>
          </cell>
        </row>
        <row r="604">
          <cell r="A604">
            <v>40048</v>
          </cell>
          <cell r="B604" t="str">
            <v>#Calc</v>
          </cell>
          <cell r="C604" t="e">
            <v>#DIV/0!</v>
          </cell>
          <cell r="D604" t="e">
            <v>#DIV/0!</v>
          </cell>
          <cell r="E604" t="e">
            <v>#DIV/0!</v>
          </cell>
        </row>
        <row r="605">
          <cell r="A605">
            <v>40049</v>
          </cell>
          <cell r="B605" t="str">
            <v>#Calc</v>
          </cell>
          <cell r="C605" t="e">
            <v>#DIV/0!</v>
          </cell>
          <cell r="D605" t="e">
            <v>#DIV/0!</v>
          </cell>
          <cell r="E605" t="e">
            <v>#DIV/0!</v>
          </cell>
        </row>
        <row r="606">
          <cell r="A606">
            <v>40050</v>
          </cell>
          <cell r="B606" t="str">
            <v>#Calc</v>
          </cell>
          <cell r="C606" t="e">
            <v>#DIV/0!</v>
          </cell>
          <cell r="D606" t="e">
            <v>#DIV/0!</v>
          </cell>
          <cell r="E606" t="e">
            <v>#DIV/0!</v>
          </cell>
        </row>
        <row r="607">
          <cell r="A607">
            <v>40051</v>
          </cell>
          <cell r="B607" t="str">
            <v>#Calc</v>
          </cell>
          <cell r="C607" t="e">
            <v>#DIV/0!</v>
          </cell>
          <cell r="D607" t="e">
            <v>#DIV/0!</v>
          </cell>
          <cell r="E607" t="e">
            <v>#DIV/0!</v>
          </cell>
        </row>
        <row r="608">
          <cell r="A608">
            <v>40052</v>
          </cell>
          <cell r="B608" t="str">
            <v>#Calc</v>
          </cell>
          <cell r="C608" t="e">
            <v>#DIV/0!</v>
          </cell>
          <cell r="D608" t="e">
            <v>#DIV/0!</v>
          </cell>
          <cell r="E608" t="e">
            <v>#DIV/0!</v>
          </cell>
        </row>
        <row r="609">
          <cell r="A609">
            <v>40053</v>
          </cell>
          <cell r="B609" t="str">
            <v>#Calc</v>
          </cell>
          <cell r="C609" t="e">
            <v>#DIV/0!</v>
          </cell>
          <cell r="D609" t="e">
            <v>#DIV/0!</v>
          </cell>
          <cell r="E609" t="e">
            <v>#DIV/0!</v>
          </cell>
        </row>
        <row r="610">
          <cell r="A610">
            <v>40054</v>
          </cell>
          <cell r="B610" t="str">
            <v>#Calc</v>
          </cell>
          <cell r="C610" t="e">
            <v>#DIV/0!</v>
          </cell>
          <cell r="D610" t="e">
            <v>#DIV/0!</v>
          </cell>
          <cell r="E610" t="e">
            <v>#DIV/0!</v>
          </cell>
        </row>
        <row r="611">
          <cell r="A611">
            <v>40055</v>
          </cell>
          <cell r="B611" t="str">
            <v>#Calc</v>
          </cell>
          <cell r="C611" t="e">
            <v>#DIV/0!</v>
          </cell>
          <cell r="D611" t="e">
            <v>#DIV/0!</v>
          </cell>
          <cell r="E611" t="e">
            <v>#DIV/0!</v>
          </cell>
        </row>
        <row r="612">
          <cell r="A612">
            <v>40056</v>
          </cell>
          <cell r="B612" t="str">
            <v>#Calc</v>
          </cell>
          <cell r="C612" t="e">
            <v>#DIV/0!</v>
          </cell>
          <cell r="D612" t="e">
            <v>#DIV/0!</v>
          </cell>
          <cell r="E612" t="e">
            <v>#DIV/0!</v>
          </cell>
        </row>
        <row r="613">
          <cell r="A613">
            <v>40057</v>
          </cell>
          <cell r="B613" t="str">
            <v>#Calc</v>
          </cell>
          <cell r="C613" t="e">
            <v>#DIV/0!</v>
          </cell>
          <cell r="D613" t="e">
            <v>#DIV/0!</v>
          </cell>
          <cell r="E613" t="e">
            <v>#DIV/0!</v>
          </cell>
        </row>
        <row r="614">
          <cell r="A614">
            <v>40058</v>
          </cell>
          <cell r="B614" t="str">
            <v>#Calc</v>
          </cell>
          <cell r="C614" t="e">
            <v>#DIV/0!</v>
          </cell>
          <cell r="D614" t="e">
            <v>#DIV/0!</v>
          </cell>
          <cell r="E614" t="e">
            <v>#DIV/0!</v>
          </cell>
        </row>
        <row r="615">
          <cell r="A615">
            <v>40059</v>
          </cell>
          <cell r="B615" t="str">
            <v>#Calc</v>
          </cell>
          <cell r="C615" t="e">
            <v>#DIV/0!</v>
          </cell>
          <cell r="D615" t="e">
            <v>#DIV/0!</v>
          </cell>
          <cell r="E615" t="e">
            <v>#DIV/0!</v>
          </cell>
        </row>
        <row r="616">
          <cell r="A616">
            <v>40060</v>
          </cell>
          <cell r="B616" t="str">
            <v>#Calc</v>
          </cell>
          <cell r="C616" t="e">
            <v>#DIV/0!</v>
          </cell>
          <cell r="D616" t="e">
            <v>#DIV/0!</v>
          </cell>
          <cell r="E616" t="e">
            <v>#DIV/0!</v>
          </cell>
        </row>
        <row r="617">
          <cell r="A617">
            <v>40061</v>
          </cell>
          <cell r="B617" t="str">
            <v>#Calc</v>
          </cell>
          <cell r="C617" t="e">
            <v>#DIV/0!</v>
          </cell>
          <cell r="D617" t="e">
            <v>#DIV/0!</v>
          </cell>
          <cell r="E617" t="e">
            <v>#DIV/0!</v>
          </cell>
        </row>
        <row r="618">
          <cell r="A618">
            <v>40062</v>
          </cell>
          <cell r="B618" t="str">
            <v>#Calc</v>
          </cell>
          <cell r="C618" t="e">
            <v>#DIV/0!</v>
          </cell>
          <cell r="D618" t="e">
            <v>#DIV/0!</v>
          </cell>
          <cell r="E618" t="e">
            <v>#DIV/0!</v>
          </cell>
        </row>
        <row r="619">
          <cell r="A619">
            <v>40063</v>
          </cell>
          <cell r="B619" t="str">
            <v>#Calc</v>
          </cell>
          <cell r="C619" t="e">
            <v>#DIV/0!</v>
          </cell>
          <cell r="D619" t="e">
            <v>#DIV/0!</v>
          </cell>
          <cell r="E619" t="e">
            <v>#DIV/0!</v>
          </cell>
        </row>
        <row r="620">
          <cell r="A620">
            <v>40064</v>
          </cell>
          <cell r="B620" t="str">
            <v>#Calc</v>
          </cell>
          <cell r="C620" t="e">
            <v>#DIV/0!</v>
          </cell>
          <cell r="D620" t="e">
            <v>#DIV/0!</v>
          </cell>
          <cell r="E620" t="e">
            <v>#DIV/0!</v>
          </cell>
        </row>
        <row r="621">
          <cell r="A621">
            <v>40065</v>
          </cell>
          <cell r="B621" t="str">
            <v>#Calc</v>
          </cell>
          <cell r="C621" t="e">
            <v>#DIV/0!</v>
          </cell>
          <cell r="D621" t="e">
            <v>#DIV/0!</v>
          </cell>
          <cell r="E621" t="e">
            <v>#DIV/0!</v>
          </cell>
        </row>
        <row r="622">
          <cell r="A622">
            <v>40066</v>
          </cell>
          <cell r="B622" t="str">
            <v>#Calc</v>
          </cell>
          <cell r="C622" t="e">
            <v>#DIV/0!</v>
          </cell>
          <cell r="D622" t="e">
            <v>#DIV/0!</v>
          </cell>
          <cell r="E622" t="e">
            <v>#DIV/0!</v>
          </cell>
        </row>
        <row r="623">
          <cell r="A623">
            <v>40067</v>
          </cell>
          <cell r="B623" t="str">
            <v>#Calc</v>
          </cell>
          <cell r="C623" t="e">
            <v>#DIV/0!</v>
          </cell>
          <cell r="D623" t="e">
            <v>#DIV/0!</v>
          </cell>
          <cell r="E623" t="e">
            <v>#DIV/0!</v>
          </cell>
        </row>
        <row r="624">
          <cell r="A624">
            <v>40068</v>
          </cell>
          <cell r="B624" t="str">
            <v>#Calc</v>
          </cell>
          <cell r="C624" t="e">
            <v>#DIV/0!</v>
          </cell>
          <cell r="D624" t="e">
            <v>#DIV/0!</v>
          </cell>
          <cell r="E624" t="e">
            <v>#DIV/0!</v>
          </cell>
        </row>
        <row r="625">
          <cell r="A625">
            <v>40069</v>
          </cell>
          <cell r="B625" t="str">
            <v>#Calc</v>
          </cell>
          <cell r="C625" t="e">
            <v>#DIV/0!</v>
          </cell>
          <cell r="D625" t="e">
            <v>#DIV/0!</v>
          </cell>
          <cell r="E625" t="e">
            <v>#DIV/0!</v>
          </cell>
        </row>
        <row r="626">
          <cell r="A626">
            <v>40070</v>
          </cell>
          <cell r="B626" t="str">
            <v>#Calc</v>
          </cell>
          <cell r="C626" t="e">
            <v>#DIV/0!</v>
          </cell>
          <cell r="D626" t="e">
            <v>#DIV/0!</v>
          </cell>
          <cell r="E626" t="e">
            <v>#DIV/0!</v>
          </cell>
        </row>
        <row r="627">
          <cell r="A627">
            <v>40071</v>
          </cell>
          <cell r="B627" t="str">
            <v>#Calc</v>
          </cell>
          <cell r="C627" t="e">
            <v>#DIV/0!</v>
          </cell>
          <cell r="D627" t="e">
            <v>#DIV/0!</v>
          </cell>
          <cell r="E627" t="e">
            <v>#DIV/0!</v>
          </cell>
        </row>
        <row r="628">
          <cell r="A628">
            <v>40072</v>
          </cell>
          <cell r="B628" t="str">
            <v>#Calc</v>
          </cell>
          <cell r="C628" t="e">
            <v>#DIV/0!</v>
          </cell>
          <cell r="D628" t="e">
            <v>#DIV/0!</v>
          </cell>
          <cell r="E628" t="e">
            <v>#DIV/0!</v>
          </cell>
        </row>
        <row r="629">
          <cell r="A629">
            <v>40073</v>
          </cell>
          <cell r="B629" t="str">
            <v>#Calc</v>
          </cell>
          <cell r="C629" t="e">
            <v>#DIV/0!</v>
          </cell>
          <cell r="D629" t="e">
            <v>#DIV/0!</v>
          </cell>
          <cell r="E629" t="e">
            <v>#DIV/0!</v>
          </cell>
        </row>
        <row r="630">
          <cell r="A630">
            <v>40074</v>
          </cell>
          <cell r="B630" t="str">
            <v>#Calc</v>
          </cell>
          <cell r="C630" t="e">
            <v>#DIV/0!</v>
          </cell>
          <cell r="D630" t="e">
            <v>#DIV/0!</v>
          </cell>
          <cell r="E630" t="e">
            <v>#DIV/0!</v>
          </cell>
        </row>
        <row r="631">
          <cell r="A631">
            <v>40075</v>
          </cell>
          <cell r="B631" t="str">
            <v>#Calc</v>
          </cell>
          <cell r="C631" t="e">
            <v>#DIV/0!</v>
          </cell>
          <cell r="D631" t="e">
            <v>#DIV/0!</v>
          </cell>
          <cell r="E631" t="e">
            <v>#DIV/0!</v>
          </cell>
        </row>
        <row r="632">
          <cell r="A632">
            <v>40076</v>
          </cell>
          <cell r="B632" t="str">
            <v>#Calc</v>
          </cell>
          <cell r="C632" t="e">
            <v>#DIV/0!</v>
          </cell>
          <cell r="D632" t="e">
            <v>#DIV/0!</v>
          </cell>
          <cell r="E632" t="e">
            <v>#DIV/0!</v>
          </cell>
        </row>
        <row r="633">
          <cell r="A633">
            <v>40077</v>
          </cell>
          <cell r="B633" t="str">
            <v>#Calc</v>
          </cell>
          <cell r="C633" t="e">
            <v>#DIV/0!</v>
          </cell>
          <cell r="D633" t="e">
            <v>#DIV/0!</v>
          </cell>
          <cell r="E633" t="e">
            <v>#DIV/0!</v>
          </cell>
        </row>
        <row r="634">
          <cell r="A634">
            <v>40078</v>
          </cell>
          <cell r="B634" t="str">
            <v>#Calc</v>
          </cell>
          <cell r="C634" t="e">
            <v>#DIV/0!</v>
          </cell>
          <cell r="D634" t="e">
            <v>#DIV/0!</v>
          </cell>
          <cell r="E634" t="e">
            <v>#DIV/0!</v>
          </cell>
        </row>
        <row r="635">
          <cell r="A635">
            <v>40079</v>
          </cell>
          <cell r="B635" t="str">
            <v>#Calc</v>
          </cell>
          <cell r="C635" t="e">
            <v>#DIV/0!</v>
          </cell>
          <cell r="D635" t="e">
            <v>#DIV/0!</v>
          </cell>
          <cell r="E635" t="e">
            <v>#DIV/0!</v>
          </cell>
        </row>
        <row r="636">
          <cell r="A636">
            <v>40080</v>
          </cell>
          <cell r="B636" t="str">
            <v>#Calc</v>
          </cell>
          <cell r="C636" t="e">
            <v>#DIV/0!</v>
          </cell>
          <cell r="D636" t="e">
            <v>#DIV/0!</v>
          </cell>
          <cell r="E636" t="e">
            <v>#DIV/0!</v>
          </cell>
        </row>
        <row r="637">
          <cell r="A637">
            <v>40081</v>
          </cell>
          <cell r="B637" t="str">
            <v>#Calc</v>
          </cell>
          <cell r="C637" t="e">
            <v>#DIV/0!</v>
          </cell>
          <cell r="D637" t="e">
            <v>#DIV/0!</v>
          </cell>
          <cell r="E637" t="e">
            <v>#DIV/0!</v>
          </cell>
        </row>
        <row r="638">
          <cell r="A638">
            <v>40082</v>
          </cell>
          <cell r="B638" t="str">
            <v>#Calc</v>
          </cell>
          <cell r="C638" t="e">
            <v>#DIV/0!</v>
          </cell>
          <cell r="D638" t="e">
            <v>#DIV/0!</v>
          </cell>
          <cell r="E638" t="e">
            <v>#DIV/0!</v>
          </cell>
        </row>
        <row r="639">
          <cell r="A639">
            <v>40083</v>
          </cell>
          <cell r="B639" t="str">
            <v>#Calc</v>
          </cell>
          <cell r="C639" t="e">
            <v>#DIV/0!</v>
          </cell>
          <cell r="D639" t="e">
            <v>#DIV/0!</v>
          </cell>
          <cell r="E639" t="e">
            <v>#DIV/0!</v>
          </cell>
        </row>
        <row r="640">
          <cell r="A640">
            <v>40084</v>
          </cell>
          <cell r="B640" t="str">
            <v>#Calc</v>
          </cell>
          <cell r="C640" t="e">
            <v>#DIV/0!</v>
          </cell>
          <cell r="D640" t="e">
            <v>#DIV/0!</v>
          </cell>
          <cell r="E640" t="e">
            <v>#DIV/0!</v>
          </cell>
        </row>
        <row r="641">
          <cell r="A641">
            <v>40085</v>
          </cell>
          <cell r="B641" t="str">
            <v>#Calc</v>
          </cell>
          <cell r="C641" t="e">
            <v>#DIV/0!</v>
          </cell>
          <cell r="D641" t="e">
            <v>#DIV/0!</v>
          </cell>
          <cell r="E641" t="e">
            <v>#DIV/0!</v>
          </cell>
        </row>
        <row r="642">
          <cell r="A642">
            <v>40086</v>
          </cell>
          <cell r="B642" t="str">
            <v>#Calc</v>
          </cell>
          <cell r="C642" t="e">
            <v>#DIV/0!</v>
          </cell>
          <cell r="D642" t="e">
            <v>#DIV/0!</v>
          </cell>
          <cell r="E642" t="e">
            <v>#DIV/0!</v>
          </cell>
        </row>
        <row r="643">
          <cell r="A643">
            <v>40087</v>
          </cell>
          <cell r="B643" t="str">
            <v>#Calc</v>
          </cell>
          <cell r="C643" t="e">
            <v>#DIV/0!</v>
          </cell>
          <cell r="D643" t="e">
            <v>#DIV/0!</v>
          </cell>
          <cell r="E643" t="e">
            <v>#DIV/0!</v>
          </cell>
        </row>
        <row r="644">
          <cell r="A644">
            <v>40088</v>
          </cell>
          <cell r="B644" t="str">
            <v>#Calc</v>
          </cell>
          <cell r="C644" t="e">
            <v>#DIV/0!</v>
          </cell>
          <cell r="D644" t="e">
            <v>#DIV/0!</v>
          </cell>
          <cell r="E644" t="e">
            <v>#DIV/0!</v>
          </cell>
        </row>
        <row r="645">
          <cell r="A645">
            <v>40089</v>
          </cell>
          <cell r="B645" t="str">
            <v>#Calc</v>
          </cell>
          <cell r="C645" t="e">
            <v>#DIV/0!</v>
          </cell>
          <cell r="D645" t="e">
            <v>#DIV/0!</v>
          </cell>
          <cell r="E645" t="e">
            <v>#DIV/0!</v>
          </cell>
        </row>
        <row r="646">
          <cell r="A646">
            <v>40090</v>
          </cell>
          <cell r="B646" t="str">
            <v>#Calc</v>
          </cell>
          <cell r="C646" t="e">
            <v>#DIV/0!</v>
          </cell>
          <cell r="D646" t="e">
            <v>#DIV/0!</v>
          </cell>
          <cell r="E646" t="e">
            <v>#DIV/0!</v>
          </cell>
        </row>
        <row r="647">
          <cell r="A647">
            <v>40091</v>
          </cell>
          <cell r="B647" t="str">
            <v>#Calc</v>
          </cell>
          <cell r="C647" t="e">
            <v>#DIV/0!</v>
          </cell>
          <cell r="D647" t="e">
            <v>#DIV/0!</v>
          </cell>
          <cell r="E647" t="e">
            <v>#DIV/0!</v>
          </cell>
        </row>
        <row r="648">
          <cell r="A648">
            <v>40092</v>
          </cell>
          <cell r="B648" t="str">
            <v>#Calc</v>
          </cell>
          <cell r="C648" t="e">
            <v>#DIV/0!</v>
          </cell>
          <cell r="D648" t="e">
            <v>#DIV/0!</v>
          </cell>
          <cell r="E648" t="e">
            <v>#DIV/0!</v>
          </cell>
        </row>
        <row r="649">
          <cell r="A649">
            <v>40093</v>
          </cell>
          <cell r="B649" t="str">
            <v>#Calc</v>
          </cell>
          <cell r="C649" t="e">
            <v>#DIV/0!</v>
          </cell>
          <cell r="D649" t="e">
            <v>#DIV/0!</v>
          </cell>
          <cell r="E649" t="e">
            <v>#DIV/0!</v>
          </cell>
        </row>
        <row r="650">
          <cell r="A650">
            <v>40094</v>
          </cell>
          <cell r="B650" t="str">
            <v>#Calc</v>
          </cell>
          <cell r="C650" t="e">
            <v>#DIV/0!</v>
          </cell>
          <cell r="D650" t="e">
            <v>#DIV/0!</v>
          </cell>
          <cell r="E650" t="e">
            <v>#DIV/0!</v>
          </cell>
        </row>
        <row r="651">
          <cell r="A651">
            <v>40095</v>
          </cell>
          <cell r="B651" t="str">
            <v>#Calc</v>
          </cell>
          <cell r="C651" t="e">
            <v>#DIV/0!</v>
          </cell>
          <cell r="D651" t="e">
            <v>#DIV/0!</v>
          </cell>
          <cell r="E651" t="e">
            <v>#DIV/0!</v>
          </cell>
        </row>
        <row r="652">
          <cell r="A652">
            <v>40096</v>
          </cell>
          <cell r="B652" t="str">
            <v>#Calc</v>
          </cell>
          <cell r="C652" t="e">
            <v>#DIV/0!</v>
          </cell>
          <cell r="D652" t="e">
            <v>#DIV/0!</v>
          </cell>
          <cell r="E652" t="e">
            <v>#DIV/0!</v>
          </cell>
        </row>
        <row r="653">
          <cell r="A653">
            <v>40097</v>
          </cell>
          <cell r="B653" t="str">
            <v>#Calc</v>
          </cell>
          <cell r="C653" t="e">
            <v>#DIV/0!</v>
          </cell>
          <cell r="D653" t="e">
            <v>#DIV/0!</v>
          </cell>
          <cell r="E653" t="e">
            <v>#DIV/0!</v>
          </cell>
        </row>
        <row r="654">
          <cell r="A654">
            <v>40098</v>
          </cell>
          <cell r="B654" t="str">
            <v>#Calc</v>
          </cell>
          <cell r="C654" t="e">
            <v>#DIV/0!</v>
          </cell>
          <cell r="D654" t="e">
            <v>#DIV/0!</v>
          </cell>
          <cell r="E654" t="e">
            <v>#DIV/0!</v>
          </cell>
        </row>
        <row r="655">
          <cell r="A655">
            <v>40099</v>
          </cell>
          <cell r="B655" t="str">
            <v>#Calc</v>
          </cell>
          <cell r="C655" t="e">
            <v>#DIV/0!</v>
          </cell>
          <cell r="D655" t="e">
            <v>#DIV/0!</v>
          </cell>
          <cell r="E655" t="e">
            <v>#DIV/0!</v>
          </cell>
        </row>
        <row r="656">
          <cell r="A656">
            <v>40100</v>
          </cell>
          <cell r="B656" t="str">
            <v>#Calc</v>
          </cell>
          <cell r="C656" t="e">
            <v>#DIV/0!</v>
          </cell>
          <cell r="D656" t="e">
            <v>#DIV/0!</v>
          </cell>
          <cell r="E656" t="e">
            <v>#DIV/0!</v>
          </cell>
        </row>
        <row r="657">
          <cell r="A657">
            <v>40101</v>
          </cell>
          <cell r="B657" t="str">
            <v>#Calc</v>
          </cell>
          <cell r="C657" t="e">
            <v>#DIV/0!</v>
          </cell>
          <cell r="D657" t="e">
            <v>#DIV/0!</v>
          </cell>
          <cell r="E657" t="e">
            <v>#DIV/0!</v>
          </cell>
        </row>
        <row r="658">
          <cell r="A658">
            <v>40102</v>
          </cell>
          <cell r="B658" t="str">
            <v>#Calc</v>
          </cell>
          <cell r="C658" t="e">
            <v>#DIV/0!</v>
          </cell>
          <cell r="D658" t="e">
            <v>#DIV/0!</v>
          </cell>
          <cell r="E658" t="e">
            <v>#DIV/0!</v>
          </cell>
        </row>
        <row r="659">
          <cell r="A659">
            <v>40103</v>
          </cell>
          <cell r="B659" t="str">
            <v>#Calc</v>
          </cell>
          <cell r="C659" t="e">
            <v>#DIV/0!</v>
          </cell>
          <cell r="D659" t="e">
            <v>#DIV/0!</v>
          </cell>
          <cell r="E659" t="e">
            <v>#DIV/0!</v>
          </cell>
        </row>
        <row r="660">
          <cell r="A660">
            <v>40104</v>
          </cell>
          <cell r="B660" t="str">
            <v>#Calc</v>
          </cell>
          <cell r="C660" t="e">
            <v>#DIV/0!</v>
          </cell>
          <cell r="D660" t="e">
            <v>#DIV/0!</v>
          </cell>
          <cell r="E660" t="e">
            <v>#DIV/0!</v>
          </cell>
        </row>
        <row r="661">
          <cell r="A661">
            <v>40105</v>
          </cell>
          <cell r="B661" t="str">
            <v>#Calc</v>
          </cell>
          <cell r="C661" t="e">
            <v>#DIV/0!</v>
          </cell>
          <cell r="D661" t="e">
            <v>#DIV/0!</v>
          </cell>
          <cell r="E661" t="e">
            <v>#DIV/0!</v>
          </cell>
        </row>
        <row r="662">
          <cell r="A662">
            <v>40106</v>
          </cell>
          <cell r="B662" t="str">
            <v>#Calc</v>
          </cell>
          <cell r="C662" t="e">
            <v>#DIV/0!</v>
          </cell>
          <cell r="D662" t="e">
            <v>#DIV/0!</v>
          </cell>
          <cell r="E662" t="e">
            <v>#DIV/0!</v>
          </cell>
        </row>
        <row r="663">
          <cell r="A663">
            <v>40107</v>
          </cell>
          <cell r="B663" t="str">
            <v>#Calc</v>
          </cell>
          <cell r="C663" t="e">
            <v>#DIV/0!</v>
          </cell>
          <cell r="D663" t="e">
            <v>#DIV/0!</v>
          </cell>
          <cell r="E663" t="e">
            <v>#DIV/0!</v>
          </cell>
        </row>
        <row r="664">
          <cell r="A664">
            <v>40108</v>
          </cell>
          <cell r="B664" t="str">
            <v>#Calc</v>
          </cell>
          <cell r="C664" t="e">
            <v>#DIV/0!</v>
          </cell>
          <cell r="D664" t="e">
            <v>#DIV/0!</v>
          </cell>
          <cell r="E664" t="e">
            <v>#DIV/0!</v>
          </cell>
        </row>
        <row r="665">
          <cell r="A665">
            <v>40109</v>
          </cell>
          <cell r="B665" t="str">
            <v>#Calc</v>
          </cell>
          <cell r="C665" t="e">
            <v>#DIV/0!</v>
          </cell>
          <cell r="D665" t="e">
            <v>#DIV/0!</v>
          </cell>
          <cell r="E665" t="e">
            <v>#DIV/0!</v>
          </cell>
        </row>
        <row r="666">
          <cell r="A666">
            <v>40110</v>
          </cell>
          <cell r="B666" t="str">
            <v>#Calc</v>
          </cell>
          <cell r="C666" t="e">
            <v>#DIV/0!</v>
          </cell>
          <cell r="D666" t="e">
            <v>#DIV/0!</v>
          </cell>
          <cell r="E666" t="e">
            <v>#DIV/0!</v>
          </cell>
        </row>
        <row r="667">
          <cell r="A667">
            <v>40111</v>
          </cell>
          <cell r="B667" t="str">
            <v>#Calc</v>
          </cell>
          <cell r="C667" t="e">
            <v>#DIV/0!</v>
          </cell>
          <cell r="D667" t="e">
            <v>#DIV/0!</v>
          </cell>
          <cell r="E667" t="e">
            <v>#DIV/0!</v>
          </cell>
        </row>
        <row r="668">
          <cell r="A668">
            <v>40112</v>
          </cell>
          <cell r="B668" t="str">
            <v>#Calc</v>
          </cell>
          <cell r="C668" t="e">
            <v>#DIV/0!</v>
          </cell>
          <cell r="D668" t="e">
            <v>#DIV/0!</v>
          </cell>
          <cell r="E668" t="e">
            <v>#DIV/0!</v>
          </cell>
        </row>
        <row r="669">
          <cell r="A669">
            <v>40113</v>
          </cell>
          <cell r="B669" t="str">
            <v>#Calc</v>
          </cell>
          <cell r="C669" t="e">
            <v>#DIV/0!</v>
          </cell>
          <cell r="D669" t="e">
            <v>#DIV/0!</v>
          </cell>
          <cell r="E669" t="e">
            <v>#DIV/0!</v>
          </cell>
        </row>
        <row r="670">
          <cell r="A670">
            <v>40114</v>
          </cell>
          <cell r="B670" t="str">
            <v>#Calc</v>
          </cell>
          <cell r="C670" t="e">
            <v>#DIV/0!</v>
          </cell>
          <cell r="D670" t="e">
            <v>#DIV/0!</v>
          </cell>
          <cell r="E670" t="e">
            <v>#DIV/0!</v>
          </cell>
        </row>
        <row r="671">
          <cell r="A671">
            <v>40115</v>
          </cell>
          <cell r="B671" t="str">
            <v>#Calc</v>
          </cell>
          <cell r="C671" t="e">
            <v>#DIV/0!</v>
          </cell>
          <cell r="D671" t="e">
            <v>#DIV/0!</v>
          </cell>
          <cell r="E671" t="e">
            <v>#DIV/0!</v>
          </cell>
        </row>
        <row r="672">
          <cell r="A672">
            <v>40116</v>
          </cell>
          <cell r="B672" t="str">
            <v>#Calc</v>
          </cell>
          <cell r="C672" t="e">
            <v>#DIV/0!</v>
          </cell>
          <cell r="D672" t="e">
            <v>#DIV/0!</v>
          </cell>
          <cell r="E672" t="e">
            <v>#DIV/0!</v>
          </cell>
        </row>
        <row r="673">
          <cell r="A673">
            <v>40117</v>
          </cell>
          <cell r="B673" t="str">
            <v>#Calc</v>
          </cell>
          <cell r="C673" t="e">
            <v>#DIV/0!</v>
          </cell>
          <cell r="D673" t="e">
            <v>#DIV/0!</v>
          </cell>
          <cell r="E673" t="e">
            <v>#DIV/0!</v>
          </cell>
        </row>
        <row r="674">
          <cell r="A674">
            <v>40118</v>
          </cell>
          <cell r="B674" t="str">
            <v>#Calc</v>
          </cell>
          <cell r="C674" t="e">
            <v>#DIV/0!</v>
          </cell>
          <cell r="D674" t="e">
            <v>#DIV/0!</v>
          </cell>
          <cell r="E674" t="e">
            <v>#DIV/0!</v>
          </cell>
        </row>
        <row r="675">
          <cell r="A675">
            <v>40119</v>
          </cell>
          <cell r="B675" t="str">
            <v>#Calc</v>
          </cell>
          <cell r="C675" t="e">
            <v>#DIV/0!</v>
          </cell>
          <cell r="D675" t="e">
            <v>#DIV/0!</v>
          </cell>
          <cell r="E675" t="e">
            <v>#DIV/0!</v>
          </cell>
        </row>
        <row r="676">
          <cell r="A676">
            <v>40120</v>
          </cell>
          <cell r="B676" t="str">
            <v>#Calc</v>
          </cell>
          <cell r="C676" t="e">
            <v>#DIV/0!</v>
          </cell>
          <cell r="D676" t="e">
            <v>#DIV/0!</v>
          </cell>
          <cell r="E676" t="e">
            <v>#DIV/0!</v>
          </cell>
        </row>
        <row r="677">
          <cell r="A677">
            <v>40121</v>
          </cell>
          <cell r="B677" t="str">
            <v>#Calc</v>
          </cell>
          <cell r="C677" t="e">
            <v>#DIV/0!</v>
          </cell>
          <cell r="D677" t="e">
            <v>#DIV/0!</v>
          </cell>
          <cell r="E677" t="e">
            <v>#DIV/0!</v>
          </cell>
        </row>
        <row r="678">
          <cell r="A678">
            <v>40122</v>
          </cell>
          <cell r="B678" t="str">
            <v>#Calc</v>
          </cell>
          <cell r="C678" t="e">
            <v>#DIV/0!</v>
          </cell>
          <cell r="D678" t="e">
            <v>#DIV/0!</v>
          </cell>
          <cell r="E678" t="e">
            <v>#DIV/0!</v>
          </cell>
        </row>
        <row r="679">
          <cell r="A679">
            <v>40123</v>
          </cell>
          <cell r="B679" t="str">
            <v>#Calc</v>
          </cell>
          <cell r="C679" t="e">
            <v>#DIV/0!</v>
          </cell>
          <cell r="D679" t="e">
            <v>#DIV/0!</v>
          </cell>
          <cell r="E679" t="e">
            <v>#DIV/0!</v>
          </cell>
        </row>
        <row r="680">
          <cell r="A680">
            <v>40124</v>
          </cell>
          <cell r="B680" t="str">
            <v>#Calc</v>
          </cell>
          <cell r="C680" t="e">
            <v>#DIV/0!</v>
          </cell>
          <cell r="D680" t="e">
            <v>#DIV/0!</v>
          </cell>
          <cell r="E680" t="e">
            <v>#DIV/0!</v>
          </cell>
        </row>
        <row r="681">
          <cell r="A681">
            <v>40125</v>
          </cell>
          <cell r="B681" t="str">
            <v>#Calc</v>
          </cell>
          <cell r="C681" t="e">
            <v>#DIV/0!</v>
          </cell>
          <cell r="D681" t="e">
            <v>#DIV/0!</v>
          </cell>
          <cell r="E681" t="e">
            <v>#DIV/0!</v>
          </cell>
        </row>
        <row r="682">
          <cell r="A682">
            <v>40126</v>
          </cell>
          <cell r="B682" t="str">
            <v>#Calc</v>
          </cell>
          <cell r="C682" t="e">
            <v>#DIV/0!</v>
          </cell>
          <cell r="D682" t="e">
            <v>#DIV/0!</v>
          </cell>
          <cell r="E682" t="e">
            <v>#DIV/0!</v>
          </cell>
        </row>
        <row r="683">
          <cell r="A683">
            <v>40127</v>
          </cell>
          <cell r="B683" t="str">
            <v>#Calc</v>
          </cell>
          <cell r="C683" t="e">
            <v>#DIV/0!</v>
          </cell>
          <cell r="D683" t="e">
            <v>#DIV/0!</v>
          </cell>
          <cell r="E683" t="e">
            <v>#DIV/0!</v>
          </cell>
        </row>
        <row r="684">
          <cell r="A684">
            <v>40128</v>
          </cell>
          <cell r="B684" t="str">
            <v>#Calc</v>
          </cell>
          <cell r="C684" t="e">
            <v>#DIV/0!</v>
          </cell>
          <cell r="D684" t="e">
            <v>#DIV/0!</v>
          </cell>
          <cell r="E684" t="e">
            <v>#DIV/0!</v>
          </cell>
        </row>
        <row r="685">
          <cell r="A685">
            <v>40129</v>
          </cell>
          <cell r="B685" t="str">
            <v>#Calc</v>
          </cell>
          <cell r="C685" t="e">
            <v>#DIV/0!</v>
          </cell>
          <cell r="D685" t="e">
            <v>#DIV/0!</v>
          </cell>
          <cell r="E685" t="e">
            <v>#DIV/0!</v>
          </cell>
        </row>
        <row r="686">
          <cell r="A686">
            <v>40130</v>
          </cell>
          <cell r="B686" t="str">
            <v>#Calc</v>
          </cell>
          <cell r="C686" t="e">
            <v>#DIV/0!</v>
          </cell>
          <cell r="D686" t="e">
            <v>#DIV/0!</v>
          </cell>
          <cell r="E686" t="e">
            <v>#DIV/0!</v>
          </cell>
        </row>
        <row r="687">
          <cell r="A687">
            <v>40131</v>
          </cell>
          <cell r="B687" t="str">
            <v>#Calc</v>
          </cell>
          <cell r="C687" t="e">
            <v>#DIV/0!</v>
          </cell>
          <cell r="D687" t="e">
            <v>#DIV/0!</v>
          </cell>
          <cell r="E687" t="e">
            <v>#DIV/0!</v>
          </cell>
        </row>
        <row r="688">
          <cell r="A688">
            <v>40132</v>
          </cell>
          <cell r="B688" t="str">
            <v>#Calc</v>
          </cell>
          <cell r="C688" t="e">
            <v>#DIV/0!</v>
          </cell>
          <cell r="D688" t="e">
            <v>#DIV/0!</v>
          </cell>
          <cell r="E688" t="e">
            <v>#DIV/0!</v>
          </cell>
        </row>
        <row r="689">
          <cell r="A689">
            <v>40133</v>
          </cell>
          <cell r="B689" t="str">
            <v>#Calc</v>
          </cell>
          <cell r="C689" t="e">
            <v>#DIV/0!</v>
          </cell>
          <cell r="D689" t="e">
            <v>#DIV/0!</v>
          </cell>
          <cell r="E689" t="e">
            <v>#DIV/0!</v>
          </cell>
        </row>
        <row r="690">
          <cell r="A690">
            <v>40134</v>
          </cell>
          <cell r="B690" t="str">
            <v>#Calc</v>
          </cell>
          <cell r="C690" t="e">
            <v>#DIV/0!</v>
          </cell>
          <cell r="D690" t="e">
            <v>#DIV/0!</v>
          </cell>
          <cell r="E690" t="e">
            <v>#DIV/0!</v>
          </cell>
        </row>
        <row r="691">
          <cell r="A691">
            <v>40135</v>
          </cell>
          <cell r="B691" t="str">
            <v>#Calc</v>
          </cell>
          <cell r="C691" t="e">
            <v>#DIV/0!</v>
          </cell>
          <cell r="D691" t="e">
            <v>#DIV/0!</v>
          </cell>
          <cell r="E691" t="e">
            <v>#DIV/0!</v>
          </cell>
        </row>
        <row r="692">
          <cell r="A692">
            <v>40136</v>
          </cell>
          <cell r="B692" t="str">
            <v>#Calc</v>
          </cell>
          <cell r="C692" t="e">
            <v>#DIV/0!</v>
          </cell>
          <cell r="D692" t="e">
            <v>#DIV/0!</v>
          </cell>
          <cell r="E692" t="e">
            <v>#DIV/0!</v>
          </cell>
        </row>
        <row r="693">
          <cell r="A693">
            <v>40137</v>
          </cell>
          <cell r="B693" t="str">
            <v>#Calc</v>
          </cell>
          <cell r="C693" t="e">
            <v>#DIV/0!</v>
          </cell>
          <cell r="D693" t="e">
            <v>#DIV/0!</v>
          </cell>
          <cell r="E693" t="e">
            <v>#DIV/0!</v>
          </cell>
        </row>
        <row r="694">
          <cell r="A694">
            <v>40138</v>
          </cell>
          <cell r="B694" t="str">
            <v>#Calc</v>
          </cell>
          <cell r="C694" t="e">
            <v>#DIV/0!</v>
          </cell>
          <cell r="D694" t="e">
            <v>#DIV/0!</v>
          </cell>
          <cell r="E694" t="e">
            <v>#DIV/0!</v>
          </cell>
        </row>
        <row r="695">
          <cell r="A695">
            <v>40139</v>
          </cell>
          <cell r="B695" t="str">
            <v>#Calc</v>
          </cell>
          <cell r="C695" t="e">
            <v>#DIV/0!</v>
          </cell>
          <cell r="D695" t="e">
            <v>#DIV/0!</v>
          </cell>
          <cell r="E695" t="e">
            <v>#DIV/0!</v>
          </cell>
        </row>
        <row r="696">
          <cell r="A696">
            <v>40140</v>
          </cell>
          <cell r="B696" t="str">
            <v>#Calc</v>
          </cell>
          <cell r="C696" t="e">
            <v>#DIV/0!</v>
          </cell>
          <cell r="D696" t="e">
            <v>#DIV/0!</v>
          </cell>
          <cell r="E696" t="e">
            <v>#DIV/0!</v>
          </cell>
        </row>
        <row r="697">
          <cell r="A697">
            <v>40141</v>
          </cell>
          <cell r="B697" t="str">
            <v>#Calc</v>
          </cell>
          <cell r="C697" t="e">
            <v>#DIV/0!</v>
          </cell>
          <cell r="D697" t="e">
            <v>#DIV/0!</v>
          </cell>
          <cell r="E697" t="e">
            <v>#DIV/0!</v>
          </cell>
        </row>
        <row r="698">
          <cell r="A698">
            <v>40142</v>
          </cell>
          <cell r="B698" t="str">
            <v>#Calc</v>
          </cell>
          <cell r="C698" t="e">
            <v>#DIV/0!</v>
          </cell>
          <cell r="D698" t="e">
            <v>#DIV/0!</v>
          </cell>
          <cell r="E698" t="e">
            <v>#DIV/0!</v>
          </cell>
        </row>
        <row r="699">
          <cell r="A699">
            <v>40143</v>
          </cell>
          <cell r="B699" t="str">
            <v>#Calc</v>
          </cell>
          <cell r="C699" t="e">
            <v>#DIV/0!</v>
          </cell>
          <cell r="D699" t="e">
            <v>#DIV/0!</v>
          </cell>
          <cell r="E699" t="e">
            <v>#DIV/0!</v>
          </cell>
        </row>
        <row r="700">
          <cell r="A700">
            <v>40144</v>
          </cell>
          <cell r="B700" t="str">
            <v>#Calc</v>
          </cell>
          <cell r="C700" t="e">
            <v>#DIV/0!</v>
          </cell>
          <cell r="D700" t="e">
            <v>#DIV/0!</v>
          </cell>
          <cell r="E700" t="e">
            <v>#DIV/0!</v>
          </cell>
        </row>
        <row r="701">
          <cell r="A701">
            <v>40145</v>
          </cell>
          <cell r="B701" t="str">
            <v>#Calc</v>
          </cell>
          <cell r="C701" t="e">
            <v>#DIV/0!</v>
          </cell>
          <cell r="D701" t="e">
            <v>#DIV/0!</v>
          </cell>
          <cell r="E701" t="e">
            <v>#DIV/0!</v>
          </cell>
        </row>
        <row r="702">
          <cell r="A702">
            <v>40146</v>
          </cell>
          <cell r="B702" t="str">
            <v>#Calc</v>
          </cell>
          <cell r="C702" t="e">
            <v>#DIV/0!</v>
          </cell>
          <cell r="D702" t="e">
            <v>#DIV/0!</v>
          </cell>
          <cell r="E702" t="e">
            <v>#DIV/0!</v>
          </cell>
        </row>
        <row r="703">
          <cell r="A703">
            <v>40147</v>
          </cell>
          <cell r="B703" t="str">
            <v>#Calc</v>
          </cell>
          <cell r="C703" t="e">
            <v>#DIV/0!</v>
          </cell>
          <cell r="D703" t="e">
            <v>#DIV/0!</v>
          </cell>
          <cell r="E703" t="e">
            <v>#DIV/0!</v>
          </cell>
        </row>
        <row r="704">
          <cell r="A704">
            <v>40148</v>
          </cell>
          <cell r="B704" t="str">
            <v>#Calc</v>
          </cell>
          <cell r="C704" t="e">
            <v>#DIV/0!</v>
          </cell>
          <cell r="D704" t="e">
            <v>#DIV/0!</v>
          </cell>
          <cell r="E704" t="e">
            <v>#DIV/0!</v>
          </cell>
        </row>
        <row r="705">
          <cell r="A705">
            <v>40149</v>
          </cell>
          <cell r="B705" t="str">
            <v>#Calc</v>
          </cell>
          <cell r="C705" t="e">
            <v>#DIV/0!</v>
          </cell>
          <cell r="D705" t="e">
            <v>#DIV/0!</v>
          </cell>
          <cell r="E705" t="e">
            <v>#DIV/0!</v>
          </cell>
        </row>
        <row r="706">
          <cell r="A706">
            <v>40150</v>
          </cell>
          <cell r="B706" t="str">
            <v>#Calc</v>
          </cell>
          <cell r="C706" t="e">
            <v>#DIV/0!</v>
          </cell>
          <cell r="D706" t="e">
            <v>#DIV/0!</v>
          </cell>
          <cell r="E706" t="e">
            <v>#DIV/0!</v>
          </cell>
        </row>
        <row r="707">
          <cell r="A707">
            <v>40151</v>
          </cell>
          <cell r="B707" t="str">
            <v>#Calc</v>
          </cell>
          <cell r="C707" t="e">
            <v>#DIV/0!</v>
          </cell>
          <cell r="D707" t="e">
            <v>#DIV/0!</v>
          </cell>
          <cell r="E707" t="e">
            <v>#DIV/0!</v>
          </cell>
        </row>
        <row r="708">
          <cell r="A708">
            <v>40152</v>
          </cell>
          <cell r="B708" t="str">
            <v>#Calc</v>
          </cell>
          <cell r="C708" t="e">
            <v>#DIV/0!</v>
          </cell>
          <cell r="D708" t="e">
            <v>#DIV/0!</v>
          </cell>
          <cell r="E708" t="e">
            <v>#DIV/0!</v>
          </cell>
        </row>
        <row r="709">
          <cell r="A709">
            <v>40153</v>
          </cell>
          <cell r="B709" t="str">
            <v>#Calc</v>
          </cell>
          <cell r="C709" t="e">
            <v>#DIV/0!</v>
          </cell>
          <cell r="D709" t="e">
            <v>#DIV/0!</v>
          </cell>
          <cell r="E709" t="e">
            <v>#DIV/0!</v>
          </cell>
        </row>
        <row r="710">
          <cell r="A710">
            <v>40154</v>
          </cell>
          <cell r="B710" t="str">
            <v>#Calc</v>
          </cell>
          <cell r="C710" t="e">
            <v>#DIV/0!</v>
          </cell>
          <cell r="D710" t="e">
            <v>#DIV/0!</v>
          </cell>
          <cell r="E710" t="e">
            <v>#DIV/0!</v>
          </cell>
        </row>
        <row r="711">
          <cell r="A711">
            <v>40155</v>
          </cell>
          <cell r="B711" t="str">
            <v>#Calc</v>
          </cell>
          <cell r="C711" t="e">
            <v>#DIV/0!</v>
          </cell>
          <cell r="D711" t="e">
            <v>#DIV/0!</v>
          </cell>
          <cell r="E711" t="e">
            <v>#DIV/0!</v>
          </cell>
        </row>
        <row r="712">
          <cell r="A712">
            <v>40156</v>
          </cell>
          <cell r="B712" t="str">
            <v>#Calc</v>
          </cell>
          <cell r="C712" t="e">
            <v>#DIV/0!</v>
          </cell>
          <cell r="D712" t="e">
            <v>#DIV/0!</v>
          </cell>
          <cell r="E712" t="e">
            <v>#DIV/0!</v>
          </cell>
        </row>
        <row r="713">
          <cell r="A713">
            <v>40157</v>
          </cell>
          <cell r="B713" t="str">
            <v>#Calc</v>
          </cell>
          <cell r="C713" t="e">
            <v>#DIV/0!</v>
          </cell>
          <cell r="D713" t="e">
            <v>#DIV/0!</v>
          </cell>
          <cell r="E713" t="e">
            <v>#DIV/0!</v>
          </cell>
        </row>
        <row r="714">
          <cell r="A714">
            <v>40158</v>
          </cell>
          <cell r="B714" t="str">
            <v>#Calc</v>
          </cell>
          <cell r="C714" t="e">
            <v>#DIV/0!</v>
          </cell>
          <cell r="D714" t="e">
            <v>#DIV/0!</v>
          </cell>
          <cell r="E714" t="e">
            <v>#DIV/0!</v>
          </cell>
        </row>
        <row r="715">
          <cell r="A715">
            <v>40159</v>
          </cell>
          <cell r="B715" t="str">
            <v>#Calc</v>
          </cell>
          <cell r="C715" t="e">
            <v>#DIV/0!</v>
          </cell>
          <cell r="D715" t="e">
            <v>#DIV/0!</v>
          </cell>
          <cell r="E715" t="e">
            <v>#DIV/0!</v>
          </cell>
        </row>
        <row r="716">
          <cell r="A716">
            <v>40160</v>
          </cell>
          <cell r="B716" t="str">
            <v>#Calc</v>
          </cell>
          <cell r="C716" t="e">
            <v>#DIV/0!</v>
          </cell>
          <cell r="D716" t="e">
            <v>#DIV/0!</v>
          </cell>
          <cell r="E716" t="e">
            <v>#DIV/0!</v>
          </cell>
        </row>
        <row r="717">
          <cell r="A717">
            <v>40161</v>
          </cell>
          <cell r="B717" t="str">
            <v>#Calc</v>
          </cell>
          <cell r="C717" t="e">
            <v>#DIV/0!</v>
          </cell>
          <cell r="D717" t="e">
            <v>#DIV/0!</v>
          </cell>
          <cell r="E717" t="e">
            <v>#DIV/0!</v>
          </cell>
        </row>
        <row r="718">
          <cell r="A718">
            <v>40162</v>
          </cell>
          <cell r="B718" t="str">
            <v>#Calc</v>
          </cell>
          <cell r="C718" t="e">
            <v>#DIV/0!</v>
          </cell>
          <cell r="D718" t="e">
            <v>#DIV/0!</v>
          </cell>
          <cell r="E718" t="e">
            <v>#DIV/0!</v>
          </cell>
        </row>
        <row r="719">
          <cell r="A719">
            <v>40163</v>
          </cell>
          <cell r="B719" t="str">
            <v>#Calc</v>
          </cell>
          <cell r="C719" t="e">
            <v>#DIV/0!</v>
          </cell>
          <cell r="D719" t="e">
            <v>#DIV/0!</v>
          </cell>
          <cell r="E719" t="e">
            <v>#DIV/0!</v>
          </cell>
        </row>
        <row r="720">
          <cell r="A720">
            <v>40164</v>
          </cell>
          <cell r="B720" t="str">
            <v>#Calc</v>
          </cell>
          <cell r="C720" t="e">
            <v>#DIV/0!</v>
          </cell>
          <cell r="D720" t="e">
            <v>#DIV/0!</v>
          </cell>
          <cell r="E720" t="e">
            <v>#DIV/0!</v>
          </cell>
        </row>
        <row r="721">
          <cell r="A721">
            <v>40165</v>
          </cell>
          <cell r="B721" t="str">
            <v>#Calc</v>
          </cell>
          <cell r="C721" t="e">
            <v>#DIV/0!</v>
          </cell>
          <cell r="D721" t="e">
            <v>#DIV/0!</v>
          </cell>
          <cell r="E721" t="e">
            <v>#DIV/0!</v>
          </cell>
        </row>
        <row r="722">
          <cell r="A722">
            <v>40166</v>
          </cell>
          <cell r="B722" t="str">
            <v>#Calc</v>
          </cell>
          <cell r="C722" t="e">
            <v>#DIV/0!</v>
          </cell>
          <cell r="D722" t="e">
            <v>#DIV/0!</v>
          </cell>
          <cell r="E722" t="e">
            <v>#DIV/0!</v>
          </cell>
        </row>
        <row r="723">
          <cell r="A723">
            <v>40167</v>
          </cell>
          <cell r="B723" t="str">
            <v>#Calc</v>
          </cell>
          <cell r="C723" t="e">
            <v>#DIV/0!</v>
          </cell>
          <cell r="D723" t="e">
            <v>#DIV/0!</v>
          </cell>
          <cell r="E723" t="e">
            <v>#DIV/0!</v>
          </cell>
        </row>
        <row r="724">
          <cell r="A724">
            <v>40168</v>
          </cell>
          <cell r="B724" t="str">
            <v>#Calc</v>
          </cell>
          <cell r="C724" t="e">
            <v>#DIV/0!</v>
          </cell>
          <cell r="D724" t="e">
            <v>#DIV/0!</v>
          </cell>
          <cell r="E724" t="e">
            <v>#DIV/0!</v>
          </cell>
        </row>
        <row r="725">
          <cell r="A725">
            <v>40169</v>
          </cell>
          <cell r="B725" t="str">
            <v>#Calc</v>
          </cell>
          <cell r="C725" t="e">
            <v>#DIV/0!</v>
          </cell>
          <cell r="D725" t="e">
            <v>#DIV/0!</v>
          </cell>
          <cell r="E725" t="e">
            <v>#DIV/0!</v>
          </cell>
        </row>
        <row r="726">
          <cell r="A726">
            <v>40170</v>
          </cell>
          <cell r="B726" t="str">
            <v>#Calc</v>
          </cell>
          <cell r="C726" t="e">
            <v>#DIV/0!</v>
          </cell>
          <cell r="D726" t="e">
            <v>#DIV/0!</v>
          </cell>
          <cell r="E726" t="e">
            <v>#DIV/0!</v>
          </cell>
        </row>
        <row r="727">
          <cell r="A727">
            <v>40171</v>
          </cell>
          <cell r="B727" t="str">
            <v>#Calc</v>
          </cell>
          <cell r="C727" t="e">
            <v>#DIV/0!</v>
          </cell>
          <cell r="D727" t="e">
            <v>#DIV/0!</v>
          </cell>
          <cell r="E727" t="e">
            <v>#DIV/0!</v>
          </cell>
        </row>
        <row r="728">
          <cell r="A728">
            <v>40172</v>
          </cell>
          <cell r="B728" t="str">
            <v>#Calc</v>
          </cell>
          <cell r="C728" t="e">
            <v>#DIV/0!</v>
          </cell>
          <cell r="D728" t="e">
            <v>#DIV/0!</v>
          </cell>
          <cell r="E728" t="e">
            <v>#DIV/0!</v>
          </cell>
        </row>
        <row r="729">
          <cell r="A729">
            <v>40173</v>
          </cell>
          <cell r="B729" t="str">
            <v>#Calc</v>
          </cell>
          <cell r="C729" t="e">
            <v>#DIV/0!</v>
          </cell>
          <cell r="D729" t="e">
            <v>#DIV/0!</v>
          </cell>
          <cell r="E729" t="e">
            <v>#DIV/0!</v>
          </cell>
        </row>
        <row r="730">
          <cell r="A730">
            <v>40174</v>
          </cell>
          <cell r="B730" t="str">
            <v>#Calc</v>
          </cell>
          <cell r="C730" t="e">
            <v>#DIV/0!</v>
          </cell>
          <cell r="D730" t="e">
            <v>#DIV/0!</v>
          </cell>
          <cell r="E730" t="e">
            <v>#DIV/0!</v>
          </cell>
        </row>
        <row r="731">
          <cell r="A731">
            <v>40175</v>
          </cell>
          <cell r="B731" t="str">
            <v>#Calc</v>
          </cell>
          <cell r="C731" t="e">
            <v>#DIV/0!</v>
          </cell>
          <cell r="D731" t="e">
            <v>#DIV/0!</v>
          </cell>
          <cell r="E731" t="e">
            <v>#DIV/0!</v>
          </cell>
        </row>
        <row r="732">
          <cell r="A732">
            <v>40176</v>
          </cell>
          <cell r="B732" t="str">
            <v>#Calc</v>
          </cell>
          <cell r="C732" t="e">
            <v>#DIV/0!</v>
          </cell>
          <cell r="D732" t="e">
            <v>#DIV/0!</v>
          </cell>
          <cell r="E732" t="e">
            <v>#DIV/0!</v>
          </cell>
        </row>
        <row r="733">
          <cell r="A733">
            <v>40177</v>
          </cell>
          <cell r="B733" t="str">
            <v>#Calc</v>
          </cell>
          <cell r="C733" t="e">
            <v>#DIV/0!</v>
          </cell>
          <cell r="D733" t="e">
            <v>#DIV/0!</v>
          </cell>
          <cell r="E733" t="e">
            <v>#DIV/0!</v>
          </cell>
        </row>
        <row r="734">
          <cell r="A734">
            <v>40178</v>
          </cell>
          <cell r="B734" t="str">
            <v>#Calc</v>
          </cell>
          <cell r="C734" t="e">
            <v>#DIV/0!</v>
          </cell>
          <cell r="D734" t="e">
            <v>#DIV/0!</v>
          </cell>
          <cell r="E734" t="e">
            <v>#DIV/0!</v>
          </cell>
        </row>
        <row r="735">
          <cell r="A735">
            <v>40179</v>
          </cell>
          <cell r="B735" t="str">
            <v>#Calc</v>
          </cell>
          <cell r="C735" t="e">
            <v>#DIV/0!</v>
          </cell>
          <cell r="D735" t="e">
            <v>#DIV/0!</v>
          </cell>
          <cell r="E735" t="e">
            <v>#DIV/0!</v>
          </cell>
        </row>
        <row r="736">
          <cell r="A736">
            <v>40180</v>
          </cell>
          <cell r="B736" t="str">
            <v>#Calc</v>
          </cell>
          <cell r="C736" t="e">
            <v>#DIV/0!</v>
          </cell>
          <cell r="D736" t="e">
            <v>#DIV/0!</v>
          </cell>
          <cell r="E736" t="e">
            <v>#DIV/0!</v>
          </cell>
        </row>
        <row r="737">
          <cell r="A737">
            <v>40181</v>
          </cell>
          <cell r="B737" t="str">
            <v>#Calc</v>
          </cell>
          <cell r="C737" t="e">
            <v>#DIV/0!</v>
          </cell>
          <cell r="D737" t="e">
            <v>#DIV/0!</v>
          </cell>
          <cell r="E737" t="e">
            <v>#DIV/0!</v>
          </cell>
        </row>
        <row r="738">
          <cell r="A738">
            <v>40182</v>
          </cell>
          <cell r="B738" t="str">
            <v>#Calc</v>
          </cell>
          <cell r="C738" t="e">
            <v>#DIV/0!</v>
          </cell>
          <cell r="D738" t="e">
            <v>#DIV/0!</v>
          </cell>
          <cell r="E738" t="e">
            <v>#DIV/0!</v>
          </cell>
        </row>
        <row r="739">
          <cell r="A739">
            <v>40183</v>
          </cell>
          <cell r="B739" t="str">
            <v>#Calc</v>
          </cell>
          <cell r="C739" t="e">
            <v>#DIV/0!</v>
          </cell>
          <cell r="D739" t="e">
            <v>#DIV/0!</v>
          </cell>
          <cell r="E739" t="e">
            <v>#DIV/0!</v>
          </cell>
        </row>
        <row r="740">
          <cell r="A740">
            <v>40184</v>
          </cell>
          <cell r="B740" t="str">
            <v>#Calc</v>
          </cell>
          <cell r="C740" t="e">
            <v>#DIV/0!</v>
          </cell>
          <cell r="D740" t="e">
            <v>#DIV/0!</v>
          </cell>
          <cell r="E740" t="e">
            <v>#DIV/0!</v>
          </cell>
        </row>
        <row r="741">
          <cell r="A741">
            <v>40185</v>
          </cell>
          <cell r="B741" t="str">
            <v>#Calc</v>
          </cell>
          <cell r="C741" t="e">
            <v>#DIV/0!</v>
          </cell>
          <cell r="D741" t="e">
            <v>#DIV/0!</v>
          </cell>
          <cell r="E741" t="e">
            <v>#DIV/0!</v>
          </cell>
        </row>
        <row r="742">
          <cell r="A742">
            <v>40186</v>
          </cell>
          <cell r="B742" t="str">
            <v>#Calc</v>
          </cell>
          <cell r="C742" t="e">
            <v>#DIV/0!</v>
          </cell>
          <cell r="D742" t="e">
            <v>#DIV/0!</v>
          </cell>
          <cell r="E742" t="e">
            <v>#DIV/0!</v>
          </cell>
        </row>
        <row r="743">
          <cell r="A743">
            <v>40187</v>
          </cell>
          <cell r="B743" t="str">
            <v>#Calc</v>
          </cell>
          <cell r="C743" t="e">
            <v>#DIV/0!</v>
          </cell>
          <cell r="D743" t="e">
            <v>#DIV/0!</v>
          </cell>
          <cell r="E743" t="e">
            <v>#DIV/0!</v>
          </cell>
        </row>
        <row r="744">
          <cell r="A744">
            <v>40188</v>
          </cell>
          <cell r="B744" t="str">
            <v>#Calc</v>
          </cell>
          <cell r="C744" t="e">
            <v>#DIV/0!</v>
          </cell>
          <cell r="D744" t="e">
            <v>#DIV/0!</v>
          </cell>
          <cell r="E744" t="e">
            <v>#DIV/0!</v>
          </cell>
        </row>
        <row r="745">
          <cell r="A745">
            <v>40189</v>
          </cell>
          <cell r="B745" t="str">
            <v>#Calc</v>
          </cell>
          <cell r="C745" t="e">
            <v>#DIV/0!</v>
          </cell>
          <cell r="D745" t="e">
            <v>#DIV/0!</v>
          </cell>
          <cell r="E745" t="e">
            <v>#DIV/0!</v>
          </cell>
        </row>
        <row r="746">
          <cell r="A746">
            <v>40190</v>
          </cell>
          <cell r="B746" t="str">
            <v>#Calc</v>
          </cell>
          <cell r="C746" t="e">
            <v>#DIV/0!</v>
          </cell>
          <cell r="D746" t="e">
            <v>#DIV/0!</v>
          </cell>
          <cell r="E746" t="e">
            <v>#DIV/0!</v>
          </cell>
        </row>
        <row r="747">
          <cell r="A747">
            <v>40191</v>
          </cell>
          <cell r="B747" t="str">
            <v>#Calc</v>
          </cell>
          <cell r="C747" t="e">
            <v>#DIV/0!</v>
          </cell>
          <cell r="D747" t="e">
            <v>#DIV/0!</v>
          </cell>
          <cell r="E747" t="e">
            <v>#DIV/0!</v>
          </cell>
        </row>
        <row r="748">
          <cell r="A748">
            <v>40192</v>
          </cell>
          <cell r="B748" t="str">
            <v>#Calc</v>
          </cell>
          <cell r="C748" t="e">
            <v>#DIV/0!</v>
          </cell>
          <cell r="D748" t="e">
            <v>#DIV/0!</v>
          </cell>
          <cell r="E748" t="e">
            <v>#DIV/0!</v>
          </cell>
        </row>
        <row r="749">
          <cell r="A749">
            <v>40193</v>
          </cell>
          <cell r="B749" t="str">
            <v>#Calc</v>
          </cell>
          <cell r="C749" t="e">
            <v>#DIV/0!</v>
          </cell>
          <cell r="D749" t="e">
            <v>#DIV/0!</v>
          </cell>
          <cell r="E749" t="e">
            <v>#DIV/0!</v>
          </cell>
        </row>
        <row r="750">
          <cell r="A750">
            <v>40194</v>
          </cell>
          <cell r="B750" t="str">
            <v>#Calc</v>
          </cell>
          <cell r="C750" t="e">
            <v>#DIV/0!</v>
          </cell>
          <cell r="D750" t="e">
            <v>#DIV/0!</v>
          </cell>
          <cell r="E750" t="e">
            <v>#DIV/0!</v>
          </cell>
        </row>
        <row r="751">
          <cell r="A751">
            <v>40195</v>
          </cell>
          <cell r="B751" t="str">
            <v>#Calc</v>
          </cell>
          <cell r="C751" t="e">
            <v>#DIV/0!</v>
          </cell>
          <cell r="D751" t="e">
            <v>#DIV/0!</v>
          </cell>
          <cell r="E751" t="e">
            <v>#DIV/0!</v>
          </cell>
        </row>
        <row r="752">
          <cell r="A752">
            <v>40196</v>
          </cell>
          <cell r="B752" t="str">
            <v>#Calc</v>
          </cell>
          <cell r="C752" t="e">
            <v>#DIV/0!</v>
          </cell>
          <cell r="D752" t="e">
            <v>#DIV/0!</v>
          </cell>
          <cell r="E752" t="e">
            <v>#DIV/0!</v>
          </cell>
        </row>
        <row r="753">
          <cell r="A753">
            <v>40197</v>
          </cell>
          <cell r="B753" t="str">
            <v>#Calc</v>
          </cell>
          <cell r="C753" t="e">
            <v>#DIV/0!</v>
          </cell>
          <cell r="D753" t="e">
            <v>#DIV/0!</v>
          </cell>
          <cell r="E753" t="e">
            <v>#DIV/0!</v>
          </cell>
        </row>
        <row r="754">
          <cell r="A754">
            <v>40198</v>
          </cell>
          <cell r="B754" t="str">
            <v>#Calc</v>
          </cell>
          <cell r="C754" t="e">
            <v>#DIV/0!</v>
          </cell>
          <cell r="D754" t="e">
            <v>#DIV/0!</v>
          </cell>
          <cell r="E754" t="e">
            <v>#DIV/0!</v>
          </cell>
        </row>
        <row r="755">
          <cell r="A755">
            <v>40199</v>
          </cell>
          <cell r="B755" t="str">
            <v>#Calc</v>
          </cell>
          <cell r="C755" t="e">
            <v>#DIV/0!</v>
          </cell>
          <cell r="D755" t="e">
            <v>#DIV/0!</v>
          </cell>
          <cell r="E755" t="e">
            <v>#DIV/0!</v>
          </cell>
        </row>
        <row r="756">
          <cell r="A756">
            <v>40200</v>
          </cell>
          <cell r="B756" t="str">
            <v>#Calc</v>
          </cell>
          <cell r="C756" t="e">
            <v>#DIV/0!</v>
          </cell>
          <cell r="D756" t="e">
            <v>#DIV/0!</v>
          </cell>
          <cell r="E756" t="e">
            <v>#DIV/0!</v>
          </cell>
        </row>
        <row r="757">
          <cell r="A757">
            <v>40201</v>
          </cell>
          <cell r="B757" t="str">
            <v>#Calc</v>
          </cell>
          <cell r="C757" t="e">
            <v>#DIV/0!</v>
          </cell>
          <cell r="D757" t="e">
            <v>#DIV/0!</v>
          </cell>
          <cell r="E757" t="e">
            <v>#DIV/0!</v>
          </cell>
        </row>
        <row r="758">
          <cell r="A758">
            <v>40202</v>
          </cell>
          <cell r="B758" t="str">
            <v>#Calc</v>
          </cell>
          <cell r="C758" t="e">
            <v>#DIV/0!</v>
          </cell>
          <cell r="D758" t="e">
            <v>#DIV/0!</v>
          </cell>
          <cell r="E758" t="e">
            <v>#DIV/0!</v>
          </cell>
        </row>
        <row r="759">
          <cell r="A759">
            <v>40203</v>
          </cell>
          <cell r="B759" t="str">
            <v>#Calc</v>
          </cell>
          <cell r="C759" t="e">
            <v>#DIV/0!</v>
          </cell>
          <cell r="D759" t="e">
            <v>#DIV/0!</v>
          </cell>
          <cell r="E759" t="e">
            <v>#DIV/0!</v>
          </cell>
        </row>
        <row r="760">
          <cell r="A760">
            <v>40204</v>
          </cell>
          <cell r="B760" t="str">
            <v>#Calc</v>
          </cell>
          <cell r="C760" t="e">
            <v>#DIV/0!</v>
          </cell>
          <cell r="D760" t="e">
            <v>#DIV/0!</v>
          </cell>
          <cell r="E760" t="e">
            <v>#DIV/0!</v>
          </cell>
        </row>
        <row r="761">
          <cell r="A761">
            <v>40205</v>
          </cell>
          <cell r="B761" t="str">
            <v>#Calc</v>
          </cell>
          <cell r="C761" t="e">
            <v>#DIV/0!</v>
          </cell>
          <cell r="D761" t="e">
            <v>#DIV/0!</v>
          </cell>
          <cell r="E761" t="e">
            <v>#DIV/0!</v>
          </cell>
        </row>
        <row r="762">
          <cell r="A762">
            <v>40206</v>
          </cell>
          <cell r="B762" t="str">
            <v>#Calc</v>
          </cell>
          <cell r="C762" t="e">
            <v>#DIV/0!</v>
          </cell>
          <cell r="D762" t="e">
            <v>#DIV/0!</v>
          </cell>
          <cell r="E762" t="e">
            <v>#DIV/0!</v>
          </cell>
        </row>
        <row r="763">
          <cell r="A763">
            <v>40207</v>
          </cell>
          <cell r="B763" t="str">
            <v>#Calc</v>
          </cell>
          <cell r="C763" t="e">
            <v>#DIV/0!</v>
          </cell>
          <cell r="D763" t="e">
            <v>#DIV/0!</v>
          </cell>
          <cell r="E763" t="e">
            <v>#DIV/0!</v>
          </cell>
        </row>
        <row r="764">
          <cell r="A764">
            <v>40208</v>
          </cell>
          <cell r="B764" t="str">
            <v>#Calc</v>
          </cell>
          <cell r="C764" t="e">
            <v>#DIV/0!</v>
          </cell>
          <cell r="D764" t="e">
            <v>#DIV/0!</v>
          </cell>
          <cell r="E764" t="e">
            <v>#DIV/0!</v>
          </cell>
        </row>
        <row r="765">
          <cell r="A765">
            <v>40209</v>
          </cell>
          <cell r="B765" t="str">
            <v>#Calc</v>
          </cell>
          <cell r="C765" t="e">
            <v>#DIV/0!</v>
          </cell>
          <cell r="D765" t="e">
            <v>#DIV/0!</v>
          </cell>
          <cell r="E765" t="e">
            <v>#DIV/0!</v>
          </cell>
        </row>
        <row r="766">
          <cell r="A766">
            <v>40210</v>
          </cell>
          <cell r="B766" t="str">
            <v>#Calc</v>
          </cell>
          <cell r="C766" t="e">
            <v>#DIV/0!</v>
          </cell>
          <cell r="D766" t="e">
            <v>#DIV/0!</v>
          </cell>
          <cell r="E766" t="e">
            <v>#DIV/0!</v>
          </cell>
        </row>
        <row r="767">
          <cell r="A767">
            <v>40211</v>
          </cell>
          <cell r="B767" t="str">
            <v>#Calc</v>
          </cell>
          <cell r="C767" t="e">
            <v>#DIV/0!</v>
          </cell>
          <cell r="D767" t="e">
            <v>#DIV/0!</v>
          </cell>
          <cell r="E767" t="e">
            <v>#DIV/0!</v>
          </cell>
        </row>
        <row r="768">
          <cell r="A768">
            <v>40212</v>
          </cell>
          <cell r="B768" t="str">
            <v>#Calc</v>
          </cell>
          <cell r="C768" t="e">
            <v>#DIV/0!</v>
          </cell>
          <cell r="D768" t="e">
            <v>#DIV/0!</v>
          </cell>
          <cell r="E768" t="e">
            <v>#DIV/0!</v>
          </cell>
        </row>
        <row r="769">
          <cell r="A769">
            <v>40213</v>
          </cell>
          <cell r="B769" t="str">
            <v>#Calc</v>
          </cell>
          <cell r="C769" t="e">
            <v>#DIV/0!</v>
          </cell>
          <cell r="D769" t="e">
            <v>#DIV/0!</v>
          </cell>
          <cell r="E769" t="e">
            <v>#DIV/0!</v>
          </cell>
        </row>
        <row r="770">
          <cell r="A770">
            <v>40214</v>
          </cell>
          <cell r="B770" t="str">
            <v>#Calc</v>
          </cell>
          <cell r="C770" t="e">
            <v>#DIV/0!</v>
          </cell>
          <cell r="D770" t="e">
            <v>#DIV/0!</v>
          </cell>
          <cell r="E770" t="e">
            <v>#DIV/0!</v>
          </cell>
        </row>
        <row r="771">
          <cell r="A771">
            <v>40215</v>
          </cell>
          <cell r="B771" t="str">
            <v>#Calc</v>
          </cell>
          <cell r="C771" t="e">
            <v>#DIV/0!</v>
          </cell>
          <cell r="D771" t="e">
            <v>#DIV/0!</v>
          </cell>
          <cell r="E771" t="e">
            <v>#DIV/0!</v>
          </cell>
        </row>
        <row r="772">
          <cell r="A772">
            <v>40216</v>
          </cell>
          <cell r="B772" t="str">
            <v>#Calc</v>
          </cell>
          <cell r="C772" t="e">
            <v>#DIV/0!</v>
          </cell>
          <cell r="D772" t="e">
            <v>#DIV/0!</v>
          </cell>
          <cell r="E772" t="e">
            <v>#DIV/0!</v>
          </cell>
        </row>
        <row r="773">
          <cell r="A773">
            <v>40217</v>
          </cell>
          <cell r="B773" t="str">
            <v>#Calc</v>
          </cell>
          <cell r="C773" t="e">
            <v>#DIV/0!</v>
          </cell>
          <cell r="D773" t="e">
            <v>#DIV/0!</v>
          </cell>
          <cell r="E773" t="e">
            <v>#DIV/0!</v>
          </cell>
        </row>
        <row r="774">
          <cell r="A774">
            <v>40218</v>
          </cell>
          <cell r="B774" t="str">
            <v>#Calc</v>
          </cell>
          <cell r="C774" t="e">
            <v>#DIV/0!</v>
          </cell>
          <cell r="D774" t="e">
            <v>#DIV/0!</v>
          </cell>
          <cell r="E774" t="e">
            <v>#DIV/0!</v>
          </cell>
        </row>
        <row r="775">
          <cell r="A775">
            <v>40219</v>
          </cell>
          <cell r="B775" t="str">
            <v>#Calc</v>
          </cell>
          <cell r="C775" t="e">
            <v>#DIV/0!</v>
          </cell>
          <cell r="D775" t="e">
            <v>#DIV/0!</v>
          </cell>
          <cell r="E775" t="e">
            <v>#DIV/0!</v>
          </cell>
        </row>
        <row r="776">
          <cell r="A776">
            <v>40220</v>
          </cell>
          <cell r="B776" t="str">
            <v>#Calc</v>
          </cell>
          <cell r="C776" t="e">
            <v>#DIV/0!</v>
          </cell>
          <cell r="D776" t="e">
            <v>#DIV/0!</v>
          </cell>
          <cell r="E776" t="e">
            <v>#DIV/0!</v>
          </cell>
        </row>
        <row r="777">
          <cell r="A777">
            <v>40221</v>
          </cell>
          <cell r="B777" t="str">
            <v>#Calc</v>
          </cell>
          <cell r="C777" t="e">
            <v>#DIV/0!</v>
          </cell>
          <cell r="D777" t="e">
            <v>#DIV/0!</v>
          </cell>
          <cell r="E777" t="e">
            <v>#DIV/0!</v>
          </cell>
        </row>
        <row r="778">
          <cell r="A778">
            <v>40222</v>
          </cell>
          <cell r="B778" t="str">
            <v>#Calc</v>
          </cell>
          <cell r="C778" t="e">
            <v>#DIV/0!</v>
          </cell>
          <cell r="D778" t="e">
            <v>#DIV/0!</v>
          </cell>
          <cell r="E778" t="e">
            <v>#DIV/0!</v>
          </cell>
        </row>
        <row r="779">
          <cell r="A779">
            <v>40223</v>
          </cell>
          <cell r="B779" t="str">
            <v>#Calc</v>
          </cell>
          <cell r="C779" t="e">
            <v>#DIV/0!</v>
          </cell>
          <cell r="D779" t="e">
            <v>#DIV/0!</v>
          </cell>
          <cell r="E779" t="e">
            <v>#DIV/0!</v>
          </cell>
        </row>
        <row r="780">
          <cell r="A780">
            <v>40224</v>
          </cell>
          <cell r="B780" t="str">
            <v>#Calc</v>
          </cell>
          <cell r="C780" t="e">
            <v>#DIV/0!</v>
          </cell>
          <cell r="D780" t="e">
            <v>#DIV/0!</v>
          </cell>
          <cell r="E780" t="e">
            <v>#DIV/0!</v>
          </cell>
        </row>
        <row r="781">
          <cell r="A781">
            <v>40225</v>
          </cell>
          <cell r="B781" t="str">
            <v>#Calc</v>
          </cell>
          <cell r="C781" t="e">
            <v>#DIV/0!</v>
          </cell>
          <cell r="D781" t="e">
            <v>#DIV/0!</v>
          </cell>
          <cell r="E781" t="e">
            <v>#DIV/0!</v>
          </cell>
        </row>
        <row r="782">
          <cell r="A782">
            <v>40226</v>
          </cell>
          <cell r="B782" t="str">
            <v>#Calc</v>
          </cell>
          <cell r="C782" t="e">
            <v>#DIV/0!</v>
          </cell>
          <cell r="D782" t="e">
            <v>#DIV/0!</v>
          </cell>
          <cell r="E782" t="e">
            <v>#DIV/0!</v>
          </cell>
        </row>
        <row r="783">
          <cell r="A783">
            <v>40227</v>
          </cell>
          <cell r="B783" t="str">
            <v>#Calc</v>
          </cell>
          <cell r="C783" t="e">
            <v>#DIV/0!</v>
          </cell>
          <cell r="D783" t="e">
            <v>#DIV/0!</v>
          </cell>
          <cell r="E783" t="e">
            <v>#DIV/0!</v>
          </cell>
        </row>
        <row r="784">
          <cell r="A784">
            <v>40228</v>
          </cell>
          <cell r="B784" t="str">
            <v>#Calc</v>
          </cell>
          <cell r="C784" t="e">
            <v>#DIV/0!</v>
          </cell>
          <cell r="D784" t="e">
            <v>#DIV/0!</v>
          </cell>
          <cell r="E784" t="e">
            <v>#DIV/0!</v>
          </cell>
        </row>
        <row r="785">
          <cell r="A785">
            <v>40229</v>
          </cell>
          <cell r="B785" t="str">
            <v>#Calc</v>
          </cell>
          <cell r="C785" t="e">
            <v>#DIV/0!</v>
          </cell>
          <cell r="D785" t="e">
            <v>#DIV/0!</v>
          </cell>
          <cell r="E785" t="e">
            <v>#DIV/0!</v>
          </cell>
        </row>
        <row r="786">
          <cell r="A786">
            <v>40230</v>
          </cell>
          <cell r="B786" t="str">
            <v>#Calc</v>
          </cell>
          <cell r="C786" t="e">
            <v>#DIV/0!</v>
          </cell>
          <cell r="D786" t="e">
            <v>#DIV/0!</v>
          </cell>
          <cell r="E786" t="e">
            <v>#DIV/0!</v>
          </cell>
        </row>
        <row r="787">
          <cell r="A787">
            <v>40231</v>
          </cell>
          <cell r="B787" t="str">
            <v>#Calc</v>
          </cell>
          <cell r="C787" t="e">
            <v>#DIV/0!</v>
          </cell>
          <cell r="D787" t="e">
            <v>#DIV/0!</v>
          </cell>
          <cell r="E787" t="e">
            <v>#DIV/0!</v>
          </cell>
        </row>
        <row r="788">
          <cell r="A788">
            <v>40232</v>
          </cell>
          <cell r="B788" t="str">
            <v>#Calc</v>
          </cell>
          <cell r="C788" t="e">
            <v>#DIV/0!</v>
          </cell>
          <cell r="D788" t="e">
            <v>#DIV/0!</v>
          </cell>
          <cell r="E788" t="e">
            <v>#DIV/0!</v>
          </cell>
        </row>
        <row r="789">
          <cell r="A789">
            <v>40233</v>
          </cell>
          <cell r="B789" t="str">
            <v>#Calc</v>
          </cell>
          <cell r="C789" t="e">
            <v>#DIV/0!</v>
          </cell>
          <cell r="D789" t="e">
            <v>#DIV/0!</v>
          </cell>
          <cell r="E789" t="e">
            <v>#DIV/0!</v>
          </cell>
        </row>
        <row r="790">
          <cell r="A790">
            <v>40234</v>
          </cell>
          <cell r="B790" t="str">
            <v>#Calc</v>
          </cell>
          <cell r="C790" t="e">
            <v>#DIV/0!</v>
          </cell>
          <cell r="D790" t="e">
            <v>#DIV/0!</v>
          </cell>
          <cell r="E790" t="e">
            <v>#DIV/0!</v>
          </cell>
        </row>
        <row r="791">
          <cell r="A791">
            <v>40235</v>
          </cell>
          <cell r="B791" t="str">
            <v>#Calc</v>
          </cell>
          <cell r="C791" t="e">
            <v>#DIV/0!</v>
          </cell>
          <cell r="D791" t="e">
            <v>#DIV/0!</v>
          </cell>
          <cell r="E791" t="e">
            <v>#DIV/0!</v>
          </cell>
        </row>
        <row r="792">
          <cell r="A792">
            <v>40236</v>
          </cell>
          <cell r="B792" t="str">
            <v>#Calc</v>
          </cell>
          <cell r="C792" t="e">
            <v>#DIV/0!</v>
          </cell>
          <cell r="D792" t="e">
            <v>#DIV/0!</v>
          </cell>
          <cell r="E792" t="e">
            <v>#DIV/0!</v>
          </cell>
        </row>
        <row r="793">
          <cell r="A793">
            <v>40237</v>
          </cell>
          <cell r="B793" t="str">
            <v>#Calc</v>
          </cell>
          <cell r="C793" t="e">
            <v>#DIV/0!</v>
          </cell>
          <cell r="D793" t="e">
            <v>#DIV/0!</v>
          </cell>
          <cell r="E793" t="e">
            <v>#DIV/0!</v>
          </cell>
        </row>
        <row r="794">
          <cell r="A794">
            <v>40238</v>
          </cell>
          <cell r="B794" t="str">
            <v>#Calc</v>
          </cell>
          <cell r="C794" t="e">
            <v>#DIV/0!</v>
          </cell>
          <cell r="D794" t="e">
            <v>#DIV/0!</v>
          </cell>
          <cell r="E794" t="e">
            <v>#DIV/0!</v>
          </cell>
        </row>
        <row r="795">
          <cell r="A795">
            <v>40239</v>
          </cell>
          <cell r="B795" t="str">
            <v>#Calc</v>
          </cell>
          <cell r="C795" t="e">
            <v>#DIV/0!</v>
          </cell>
          <cell r="D795" t="e">
            <v>#DIV/0!</v>
          </cell>
          <cell r="E795" t="e">
            <v>#DIV/0!</v>
          </cell>
        </row>
        <row r="796">
          <cell r="A796">
            <v>40240</v>
          </cell>
          <cell r="B796" t="str">
            <v>#Calc</v>
          </cell>
          <cell r="C796" t="e">
            <v>#DIV/0!</v>
          </cell>
          <cell r="D796" t="e">
            <v>#DIV/0!</v>
          </cell>
          <cell r="E796" t="e">
            <v>#DIV/0!</v>
          </cell>
        </row>
        <row r="797">
          <cell r="A797">
            <v>40241</v>
          </cell>
          <cell r="B797" t="str">
            <v>#Calc</v>
          </cell>
          <cell r="C797" t="e">
            <v>#DIV/0!</v>
          </cell>
          <cell r="D797" t="e">
            <v>#DIV/0!</v>
          </cell>
          <cell r="E797" t="e">
            <v>#DIV/0!</v>
          </cell>
        </row>
        <row r="798">
          <cell r="A798">
            <v>40242</v>
          </cell>
          <cell r="B798" t="str">
            <v>#Calc</v>
          </cell>
          <cell r="C798" t="e">
            <v>#DIV/0!</v>
          </cell>
          <cell r="D798" t="e">
            <v>#DIV/0!</v>
          </cell>
          <cell r="E798" t="e">
            <v>#DIV/0!</v>
          </cell>
        </row>
        <row r="799">
          <cell r="A799">
            <v>40243</v>
          </cell>
          <cell r="B799" t="str">
            <v>#Calc</v>
          </cell>
          <cell r="C799" t="e">
            <v>#DIV/0!</v>
          </cell>
          <cell r="D799" t="e">
            <v>#DIV/0!</v>
          </cell>
          <cell r="E799" t="e">
            <v>#DIV/0!</v>
          </cell>
        </row>
        <row r="800">
          <cell r="A800">
            <v>40244</v>
          </cell>
          <cell r="B800" t="str">
            <v>#Calc</v>
          </cell>
          <cell r="C800" t="e">
            <v>#DIV/0!</v>
          </cell>
          <cell r="D800" t="e">
            <v>#DIV/0!</v>
          </cell>
          <cell r="E800" t="e">
            <v>#DIV/0!</v>
          </cell>
        </row>
        <row r="801">
          <cell r="A801">
            <v>40245</v>
          </cell>
          <cell r="B801" t="str">
            <v>#Calc</v>
          </cell>
          <cell r="C801" t="e">
            <v>#DIV/0!</v>
          </cell>
          <cell r="D801" t="e">
            <v>#DIV/0!</v>
          </cell>
          <cell r="E801" t="e">
            <v>#DIV/0!</v>
          </cell>
        </row>
        <row r="802">
          <cell r="A802">
            <v>40246</v>
          </cell>
          <cell r="B802" t="str">
            <v>#Calc</v>
          </cell>
          <cell r="C802" t="e">
            <v>#DIV/0!</v>
          </cell>
          <cell r="D802" t="e">
            <v>#DIV/0!</v>
          </cell>
          <cell r="E802" t="e">
            <v>#DIV/0!</v>
          </cell>
        </row>
        <row r="803">
          <cell r="A803">
            <v>40247</v>
          </cell>
          <cell r="B803" t="str">
            <v>#Calc</v>
          </cell>
          <cell r="C803" t="e">
            <v>#DIV/0!</v>
          </cell>
          <cell r="D803" t="e">
            <v>#DIV/0!</v>
          </cell>
          <cell r="E803" t="e">
            <v>#DIV/0!</v>
          </cell>
        </row>
        <row r="804">
          <cell r="A804">
            <v>40248</v>
          </cell>
          <cell r="B804" t="str">
            <v>#Calc</v>
          </cell>
          <cell r="C804" t="e">
            <v>#DIV/0!</v>
          </cell>
          <cell r="D804" t="e">
            <v>#DIV/0!</v>
          </cell>
          <cell r="E804" t="e">
            <v>#DIV/0!</v>
          </cell>
        </row>
        <row r="805">
          <cell r="A805">
            <v>40249</v>
          </cell>
          <cell r="B805" t="str">
            <v>#Calc</v>
          </cell>
          <cell r="C805" t="e">
            <v>#DIV/0!</v>
          </cell>
          <cell r="D805" t="e">
            <v>#DIV/0!</v>
          </cell>
          <cell r="E805" t="e">
            <v>#DIV/0!</v>
          </cell>
        </row>
        <row r="806">
          <cell r="A806">
            <v>40250</v>
          </cell>
          <cell r="B806" t="str">
            <v>#Calc</v>
          </cell>
          <cell r="C806" t="e">
            <v>#DIV/0!</v>
          </cell>
          <cell r="D806" t="e">
            <v>#DIV/0!</v>
          </cell>
          <cell r="E806" t="e">
            <v>#DIV/0!</v>
          </cell>
        </row>
        <row r="807">
          <cell r="A807">
            <v>40251</v>
          </cell>
          <cell r="B807" t="str">
            <v>#Calc</v>
          </cell>
          <cell r="C807" t="e">
            <v>#DIV/0!</v>
          </cell>
          <cell r="D807" t="e">
            <v>#DIV/0!</v>
          </cell>
          <cell r="E807" t="e">
            <v>#DIV/0!</v>
          </cell>
        </row>
        <row r="808">
          <cell r="A808">
            <v>40252</v>
          </cell>
          <cell r="B808" t="str">
            <v>#Calc</v>
          </cell>
          <cell r="C808" t="e">
            <v>#DIV/0!</v>
          </cell>
          <cell r="D808" t="e">
            <v>#DIV/0!</v>
          </cell>
          <cell r="E808" t="e">
            <v>#DIV/0!</v>
          </cell>
        </row>
        <row r="809">
          <cell r="A809">
            <v>40253</v>
          </cell>
          <cell r="B809" t="str">
            <v>#Calc</v>
          </cell>
          <cell r="C809" t="e">
            <v>#DIV/0!</v>
          </cell>
          <cell r="D809" t="e">
            <v>#DIV/0!</v>
          </cell>
          <cell r="E809" t="e">
            <v>#DIV/0!</v>
          </cell>
        </row>
        <row r="810">
          <cell r="A810">
            <v>40254</v>
          </cell>
          <cell r="B810" t="str">
            <v>#Calc</v>
          </cell>
          <cell r="C810" t="e">
            <v>#DIV/0!</v>
          </cell>
          <cell r="D810" t="e">
            <v>#DIV/0!</v>
          </cell>
          <cell r="E810" t="e">
            <v>#DIV/0!</v>
          </cell>
        </row>
        <row r="811">
          <cell r="A811">
            <v>40255</v>
          </cell>
          <cell r="B811" t="str">
            <v>#Calc</v>
          </cell>
          <cell r="C811" t="e">
            <v>#DIV/0!</v>
          </cell>
          <cell r="D811" t="e">
            <v>#DIV/0!</v>
          </cell>
          <cell r="E811" t="e">
            <v>#DIV/0!</v>
          </cell>
        </row>
        <row r="812">
          <cell r="A812">
            <v>40256</v>
          </cell>
          <cell r="B812" t="str">
            <v>#Calc</v>
          </cell>
          <cell r="C812" t="e">
            <v>#DIV/0!</v>
          </cell>
          <cell r="D812" t="e">
            <v>#DIV/0!</v>
          </cell>
          <cell r="E812" t="e">
            <v>#DIV/0!</v>
          </cell>
        </row>
        <row r="813">
          <cell r="A813">
            <v>40257</v>
          </cell>
          <cell r="B813" t="str">
            <v>#Calc</v>
          </cell>
          <cell r="C813" t="e">
            <v>#DIV/0!</v>
          </cell>
          <cell r="D813" t="e">
            <v>#DIV/0!</v>
          </cell>
          <cell r="E813" t="e">
            <v>#DIV/0!</v>
          </cell>
        </row>
        <row r="814">
          <cell r="A814">
            <v>40258</v>
          </cell>
          <cell r="B814" t="str">
            <v>#Calc</v>
          </cell>
          <cell r="C814" t="e">
            <v>#DIV/0!</v>
          </cell>
          <cell r="D814" t="e">
            <v>#DIV/0!</v>
          </cell>
          <cell r="E814" t="e">
            <v>#DIV/0!</v>
          </cell>
        </row>
        <row r="815">
          <cell r="A815">
            <v>40259</v>
          </cell>
          <cell r="B815" t="str">
            <v>#Calc</v>
          </cell>
          <cell r="C815" t="e">
            <v>#DIV/0!</v>
          </cell>
          <cell r="D815" t="e">
            <v>#DIV/0!</v>
          </cell>
          <cell r="E815" t="e">
            <v>#DIV/0!</v>
          </cell>
        </row>
        <row r="816">
          <cell r="A816">
            <v>40260</v>
          </cell>
          <cell r="B816" t="str">
            <v>#Calc</v>
          </cell>
          <cell r="C816" t="e">
            <v>#DIV/0!</v>
          </cell>
          <cell r="D816" t="e">
            <v>#DIV/0!</v>
          </cell>
          <cell r="E816" t="e">
            <v>#DIV/0!</v>
          </cell>
        </row>
        <row r="817">
          <cell r="A817">
            <v>40261</v>
          </cell>
          <cell r="B817" t="str">
            <v>#Calc</v>
          </cell>
          <cell r="C817" t="e">
            <v>#DIV/0!</v>
          </cell>
          <cell r="D817" t="e">
            <v>#DIV/0!</v>
          </cell>
          <cell r="E817" t="e">
            <v>#DIV/0!</v>
          </cell>
        </row>
        <row r="818">
          <cell r="A818">
            <v>40262</v>
          </cell>
          <cell r="B818" t="str">
            <v>#Calc</v>
          </cell>
          <cell r="C818" t="e">
            <v>#DIV/0!</v>
          </cell>
          <cell r="D818" t="e">
            <v>#DIV/0!</v>
          </cell>
          <cell r="E818" t="e">
            <v>#DIV/0!</v>
          </cell>
        </row>
        <row r="819">
          <cell r="A819">
            <v>40263</v>
          </cell>
          <cell r="B819" t="str">
            <v>#Calc</v>
          </cell>
          <cell r="C819" t="e">
            <v>#DIV/0!</v>
          </cell>
          <cell r="D819" t="e">
            <v>#DIV/0!</v>
          </cell>
          <cell r="E819" t="e">
            <v>#DIV/0!</v>
          </cell>
        </row>
        <row r="820">
          <cell r="A820">
            <v>40264</v>
          </cell>
          <cell r="B820" t="str">
            <v>#Calc</v>
          </cell>
          <cell r="C820" t="e">
            <v>#DIV/0!</v>
          </cell>
          <cell r="D820" t="e">
            <v>#DIV/0!</v>
          </cell>
          <cell r="E820" t="e">
            <v>#DIV/0!</v>
          </cell>
        </row>
        <row r="821">
          <cell r="A821">
            <v>40265</v>
          </cell>
          <cell r="B821" t="str">
            <v>#Calc</v>
          </cell>
          <cell r="C821" t="e">
            <v>#DIV/0!</v>
          </cell>
          <cell r="D821" t="e">
            <v>#DIV/0!</v>
          </cell>
          <cell r="E821" t="e">
            <v>#DIV/0!</v>
          </cell>
        </row>
        <row r="822">
          <cell r="A822">
            <v>40266</v>
          </cell>
          <cell r="B822" t="str">
            <v>#Calc</v>
          </cell>
          <cell r="C822" t="e">
            <v>#DIV/0!</v>
          </cell>
          <cell r="D822" t="e">
            <v>#DIV/0!</v>
          </cell>
          <cell r="E822" t="e">
            <v>#DIV/0!</v>
          </cell>
        </row>
        <row r="823">
          <cell r="A823">
            <v>40267</v>
          </cell>
          <cell r="B823" t="str">
            <v>#Calc</v>
          </cell>
          <cell r="C823" t="e">
            <v>#DIV/0!</v>
          </cell>
          <cell r="D823" t="e">
            <v>#DIV/0!</v>
          </cell>
          <cell r="E823" t="e">
            <v>#DIV/0!</v>
          </cell>
        </row>
        <row r="824">
          <cell r="A824">
            <v>40268</v>
          </cell>
          <cell r="B824" t="str">
            <v>#Calc</v>
          </cell>
          <cell r="C824" t="e">
            <v>#DIV/0!</v>
          </cell>
          <cell r="D824" t="e">
            <v>#DIV/0!</v>
          </cell>
          <cell r="E824" t="e">
            <v>#DIV/0!</v>
          </cell>
        </row>
        <row r="825">
          <cell r="A825">
            <v>40269</v>
          </cell>
          <cell r="B825" t="str">
            <v>#Calc</v>
          </cell>
          <cell r="C825" t="e">
            <v>#DIV/0!</v>
          </cell>
          <cell r="D825" t="e">
            <v>#DIV/0!</v>
          </cell>
          <cell r="E825" t="e">
            <v>#DIV/0!</v>
          </cell>
        </row>
        <row r="826">
          <cell r="A826">
            <v>40270</v>
          </cell>
          <cell r="B826" t="str">
            <v>#Calc</v>
          </cell>
          <cell r="C826" t="e">
            <v>#DIV/0!</v>
          </cell>
          <cell r="D826" t="e">
            <v>#DIV/0!</v>
          </cell>
          <cell r="E826" t="e">
            <v>#DIV/0!</v>
          </cell>
        </row>
        <row r="827">
          <cell r="A827">
            <v>40271</v>
          </cell>
          <cell r="B827" t="str">
            <v>#Calc</v>
          </cell>
          <cell r="C827" t="e">
            <v>#DIV/0!</v>
          </cell>
          <cell r="D827" t="e">
            <v>#DIV/0!</v>
          </cell>
          <cell r="E827" t="e">
            <v>#DIV/0!</v>
          </cell>
        </row>
        <row r="828">
          <cell r="A828">
            <v>40272</v>
          </cell>
          <cell r="B828" t="str">
            <v>#Calc</v>
          </cell>
          <cell r="C828" t="e">
            <v>#DIV/0!</v>
          </cell>
          <cell r="D828" t="e">
            <v>#DIV/0!</v>
          </cell>
          <cell r="E828" t="e">
            <v>#DIV/0!</v>
          </cell>
        </row>
        <row r="829">
          <cell r="A829">
            <v>40273</v>
          </cell>
          <cell r="B829" t="str">
            <v>#Calc</v>
          </cell>
          <cell r="C829" t="e">
            <v>#DIV/0!</v>
          </cell>
          <cell r="D829" t="e">
            <v>#DIV/0!</v>
          </cell>
          <cell r="E829" t="e">
            <v>#DIV/0!</v>
          </cell>
        </row>
        <row r="830">
          <cell r="A830">
            <v>40274</v>
          </cell>
          <cell r="B830" t="str">
            <v>#Calc</v>
          </cell>
          <cell r="C830" t="e">
            <v>#DIV/0!</v>
          </cell>
          <cell r="D830" t="e">
            <v>#DIV/0!</v>
          </cell>
          <cell r="E830" t="e">
            <v>#DIV/0!</v>
          </cell>
        </row>
        <row r="831">
          <cell r="A831">
            <v>40275</v>
          </cell>
          <cell r="B831" t="str">
            <v>#Calc</v>
          </cell>
          <cell r="C831" t="e">
            <v>#DIV/0!</v>
          </cell>
          <cell r="D831" t="e">
            <v>#DIV/0!</v>
          </cell>
          <cell r="E831" t="e">
            <v>#DIV/0!</v>
          </cell>
        </row>
        <row r="832">
          <cell r="A832">
            <v>40276</v>
          </cell>
          <cell r="B832" t="str">
            <v>#Calc</v>
          </cell>
          <cell r="C832" t="e">
            <v>#DIV/0!</v>
          </cell>
          <cell r="D832" t="e">
            <v>#DIV/0!</v>
          </cell>
          <cell r="E832" t="e">
            <v>#DIV/0!</v>
          </cell>
        </row>
        <row r="833">
          <cell r="A833">
            <v>40277</v>
          </cell>
          <cell r="B833" t="str">
            <v>#Calc</v>
          </cell>
          <cell r="C833" t="e">
            <v>#DIV/0!</v>
          </cell>
          <cell r="D833" t="e">
            <v>#DIV/0!</v>
          </cell>
          <cell r="E833" t="e">
            <v>#DIV/0!</v>
          </cell>
        </row>
        <row r="834">
          <cell r="A834">
            <v>40278</v>
          </cell>
          <cell r="B834" t="str">
            <v>#Calc</v>
          </cell>
          <cell r="C834" t="e">
            <v>#DIV/0!</v>
          </cell>
          <cell r="D834" t="e">
            <v>#DIV/0!</v>
          </cell>
          <cell r="E834" t="e">
            <v>#DIV/0!</v>
          </cell>
        </row>
        <row r="835">
          <cell r="A835">
            <v>40279</v>
          </cell>
          <cell r="B835" t="str">
            <v>#Calc</v>
          </cell>
          <cell r="C835" t="e">
            <v>#DIV/0!</v>
          </cell>
          <cell r="D835" t="e">
            <v>#DIV/0!</v>
          </cell>
          <cell r="E835" t="e">
            <v>#DIV/0!</v>
          </cell>
        </row>
        <row r="836">
          <cell r="A836">
            <v>40280</v>
          </cell>
          <cell r="B836" t="str">
            <v>#Calc</v>
          </cell>
          <cell r="C836" t="e">
            <v>#DIV/0!</v>
          </cell>
          <cell r="D836" t="e">
            <v>#DIV/0!</v>
          </cell>
          <cell r="E836" t="e">
            <v>#DIV/0!</v>
          </cell>
        </row>
        <row r="837">
          <cell r="A837">
            <v>40281</v>
          </cell>
          <cell r="B837" t="str">
            <v>#Calc</v>
          </cell>
          <cell r="C837" t="e">
            <v>#DIV/0!</v>
          </cell>
          <cell r="D837" t="e">
            <v>#DIV/0!</v>
          </cell>
          <cell r="E837" t="e">
            <v>#DIV/0!</v>
          </cell>
        </row>
        <row r="838">
          <cell r="A838">
            <v>40282</v>
          </cell>
          <cell r="B838" t="str">
            <v>#Calc</v>
          </cell>
          <cell r="C838" t="e">
            <v>#DIV/0!</v>
          </cell>
          <cell r="D838" t="e">
            <v>#DIV/0!</v>
          </cell>
          <cell r="E838" t="e">
            <v>#DIV/0!</v>
          </cell>
        </row>
        <row r="839">
          <cell r="A839">
            <v>40283</v>
          </cell>
          <cell r="B839" t="str">
            <v>#Calc</v>
          </cell>
          <cell r="C839" t="e">
            <v>#DIV/0!</v>
          </cell>
          <cell r="D839" t="e">
            <v>#DIV/0!</v>
          </cell>
          <cell r="E839" t="e">
            <v>#DIV/0!</v>
          </cell>
        </row>
        <row r="840">
          <cell r="A840">
            <v>40284</v>
          </cell>
          <cell r="B840" t="str">
            <v>#Calc</v>
          </cell>
          <cell r="C840" t="e">
            <v>#DIV/0!</v>
          </cell>
          <cell r="D840" t="e">
            <v>#DIV/0!</v>
          </cell>
          <cell r="E840" t="e">
            <v>#DIV/0!</v>
          </cell>
        </row>
        <row r="841">
          <cell r="A841">
            <v>40285</v>
          </cell>
          <cell r="B841" t="str">
            <v>#Calc</v>
          </cell>
          <cell r="C841" t="e">
            <v>#DIV/0!</v>
          </cell>
          <cell r="D841" t="e">
            <v>#DIV/0!</v>
          </cell>
          <cell r="E841" t="e">
            <v>#DIV/0!</v>
          </cell>
        </row>
        <row r="842">
          <cell r="A842">
            <v>40286</v>
          </cell>
          <cell r="B842" t="str">
            <v>#Calc</v>
          </cell>
          <cell r="C842" t="e">
            <v>#DIV/0!</v>
          </cell>
          <cell r="D842" t="e">
            <v>#DIV/0!</v>
          </cell>
          <cell r="E842" t="e">
            <v>#DIV/0!</v>
          </cell>
        </row>
        <row r="843">
          <cell r="A843">
            <v>40287</v>
          </cell>
          <cell r="B843" t="str">
            <v>#Calc</v>
          </cell>
          <cell r="C843" t="e">
            <v>#DIV/0!</v>
          </cell>
          <cell r="D843" t="e">
            <v>#DIV/0!</v>
          </cell>
          <cell r="E843" t="e">
            <v>#DIV/0!</v>
          </cell>
        </row>
        <row r="844">
          <cell r="A844">
            <v>40288</v>
          </cell>
          <cell r="B844" t="str">
            <v>#Calc</v>
          </cell>
          <cell r="C844" t="e">
            <v>#DIV/0!</v>
          </cell>
          <cell r="D844" t="e">
            <v>#DIV/0!</v>
          </cell>
          <cell r="E844" t="e">
            <v>#DIV/0!</v>
          </cell>
        </row>
        <row r="845">
          <cell r="A845">
            <v>40289</v>
          </cell>
          <cell r="B845" t="str">
            <v>#Calc</v>
          </cell>
          <cell r="C845" t="e">
            <v>#DIV/0!</v>
          </cell>
          <cell r="D845" t="e">
            <v>#DIV/0!</v>
          </cell>
          <cell r="E845" t="e">
            <v>#DIV/0!</v>
          </cell>
        </row>
        <row r="846">
          <cell r="A846">
            <v>40290</v>
          </cell>
          <cell r="B846" t="str">
            <v>#Calc</v>
          </cell>
          <cell r="C846" t="e">
            <v>#DIV/0!</v>
          </cell>
          <cell r="D846" t="e">
            <v>#DIV/0!</v>
          </cell>
          <cell r="E846" t="e">
            <v>#DIV/0!</v>
          </cell>
        </row>
        <row r="847">
          <cell r="A847">
            <v>40291</v>
          </cell>
          <cell r="B847" t="str">
            <v>#Calc</v>
          </cell>
          <cell r="C847" t="e">
            <v>#DIV/0!</v>
          </cell>
          <cell r="D847" t="e">
            <v>#DIV/0!</v>
          </cell>
          <cell r="E847" t="e">
            <v>#DIV/0!</v>
          </cell>
        </row>
        <row r="848">
          <cell r="A848">
            <v>40292</v>
          </cell>
          <cell r="B848" t="str">
            <v>#Calc</v>
          </cell>
          <cell r="C848" t="e">
            <v>#DIV/0!</v>
          </cell>
          <cell r="D848" t="e">
            <v>#DIV/0!</v>
          </cell>
          <cell r="E848" t="e">
            <v>#DIV/0!</v>
          </cell>
        </row>
        <row r="849">
          <cell r="A849">
            <v>40293</v>
          </cell>
          <cell r="B849" t="str">
            <v>#Calc</v>
          </cell>
          <cell r="C849" t="e">
            <v>#DIV/0!</v>
          </cell>
          <cell r="D849" t="e">
            <v>#DIV/0!</v>
          </cell>
          <cell r="E849" t="e">
            <v>#DIV/0!</v>
          </cell>
        </row>
        <row r="850">
          <cell r="A850">
            <v>40294</v>
          </cell>
          <cell r="B850" t="str">
            <v>#Calc</v>
          </cell>
          <cell r="C850" t="e">
            <v>#DIV/0!</v>
          </cell>
          <cell r="D850" t="e">
            <v>#DIV/0!</v>
          </cell>
          <cell r="E850" t="e">
            <v>#DIV/0!</v>
          </cell>
        </row>
        <row r="851">
          <cell r="A851">
            <v>40295</v>
          </cell>
          <cell r="B851" t="str">
            <v>#Calc</v>
          </cell>
          <cell r="C851" t="e">
            <v>#DIV/0!</v>
          </cell>
          <cell r="D851" t="e">
            <v>#DIV/0!</v>
          </cell>
          <cell r="E851" t="e">
            <v>#DIV/0!</v>
          </cell>
        </row>
        <row r="852">
          <cell r="A852">
            <v>40296</v>
          </cell>
          <cell r="B852" t="str">
            <v>#Calc</v>
          </cell>
          <cell r="C852" t="e">
            <v>#DIV/0!</v>
          </cell>
          <cell r="D852" t="e">
            <v>#DIV/0!</v>
          </cell>
          <cell r="E852" t="e">
            <v>#DIV/0!</v>
          </cell>
        </row>
        <row r="853">
          <cell r="A853">
            <v>40297</v>
          </cell>
          <cell r="B853" t="str">
            <v>#Calc</v>
          </cell>
          <cell r="C853" t="e">
            <v>#DIV/0!</v>
          </cell>
          <cell r="D853" t="e">
            <v>#DIV/0!</v>
          </cell>
          <cell r="E853" t="e">
            <v>#DIV/0!</v>
          </cell>
        </row>
        <row r="854">
          <cell r="A854">
            <v>40298</v>
          </cell>
          <cell r="B854" t="str">
            <v>#Calc</v>
          </cell>
          <cell r="C854" t="e">
            <v>#DIV/0!</v>
          </cell>
          <cell r="D854" t="e">
            <v>#DIV/0!</v>
          </cell>
          <cell r="E854" t="e">
            <v>#DIV/0!</v>
          </cell>
        </row>
        <row r="855">
          <cell r="A855">
            <v>40299</v>
          </cell>
          <cell r="B855" t="str">
            <v>#Calc</v>
          </cell>
          <cell r="C855" t="e">
            <v>#DIV/0!</v>
          </cell>
          <cell r="D855" t="e">
            <v>#DIV/0!</v>
          </cell>
          <cell r="E855" t="e">
            <v>#DIV/0!</v>
          </cell>
        </row>
        <row r="856">
          <cell r="A856">
            <v>40300</v>
          </cell>
          <cell r="B856" t="str">
            <v>#Calc</v>
          </cell>
          <cell r="C856" t="e">
            <v>#DIV/0!</v>
          </cell>
          <cell r="D856" t="e">
            <v>#DIV/0!</v>
          </cell>
          <cell r="E856" t="e">
            <v>#DIV/0!</v>
          </cell>
        </row>
        <row r="857">
          <cell r="A857">
            <v>40301</v>
          </cell>
          <cell r="B857" t="str">
            <v>#Calc</v>
          </cell>
          <cell r="C857" t="e">
            <v>#DIV/0!</v>
          </cell>
          <cell r="D857" t="e">
            <v>#DIV/0!</v>
          </cell>
          <cell r="E857" t="e">
            <v>#DIV/0!</v>
          </cell>
        </row>
        <row r="858">
          <cell r="A858">
            <v>40302</v>
          </cell>
          <cell r="B858" t="str">
            <v>#Calc</v>
          </cell>
          <cell r="C858" t="e">
            <v>#DIV/0!</v>
          </cell>
          <cell r="D858" t="e">
            <v>#DIV/0!</v>
          </cell>
          <cell r="E858" t="e">
            <v>#DIV/0!</v>
          </cell>
        </row>
        <row r="859">
          <cell r="A859">
            <v>40303</v>
          </cell>
          <cell r="B859" t="str">
            <v>#Calc</v>
          </cell>
          <cell r="C859" t="e">
            <v>#DIV/0!</v>
          </cell>
          <cell r="D859" t="e">
            <v>#DIV/0!</v>
          </cell>
          <cell r="E859" t="e">
            <v>#DIV/0!</v>
          </cell>
        </row>
        <row r="860">
          <cell r="A860">
            <v>40304</v>
          </cell>
          <cell r="B860" t="str">
            <v>#Calc</v>
          </cell>
          <cell r="C860" t="e">
            <v>#DIV/0!</v>
          </cell>
          <cell r="D860" t="e">
            <v>#DIV/0!</v>
          </cell>
          <cell r="E860" t="e">
            <v>#DIV/0!</v>
          </cell>
        </row>
        <row r="861">
          <cell r="A861">
            <v>40305</v>
          </cell>
          <cell r="B861" t="str">
            <v>#Calc</v>
          </cell>
          <cell r="C861" t="e">
            <v>#DIV/0!</v>
          </cell>
          <cell r="D861" t="e">
            <v>#DIV/0!</v>
          </cell>
          <cell r="E861" t="e">
            <v>#DIV/0!</v>
          </cell>
        </row>
        <row r="862">
          <cell r="A862">
            <v>40306</v>
          </cell>
          <cell r="B862" t="str">
            <v>#Calc</v>
          </cell>
          <cell r="C862" t="e">
            <v>#DIV/0!</v>
          </cell>
          <cell r="D862" t="e">
            <v>#DIV/0!</v>
          </cell>
          <cell r="E862" t="e">
            <v>#DIV/0!</v>
          </cell>
        </row>
        <row r="863">
          <cell r="A863">
            <v>40307</v>
          </cell>
          <cell r="B863" t="str">
            <v>#Calc</v>
          </cell>
          <cell r="C863" t="e">
            <v>#DIV/0!</v>
          </cell>
          <cell r="D863" t="e">
            <v>#DIV/0!</v>
          </cell>
          <cell r="E863" t="e">
            <v>#DIV/0!</v>
          </cell>
        </row>
        <row r="864">
          <cell r="A864">
            <v>40308</v>
          </cell>
          <cell r="B864" t="str">
            <v>#Calc</v>
          </cell>
          <cell r="C864" t="e">
            <v>#DIV/0!</v>
          </cell>
          <cell r="D864" t="e">
            <v>#DIV/0!</v>
          </cell>
          <cell r="E864" t="e">
            <v>#DIV/0!</v>
          </cell>
        </row>
        <row r="865">
          <cell r="A865">
            <v>40309</v>
          </cell>
          <cell r="B865" t="str">
            <v>#Calc</v>
          </cell>
          <cell r="C865" t="e">
            <v>#DIV/0!</v>
          </cell>
          <cell r="D865" t="e">
            <v>#DIV/0!</v>
          </cell>
          <cell r="E865" t="e">
            <v>#DIV/0!</v>
          </cell>
        </row>
        <row r="866">
          <cell r="A866">
            <v>40310</v>
          </cell>
          <cell r="B866" t="str">
            <v>#Calc</v>
          </cell>
          <cell r="C866" t="e">
            <v>#DIV/0!</v>
          </cell>
          <cell r="D866" t="e">
            <v>#DIV/0!</v>
          </cell>
          <cell r="E866" t="e">
            <v>#DIV/0!</v>
          </cell>
        </row>
        <row r="867">
          <cell r="A867">
            <v>40311</v>
          </cell>
          <cell r="B867" t="str">
            <v>#Calc</v>
          </cell>
          <cell r="C867" t="e">
            <v>#DIV/0!</v>
          </cell>
          <cell r="D867" t="e">
            <v>#DIV/0!</v>
          </cell>
          <cell r="E867" t="e">
            <v>#DIV/0!</v>
          </cell>
        </row>
        <row r="868">
          <cell r="A868">
            <v>40312</v>
          </cell>
          <cell r="B868" t="str">
            <v>#Calc</v>
          </cell>
          <cell r="C868" t="e">
            <v>#DIV/0!</v>
          </cell>
          <cell r="D868" t="e">
            <v>#DIV/0!</v>
          </cell>
          <cell r="E868" t="e">
            <v>#DIV/0!</v>
          </cell>
        </row>
        <row r="869">
          <cell r="A869">
            <v>40313</v>
          </cell>
          <cell r="B869" t="str">
            <v>#Calc</v>
          </cell>
          <cell r="C869" t="e">
            <v>#DIV/0!</v>
          </cell>
          <cell r="D869" t="e">
            <v>#DIV/0!</v>
          </cell>
          <cell r="E869" t="e">
            <v>#DIV/0!</v>
          </cell>
        </row>
        <row r="870">
          <cell r="A870">
            <v>40314</v>
          </cell>
          <cell r="B870" t="str">
            <v>#Calc</v>
          </cell>
          <cell r="C870" t="e">
            <v>#DIV/0!</v>
          </cell>
          <cell r="D870" t="e">
            <v>#DIV/0!</v>
          </cell>
          <cell r="E870" t="e">
            <v>#DIV/0!</v>
          </cell>
        </row>
        <row r="871">
          <cell r="A871">
            <v>40315</v>
          </cell>
          <cell r="B871" t="str">
            <v>#Calc</v>
          </cell>
          <cell r="C871" t="e">
            <v>#DIV/0!</v>
          </cell>
          <cell r="D871" t="e">
            <v>#DIV/0!</v>
          </cell>
          <cell r="E871" t="e">
            <v>#DIV/0!</v>
          </cell>
        </row>
        <row r="872">
          <cell r="A872">
            <v>40316</v>
          </cell>
          <cell r="B872" t="str">
            <v>#Calc</v>
          </cell>
          <cell r="C872" t="e">
            <v>#DIV/0!</v>
          </cell>
          <cell r="D872" t="e">
            <v>#DIV/0!</v>
          </cell>
          <cell r="E872" t="e">
            <v>#DIV/0!</v>
          </cell>
        </row>
        <row r="873">
          <cell r="A873">
            <v>40317</v>
          </cell>
          <cell r="B873" t="str">
            <v>#Calc</v>
          </cell>
          <cell r="C873" t="e">
            <v>#DIV/0!</v>
          </cell>
          <cell r="D873" t="e">
            <v>#DIV/0!</v>
          </cell>
          <cell r="E873" t="e">
            <v>#DIV/0!</v>
          </cell>
        </row>
        <row r="874">
          <cell r="A874">
            <v>40318</v>
          </cell>
          <cell r="B874" t="str">
            <v>#Calc</v>
          </cell>
          <cell r="C874" t="e">
            <v>#DIV/0!</v>
          </cell>
          <cell r="D874" t="e">
            <v>#DIV/0!</v>
          </cell>
          <cell r="E874" t="e">
            <v>#DIV/0!</v>
          </cell>
        </row>
        <row r="875">
          <cell r="A875">
            <v>40319</v>
          </cell>
          <cell r="B875" t="str">
            <v>#Calc</v>
          </cell>
          <cell r="C875" t="e">
            <v>#DIV/0!</v>
          </cell>
          <cell r="D875" t="e">
            <v>#DIV/0!</v>
          </cell>
          <cell r="E875" t="e">
            <v>#DIV/0!</v>
          </cell>
        </row>
        <row r="876">
          <cell r="A876">
            <v>40320</v>
          </cell>
          <cell r="B876" t="str">
            <v>#Calc</v>
          </cell>
          <cell r="C876" t="e">
            <v>#DIV/0!</v>
          </cell>
          <cell r="D876" t="e">
            <v>#DIV/0!</v>
          </cell>
          <cell r="E876" t="e">
            <v>#DIV/0!</v>
          </cell>
        </row>
        <row r="877">
          <cell r="A877">
            <v>40321</v>
          </cell>
          <cell r="B877" t="str">
            <v>#Calc</v>
          </cell>
          <cell r="C877" t="e">
            <v>#DIV/0!</v>
          </cell>
          <cell r="D877" t="e">
            <v>#DIV/0!</v>
          </cell>
          <cell r="E877" t="e">
            <v>#DIV/0!</v>
          </cell>
        </row>
        <row r="878">
          <cell r="A878">
            <v>40322</v>
          </cell>
          <cell r="B878" t="str">
            <v>#Calc</v>
          </cell>
          <cell r="C878" t="e">
            <v>#DIV/0!</v>
          </cell>
          <cell r="D878" t="e">
            <v>#DIV/0!</v>
          </cell>
          <cell r="E878" t="e">
            <v>#DIV/0!</v>
          </cell>
        </row>
        <row r="879">
          <cell r="A879">
            <v>40323</v>
          </cell>
          <cell r="B879" t="str">
            <v>#Calc</v>
          </cell>
          <cell r="C879" t="e">
            <v>#DIV/0!</v>
          </cell>
          <cell r="D879" t="e">
            <v>#DIV/0!</v>
          </cell>
          <cell r="E879" t="e">
            <v>#DIV/0!</v>
          </cell>
        </row>
        <row r="880">
          <cell r="A880">
            <v>40324</v>
          </cell>
          <cell r="B880" t="str">
            <v>#Calc</v>
          </cell>
          <cell r="C880" t="e">
            <v>#DIV/0!</v>
          </cell>
          <cell r="D880" t="e">
            <v>#DIV/0!</v>
          </cell>
          <cell r="E880" t="e">
            <v>#DIV/0!</v>
          </cell>
        </row>
        <row r="881">
          <cell r="A881">
            <v>40325</v>
          </cell>
          <cell r="B881" t="str">
            <v>#Calc</v>
          </cell>
          <cell r="C881" t="e">
            <v>#DIV/0!</v>
          </cell>
          <cell r="D881" t="e">
            <v>#DIV/0!</v>
          </cell>
          <cell r="E881" t="e">
            <v>#DIV/0!</v>
          </cell>
        </row>
        <row r="882">
          <cell r="A882">
            <v>40326</v>
          </cell>
          <cell r="B882" t="str">
            <v>#Calc</v>
          </cell>
          <cell r="C882" t="e">
            <v>#DIV/0!</v>
          </cell>
          <cell r="D882" t="e">
            <v>#DIV/0!</v>
          </cell>
          <cell r="E882" t="e">
            <v>#DIV/0!</v>
          </cell>
        </row>
        <row r="883">
          <cell r="A883">
            <v>40327</v>
          </cell>
          <cell r="B883" t="str">
            <v>#Calc</v>
          </cell>
          <cell r="C883" t="e">
            <v>#DIV/0!</v>
          </cell>
          <cell r="D883" t="e">
            <v>#DIV/0!</v>
          </cell>
          <cell r="E883" t="e">
            <v>#DIV/0!</v>
          </cell>
        </row>
        <row r="884">
          <cell r="A884">
            <v>40328</v>
          </cell>
          <cell r="B884" t="str">
            <v>#Calc</v>
          </cell>
          <cell r="C884" t="e">
            <v>#DIV/0!</v>
          </cell>
          <cell r="D884" t="e">
            <v>#DIV/0!</v>
          </cell>
          <cell r="E884" t="e">
            <v>#DIV/0!</v>
          </cell>
        </row>
        <row r="885">
          <cell r="A885">
            <v>40329</v>
          </cell>
          <cell r="B885" t="str">
            <v>#Calc</v>
          </cell>
          <cell r="C885" t="e">
            <v>#DIV/0!</v>
          </cell>
          <cell r="D885" t="e">
            <v>#DIV/0!</v>
          </cell>
          <cell r="E885" t="e">
            <v>#DIV/0!</v>
          </cell>
        </row>
        <row r="886">
          <cell r="A886">
            <v>40330</v>
          </cell>
          <cell r="B886" t="str">
            <v>#Calc</v>
          </cell>
          <cell r="C886" t="e">
            <v>#DIV/0!</v>
          </cell>
          <cell r="D886" t="e">
            <v>#DIV/0!</v>
          </cell>
          <cell r="E886" t="e">
            <v>#DIV/0!</v>
          </cell>
        </row>
        <row r="887">
          <cell r="A887">
            <v>40331</v>
          </cell>
          <cell r="B887" t="str">
            <v>#Calc</v>
          </cell>
          <cell r="C887" t="e">
            <v>#DIV/0!</v>
          </cell>
          <cell r="D887" t="e">
            <v>#DIV/0!</v>
          </cell>
          <cell r="E887" t="e">
            <v>#DIV/0!</v>
          </cell>
        </row>
        <row r="888">
          <cell r="A888">
            <v>40332</v>
          </cell>
          <cell r="B888" t="str">
            <v>#Calc</v>
          </cell>
          <cell r="C888" t="e">
            <v>#DIV/0!</v>
          </cell>
          <cell r="D888" t="e">
            <v>#DIV/0!</v>
          </cell>
          <cell r="E888" t="e">
            <v>#DIV/0!</v>
          </cell>
        </row>
        <row r="889">
          <cell r="A889">
            <v>40333</v>
          </cell>
          <cell r="B889" t="str">
            <v>#Calc</v>
          </cell>
          <cell r="C889" t="e">
            <v>#DIV/0!</v>
          </cell>
          <cell r="D889" t="e">
            <v>#DIV/0!</v>
          </cell>
          <cell r="E889" t="e">
            <v>#DIV/0!</v>
          </cell>
        </row>
        <row r="890">
          <cell r="A890">
            <v>40334</v>
          </cell>
          <cell r="B890" t="str">
            <v>#Calc</v>
          </cell>
          <cell r="C890" t="e">
            <v>#DIV/0!</v>
          </cell>
          <cell r="D890" t="e">
            <v>#DIV/0!</v>
          </cell>
          <cell r="E890" t="e">
            <v>#DIV/0!</v>
          </cell>
        </row>
        <row r="891">
          <cell r="A891">
            <v>40335</v>
          </cell>
          <cell r="B891" t="str">
            <v>#Calc</v>
          </cell>
          <cell r="C891" t="e">
            <v>#DIV/0!</v>
          </cell>
          <cell r="D891" t="e">
            <v>#DIV/0!</v>
          </cell>
          <cell r="E891" t="e">
            <v>#DIV/0!</v>
          </cell>
        </row>
        <row r="892">
          <cell r="A892">
            <v>40336</v>
          </cell>
          <cell r="B892" t="str">
            <v>#Calc</v>
          </cell>
          <cell r="C892" t="e">
            <v>#DIV/0!</v>
          </cell>
          <cell r="D892" t="e">
            <v>#DIV/0!</v>
          </cell>
          <cell r="E892" t="e">
            <v>#DIV/0!</v>
          </cell>
        </row>
        <row r="893">
          <cell r="A893">
            <v>40337</v>
          </cell>
          <cell r="B893" t="str">
            <v>#Calc</v>
          </cell>
          <cell r="C893" t="e">
            <v>#DIV/0!</v>
          </cell>
          <cell r="D893" t="e">
            <v>#DIV/0!</v>
          </cell>
          <cell r="E893" t="e">
            <v>#DIV/0!</v>
          </cell>
        </row>
        <row r="894">
          <cell r="A894">
            <v>40338</v>
          </cell>
          <cell r="B894" t="str">
            <v>#Calc</v>
          </cell>
          <cell r="C894" t="e">
            <v>#DIV/0!</v>
          </cell>
          <cell r="D894" t="e">
            <v>#DIV/0!</v>
          </cell>
          <cell r="E894" t="e">
            <v>#DIV/0!</v>
          </cell>
        </row>
        <row r="895">
          <cell r="A895">
            <v>40339</v>
          </cell>
          <cell r="B895" t="str">
            <v>#Calc</v>
          </cell>
          <cell r="C895" t="e">
            <v>#DIV/0!</v>
          </cell>
          <cell r="D895" t="e">
            <v>#DIV/0!</v>
          </cell>
          <cell r="E895" t="e">
            <v>#DIV/0!</v>
          </cell>
        </row>
        <row r="896">
          <cell r="A896">
            <v>40340</v>
          </cell>
          <cell r="B896" t="str">
            <v>#Calc</v>
          </cell>
          <cell r="C896" t="e">
            <v>#DIV/0!</v>
          </cell>
          <cell r="D896" t="e">
            <v>#DIV/0!</v>
          </cell>
          <cell r="E896" t="e">
            <v>#DIV/0!</v>
          </cell>
        </row>
        <row r="897">
          <cell r="A897">
            <v>40341</v>
          </cell>
          <cell r="B897" t="str">
            <v>#Calc</v>
          </cell>
          <cell r="C897" t="e">
            <v>#DIV/0!</v>
          </cell>
          <cell r="D897" t="e">
            <v>#DIV/0!</v>
          </cell>
          <cell r="E897" t="e">
            <v>#DIV/0!</v>
          </cell>
        </row>
        <row r="898">
          <cell r="A898">
            <v>40342</v>
          </cell>
          <cell r="B898" t="str">
            <v>#Calc</v>
          </cell>
          <cell r="C898" t="e">
            <v>#DIV/0!</v>
          </cell>
          <cell r="D898" t="e">
            <v>#DIV/0!</v>
          </cell>
          <cell r="E898" t="e">
            <v>#DIV/0!</v>
          </cell>
        </row>
        <row r="899">
          <cell r="A899">
            <v>40343</v>
          </cell>
          <cell r="B899" t="str">
            <v>#Calc</v>
          </cell>
          <cell r="C899" t="e">
            <v>#DIV/0!</v>
          </cell>
          <cell r="D899" t="e">
            <v>#DIV/0!</v>
          </cell>
          <cell r="E899" t="e">
            <v>#DIV/0!</v>
          </cell>
        </row>
        <row r="900">
          <cell r="A900">
            <v>40344</v>
          </cell>
          <cell r="B900" t="str">
            <v>#Calc</v>
          </cell>
          <cell r="C900" t="e">
            <v>#DIV/0!</v>
          </cell>
          <cell r="D900" t="e">
            <v>#DIV/0!</v>
          </cell>
          <cell r="E900" t="e">
            <v>#DIV/0!</v>
          </cell>
        </row>
        <row r="901">
          <cell r="A901">
            <v>40345</v>
          </cell>
          <cell r="B901" t="str">
            <v>#Calc</v>
          </cell>
          <cell r="C901" t="e">
            <v>#DIV/0!</v>
          </cell>
          <cell r="D901" t="e">
            <v>#DIV/0!</v>
          </cell>
          <cell r="E901" t="e">
            <v>#DIV/0!</v>
          </cell>
        </row>
        <row r="902">
          <cell r="A902">
            <v>40346</v>
          </cell>
          <cell r="B902" t="str">
            <v>#Calc</v>
          </cell>
          <cell r="C902" t="e">
            <v>#DIV/0!</v>
          </cell>
          <cell r="D902" t="e">
            <v>#DIV/0!</v>
          </cell>
          <cell r="E902" t="e">
            <v>#DIV/0!</v>
          </cell>
        </row>
        <row r="903">
          <cell r="A903">
            <v>40347</v>
          </cell>
          <cell r="B903" t="str">
            <v>#Calc</v>
          </cell>
          <cell r="C903" t="e">
            <v>#DIV/0!</v>
          </cell>
          <cell r="D903" t="e">
            <v>#DIV/0!</v>
          </cell>
          <cell r="E903" t="e">
            <v>#DIV/0!</v>
          </cell>
        </row>
        <row r="904">
          <cell r="A904">
            <v>40348</v>
          </cell>
          <cell r="B904" t="str">
            <v>#Calc</v>
          </cell>
          <cell r="C904" t="e">
            <v>#DIV/0!</v>
          </cell>
          <cell r="D904" t="e">
            <v>#DIV/0!</v>
          </cell>
          <cell r="E904" t="e">
            <v>#DIV/0!</v>
          </cell>
        </row>
        <row r="905">
          <cell r="A905">
            <v>40349</v>
          </cell>
          <cell r="B905" t="str">
            <v>#Calc</v>
          </cell>
          <cell r="C905" t="e">
            <v>#DIV/0!</v>
          </cell>
          <cell r="D905" t="e">
            <v>#DIV/0!</v>
          </cell>
          <cell r="E905" t="e">
            <v>#DIV/0!</v>
          </cell>
        </row>
        <row r="906">
          <cell r="A906">
            <v>40350</v>
          </cell>
          <cell r="B906" t="str">
            <v>#Calc</v>
          </cell>
          <cell r="C906" t="e">
            <v>#DIV/0!</v>
          </cell>
          <cell r="D906" t="e">
            <v>#DIV/0!</v>
          </cell>
          <cell r="E906" t="e">
            <v>#DIV/0!</v>
          </cell>
        </row>
        <row r="907">
          <cell r="A907">
            <v>40351</v>
          </cell>
          <cell r="B907" t="str">
            <v>#Calc</v>
          </cell>
          <cell r="C907" t="e">
            <v>#DIV/0!</v>
          </cell>
          <cell r="D907" t="e">
            <v>#DIV/0!</v>
          </cell>
          <cell r="E907" t="e">
            <v>#DIV/0!</v>
          </cell>
        </row>
        <row r="908">
          <cell r="A908">
            <v>40352</v>
          </cell>
          <cell r="B908" t="str">
            <v>#Calc</v>
          </cell>
          <cell r="C908" t="e">
            <v>#DIV/0!</v>
          </cell>
          <cell r="D908" t="e">
            <v>#DIV/0!</v>
          </cell>
          <cell r="E908" t="e">
            <v>#DIV/0!</v>
          </cell>
        </row>
        <row r="909">
          <cell r="A909">
            <v>40353</v>
          </cell>
          <cell r="B909" t="str">
            <v>#Calc</v>
          </cell>
          <cell r="C909" t="e">
            <v>#DIV/0!</v>
          </cell>
          <cell r="D909" t="e">
            <v>#DIV/0!</v>
          </cell>
          <cell r="E909" t="e">
            <v>#DIV/0!</v>
          </cell>
        </row>
        <row r="910">
          <cell r="A910">
            <v>40354</v>
          </cell>
          <cell r="B910" t="str">
            <v>#Calc</v>
          </cell>
          <cell r="C910" t="e">
            <v>#DIV/0!</v>
          </cell>
          <cell r="D910" t="e">
            <v>#DIV/0!</v>
          </cell>
          <cell r="E910" t="e">
            <v>#DIV/0!</v>
          </cell>
        </row>
        <row r="911">
          <cell r="A911">
            <v>40355</v>
          </cell>
          <cell r="B911" t="str">
            <v>#Calc</v>
          </cell>
          <cell r="C911" t="e">
            <v>#DIV/0!</v>
          </cell>
          <cell r="D911" t="e">
            <v>#DIV/0!</v>
          </cell>
          <cell r="E911" t="e">
            <v>#DIV/0!</v>
          </cell>
        </row>
        <row r="912">
          <cell r="A912">
            <v>40356</v>
          </cell>
          <cell r="B912" t="str">
            <v>#Calc</v>
          </cell>
          <cell r="C912" t="e">
            <v>#DIV/0!</v>
          </cell>
          <cell r="D912" t="e">
            <v>#DIV/0!</v>
          </cell>
          <cell r="E912" t="e">
            <v>#DIV/0!</v>
          </cell>
        </row>
        <row r="913">
          <cell r="A913">
            <v>40357</v>
          </cell>
          <cell r="B913" t="str">
            <v>#Calc</v>
          </cell>
          <cell r="C913" t="e">
            <v>#DIV/0!</v>
          </cell>
          <cell r="D913" t="e">
            <v>#DIV/0!</v>
          </cell>
          <cell r="E913" t="e">
            <v>#DIV/0!</v>
          </cell>
        </row>
        <row r="914">
          <cell r="A914">
            <v>40358</v>
          </cell>
          <cell r="B914" t="str">
            <v>#Calc</v>
          </cell>
          <cell r="C914" t="e">
            <v>#DIV/0!</v>
          </cell>
          <cell r="D914" t="e">
            <v>#DIV/0!</v>
          </cell>
          <cell r="E914" t="e">
            <v>#DIV/0!</v>
          </cell>
        </row>
        <row r="915">
          <cell r="A915">
            <v>40359</v>
          </cell>
          <cell r="B915" t="str">
            <v>#Calc</v>
          </cell>
          <cell r="C915" t="e">
            <v>#DIV/0!</v>
          </cell>
          <cell r="D915" t="e">
            <v>#DIV/0!</v>
          </cell>
          <cell r="E915" t="e">
            <v>#DIV/0!</v>
          </cell>
        </row>
        <row r="916">
          <cell r="A916">
            <v>40360</v>
          </cell>
          <cell r="B916" t="str">
            <v>#Calc</v>
          </cell>
          <cell r="C916" t="e">
            <v>#DIV/0!</v>
          </cell>
          <cell r="D916" t="e">
            <v>#DIV/0!</v>
          </cell>
          <cell r="E916" t="e">
            <v>#DIV/0!</v>
          </cell>
        </row>
        <row r="917">
          <cell r="A917">
            <v>40361</v>
          </cell>
          <cell r="B917" t="str">
            <v>#Calc</v>
          </cell>
          <cell r="C917" t="e">
            <v>#DIV/0!</v>
          </cell>
          <cell r="D917" t="e">
            <v>#DIV/0!</v>
          </cell>
          <cell r="E917" t="e">
            <v>#DIV/0!</v>
          </cell>
        </row>
        <row r="918">
          <cell r="A918">
            <v>40362</v>
          </cell>
          <cell r="B918" t="str">
            <v>#Calc</v>
          </cell>
          <cell r="C918" t="e">
            <v>#DIV/0!</v>
          </cell>
          <cell r="D918" t="e">
            <v>#DIV/0!</v>
          </cell>
          <cell r="E918" t="e">
            <v>#DIV/0!</v>
          </cell>
        </row>
        <row r="919">
          <cell r="A919">
            <v>40363</v>
          </cell>
          <cell r="B919" t="str">
            <v>#Calc</v>
          </cell>
          <cell r="C919" t="e">
            <v>#DIV/0!</v>
          </cell>
          <cell r="D919" t="e">
            <v>#DIV/0!</v>
          </cell>
          <cell r="E919" t="e">
            <v>#DIV/0!</v>
          </cell>
        </row>
        <row r="920">
          <cell r="A920">
            <v>40364</v>
          </cell>
          <cell r="B920" t="str">
            <v>#Calc</v>
          </cell>
          <cell r="C920" t="e">
            <v>#DIV/0!</v>
          </cell>
          <cell r="D920" t="e">
            <v>#DIV/0!</v>
          </cell>
          <cell r="E920" t="e">
            <v>#DIV/0!</v>
          </cell>
        </row>
        <row r="921">
          <cell r="A921">
            <v>40365</v>
          </cell>
          <cell r="B921" t="str">
            <v>#Calc</v>
          </cell>
          <cell r="C921" t="e">
            <v>#DIV/0!</v>
          </cell>
          <cell r="D921" t="e">
            <v>#DIV/0!</v>
          </cell>
          <cell r="E921" t="e">
            <v>#DIV/0!</v>
          </cell>
        </row>
        <row r="922">
          <cell r="A922">
            <v>40366</v>
          </cell>
          <cell r="B922" t="str">
            <v>#Calc</v>
          </cell>
          <cell r="C922" t="e">
            <v>#DIV/0!</v>
          </cell>
          <cell r="D922" t="e">
            <v>#DIV/0!</v>
          </cell>
          <cell r="E922" t="e">
            <v>#DIV/0!</v>
          </cell>
        </row>
        <row r="923">
          <cell r="A923">
            <v>40367</v>
          </cell>
          <cell r="B923" t="str">
            <v>#Calc</v>
          </cell>
          <cell r="C923" t="e">
            <v>#DIV/0!</v>
          </cell>
          <cell r="D923" t="e">
            <v>#DIV/0!</v>
          </cell>
          <cell r="E923" t="e">
            <v>#DIV/0!</v>
          </cell>
        </row>
        <row r="924">
          <cell r="A924">
            <v>40368</v>
          </cell>
          <cell r="B924" t="str">
            <v>#Calc</v>
          </cell>
          <cell r="C924" t="e">
            <v>#DIV/0!</v>
          </cell>
          <cell r="D924" t="e">
            <v>#DIV/0!</v>
          </cell>
          <cell r="E924" t="e">
            <v>#DIV/0!</v>
          </cell>
        </row>
        <row r="925">
          <cell r="A925">
            <v>40369</v>
          </cell>
          <cell r="B925" t="str">
            <v>#Calc</v>
          </cell>
          <cell r="C925" t="e">
            <v>#DIV/0!</v>
          </cell>
          <cell r="D925" t="e">
            <v>#DIV/0!</v>
          </cell>
          <cell r="E925" t="e">
            <v>#DIV/0!</v>
          </cell>
        </row>
        <row r="926">
          <cell r="A926">
            <v>40370</v>
          </cell>
          <cell r="B926" t="str">
            <v>#Calc</v>
          </cell>
          <cell r="C926" t="e">
            <v>#DIV/0!</v>
          </cell>
          <cell r="D926" t="e">
            <v>#DIV/0!</v>
          </cell>
          <cell r="E926" t="e">
            <v>#DIV/0!</v>
          </cell>
        </row>
        <row r="927">
          <cell r="A927">
            <v>40371</v>
          </cell>
          <cell r="B927" t="str">
            <v>#Calc</v>
          </cell>
          <cell r="C927" t="e">
            <v>#DIV/0!</v>
          </cell>
          <cell r="D927" t="e">
            <v>#DIV/0!</v>
          </cell>
          <cell r="E927" t="e">
            <v>#DIV/0!</v>
          </cell>
        </row>
        <row r="928">
          <cell r="A928">
            <v>40372</v>
          </cell>
          <cell r="B928" t="str">
            <v>#Calc</v>
          </cell>
          <cell r="C928" t="e">
            <v>#DIV/0!</v>
          </cell>
          <cell r="D928" t="e">
            <v>#DIV/0!</v>
          </cell>
          <cell r="E928" t="e">
            <v>#DIV/0!</v>
          </cell>
        </row>
        <row r="929">
          <cell r="A929">
            <v>40373</v>
          </cell>
          <cell r="B929" t="str">
            <v>#Calc</v>
          </cell>
          <cell r="C929" t="e">
            <v>#DIV/0!</v>
          </cell>
          <cell r="D929" t="e">
            <v>#DIV/0!</v>
          </cell>
          <cell r="E929" t="e">
            <v>#DIV/0!</v>
          </cell>
        </row>
        <row r="930">
          <cell r="A930">
            <v>40374</v>
          </cell>
          <cell r="B930" t="str">
            <v>#Calc</v>
          </cell>
          <cell r="C930" t="e">
            <v>#DIV/0!</v>
          </cell>
          <cell r="D930" t="e">
            <v>#DIV/0!</v>
          </cell>
          <cell r="E930" t="e">
            <v>#DIV/0!</v>
          </cell>
        </row>
        <row r="931">
          <cell r="A931">
            <v>40375</v>
          </cell>
          <cell r="B931" t="str">
            <v>#Calc</v>
          </cell>
          <cell r="C931" t="e">
            <v>#DIV/0!</v>
          </cell>
          <cell r="D931" t="e">
            <v>#DIV/0!</v>
          </cell>
          <cell r="E931" t="e">
            <v>#DIV/0!</v>
          </cell>
        </row>
        <row r="932">
          <cell r="A932">
            <v>40376</v>
          </cell>
          <cell r="B932" t="str">
            <v>#Calc</v>
          </cell>
          <cell r="C932" t="e">
            <v>#DIV/0!</v>
          </cell>
          <cell r="D932" t="e">
            <v>#DIV/0!</v>
          </cell>
          <cell r="E932" t="e">
            <v>#DIV/0!</v>
          </cell>
        </row>
        <row r="933">
          <cell r="A933">
            <v>40377</v>
          </cell>
          <cell r="B933" t="str">
            <v>#Calc</v>
          </cell>
          <cell r="C933" t="e">
            <v>#DIV/0!</v>
          </cell>
          <cell r="D933" t="e">
            <v>#DIV/0!</v>
          </cell>
          <cell r="E933" t="e">
            <v>#DIV/0!</v>
          </cell>
        </row>
        <row r="934">
          <cell r="A934">
            <v>40378</v>
          </cell>
          <cell r="B934" t="str">
            <v>#Calc</v>
          </cell>
          <cell r="C934" t="e">
            <v>#DIV/0!</v>
          </cell>
          <cell r="D934" t="e">
            <v>#DIV/0!</v>
          </cell>
          <cell r="E934" t="e">
            <v>#DIV/0!</v>
          </cell>
        </row>
        <row r="935">
          <cell r="A935">
            <v>40379</v>
          </cell>
          <cell r="B935" t="str">
            <v>#Calc</v>
          </cell>
          <cell r="C935" t="e">
            <v>#DIV/0!</v>
          </cell>
          <cell r="D935" t="e">
            <v>#DIV/0!</v>
          </cell>
          <cell r="E935" t="e">
            <v>#DIV/0!</v>
          </cell>
        </row>
        <row r="936">
          <cell r="A936">
            <v>40380</v>
          </cell>
          <cell r="B936" t="str">
            <v>#Calc</v>
          </cell>
          <cell r="C936" t="e">
            <v>#DIV/0!</v>
          </cell>
          <cell r="D936" t="e">
            <v>#DIV/0!</v>
          </cell>
          <cell r="E936" t="e">
            <v>#DIV/0!</v>
          </cell>
        </row>
        <row r="937">
          <cell r="A937">
            <v>40381</v>
          </cell>
          <cell r="B937" t="str">
            <v>#Calc</v>
          </cell>
          <cell r="C937" t="e">
            <v>#DIV/0!</v>
          </cell>
          <cell r="D937" t="e">
            <v>#DIV/0!</v>
          </cell>
          <cell r="E937" t="e">
            <v>#DIV/0!</v>
          </cell>
        </row>
        <row r="938">
          <cell r="A938">
            <v>40382</v>
          </cell>
          <cell r="B938" t="str">
            <v>#Calc</v>
          </cell>
          <cell r="C938" t="e">
            <v>#DIV/0!</v>
          </cell>
          <cell r="D938" t="e">
            <v>#DIV/0!</v>
          </cell>
          <cell r="E938" t="e">
            <v>#DIV/0!</v>
          </cell>
        </row>
        <row r="939">
          <cell r="A939">
            <v>40383</v>
          </cell>
          <cell r="B939" t="str">
            <v>#Calc</v>
          </cell>
          <cell r="C939" t="e">
            <v>#DIV/0!</v>
          </cell>
          <cell r="D939" t="e">
            <v>#DIV/0!</v>
          </cell>
          <cell r="E939" t="e">
            <v>#DIV/0!</v>
          </cell>
        </row>
        <row r="940">
          <cell r="A940">
            <v>40384</v>
          </cell>
          <cell r="B940" t="str">
            <v>#Calc</v>
          </cell>
          <cell r="C940" t="e">
            <v>#DIV/0!</v>
          </cell>
          <cell r="D940" t="e">
            <v>#DIV/0!</v>
          </cell>
          <cell r="E940" t="e">
            <v>#DIV/0!</v>
          </cell>
        </row>
        <row r="941">
          <cell r="A941">
            <v>40385</v>
          </cell>
          <cell r="B941" t="str">
            <v>#Calc</v>
          </cell>
          <cell r="C941" t="e">
            <v>#DIV/0!</v>
          </cell>
          <cell r="D941" t="e">
            <v>#DIV/0!</v>
          </cell>
          <cell r="E941" t="e">
            <v>#DIV/0!</v>
          </cell>
        </row>
        <row r="942">
          <cell r="A942">
            <v>40386</v>
          </cell>
          <cell r="B942" t="str">
            <v>#Calc</v>
          </cell>
          <cell r="C942" t="e">
            <v>#DIV/0!</v>
          </cell>
          <cell r="D942" t="e">
            <v>#DIV/0!</v>
          </cell>
          <cell r="E942" t="e">
            <v>#DIV/0!</v>
          </cell>
        </row>
        <row r="943">
          <cell r="A943">
            <v>40387</v>
          </cell>
          <cell r="B943" t="str">
            <v>#Calc</v>
          </cell>
          <cell r="C943" t="e">
            <v>#DIV/0!</v>
          </cell>
          <cell r="D943" t="e">
            <v>#DIV/0!</v>
          </cell>
          <cell r="E943" t="e">
            <v>#DIV/0!</v>
          </cell>
        </row>
        <row r="944">
          <cell r="A944">
            <v>40388</v>
          </cell>
          <cell r="B944" t="str">
            <v>#Calc</v>
          </cell>
          <cell r="C944" t="e">
            <v>#DIV/0!</v>
          </cell>
          <cell r="D944" t="e">
            <v>#DIV/0!</v>
          </cell>
          <cell r="E944" t="e">
            <v>#DIV/0!</v>
          </cell>
        </row>
        <row r="945">
          <cell r="A945">
            <v>40389</v>
          </cell>
          <cell r="B945" t="str">
            <v>#Calc</v>
          </cell>
          <cell r="C945" t="e">
            <v>#DIV/0!</v>
          </cell>
          <cell r="D945" t="e">
            <v>#DIV/0!</v>
          </cell>
          <cell r="E945" t="e">
            <v>#DIV/0!</v>
          </cell>
        </row>
        <row r="946">
          <cell r="A946">
            <v>40390</v>
          </cell>
          <cell r="B946" t="str">
            <v>#Calc</v>
          </cell>
          <cell r="C946" t="e">
            <v>#DIV/0!</v>
          </cell>
          <cell r="D946" t="e">
            <v>#DIV/0!</v>
          </cell>
          <cell r="E946" t="e">
            <v>#DIV/0!</v>
          </cell>
        </row>
        <row r="947">
          <cell r="A947">
            <v>40391</v>
          </cell>
          <cell r="B947" t="str">
            <v>#Calc</v>
          </cell>
          <cell r="C947" t="e">
            <v>#DIV/0!</v>
          </cell>
          <cell r="D947" t="e">
            <v>#DIV/0!</v>
          </cell>
          <cell r="E947" t="e">
            <v>#DIV/0!</v>
          </cell>
        </row>
        <row r="948">
          <cell r="A948">
            <v>40392</v>
          </cell>
          <cell r="B948" t="str">
            <v>#Calc</v>
          </cell>
          <cell r="C948" t="e">
            <v>#DIV/0!</v>
          </cell>
          <cell r="D948" t="e">
            <v>#DIV/0!</v>
          </cell>
          <cell r="E948" t="e">
            <v>#DIV/0!</v>
          </cell>
        </row>
        <row r="949">
          <cell r="A949">
            <v>40393</v>
          </cell>
          <cell r="B949" t="str">
            <v>#Calc</v>
          </cell>
          <cell r="C949" t="e">
            <v>#DIV/0!</v>
          </cell>
          <cell r="D949" t="e">
            <v>#DIV/0!</v>
          </cell>
          <cell r="E949" t="e">
            <v>#DIV/0!</v>
          </cell>
        </row>
        <row r="950">
          <cell r="A950">
            <v>40394</v>
          </cell>
          <cell r="B950" t="str">
            <v>#Calc</v>
          </cell>
          <cell r="C950" t="e">
            <v>#DIV/0!</v>
          </cell>
          <cell r="D950" t="e">
            <v>#DIV/0!</v>
          </cell>
          <cell r="E950" t="e">
            <v>#DIV/0!</v>
          </cell>
        </row>
        <row r="951">
          <cell r="A951">
            <v>40395</v>
          </cell>
          <cell r="B951" t="str">
            <v>#Calc</v>
          </cell>
          <cell r="C951" t="e">
            <v>#DIV/0!</v>
          </cell>
          <cell r="D951" t="e">
            <v>#DIV/0!</v>
          </cell>
          <cell r="E951" t="e">
            <v>#DIV/0!</v>
          </cell>
        </row>
        <row r="952">
          <cell r="A952">
            <v>40396</v>
          </cell>
          <cell r="B952" t="str">
            <v>#Calc</v>
          </cell>
          <cell r="C952" t="e">
            <v>#DIV/0!</v>
          </cell>
          <cell r="D952" t="e">
            <v>#DIV/0!</v>
          </cell>
          <cell r="E952" t="e">
            <v>#DIV/0!</v>
          </cell>
        </row>
        <row r="953">
          <cell r="A953">
            <v>40397</v>
          </cell>
          <cell r="B953" t="str">
            <v>#Calc</v>
          </cell>
          <cell r="C953" t="e">
            <v>#DIV/0!</v>
          </cell>
          <cell r="D953" t="e">
            <v>#DIV/0!</v>
          </cell>
          <cell r="E953" t="e">
            <v>#DIV/0!</v>
          </cell>
        </row>
        <row r="954">
          <cell r="A954">
            <v>40398</v>
          </cell>
          <cell r="B954" t="str">
            <v>#Calc</v>
          </cell>
          <cell r="C954" t="e">
            <v>#DIV/0!</v>
          </cell>
          <cell r="D954" t="e">
            <v>#DIV/0!</v>
          </cell>
          <cell r="E954" t="e">
            <v>#DIV/0!</v>
          </cell>
        </row>
        <row r="955">
          <cell r="A955">
            <v>40399</v>
          </cell>
          <cell r="B955" t="str">
            <v>#Calc</v>
          </cell>
          <cell r="C955" t="e">
            <v>#DIV/0!</v>
          </cell>
          <cell r="D955" t="e">
            <v>#DIV/0!</v>
          </cell>
          <cell r="E955" t="e">
            <v>#DIV/0!</v>
          </cell>
        </row>
        <row r="956">
          <cell r="A956">
            <v>40400</v>
          </cell>
          <cell r="B956" t="str">
            <v>#Calc</v>
          </cell>
          <cell r="C956" t="e">
            <v>#DIV/0!</v>
          </cell>
          <cell r="D956" t="e">
            <v>#DIV/0!</v>
          </cell>
          <cell r="E956" t="e">
            <v>#DIV/0!</v>
          </cell>
        </row>
        <row r="957">
          <cell r="A957">
            <v>40401</v>
          </cell>
          <cell r="B957" t="str">
            <v>#Calc</v>
          </cell>
          <cell r="C957" t="e">
            <v>#DIV/0!</v>
          </cell>
          <cell r="D957" t="e">
            <v>#DIV/0!</v>
          </cell>
          <cell r="E957" t="e">
            <v>#DIV/0!</v>
          </cell>
        </row>
        <row r="958">
          <cell r="A958">
            <v>40402</v>
          </cell>
          <cell r="B958" t="str">
            <v>#Calc</v>
          </cell>
          <cell r="C958" t="e">
            <v>#DIV/0!</v>
          </cell>
          <cell r="D958" t="e">
            <v>#DIV/0!</v>
          </cell>
          <cell r="E958" t="e">
            <v>#DIV/0!</v>
          </cell>
        </row>
        <row r="959">
          <cell r="A959">
            <v>40403</v>
          </cell>
          <cell r="B959" t="str">
            <v>#Calc</v>
          </cell>
          <cell r="C959" t="e">
            <v>#DIV/0!</v>
          </cell>
          <cell r="D959" t="e">
            <v>#DIV/0!</v>
          </cell>
          <cell r="E959" t="e">
            <v>#DIV/0!</v>
          </cell>
        </row>
        <row r="960">
          <cell r="A960">
            <v>40404</v>
          </cell>
          <cell r="B960" t="str">
            <v>#Calc</v>
          </cell>
          <cell r="C960" t="e">
            <v>#DIV/0!</v>
          </cell>
          <cell r="D960" t="e">
            <v>#DIV/0!</v>
          </cell>
          <cell r="E960" t="e">
            <v>#DIV/0!</v>
          </cell>
        </row>
        <row r="961">
          <cell r="A961">
            <v>40405</v>
          </cell>
          <cell r="B961" t="str">
            <v>#Calc</v>
          </cell>
          <cell r="C961" t="e">
            <v>#DIV/0!</v>
          </cell>
          <cell r="D961" t="e">
            <v>#DIV/0!</v>
          </cell>
          <cell r="E961" t="e">
            <v>#DIV/0!</v>
          </cell>
        </row>
        <row r="962">
          <cell r="A962">
            <v>40406</v>
          </cell>
          <cell r="B962" t="str">
            <v>#Calc</v>
          </cell>
          <cell r="C962" t="e">
            <v>#DIV/0!</v>
          </cell>
          <cell r="D962" t="e">
            <v>#DIV/0!</v>
          </cell>
          <cell r="E962" t="e">
            <v>#DIV/0!</v>
          </cell>
        </row>
        <row r="963">
          <cell r="A963">
            <v>40407</v>
          </cell>
          <cell r="B963" t="str">
            <v>#Calc</v>
          </cell>
          <cell r="C963" t="e">
            <v>#DIV/0!</v>
          </cell>
          <cell r="D963" t="e">
            <v>#DIV/0!</v>
          </cell>
          <cell r="E963" t="e">
            <v>#DIV/0!</v>
          </cell>
        </row>
        <row r="964">
          <cell r="A964">
            <v>40408</v>
          </cell>
          <cell r="B964" t="str">
            <v>#Calc</v>
          </cell>
          <cell r="C964" t="e">
            <v>#DIV/0!</v>
          </cell>
          <cell r="D964" t="e">
            <v>#DIV/0!</v>
          </cell>
          <cell r="E964" t="e">
            <v>#DIV/0!</v>
          </cell>
        </row>
        <row r="965">
          <cell r="A965">
            <v>40409</v>
          </cell>
          <cell r="B965" t="str">
            <v>#Calc</v>
          </cell>
          <cell r="C965" t="e">
            <v>#DIV/0!</v>
          </cell>
          <cell r="D965" t="e">
            <v>#DIV/0!</v>
          </cell>
          <cell r="E965" t="e">
            <v>#DIV/0!</v>
          </cell>
        </row>
        <row r="966">
          <cell r="A966">
            <v>40410</v>
          </cell>
          <cell r="B966" t="str">
            <v>#Calc</v>
          </cell>
          <cell r="C966" t="e">
            <v>#DIV/0!</v>
          </cell>
          <cell r="D966" t="e">
            <v>#DIV/0!</v>
          </cell>
          <cell r="E966" t="e">
            <v>#DIV/0!</v>
          </cell>
        </row>
        <row r="967">
          <cell r="A967">
            <v>40411</v>
          </cell>
          <cell r="B967" t="str">
            <v>#Calc</v>
          </cell>
          <cell r="C967" t="e">
            <v>#DIV/0!</v>
          </cell>
          <cell r="D967" t="e">
            <v>#DIV/0!</v>
          </cell>
          <cell r="E967" t="e">
            <v>#DIV/0!</v>
          </cell>
        </row>
        <row r="968">
          <cell r="A968">
            <v>40412</v>
          </cell>
          <cell r="B968" t="str">
            <v>#Calc</v>
          </cell>
          <cell r="C968" t="e">
            <v>#DIV/0!</v>
          </cell>
          <cell r="D968" t="e">
            <v>#DIV/0!</v>
          </cell>
          <cell r="E968" t="e">
            <v>#DIV/0!</v>
          </cell>
        </row>
        <row r="969">
          <cell r="A969">
            <v>40413</v>
          </cell>
          <cell r="B969" t="str">
            <v>#Calc</v>
          </cell>
          <cell r="C969" t="e">
            <v>#DIV/0!</v>
          </cell>
          <cell r="D969" t="e">
            <v>#DIV/0!</v>
          </cell>
          <cell r="E969" t="e">
            <v>#DIV/0!</v>
          </cell>
        </row>
        <row r="970">
          <cell r="A970">
            <v>40414</v>
          </cell>
          <cell r="B970" t="str">
            <v>#Calc</v>
          </cell>
          <cell r="C970" t="e">
            <v>#DIV/0!</v>
          </cell>
          <cell r="D970" t="e">
            <v>#DIV/0!</v>
          </cell>
          <cell r="E970" t="e">
            <v>#DIV/0!</v>
          </cell>
        </row>
        <row r="971">
          <cell r="A971">
            <v>40415</v>
          </cell>
          <cell r="B971" t="str">
            <v>#Calc</v>
          </cell>
          <cell r="C971" t="e">
            <v>#DIV/0!</v>
          </cell>
          <cell r="D971" t="e">
            <v>#DIV/0!</v>
          </cell>
          <cell r="E971" t="e">
            <v>#DIV/0!</v>
          </cell>
        </row>
        <row r="972">
          <cell r="A972">
            <v>40416</v>
          </cell>
          <cell r="B972" t="str">
            <v>#Calc</v>
          </cell>
          <cell r="C972" t="e">
            <v>#DIV/0!</v>
          </cell>
          <cell r="D972" t="e">
            <v>#DIV/0!</v>
          </cell>
          <cell r="E972" t="e">
            <v>#DIV/0!</v>
          </cell>
        </row>
        <row r="973">
          <cell r="A973">
            <v>40417</v>
          </cell>
          <cell r="B973" t="str">
            <v>#Calc</v>
          </cell>
          <cell r="C973" t="e">
            <v>#DIV/0!</v>
          </cell>
          <cell r="D973" t="e">
            <v>#DIV/0!</v>
          </cell>
          <cell r="E973" t="e">
            <v>#DIV/0!</v>
          </cell>
        </row>
        <row r="974">
          <cell r="A974">
            <v>40418</v>
          </cell>
          <cell r="B974" t="str">
            <v>#Calc</v>
          </cell>
          <cell r="C974" t="e">
            <v>#DIV/0!</v>
          </cell>
          <cell r="D974" t="e">
            <v>#DIV/0!</v>
          </cell>
          <cell r="E974" t="e">
            <v>#DIV/0!</v>
          </cell>
        </row>
        <row r="975">
          <cell r="A975">
            <v>40419</v>
          </cell>
          <cell r="B975" t="str">
            <v>#Calc</v>
          </cell>
          <cell r="C975" t="e">
            <v>#DIV/0!</v>
          </cell>
          <cell r="D975" t="e">
            <v>#DIV/0!</v>
          </cell>
          <cell r="E975" t="e">
            <v>#DIV/0!</v>
          </cell>
        </row>
        <row r="976">
          <cell r="A976">
            <v>40420</v>
          </cell>
          <cell r="B976" t="str">
            <v>#Calc</v>
          </cell>
          <cell r="C976" t="e">
            <v>#DIV/0!</v>
          </cell>
          <cell r="D976" t="e">
            <v>#DIV/0!</v>
          </cell>
          <cell r="E976" t="e">
            <v>#DIV/0!</v>
          </cell>
        </row>
        <row r="977">
          <cell r="A977">
            <v>40421</v>
          </cell>
          <cell r="B977" t="str">
            <v>#Calc</v>
          </cell>
          <cell r="C977" t="e">
            <v>#DIV/0!</v>
          </cell>
          <cell r="D977" t="e">
            <v>#DIV/0!</v>
          </cell>
          <cell r="E977" t="e">
            <v>#DIV/0!</v>
          </cell>
        </row>
        <row r="978">
          <cell r="A978">
            <v>40422</v>
          </cell>
          <cell r="B978" t="str">
            <v>#Calc</v>
          </cell>
          <cell r="C978" t="e">
            <v>#DIV/0!</v>
          </cell>
          <cell r="D978" t="e">
            <v>#DIV/0!</v>
          </cell>
          <cell r="E978" t="e">
            <v>#DIV/0!</v>
          </cell>
        </row>
        <row r="979">
          <cell r="A979">
            <v>40423</v>
          </cell>
          <cell r="B979" t="str">
            <v>#Calc</v>
          </cell>
          <cell r="C979" t="e">
            <v>#DIV/0!</v>
          </cell>
          <cell r="D979" t="e">
            <v>#DIV/0!</v>
          </cell>
          <cell r="E979" t="e">
            <v>#DIV/0!</v>
          </cell>
        </row>
        <row r="980">
          <cell r="A980">
            <v>40424</v>
          </cell>
          <cell r="B980" t="str">
            <v>#Calc</v>
          </cell>
          <cell r="C980" t="e">
            <v>#DIV/0!</v>
          </cell>
          <cell r="D980" t="e">
            <v>#DIV/0!</v>
          </cell>
          <cell r="E980" t="e">
            <v>#DIV/0!</v>
          </cell>
        </row>
        <row r="981">
          <cell r="A981">
            <v>40425</v>
          </cell>
          <cell r="B981" t="str">
            <v>#Calc</v>
          </cell>
          <cell r="C981" t="e">
            <v>#DIV/0!</v>
          </cell>
          <cell r="D981" t="e">
            <v>#DIV/0!</v>
          </cell>
          <cell r="E981" t="e">
            <v>#DIV/0!</v>
          </cell>
        </row>
        <row r="982">
          <cell r="A982">
            <v>40426</v>
          </cell>
          <cell r="B982" t="str">
            <v>#Calc</v>
          </cell>
          <cell r="C982" t="e">
            <v>#DIV/0!</v>
          </cell>
          <cell r="D982" t="e">
            <v>#DIV/0!</v>
          </cell>
          <cell r="E982" t="e">
            <v>#DIV/0!</v>
          </cell>
        </row>
        <row r="983">
          <cell r="A983">
            <v>40427</v>
          </cell>
          <cell r="B983" t="str">
            <v>#Calc</v>
          </cell>
          <cell r="C983" t="e">
            <v>#DIV/0!</v>
          </cell>
          <cell r="D983" t="e">
            <v>#DIV/0!</v>
          </cell>
          <cell r="E983" t="e">
            <v>#DIV/0!</v>
          </cell>
        </row>
        <row r="984">
          <cell r="A984">
            <v>40428</v>
          </cell>
          <cell r="B984" t="str">
            <v>#Calc</v>
          </cell>
          <cell r="C984" t="e">
            <v>#DIV/0!</v>
          </cell>
          <cell r="D984" t="e">
            <v>#DIV/0!</v>
          </cell>
          <cell r="E984" t="e">
            <v>#DIV/0!</v>
          </cell>
        </row>
        <row r="985">
          <cell r="A985">
            <v>40429</v>
          </cell>
          <cell r="B985" t="str">
            <v>#Calc</v>
          </cell>
          <cell r="C985" t="e">
            <v>#DIV/0!</v>
          </cell>
          <cell r="D985" t="e">
            <v>#DIV/0!</v>
          </cell>
          <cell r="E985" t="e">
            <v>#DIV/0!</v>
          </cell>
        </row>
        <row r="986">
          <cell r="A986">
            <v>40430</v>
          </cell>
          <cell r="B986" t="str">
            <v>#Calc</v>
          </cell>
          <cell r="C986" t="e">
            <v>#DIV/0!</v>
          </cell>
          <cell r="D986" t="e">
            <v>#DIV/0!</v>
          </cell>
          <cell r="E986" t="e">
            <v>#DIV/0!</v>
          </cell>
        </row>
        <row r="987">
          <cell r="A987">
            <v>40431</v>
          </cell>
          <cell r="B987" t="str">
            <v>#Calc</v>
          </cell>
          <cell r="C987" t="e">
            <v>#DIV/0!</v>
          </cell>
          <cell r="D987" t="e">
            <v>#DIV/0!</v>
          </cell>
          <cell r="E987" t="e">
            <v>#DIV/0!</v>
          </cell>
        </row>
        <row r="988">
          <cell r="A988">
            <v>40432</v>
          </cell>
          <cell r="B988" t="str">
            <v>#Calc</v>
          </cell>
          <cell r="C988" t="e">
            <v>#DIV/0!</v>
          </cell>
          <cell r="D988" t="e">
            <v>#DIV/0!</v>
          </cell>
          <cell r="E988" t="e">
            <v>#DIV/0!</v>
          </cell>
        </row>
        <row r="989">
          <cell r="A989">
            <v>40433</v>
          </cell>
          <cell r="B989" t="str">
            <v>#Calc</v>
          </cell>
          <cell r="C989" t="e">
            <v>#DIV/0!</v>
          </cell>
          <cell r="D989" t="e">
            <v>#DIV/0!</v>
          </cell>
          <cell r="E989" t="e">
            <v>#DIV/0!</v>
          </cell>
        </row>
        <row r="990">
          <cell r="A990">
            <v>40434</v>
          </cell>
          <cell r="B990" t="str">
            <v>#Calc</v>
          </cell>
          <cell r="C990" t="e">
            <v>#DIV/0!</v>
          </cell>
          <cell r="D990" t="e">
            <v>#DIV/0!</v>
          </cell>
          <cell r="E990" t="e">
            <v>#DIV/0!</v>
          </cell>
        </row>
        <row r="991">
          <cell r="A991">
            <v>40435</v>
          </cell>
          <cell r="B991" t="str">
            <v>#Calc</v>
          </cell>
          <cell r="C991" t="e">
            <v>#DIV/0!</v>
          </cell>
          <cell r="D991" t="e">
            <v>#DIV/0!</v>
          </cell>
          <cell r="E991" t="e">
            <v>#DIV/0!</v>
          </cell>
        </row>
        <row r="992">
          <cell r="A992">
            <v>40436</v>
          </cell>
          <cell r="B992" t="str">
            <v>#Calc</v>
          </cell>
          <cell r="C992" t="e">
            <v>#DIV/0!</v>
          </cell>
          <cell r="D992" t="e">
            <v>#DIV/0!</v>
          </cell>
          <cell r="E992" t="e">
            <v>#DIV/0!</v>
          </cell>
        </row>
        <row r="993">
          <cell r="A993">
            <v>40437</v>
          </cell>
          <cell r="B993" t="str">
            <v>#Calc</v>
          </cell>
          <cell r="C993" t="e">
            <v>#DIV/0!</v>
          </cell>
          <cell r="D993" t="e">
            <v>#DIV/0!</v>
          </cell>
          <cell r="E993" t="e">
            <v>#DIV/0!</v>
          </cell>
        </row>
        <row r="994">
          <cell r="A994">
            <v>40438</v>
          </cell>
          <cell r="B994" t="str">
            <v>#Calc</v>
          </cell>
          <cell r="C994" t="e">
            <v>#DIV/0!</v>
          </cell>
          <cell r="D994" t="e">
            <v>#DIV/0!</v>
          </cell>
          <cell r="E994" t="e">
            <v>#DIV/0!</v>
          </cell>
        </row>
        <row r="995">
          <cell r="A995">
            <v>40439</v>
          </cell>
          <cell r="B995" t="str">
            <v>#Calc</v>
          </cell>
          <cell r="C995" t="e">
            <v>#DIV/0!</v>
          </cell>
          <cell r="D995" t="e">
            <v>#DIV/0!</v>
          </cell>
          <cell r="E995" t="e">
            <v>#DIV/0!</v>
          </cell>
        </row>
        <row r="996">
          <cell r="A996">
            <v>40440</v>
          </cell>
          <cell r="B996" t="str">
            <v>#Calc</v>
          </cell>
          <cell r="C996" t="e">
            <v>#DIV/0!</v>
          </cell>
          <cell r="D996" t="e">
            <v>#DIV/0!</v>
          </cell>
          <cell r="E996" t="e">
            <v>#DIV/0!</v>
          </cell>
        </row>
        <row r="997">
          <cell r="A997">
            <v>40441</v>
          </cell>
          <cell r="B997" t="str">
            <v>#Calc</v>
          </cell>
          <cell r="C997" t="e">
            <v>#DIV/0!</v>
          </cell>
          <cell r="D997" t="e">
            <v>#DIV/0!</v>
          </cell>
          <cell r="E997" t="e">
            <v>#DIV/0!</v>
          </cell>
        </row>
        <row r="998">
          <cell r="A998">
            <v>40442</v>
          </cell>
          <cell r="B998" t="str">
            <v>#Calc</v>
          </cell>
          <cell r="C998" t="e">
            <v>#DIV/0!</v>
          </cell>
          <cell r="D998" t="e">
            <v>#DIV/0!</v>
          </cell>
          <cell r="E998" t="e">
            <v>#DIV/0!</v>
          </cell>
        </row>
        <row r="999">
          <cell r="A999">
            <v>40443</v>
          </cell>
          <cell r="B999" t="str">
            <v>#Calc</v>
          </cell>
          <cell r="C999" t="e">
            <v>#DIV/0!</v>
          </cell>
          <cell r="D999" t="e">
            <v>#DIV/0!</v>
          </cell>
          <cell r="E999" t="e">
            <v>#DIV/0!</v>
          </cell>
        </row>
        <row r="1000">
          <cell r="A1000">
            <v>40444</v>
          </cell>
          <cell r="B1000" t="str">
            <v>#Calc</v>
          </cell>
          <cell r="C1000" t="e">
            <v>#DIV/0!</v>
          </cell>
          <cell r="D1000" t="e">
            <v>#DIV/0!</v>
          </cell>
          <cell r="E1000" t="e">
            <v>#DIV/0!</v>
          </cell>
        </row>
        <row r="1001">
          <cell r="A1001">
            <v>40445</v>
          </cell>
          <cell r="B1001" t="str">
            <v>#Calc</v>
          </cell>
          <cell r="C1001" t="e">
            <v>#DIV/0!</v>
          </cell>
          <cell r="D1001" t="e">
            <v>#DIV/0!</v>
          </cell>
          <cell r="E1001" t="e">
            <v>#DIV/0!</v>
          </cell>
        </row>
        <row r="1002">
          <cell r="A1002">
            <v>40446</v>
          </cell>
          <cell r="B1002" t="str">
            <v>#Calc</v>
          </cell>
          <cell r="C1002" t="e">
            <v>#DIV/0!</v>
          </cell>
          <cell r="D1002" t="e">
            <v>#DIV/0!</v>
          </cell>
          <cell r="E1002" t="e">
            <v>#DIV/0!</v>
          </cell>
        </row>
        <row r="1003">
          <cell r="A1003">
            <v>40447</v>
          </cell>
          <cell r="B1003" t="str">
            <v>#Calc</v>
          </cell>
          <cell r="C1003" t="e">
            <v>#DIV/0!</v>
          </cell>
          <cell r="D1003" t="e">
            <v>#DIV/0!</v>
          </cell>
          <cell r="E1003" t="e">
            <v>#DIV/0!</v>
          </cell>
        </row>
        <row r="1004">
          <cell r="A1004">
            <v>40448</v>
          </cell>
          <cell r="B1004" t="str">
            <v>#Calc</v>
          </cell>
          <cell r="C1004" t="e">
            <v>#DIV/0!</v>
          </cell>
          <cell r="D1004" t="e">
            <v>#DIV/0!</v>
          </cell>
          <cell r="E1004" t="e">
            <v>#DIV/0!</v>
          </cell>
        </row>
        <row r="1005">
          <cell r="A1005">
            <v>40449</v>
          </cell>
          <cell r="B1005" t="str">
            <v>#Calc</v>
          </cell>
          <cell r="C1005" t="e">
            <v>#DIV/0!</v>
          </cell>
          <cell r="D1005" t="e">
            <v>#DIV/0!</v>
          </cell>
          <cell r="E1005" t="e">
            <v>#DIV/0!</v>
          </cell>
        </row>
        <row r="1006">
          <cell r="A1006">
            <v>40450</v>
          </cell>
          <cell r="B1006" t="str">
            <v>#Calc</v>
          </cell>
          <cell r="C1006" t="e">
            <v>#DIV/0!</v>
          </cell>
          <cell r="D1006" t="e">
            <v>#DIV/0!</v>
          </cell>
          <cell r="E1006" t="e">
            <v>#DIV/0!</v>
          </cell>
        </row>
        <row r="1007">
          <cell r="A1007">
            <v>40451</v>
          </cell>
          <cell r="B1007" t="str">
            <v>#Calc</v>
          </cell>
          <cell r="C1007" t="e">
            <v>#DIV/0!</v>
          </cell>
          <cell r="D1007" t="e">
            <v>#DIV/0!</v>
          </cell>
          <cell r="E1007" t="e">
            <v>#DIV/0!</v>
          </cell>
        </row>
        <row r="1008">
          <cell r="A1008">
            <v>40452</v>
          </cell>
          <cell r="B1008" t="str">
            <v>#Calc</v>
          </cell>
          <cell r="C1008" t="e">
            <v>#DIV/0!</v>
          </cell>
          <cell r="D1008" t="e">
            <v>#DIV/0!</v>
          </cell>
          <cell r="E1008" t="e">
            <v>#DIV/0!</v>
          </cell>
        </row>
        <row r="1009">
          <cell r="A1009">
            <v>40453</v>
          </cell>
          <cell r="B1009" t="str">
            <v>#Calc</v>
          </cell>
          <cell r="C1009" t="e">
            <v>#DIV/0!</v>
          </cell>
          <cell r="D1009" t="e">
            <v>#DIV/0!</v>
          </cell>
          <cell r="E1009" t="e">
            <v>#DIV/0!</v>
          </cell>
        </row>
        <row r="1010">
          <cell r="A1010">
            <v>40454</v>
          </cell>
          <cell r="B1010" t="str">
            <v>#Calc</v>
          </cell>
          <cell r="C1010" t="e">
            <v>#DIV/0!</v>
          </cell>
          <cell r="D1010" t="e">
            <v>#DIV/0!</v>
          </cell>
          <cell r="E1010" t="e">
            <v>#DIV/0!</v>
          </cell>
        </row>
        <row r="1011">
          <cell r="A1011">
            <v>40455</v>
          </cell>
          <cell r="B1011" t="str">
            <v>#Calc</v>
          </cell>
          <cell r="C1011" t="e">
            <v>#DIV/0!</v>
          </cell>
          <cell r="D1011" t="e">
            <v>#DIV/0!</v>
          </cell>
          <cell r="E1011" t="e">
            <v>#DIV/0!</v>
          </cell>
        </row>
        <row r="1012">
          <cell r="A1012">
            <v>40456</v>
          </cell>
          <cell r="B1012" t="str">
            <v>#Calc</v>
          </cell>
          <cell r="C1012" t="e">
            <v>#DIV/0!</v>
          </cell>
          <cell r="D1012" t="e">
            <v>#DIV/0!</v>
          </cell>
          <cell r="E1012" t="e">
            <v>#DIV/0!</v>
          </cell>
        </row>
        <row r="1013">
          <cell r="A1013">
            <v>40457</v>
          </cell>
          <cell r="B1013" t="str">
            <v>#Calc</v>
          </cell>
          <cell r="C1013" t="e">
            <v>#DIV/0!</v>
          </cell>
          <cell r="D1013" t="e">
            <v>#DIV/0!</v>
          </cell>
          <cell r="E1013" t="e">
            <v>#DIV/0!</v>
          </cell>
        </row>
        <row r="1014">
          <cell r="A1014">
            <v>40458</v>
          </cell>
          <cell r="B1014" t="str">
            <v>#Calc</v>
          </cell>
          <cell r="C1014" t="e">
            <v>#DIV/0!</v>
          </cell>
          <cell r="D1014" t="e">
            <v>#DIV/0!</v>
          </cell>
          <cell r="E1014" t="e">
            <v>#DIV/0!</v>
          </cell>
        </row>
        <row r="1015">
          <cell r="A1015">
            <v>40459</v>
          </cell>
          <cell r="B1015" t="str">
            <v>#Calc</v>
          </cell>
          <cell r="C1015" t="e">
            <v>#DIV/0!</v>
          </cell>
          <cell r="D1015" t="e">
            <v>#DIV/0!</v>
          </cell>
          <cell r="E1015" t="e">
            <v>#DIV/0!</v>
          </cell>
        </row>
        <row r="1016">
          <cell r="A1016">
            <v>40460</v>
          </cell>
          <cell r="B1016" t="str">
            <v>#Calc</v>
          </cell>
          <cell r="C1016" t="e">
            <v>#DIV/0!</v>
          </cell>
          <cell r="D1016" t="e">
            <v>#DIV/0!</v>
          </cell>
          <cell r="E1016" t="e">
            <v>#DIV/0!</v>
          </cell>
        </row>
        <row r="1017">
          <cell r="A1017">
            <v>40461</v>
          </cell>
          <cell r="B1017" t="str">
            <v>#Calc</v>
          </cell>
          <cell r="C1017" t="e">
            <v>#DIV/0!</v>
          </cell>
          <cell r="D1017" t="e">
            <v>#DIV/0!</v>
          </cell>
          <cell r="E1017" t="e">
            <v>#DIV/0!</v>
          </cell>
        </row>
        <row r="1018">
          <cell r="A1018">
            <v>40462</v>
          </cell>
          <cell r="B1018" t="str">
            <v>#Calc</v>
          </cell>
          <cell r="C1018" t="e">
            <v>#DIV/0!</v>
          </cell>
          <cell r="D1018" t="e">
            <v>#DIV/0!</v>
          </cell>
          <cell r="E1018" t="e">
            <v>#DIV/0!</v>
          </cell>
        </row>
        <row r="1019">
          <cell r="A1019">
            <v>40463</v>
          </cell>
          <cell r="B1019" t="str">
            <v>#Calc</v>
          </cell>
          <cell r="C1019" t="e">
            <v>#DIV/0!</v>
          </cell>
          <cell r="D1019" t="e">
            <v>#DIV/0!</v>
          </cell>
          <cell r="E1019" t="e">
            <v>#DIV/0!</v>
          </cell>
        </row>
        <row r="1020">
          <cell r="A1020">
            <v>40464</v>
          </cell>
          <cell r="B1020" t="str">
            <v>#Calc</v>
          </cell>
          <cell r="C1020" t="e">
            <v>#DIV/0!</v>
          </cell>
          <cell r="D1020" t="e">
            <v>#DIV/0!</v>
          </cell>
          <cell r="E1020" t="e">
            <v>#DIV/0!</v>
          </cell>
        </row>
        <row r="1021">
          <cell r="A1021">
            <v>40465</v>
          </cell>
          <cell r="B1021" t="str">
            <v>#Calc</v>
          </cell>
          <cell r="C1021" t="e">
            <v>#DIV/0!</v>
          </cell>
          <cell r="D1021" t="e">
            <v>#DIV/0!</v>
          </cell>
          <cell r="E1021" t="e">
            <v>#DIV/0!</v>
          </cell>
        </row>
        <row r="1022">
          <cell r="A1022">
            <v>40466</v>
          </cell>
          <cell r="B1022" t="str">
            <v>#Calc</v>
          </cell>
          <cell r="C1022" t="e">
            <v>#DIV/0!</v>
          </cell>
          <cell r="D1022" t="e">
            <v>#DIV/0!</v>
          </cell>
          <cell r="E1022" t="e">
            <v>#DIV/0!</v>
          </cell>
        </row>
        <row r="1023">
          <cell r="A1023">
            <v>40467</v>
          </cell>
          <cell r="B1023" t="str">
            <v>#Calc</v>
          </cell>
          <cell r="C1023" t="e">
            <v>#DIV/0!</v>
          </cell>
          <cell r="D1023" t="e">
            <v>#DIV/0!</v>
          </cell>
          <cell r="E1023" t="e">
            <v>#DIV/0!</v>
          </cell>
        </row>
        <row r="1024">
          <cell r="A1024">
            <v>40468</v>
          </cell>
          <cell r="B1024" t="str">
            <v>#Calc</v>
          </cell>
          <cell r="C1024" t="e">
            <v>#DIV/0!</v>
          </cell>
          <cell r="D1024" t="e">
            <v>#DIV/0!</v>
          </cell>
          <cell r="E1024" t="e">
            <v>#DIV/0!</v>
          </cell>
        </row>
        <row r="1025">
          <cell r="A1025">
            <v>40469</v>
          </cell>
          <cell r="B1025" t="str">
            <v>#Calc</v>
          </cell>
          <cell r="C1025" t="e">
            <v>#DIV/0!</v>
          </cell>
          <cell r="D1025" t="e">
            <v>#DIV/0!</v>
          </cell>
          <cell r="E1025" t="e">
            <v>#DIV/0!</v>
          </cell>
        </row>
        <row r="1026">
          <cell r="A1026">
            <v>40470</v>
          </cell>
          <cell r="B1026" t="str">
            <v>#Calc</v>
          </cell>
          <cell r="C1026" t="e">
            <v>#DIV/0!</v>
          </cell>
          <cell r="D1026" t="e">
            <v>#DIV/0!</v>
          </cell>
          <cell r="E1026" t="e">
            <v>#DIV/0!</v>
          </cell>
        </row>
        <row r="1027">
          <cell r="A1027">
            <v>40471</v>
          </cell>
          <cell r="B1027" t="str">
            <v>#Calc</v>
          </cell>
          <cell r="C1027" t="e">
            <v>#DIV/0!</v>
          </cell>
          <cell r="D1027" t="e">
            <v>#DIV/0!</v>
          </cell>
          <cell r="E1027" t="e">
            <v>#DIV/0!</v>
          </cell>
        </row>
        <row r="1028">
          <cell r="A1028">
            <v>40472</v>
          </cell>
          <cell r="B1028" t="str">
            <v>#Calc</v>
          </cell>
          <cell r="C1028" t="e">
            <v>#DIV/0!</v>
          </cell>
          <cell r="D1028" t="e">
            <v>#DIV/0!</v>
          </cell>
          <cell r="E1028" t="e">
            <v>#DIV/0!</v>
          </cell>
        </row>
        <row r="1029">
          <cell r="A1029">
            <v>40473</v>
          </cell>
          <cell r="B1029" t="str">
            <v>#Calc</v>
          </cell>
          <cell r="C1029" t="e">
            <v>#DIV/0!</v>
          </cell>
          <cell r="D1029" t="e">
            <v>#DIV/0!</v>
          </cell>
          <cell r="E1029" t="e">
            <v>#DIV/0!</v>
          </cell>
        </row>
      </sheetData>
      <sheetData sheetId="3"/>
      <sheetData sheetId="4">
        <row r="2">
          <cell r="B2" t="str">
            <v>1Q11 Estimates vs. Actual</v>
          </cell>
        </row>
        <row r="3">
          <cell r="B3" t="str">
            <v>R$ MN</v>
          </cell>
          <cell r="C3" t="str">
            <v>1Q11a</v>
          </cell>
          <cell r="D3" t="str">
            <v>1Q11e</v>
          </cell>
          <cell r="E3" t="str">
            <v>4Q10a</v>
          </cell>
          <cell r="F3" t="str">
            <v>1Q10a</v>
          </cell>
          <cell r="G3" t="str">
            <v>A/E</v>
          </cell>
          <cell r="H3" t="str">
            <v>Q/Q</v>
          </cell>
          <cell r="I3" t="str">
            <v>Y/Y</v>
          </cell>
          <cell r="L3" t="str">
            <v>Conference Call</v>
          </cell>
        </row>
        <row r="4">
          <cell r="B4" t="str">
            <v>Net Revenue</v>
          </cell>
          <cell r="C4">
            <v>521.27099999999996</v>
          </cell>
          <cell r="D4">
            <v>562.76286990113567</v>
          </cell>
          <cell r="E4">
            <v>521.27099999999996</v>
          </cell>
          <cell r="F4">
            <v>492.94900000000001</v>
          </cell>
          <cell r="G4">
            <v>-7.3728868978909179E-2</v>
          </cell>
          <cell r="H4">
            <v>0</v>
          </cell>
          <cell r="I4">
            <v>5.7454219402006901E-2</v>
          </cell>
          <cell r="M4" t="str">
            <v>Time</v>
          </cell>
          <cell r="N4" t="str">
            <v>Number</v>
          </cell>
          <cell r="O4" t="str">
            <v>Code</v>
          </cell>
          <cell r="Q4">
            <v>518.6</v>
          </cell>
          <cell r="R4">
            <v>5.1504049363670923E-3</v>
          </cell>
        </row>
        <row r="5">
          <cell r="B5" t="str">
            <v xml:space="preserve">Ebitda </v>
          </cell>
          <cell r="C5">
            <v>22.228000000000002</v>
          </cell>
          <cell r="D5">
            <v>39.820279156020241</v>
          </cell>
          <cell r="E5">
            <v>22.228000000000002</v>
          </cell>
          <cell r="F5">
            <v>46.963999999999999</v>
          </cell>
          <cell r="G5">
            <v>-0.44179195949610883</v>
          </cell>
          <cell r="H5">
            <v>0</v>
          </cell>
          <cell r="I5">
            <v>-0.52670130312579844</v>
          </cell>
          <cell r="L5" t="str">
            <v>Portuguese</v>
          </cell>
          <cell r="M5" t="str">
            <v>9 AM EST</v>
          </cell>
          <cell r="N5" t="str">
            <v>+55 (11) 2188-0155</v>
          </cell>
          <cell r="O5" t="str">
            <v xml:space="preserve">Drogasil </v>
          </cell>
          <cell r="Q5">
            <v>37.075000000000003</v>
          </cell>
          <cell r="R5">
            <v>-0.40045853000674314</v>
          </cell>
        </row>
        <row r="6">
          <cell r="B6" t="str">
            <v>Ebitda margin</v>
          </cell>
          <cell r="C6">
            <v>4.2641927135789258E-2</v>
          </cell>
          <cell r="D6">
            <v>7.0758540205425671E-2</v>
          </cell>
          <cell r="E6">
            <v>4.2641927135789258E-2</v>
          </cell>
          <cell r="F6">
            <v>9.5271518960379262E-2</v>
          </cell>
          <cell r="L6" t="str">
            <v>English</v>
          </cell>
          <cell r="M6" t="str">
            <v>11 AM EST</v>
          </cell>
          <cell r="N6" t="str">
            <v>+1 (412) 317-6776</v>
          </cell>
          <cell r="O6" t="str">
            <v xml:space="preserve">Drogasil </v>
          </cell>
          <cell r="Q6">
            <v>7.1490551484766685E-2</v>
          </cell>
        </row>
        <row r="7">
          <cell r="B7" t="str">
            <v>Net Income</v>
          </cell>
          <cell r="C7">
            <v>11.587</v>
          </cell>
          <cell r="D7">
            <v>23.465601346226261</v>
          </cell>
          <cell r="E7">
            <v>11.629</v>
          </cell>
          <cell r="F7">
            <v>29.033999999999999</v>
          </cell>
          <cell r="G7">
            <v>-0.50621337893548501</v>
          </cell>
          <cell r="H7">
            <v>-3.6116605039125949E-3</v>
          </cell>
          <cell r="I7">
            <v>-0.60091616725218711</v>
          </cell>
          <cell r="L7" t="str">
            <v>Key Themes: SSS growth, margins and M&amp;A pipeline</v>
          </cell>
          <cell r="Q7">
            <v>21.875</v>
          </cell>
          <cell r="R7">
            <v>-0.47030857142857141</v>
          </cell>
        </row>
        <row r="9">
          <cell r="B9" t="str">
            <v>Source: Company Data, Morgan Stanley Research</v>
          </cell>
        </row>
        <row r="16">
          <cell r="B16" t="str">
            <v>DROG3.SA</v>
          </cell>
          <cell r="C16" t="str">
            <v>11Q1</v>
          </cell>
        </row>
        <row r="17">
          <cell r="B17" t="str">
            <v>Net Revenue</v>
          </cell>
          <cell r="C17">
            <v>533.28600000000006</v>
          </cell>
          <cell r="D17">
            <v>-2.2530124548553854E-2</v>
          </cell>
        </row>
        <row r="18">
          <cell r="B18" t="str">
            <v>Ebitda</v>
          </cell>
          <cell r="C18">
            <v>24.766999999999999</v>
          </cell>
          <cell r="D18">
            <v>-0.10251544393749734</v>
          </cell>
        </row>
        <row r="19">
          <cell r="B19" t="str">
            <v>Net Income</v>
          </cell>
          <cell r="C19">
            <v>14.25</v>
          </cell>
          <cell r="D19">
            <v>-0.1868771929824562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contribution analysis"/>
      <sheetName val="rev change analysis"/>
      <sheetName val="2015 rev change"/>
      <sheetName val="Product Mix 100%"/>
      <sheetName val="Traditional &amp; Other"/>
      <sheetName val="Per Pharma Traditional &amp; Biolog"/>
      <sheetName val="MW-Cache"/>
      <sheetName val="__FDSCACHE__"/>
      <sheetName val="2010PE"/>
      <sheetName val="2010PE_Ex BMY"/>
      <sheetName val="2012PE"/>
      <sheetName val="2012PE_Ex BMY"/>
      <sheetName val="short IS"/>
      <sheetName val="cost savings"/>
      <sheetName val="2015 top 10"/>
      <sheetName val="2010 top 10"/>
    </sheetNames>
    <sheetDataSet>
      <sheetData sheetId="0"/>
      <sheetData sheetId="1">
        <row r="1">
          <cell r="R1" t="str">
            <v>SmartCharts</v>
          </cell>
          <cell r="BA1" t="str">
            <v>.</v>
          </cell>
        </row>
        <row r="2">
          <cell r="BA2" t="str">
            <v>.</v>
          </cell>
        </row>
        <row r="3">
          <cell r="BA3" t="str">
            <v>.</v>
          </cell>
        </row>
        <row r="4">
          <cell r="BA4" t="str">
            <v>.</v>
          </cell>
        </row>
        <row r="5">
          <cell r="C5" t="str">
            <v>Define value axis here:</v>
          </cell>
        </row>
        <row r="6">
          <cell r="C6" t="str">
            <v>PFE YOY revenue change 2010E-2015E</v>
          </cell>
        </row>
        <row r="10">
          <cell r="C10" t="str">
            <v>Input your data here:</v>
          </cell>
          <cell r="BA10" t="str">
            <v>.</v>
          </cell>
        </row>
        <row r="11">
          <cell r="C11" t="str">
            <v>Sales ($M)</v>
          </cell>
          <cell r="D11" t="str">
            <v>2011E</v>
          </cell>
          <cell r="E11" t="str">
            <v>2012E</v>
          </cell>
          <cell r="F11" t="str">
            <v>2013E</v>
          </cell>
          <cell r="G11" t="str">
            <v>2014E</v>
          </cell>
          <cell r="H11" t="str">
            <v>2015E</v>
          </cell>
          <cell r="BA11" t="str">
            <v>.</v>
          </cell>
        </row>
        <row r="12">
          <cell r="C12" t="str">
            <v>In-line products</v>
          </cell>
          <cell r="D12">
            <v>932.42080930800876</v>
          </cell>
          <cell r="E12">
            <v>1421.1035914094464</v>
          </cell>
          <cell r="F12">
            <v>1765.8870921994021</v>
          </cell>
          <cell r="G12">
            <v>1055.7675672663318</v>
          </cell>
          <cell r="H12">
            <v>577.39612356401631</v>
          </cell>
          <cell r="BA12" t="str">
            <v>.</v>
          </cell>
        </row>
        <row r="13">
          <cell r="C13" t="str">
            <v>Pipeline products launching 2010–2015</v>
          </cell>
          <cell r="D13">
            <v>488.88851560750004</v>
          </cell>
          <cell r="E13">
            <v>1032.6222136879819</v>
          </cell>
          <cell r="F13">
            <v>1194.3879881319788</v>
          </cell>
          <cell r="G13">
            <v>1586.9809373847056</v>
          </cell>
          <cell r="H13">
            <v>1912.159684759381</v>
          </cell>
          <cell r="BA13" t="str">
            <v>.</v>
          </cell>
        </row>
        <row r="14">
          <cell r="C14" t="str">
            <v>Products expiring 2010–15</v>
          </cell>
          <cell r="D14">
            <v>-3093.4238533699972</v>
          </cell>
          <cell r="E14">
            <v>-9244.3086322740019</v>
          </cell>
          <cell r="F14">
            <v>-2500.25038596167</v>
          </cell>
          <cell r="G14">
            <v>-2111.4680686893898</v>
          </cell>
          <cell r="H14">
            <v>-2273.0544201852699</v>
          </cell>
          <cell r="BA14" t="str">
            <v>.</v>
          </cell>
        </row>
        <row r="15">
          <cell r="C15" t="str">
            <v>Net YOY change</v>
          </cell>
          <cell r="D15">
            <v>-1672.1145284544909</v>
          </cell>
          <cell r="E15">
            <v>-6790.582827176564</v>
          </cell>
          <cell r="F15">
            <v>460.02469436970568</v>
          </cell>
          <cell r="G15">
            <v>531.28043596164935</v>
          </cell>
          <cell r="H15">
            <v>216.50138813813101</v>
          </cell>
          <cell r="BA15" t="str">
            <v>.</v>
          </cell>
        </row>
        <row r="16">
          <cell r="BA16" t="str">
            <v>.</v>
          </cell>
        </row>
        <row r="17">
          <cell r="BA17" t="str">
            <v>.</v>
          </cell>
        </row>
        <row r="18">
          <cell r="BA18" t="str">
            <v>.</v>
          </cell>
        </row>
        <row r="20">
          <cell r="BA20" t="str">
            <v>.</v>
          </cell>
        </row>
        <row r="21">
          <cell r="BA21" t="str">
            <v>.</v>
          </cell>
        </row>
        <row r="22">
          <cell r="BA22" t="str">
            <v>.</v>
          </cell>
        </row>
        <row r="23">
          <cell r="BA23" t="str">
            <v>.</v>
          </cell>
        </row>
        <row r="24">
          <cell r="BA24" t="str">
            <v>.</v>
          </cell>
        </row>
        <row r="25">
          <cell r="BA25" t="str">
            <v>.</v>
          </cell>
        </row>
        <row r="26">
          <cell r="BA26" t="str">
            <v>.</v>
          </cell>
        </row>
        <row r="27">
          <cell r="BA27" t="str">
            <v>.</v>
          </cell>
        </row>
        <row r="28">
          <cell r="BA28" t="str">
            <v>.</v>
          </cell>
        </row>
        <row r="29">
          <cell r="BA29" t="str">
            <v>.</v>
          </cell>
        </row>
        <row r="30">
          <cell r="BA30" t="str">
            <v>.</v>
          </cell>
        </row>
        <row r="31">
          <cell r="BA31" t="str">
            <v>.</v>
          </cell>
        </row>
        <row r="32">
          <cell r="BA32" t="str">
            <v>.</v>
          </cell>
        </row>
        <row r="33">
          <cell r="BA33" t="str">
            <v>.</v>
          </cell>
        </row>
        <row r="34">
          <cell r="BA34" t="str">
            <v>.</v>
          </cell>
        </row>
        <row r="35">
          <cell r="J35" t="str">
            <v>Do not change the width of the exhibit or font sizes (they are optimized for export to Word).</v>
          </cell>
          <cell r="BA35" t="str">
            <v>.</v>
          </cell>
        </row>
        <row r="36">
          <cell r="BA36" t="str">
            <v>.</v>
          </cell>
        </row>
        <row r="37">
          <cell r="J37" t="str">
            <v>Do not delete any rows or columns (some gray cells are used for calculations).</v>
          </cell>
          <cell r="BA37" t="str">
            <v>.</v>
          </cell>
        </row>
        <row r="38">
          <cell r="BA38" t="str">
            <v>.</v>
          </cell>
        </row>
        <row r="39">
          <cell r="BA39" t="str">
            <v>.</v>
          </cell>
        </row>
        <row r="40">
          <cell r="BA40" t="str">
            <v>.</v>
          </cell>
        </row>
        <row r="41">
          <cell r="BA41" t="str">
            <v>.</v>
          </cell>
        </row>
        <row r="42">
          <cell r="BA42" t="str">
            <v>.</v>
          </cell>
        </row>
        <row r="43">
          <cell r="BA43" t="str">
            <v>.</v>
          </cell>
        </row>
        <row r="44">
          <cell r="BA44" t="str">
            <v>.</v>
          </cell>
        </row>
        <row r="45">
          <cell r="BA45" t="str">
            <v>.</v>
          </cell>
        </row>
        <row r="46">
          <cell r="BA46" t="str">
            <v>.</v>
          </cell>
        </row>
        <row r="47">
          <cell r="BA47" t="str">
            <v>.</v>
          </cell>
        </row>
        <row r="48">
          <cell r="BA48" t="str">
            <v>.</v>
          </cell>
        </row>
        <row r="49">
          <cell r="BA49" t="str">
            <v>.</v>
          </cell>
        </row>
        <row r="50">
          <cell r="BA50" t="str">
            <v>.</v>
          </cell>
        </row>
        <row r="51">
          <cell r="BA51" t="str">
            <v>.</v>
          </cell>
        </row>
        <row r="52">
          <cell r="BA52" t="str">
            <v>.</v>
          </cell>
        </row>
        <row r="53">
          <cell r="BA53" t="str">
            <v>.</v>
          </cell>
        </row>
        <row r="54">
          <cell r="BA54" t="str">
            <v>.</v>
          </cell>
        </row>
        <row r="55">
          <cell r="BA55" t="str">
            <v>.</v>
          </cell>
        </row>
        <row r="56">
          <cell r="BA56" t="str">
            <v>.</v>
          </cell>
        </row>
        <row r="57">
          <cell r="BA57" t="str">
            <v>.</v>
          </cell>
        </row>
        <row r="58">
          <cell r="BA58" t="str">
            <v>.</v>
          </cell>
        </row>
        <row r="59">
          <cell r="BA59" t="str">
            <v>.</v>
          </cell>
        </row>
        <row r="60">
          <cell r="BA60" t="str">
            <v>.</v>
          </cell>
        </row>
        <row r="61">
          <cell r="BA61" t="str">
            <v>.</v>
          </cell>
        </row>
        <row r="62">
          <cell r="BA62" t="str">
            <v>.</v>
          </cell>
        </row>
        <row r="63">
          <cell r="BA63" t="str">
            <v>.</v>
          </cell>
        </row>
        <row r="64">
          <cell r="BA64" t="str">
            <v>.</v>
          </cell>
        </row>
        <row r="65">
          <cell r="BA65" t="str">
            <v>.</v>
          </cell>
        </row>
        <row r="66">
          <cell r="BA66" t="str">
            <v>.</v>
          </cell>
        </row>
        <row r="67">
          <cell r="BA67" t="str">
            <v>.</v>
          </cell>
        </row>
        <row r="68">
          <cell r="BA68" t="str">
            <v>.</v>
          </cell>
        </row>
        <row r="69">
          <cell r="BA69" t="str">
            <v>.</v>
          </cell>
        </row>
        <row r="70">
          <cell r="BA70" t="str">
            <v>.</v>
          </cell>
        </row>
        <row r="71">
          <cell r="BA71" t="str">
            <v>.</v>
          </cell>
        </row>
        <row r="72">
          <cell r="BA72" t="str">
            <v>.</v>
          </cell>
        </row>
        <row r="73">
          <cell r="BA73" t="str">
            <v>.</v>
          </cell>
        </row>
        <row r="74">
          <cell r="BA74" t="str">
            <v>.</v>
          </cell>
        </row>
        <row r="75">
          <cell r="BA75" t="str">
            <v>.</v>
          </cell>
        </row>
        <row r="76">
          <cell r="BA76" t="str">
            <v>.</v>
          </cell>
        </row>
        <row r="77">
          <cell r="BA77" t="str">
            <v>.</v>
          </cell>
        </row>
        <row r="78">
          <cell r="BA78" t="str">
            <v>.</v>
          </cell>
        </row>
        <row r="79">
          <cell r="BA79" t="str">
            <v>.</v>
          </cell>
        </row>
        <row r="80">
          <cell r="BA80" t="str">
            <v>.</v>
          </cell>
        </row>
        <row r="81">
          <cell r="BA81" t="str">
            <v>.</v>
          </cell>
        </row>
        <row r="82">
          <cell r="BA82" t="str">
            <v>.</v>
          </cell>
        </row>
        <row r="83">
          <cell r="BA83" t="str">
            <v>.</v>
          </cell>
        </row>
        <row r="84">
          <cell r="BA84" t="str">
            <v>.</v>
          </cell>
        </row>
        <row r="85">
          <cell r="BA85" t="str">
            <v>.</v>
          </cell>
        </row>
        <row r="86">
          <cell r="BA86" t="str">
            <v>.</v>
          </cell>
        </row>
        <row r="87">
          <cell r="BA87" t="str">
            <v>.</v>
          </cell>
        </row>
        <row r="88">
          <cell r="BA88" t="str">
            <v>.</v>
          </cell>
        </row>
        <row r="89">
          <cell r="BA89" t="str">
            <v>.</v>
          </cell>
        </row>
        <row r="90">
          <cell r="BA90" t="str">
            <v>.</v>
          </cell>
        </row>
        <row r="91">
          <cell r="BA91" t="str">
            <v>.</v>
          </cell>
        </row>
        <row r="92">
          <cell r="BA92" t="str">
            <v>.</v>
          </cell>
        </row>
        <row r="93">
          <cell r="BA93" t="str">
            <v>.</v>
          </cell>
        </row>
        <row r="94">
          <cell r="BA94" t="str">
            <v>.</v>
          </cell>
        </row>
        <row r="95">
          <cell r="BA95" t="str">
            <v>.</v>
          </cell>
        </row>
        <row r="96">
          <cell r="BA96" t="str">
            <v>.</v>
          </cell>
        </row>
        <row r="97">
          <cell r="BA97" t="str">
            <v>.</v>
          </cell>
        </row>
        <row r="98">
          <cell r="BA98" t="str">
            <v>.</v>
          </cell>
        </row>
        <row r="99">
          <cell r="BA99" t="str">
            <v>.</v>
          </cell>
        </row>
        <row r="100">
          <cell r="BA100" t="str">
            <v>.</v>
          </cell>
        </row>
        <row r="101">
          <cell r="BA101" t="str">
            <v>.</v>
          </cell>
        </row>
        <row r="102">
          <cell r="BA102" t="str">
            <v>.</v>
          </cell>
        </row>
        <row r="103">
          <cell r="BA103" t="str">
            <v>.</v>
          </cell>
        </row>
        <row r="104">
          <cell r="BA104" t="str">
            <v>.</v>
          </cell>
        </row>
        <row r="105">
          <cell r="BA105" t="str">
            <v>.</v>
          </cell>
        </row>
        <row r="106">
          <cell r="BA106" t="str">
            <v>.</v>
          </cell>
        </row>
        <row r="107">
          <cell r="BA107" t="str">
            <v>.</v>
          </cell>
        </row>
        <row r="108">
          <cell r="BA108" t="str">
            <v>.</v>
          </cell>
        </row>
        <row r="109">
          <cell r="BA109" t="str">
            <v>.</v>
          </cell>
        </row>
        <row r="110">
          <cell r="BA110" t="str">
            <v>.</v>
          </cell>
        </row>
        <row r="111">
          <cell r="BA111" t="str">
            <v>.</v>
          </cell>
        </row>
        <row r="112">
          <cell r="BA112" t="str">
            <v>.</v>
          </cell>
        </row>
        <row r="113">
          <cell r="BA113" t="str">
            <v>.</v>
          </cell>
        </row>
        <row r="114">
          <cell r="BA114" t="str">
            <v>.</v>
          </cell>
        </row>
        <row r="115">
          <cell r="BA115" t="str">
            <v>.</v>
          </cell>
        </row>
        <row r="116">
          <cell r="BA116" t="str">
            <v>.</v>
          </cell>
        </row>
        <row r="117">
          <cell r="BA117" t="str">
            <v>.</v>
          </cell>
        </row>
        <row r="118">
          <cell r="BA118" t="str">
            <v>.</v>
          </cell>
        </row>
        <row r="119">
          <cell r="BA119" t="str">
            <v>.</v>
          </cell>
        </row>
        <row r="120">
          <cell r="BA120" t="str">
            <v>.</v>
          </cell>
        </row>
        <row r="121">
          <cell r="BA121" t="str">
            <v>.</v>
          </cell>
        </row>
        <row r="122">
          <cell r="BA122" t="str">
            <v>.</v>
          </cell>
        </row>
        <row r="123">
          <cell r="BA123" t="str">
            <v>.</v>
          </cell>
        </row>
        <row r="124">
          <cell r="BA124" t="str">
            <v>.</v>
          </cell>
        </row>
        <row r="125">
          <cell r="BA125" t="str">
            <v>.</v>
          </cell>
        </row>
        <row r="126">
          <cell r="BA126" t="str">
            <v>.</v>
          </cell>
        </row>
        <row r="127">
          <cell r="BA127" t="str">
            <v>.</v>
          </cell>
        </row>
        <row r="128">
          <cell r="BA128" t="str">
            <v>.</v>
          </cell>
        </row>
        <row r="129">
          <cell r="BA129" t="str">
            <v>.</v>
          </cell>
        </row>
        <row r="130">
          <cell r="BA130" t="str">
            <v>.</v>
          </cell>
        </row>
        <row r="131">
          <cell r="BA131" t="str">
            <v>.</v>
          </cell>
        </row>
        <row r="132">
          <cell r="BA132" t="str">
            <v>.</v>
          </cell>
        </row>
        <row r="133">
          <cell r="BA133" t="str">
            <v>.</v>
          </cell>
        </row>
        <row r="134">
          <cell r="BA134" t="str">
            <v>.</v>
          </cell>
        </row>
        <row r="135">
          <cell r="BA135" t="str">
            <v>.</v>
          </cell>
        </row>
        <row r="136">
          <cell r="BA136" t="str">
            <v>.</v>
          </cell>
        </row>
        <row r="137">
          <cell r="BA137" t="str">
            <v>.</v>
          </cell>
        </row>
        <row r="138">
          <cell r="BA138" t="str">
            <v>.</v>
          </cell>
        </row>
        <row r="139">
          <cell r="BA139" t="str">
            <v>.</v>
          </cell>
        </row>
        <row r="140">
          <cell r="BA140" t="str">
            <v>.</v>
          </cell>
        </row>
        <row r="141">
          <cell r="BA141" t="str">
            <v>.</v>
          </cell>
        </row>
        <row r="142">
          <cell r="BA142" t="str">
            <v>.</v>
          </cell>
        </row>
        <row r="143">
          <cell r="BA143" t="str">
            <v>.</v>
          </cell>
        </row>
        <row r="144">
          <cell r="BA144" t="str">
            <v>.</v>
          </cell>
        </row>
        <row r="145">
          <cell r="BA145" t="str">
            <v>.</v>
          </cell>
        </row>
        <row r="146">
          <cell r="BA146" t="str">
            <v>.</v>
          </cell>
        </row>
        <row r="147">
          <cell r="BA147" t="str">
            <v>.</v>
          </cell>
        </row>
        <row r="148">
          <cell r="BA148" t="str">
            <v>.</v>
          </cell>
        </row>
        <row r="149">
          <cell r="BA149" t="str">
            <v>.</v>
          </cell>
        </row>
        <row r="150">
          <cell r="BA150" t="str">
            <v>.</v>
          </cell>
        </row>
        <row r="151">
          <cell r="BA151" t="str">
            <v>.</v>
          </cell>
        </row>
        <row r="152">
          <cell r="BA152" t="str">
            <v>.</v>
          </cell>
        </row>
        <row r="153">
          <cell r="BA153" t="str">
            <v>.</v>
          </cell>
        </row>
        <row r="154">
          <cell r="BA154" t="str">
            <v>.</v>
          </cell>
        </row>
        <row r="155">
          <cell r="BA155" t="str">
            <v>.</v>
          </cell>
        </row>
        <row r="156">
          <cell r="BA156" t="str">
            <v>.</v>
          </cell>
        </row>
        <row r="157">
          <cell r="BA157" t="str">
            <v>.</v>
          </cell>
        </row>
        <row r="158">
          <cell r="BA158" t="str">
            <v>.</v>
          </cell>
        </row>
        <row r="159">
          <cell r="BA159" t="str">
            <v>.</v>
          </cell>
        </row>
        <row r="160">
          <cell r="BA160" t="str">
            <v>.</v>
          </cell>
        </row>
        <row r="161">
          <cell r="BA161" t="str">
            <v>.</v>
          </cell>
        </row>
        <row r="162">
          <cell r="BA162" t="str">
            <v>.</v>
          </cell>
        </row>
        <row r="163">
          <cell r="BA163" t="str">
            <v>.</v>
          </cell>
        </row>
        <row r="164">
          <cell r="BA164" t="str">
            <v>.</v>
          </cell>
        </row>
        <row r="165">
          <cell r="BA165" t="str">
            <v>.</v>
          </cell>
        </row>
        <row r="166">
          <cell r="BA166" t="str">
            <v>.</v>
          </cell>
        </row>
        <row r="167">
          <cell r="BA167" t="str">
            <v>.</v>
          </cell>
        </row>
        <row r="168">
          <cell r="BA168" t="str">
            <v>.</v>
          </cell>
        </row>
        <row r="169">
          <cell r="BA169" t="str">
            <v>.</v>
          </cell>
        </row>
        <row r="170">
          <cell r="BA170" t="str">
            <v>.</v>
          </cell>
        </row>
        <row r="171">
          <cell r="BA171" t="str">
            <v>.</v>
          </cell>
        </row>
        <row r="172">
          <cell r="BA172" t="str">
            <v>.</v>
          </cell>
        </row>
        <row r="173">
          <cell r="BA173" t="str">
            <v>.</v>
          </cell>
        </row>
        <row r="174">
          <cell r="BA174" t="str">
            <v>.</v>
          </cell>
        </row>
        <row r="175">
          <cell r="BA175" t="str">
            <v>.</v>
          </cell>
        </row>
        <row r="176">
          <cell r="BA176" t="str">
            <v>.</v>
          </cell>
        </row>
        <row r="177">
          <cell r="BA177" t="str">
            <v>.</v>
          </cell>
        </row>
        <row r="178">
          <cell r="BA178" t="str">
            <v>.</v>
          </cell>
        </row>
        <row r="179">
          <cell r="BA179" t="str">
            <v>.</v>
          </cell>
        </row>
        <row r="180">
          <cell r="BA180" t="str">
            <v>.</v>
          </cell>
        </row>
        <row r="181">
          <cell r="BA181" t="str">
            <v>.</v>
          </cell>
        </row>
        <row r="182">
          <cell r="BA182" t="str">
            <v>.</v>
          </cell>
        </row>
        <row r="183">
          <cell r="BA183" t="str">
            <v>.</v>
          </cell>
        </row>
        <row r="184">
          <cell r="BA184" t="str">
            <v>.</v>
          </cell>
        </row>
        <row r="185">
          <cell r="BA185" t="str">
            <v>.</v>
          </cell>
        </row>
        <row r="186">
          <cell r="BA186" t="str">
            <v>.</v>
          </cell>
        </row>
        <row r="187">
          <cell r="BA187" t="str">
            <v>.</v>
          </cell>
        </row>
        <row r="188">
          <cell r="BA188" t="str">
            <v>.</v>
          </cell>
        </row>
        <row r="189">
          <cell r="BA189" t="str">
            <v>.</v>
          </cell>
        </row>
        <row r="190">
          <cell r="BA190" t="str">
            <v>.</v>
          </cell>
        </row>
        <row r="191">
          <cell r="BA191" t="str">
            <v>.</v>
          </cell>
        </row>
        <row r="192">
          <cell r="BA192" t="str">
            <v>.</v>
          </cell>
        </row>
        <row r="193">
          <cell r="BA193" t="str">
            <v>.</v>
          </cell>
        </row>
        <row r="194">
          <cell r="BA194" t="str">
            <v>.</v>
          </cell>
        </row>
        <row r="195">
          <cell r="BA195" t="str">
            <v>.</v>
          </cell>
        </row>
        <row r="196">
          <cell r="BA196" t="str">
            <v>.</v>
          </cell>
        </row>
        <row r="197">
          <cell r="BA197" t="str">
            <v>.</v>
          </cell>
        </row>
        <row r="198">
          <cell r="BA198" t="str">
            <v>.</v>
          </cell>
        </row>
        <row r="199">
          <cell r="BA199" t="str">
            <v>.</v>
          </cell>
        </row>
        <row r="200">
          <cell r="BA200" t="str">
            <v>.</v>
          </cell>
        </row>
        <row r="201">
          <cell r="BA201" t="str">
            <v>.</v>
          </cell>
        </row>
        <row r="202">
          <cell r="BA202" t="str">
            <v>.</v>
          </cell>
        </row>
        <row r="203">
          <cell r="BA203" t="str">
            <v>.</v>
          </cell>
        </row>
        <row r="204">
          <cell r="BA204" t="str">
            <v>.</v>
          </cell>
        </row>
        <row r="205">
          <cell r="BA205" t="str">
            <v>.</v>
          </cell>
        </row>
        <row r="206">
          <cell r="BA206" t="str">
            <v>.</v>
          </cell>
        </row>
        <row r="207">
          <cell r="BA207" t="str">
            <v>.</v>
          </cell>
        </row>
        <row r="208">
          <cell r="BA208" t="str">
            <v>.</v>
          </cell>
        </row>
        <row r="209">
          <cell r="BA209" t="str">
            <v>.</v>
          </cell>
        </row>
        <row r="210">
          <cell r="BA210" t="str">
            <v>.</v>
          </cell>
        </row>
        <row r="211">
          <cell r="BA211" t="str">
            <v>.</v>
          </cell>
        </row>
        <row r="212">
          <cell r="BA212" t="str">
            <v>.</v>
          </cell>
        </row>
        <row r="213">
          <cell r="BA213" t="str">
            <v>.</v>
          </cell>
        </row>
        <row r="214">
          <cell r="BA214" t="str">
            <v>.</v>
          </cell>
        </row>
        <row r="215">
          <cell r="BA215" t="str">
            <v>.</v>
          </cell>
        </row>
        <row r="216">
          <cell r="BA216" t="str">
            <v>.</v>
          </cell>
        </row>
        <row r="217">
          <cell r="BA217" t="str">
            <v>.</v>
          </cell>
        </row>
        <row r="218">
          <cell r="BA218" t="str">
            <v>.</v>
          </cell>
        </row>
        <row r="219">
          <cell r="BA219" t="str">
            <v>.</v>
          </cell>
        </row>
        <row r="220">
          <cell r="BA220" t="str">
            <v>.</v>
          </cell>
        </row>
        <row r="221">
          <cell r="BA221" t="str">
            <v>.</v>
          </cell>
        </row>
        <row r="222">
          <cell r="BA222" t="str">
            <v>.</v>
          </cell>
        </row>
        <row r="223">
          <cell r="BA223" t="str">
            <v>.</v>
          </cell>
        </row>
        <row r="224">
          <cell r="BA224" t="str">
            <v>.</v>
          </cell>
        </row>
        <row r="225">
          <cell r="BA225" t="str">
            <v>.</v>
          </cell>
        </row>
        <row r="226">
          <cell r="BA226" t="str">
            <v>.</v>
          </cell>
        </row>
        <row r="227">
          <cell r="BA227" t="str">
            <v>.</v>
          </cell>
        </row>
        <row r="228">
          <cell r="BA228" t="str">
            <v>.</v>
          </cell>
        </row>
        <row r="229">
          <cell r="BA229" t="str">
            <v>.</v>
          </cell>
        </row>
        <row r="230">
          <cell r="BA230" t="str">
            <v>.</v>
          </cell>
        </row>
        <row r="231">
          <cell r="BA231" t="str">
            <v>.</v>
          </cell>
        </row>
        <row r="232">
          <cell r="BA232" t="str">
            <v>.</v>
          </cell>
        </row>
        <row r="233">
          <cell r="BA233" t="str">
            <v>.</v>
          </cell>
        </row>
        <row r="234">
          <cell r="BA234" t="str">
            <v>.</v>
          </cell>
        </row>
        <row r="235">
          <cell r="BA235" t="str">
            <v>.</v>
          </cell>
        </row>
        <row r="236">
          <cell r="BA236" t="str">
            <v>.</v>
          </cell>
        </row>
        <row r="237">
          <cell r="BA237" t="str">
            <v>.</v>
          </cell>
        </row>
        <row r="238">
          <cell r="BA238" t="str">
            <v>.</v>
          </cell>
        </row>
        <row r="239">
          <cell r="BA239" t="str">
            <v>.</v>
          </cell>
        </row>
        <row r="240">
          <cell r="BA240" t="str">
            <v>.</v>
          </cell>
        </row>
        <row r="241">
          <cell r="BA241" t="str">
            <v>.</v>
          </cell>
        </row>
        <row r="242">
          <cell r="BA242" t="str">
            <v>.</v>
          </cell>
        </row>
        <row r="243">
          <cell r="BA243" t="str">
            <v>.</v>
          </cell>
        </row>
        <row r="244">
          <cell r="BA244" t="str">
            <v>.</v>
          </cell>
        </row>
        <row r="245">
          <cell r="BA245" t="str">
            <v>.</v>
          </cell>
        </row>
        <row r="246">
          <cell r="BA246" t="str">
            <v>.</v>
          </cell>
        </row>
        <row r="247">
          <cell r="BA247" t="str">
            <v>.</v>
          </cell>
        </row>
        <row r="248">
          <cell r="BA248" t="str">
            <v>.</v>
          </cell>
        </row>
        <row r="249">
          <cell r="BA249" t="str">
            <v>.</v>
          </cell>
        </row>
        <row r="250">
          <cell r="BA250" t="str">
            <v>.</v>
          </cell>
        </row>
        <row r="251">
          <cell r="BA251" t="str">
            <v>.</v>
          </cell>
        </row>
        <row r="252">
          <cell r="BA252" t="str">
            <v>.</v>
          </cell>
        </row>
        <row r="253">
          <cell r="BA253" t="str">
            <v>.</v>
          </cell>
        </row>
        <row r="254">
          <cell r="BA254" t="str">
            <v>.</v>
          </cell>
        </row>
        <row r="255">
          <cell r="BA255" t="str">
            <v>.</v>
          </cell>
        </row>
        <row r="256">
          <cell r="BA256" t="str">
            <v>.</v>
          </cell>
        </row>
        <row r="257">
          <cell r="BA257" t="str">
            <v>.</v>
          </cell>
        </row>
        <row r="258">
          <cell r="BA258" t="str">
            <v>.</v>
          </cell>
        </row>
        <row r="259">
          <cell r="BA259" t="str">
            <v>.</v>
          </cell>
        </row>
        <row r="260">
          <cell r="BA260" t="str">
            <v>.</v>
          </cell>
        </row>
        <row r="261">
          <cell r="BA261" t="str">
            <v>.</v>
          </cell>
        </row>
        <row r="262">
          <cell r="BA262" t="str">
            <v>.</v>
          </cell>
        </row>
        <row r="263">
          <cell r="BA263" t="str">
            <v>.</v>
          </cell>
        </row>
        <row r="264">
          <cell r="BA264" t="str">
            <v>.</v>
          </cell>
        </row>
        <row r="265">
          <cell r="BA265" t="str">
            <v>.</v>
          </cell>
        </row>
        <row r="266">
          <cell r="BA266" t="str">
            <v>.</v>
          </cell>
        </row>
        <row r="267">
          <cell r="BA267" t="str">
            <v>.</v>
          </cell>
        </row>
        <row r="268">
          <cell r="BA268" t="str">
            <v>.</v>
          </cell>
        </row>
        <row r="269">
          <cell r="BA269" t="str">
            <v>.</v>
          </cell>
        </row>
        <row r="270">
          <cell r="BA270" t="str">
            <v>.</v>
          </cell>
        </row>
        <row r="271">
          <cell r="BA271" t="str">
            <v>.</v>
          </cell>
        </row>
        <row r="272">
          <cell r="BA272" t="str">
            <v>.</v>
          </cell>
        </row>
        <row r="273">
          <cell r="BA273" t="str">
            <v>.</v>
          </cell>
        </row>
        <row r="274">
          <cell r="BA274" t="str">
            <v>.</v>
          </cell>
        </row>
        <row r="275">
          <cell r="BA275" t="str">
            <v>.</v>
          </cell>
        </row>
        <row r="276">
          <cell r="BA276" t="str">
            <v>.</v>
          </cell>
        </row>
        <row r="277">
          <cell r="BA277" t="str">
            <v>.</v>
          </cell>
        </row>
        <row r="278">
          <cell r="BA278" t="str">
            <v>.</v>
          </cell>
        </row>
        <row r="279">
          <cell r="BA279" t="str">
            <v>.</v>
          </cell>
        </row>
        <row r="280">
          <cell r="BA280" t="str">
            <v>.</v>
          </cell>
        </row>
        <row r="281">
          <cell r="BA281" t="str">
            <v>.</v>
          </cell>
        </row>
        <row r="282">
          <cell r="BA282" t="str">
            <v>.</v>
          </cell>
        </row>
        <row r="283">
          <cell r="BA283" t="str">
            <v>.</v>
          </cell>
        </row>
        <row r="284">
          <cell r="BA284" t="str">
            <v>.</v>
          </cell>
        </row>
        <row r="285">
          <cell r="BA285" t="str">
            <v>.</v>
          </cell>
        </row>
        <row r="286">
          <cell r="BA286" t="str">
            <v>.</v>
          </cell>
        </row>
        <row r="287">
          <cell r="BA287" t="str">
            <v>.</v>
          </cell>
        </row>
        <row r="288">
          <cell r="BA288" t="str">
            <v>.</v>
          </cell>
        </row>
        <row r="289">
          <cell r="BA289" t="str">
            <v>.</v>
          </cell>
        </row>
        <row r="290">
          <cell r="BA290" t="str">
            <v>.</v>
          </cell>
        </row>
        <row r="291">
          <cell r="BA291" t="str">
            <v>.</v>
          </cell>
        </row>
        <row r="292">
          <cell r="BA292" t="str">
            <v>.</v>
          </cell>
        </row>
        <row r="293">
          <cell r="BA293" t="str">
            <v>.</v>
          </cell>
        </row>
        <row r="294">
          <cell r="BA294" t="str">
            <v>.</v>
          </cell>
        </row>
        <row r="295">
          <cell r="BA295" t="str">
            <v>.</v>
          </cell>
        </row>
        <row r="296">
          <cell r="BA296" t="str">
            <v>.</v>
          </cell>
        </row>
        <row r="297">
          <cell r="BA297" t="str">
            <v>.</v>
          </cell>
        </row>
        <row r="298">
          <cell r="BA298" t="str">
            <v>.</v>
          </cell>
        </row>
        <row r="299">
          <cell r="BA299" t="str">
            <v>.</v>
          </cell>
        </row>
        <row r="300">
          <cell r="BA300" t="str">
            <v>.</v>
          </cell>
        </row>
        <row r="301">
          <cell r="BA301" t="str">
            <v>.</v>
          </cell>
        </row>
        <row r="302">
          <cell r="BA302" t="str">
            <v>.</v>
          </cell>
        </row>
        <row r="303">
          <cell r="BA303" t="str">
            <v>.</v>
          </cell>
        </row>
        <row r="304">
          <cell r="BA304" t="str">
            <v>.</v>
          </cell>
        </row>
        <row r="305">
          <cell r="BA305" t="str">
            <v>.</v>
          </cell>
        </row>
        <row r="306">
          <cell r="BA306" t="str">
            <v>.</v>
          </cell>
        </row>
        <row r="307">
          <cell r="BA307" t="str">
            <v>.</v>
          </cell>
        </row>
        <row r="308">
          <cell r="BA308" t="str">
            <v>.</v>
          </cell>
        </row>
        <row r="309">
          <cell r="BA309" t="str">
            <v>.</v>
          </cell>
        </row>
        <row r="310">
          <cell r="BA310" t="str">
            <v>.</v>
          </cell>
        </row>
        <row r="311">
          <cell r="BA311" t="str">
            <v>.</v>
          </cell>
        </row>
        <row r="312">
          <cell r="BA312" t="str">
            <v>.</v>
          </cell>
        </row>
        <row r="313">
          <cell r="BA313" t="str">
            <v>.</v>
          </cell>
        </row>
        <row r="314">
          <cell r="BA314" t="str">
            <v>.</v>
          </cell>
        </row>
        <row r="315">
          <cell r="BA315" t="str">
            <v>.</v>
          </cell>
        </row>
        <row r="316">
          <cell r="BA316" t="str">
            <v>.</v>
          </cell>
        </row>
        <row r="317">
          <cell r="BA317" t="str">
            <v>.</v>
          </cell>
        </row>
        <row r="318">
          <cell r="BA318" t="str">
            <v>.</v>
          </cell>
        </row>
        <row r="319">
          <cell r="BA319" t="str">
            <v>.</v>
          </cell>
        </row>
        <row r="320">
          <cell r="BA320" t="str">
            <v>.</v>
          </cell>
        </row>
        <row r="321">
          <cell r="BA321" t="str">
            <v>.</v>
          </cell>
        </row>
        <row r="322">
          <cell r="BA322" t="str">
            <v>.</v>
          </cell>
        </row>
        <row r="323">
          <cell r="BA323" t="str">
            <v>.</v>
          </cell>
        </row>
        <row r="324">
          <cell r="BA324" t="str">
            <v>.</v>
          </cell>
        </row>
        <row r="325">
          <cell r="BA325" t="str">
            <v>.</v>
          </cell>
        </row>
        <row r="326">
          <cell r="BA326" t="str">
            <v>.</v>
          </cell>
        </row>
        <row r="327">
          <cell r="BA327" t="str">
            <v>.</v>
          </cell>
        </row>
        <row r="328">
          <cell r="BA328" t="str">
            <v>.</v>
          </cell>
        </row>
        <row r="329">
          <cell r="BA329" t="str">
            <v>.</v>
          </cell>
        </row>
        <row r="330">
          <cell r="BA330" t="str">
            <v>.</v>
          </cell>
        </row>
        <row r="331">
          <cell r="BA331" t="str">
            <v>.</v>
          </cell>
        </row>
        <row r="332">
          <cell r="BA332" t="str">
            <v>.</v>
          </cell>
        </row>
        <row r="333">
          <cell r="BA333" t="str">
            <v>.</v>
          </cell>
        </row>
        <row r="334">
          <cell r="BA334" t="str">
            <v>.</v>
          </cell>
        </row>
        <row r="335">
          <cell r="BA335" t="str">
            <v>.</v>
          </cell>
        </row>
        <row r="336">
          <cell r="BA336" t="str">
            <v>.</v>
          </cell>
        </row>
        <row r="337">
          <cell r="BA337" t="str">
            <v>.</v>
          </cell>
        </row>
        <row r="338">
          <cell r="BA338" t="str">
            <v>.</v>
          </cell>
        </row>
        <row r="339">
          <cell r="BA339" t="str">
            <v>.</v>
          </cell>
        </row>
        <row r="340">
          <cell r="BA340" t="str">
            <v>.</v>
          </cell>
        </row>
        <row r="341">
          <cell r="BA341" t="str">
            <v>.</v>
          </cell>
        </row>
        <row r="342">
          <cell r="BA342" t="str">
            <v>.</v>
          </cell>
        </row>
        <row r="343">
          <cell r="BA343" t="str">
            <v>.</v>
          </cell>
        </row>
        <row r="344">
          <cell r="BA344" t="str">
            <v>.</v>
          </cell>
        </row>
        <row r="345">
          <cell r="BA345" t="str">
            <v>.</v>
          </cell>
        </row>
        <row r="346">
          <cell r="BA346" t="str">
            <v>.</v>
          </cell>
        </row>
        <row r="347">
          <cell r="BA347" t="str">
            <v>.</v>
          </cell>
        </row>
        <row r="348">
          <cell r="BA348" t="str">
            <v>.</v>
          </cell>
        </row>
        <row r="349">
          <cell r="BA349" t="str">
            <v>.</v>
          </cell>
        </row>
        <row r="350">
          <cell r="BA350" t="str">
            <v>.</v>
          </cell>
        </row>
        <row r="351">
          <cell r="BA351" t="str">
            <v>.</v>
          </cell>
        </row>
        <row r="352">
          <cell r="BA352" t="str">
            <v>.</v>
          </cell>
        </row>
        <row r="353">
          <cell r="BA353" t="str">
            <v>.</v>
          </cell>
        </row>
        <row r="354">
          <cell r="BA354" t="str">
            <v>.</v>
          </cell>
        </row>
        <row r="355">
          <cell r="BA355" t="str">
            <v>.</v>
          </cell>
        </row>
        <row r="356">
          <cell r="BA356" t="str">
            <v>.</v>
          </cell>
        </row>
        <row r="357">
          <cell r="BA357" t="str">
            <v>.</v>
          </cell>
        </row>
        <row r="358">
          <cell r="BA358" t="str">
            <v>.</v>
          </cell>
        </row>
        <row r="359">
          <cell r="BA359" t="str">
            <v>.</v>
          </cell>
        </row>
        <row r="360">
          <cell r="BA360" t="str">
            <v>.</v>
          </cell>
        </row>
        <row r="361">
          <cell r="BA361" t="str">
            <v>.</v>
          </cell>
        </row>
        <row r="362">
          <cell r="BA362" t="str">
            <v>.</v>
          </cell>
        </row>
        <row r="363">
          <cell r="BA363" t="str">
            <v>.</v>
          </cell>
        </row>
        <row r="364">
          <cell r="BA364" t="str">
            <v>.</v>
          </cell>
        </row>
        <row r="365">
          <cell r="BA365" t="str">
            <v>.</v>
          </cell>
        </row>
        <row r="366">
          <cell r="BA366" t="str">
            <v>.</v>
          </cell>
        </row>
        <row r="367">
          <cell r="BA367" t="str">
            <v>.</v>
          </cell>
        </row>
        <row r="368">
          <cell r="BA368" t="str">
            <v>.</v>
          </cell>
        </row>
        <row r="369">
          <cell r="BA369" t="str">
            <v>.</v>
          </cell>
        </row>
        <row r="370">
          <cell r="BA370" t="str">
            <v>.</v>
          </cell>
        </row>
        <row r="371">
          <cell r="BA371" t="str">
            <v>.</v>
          </cell>
        </row>
        <row r="372">
          <cell r="BA372" t="str">
            <v>.</v>
          </cell>
        </row>
        <row r="373">
          <cell r="BA373" t="str">
            <v>.</v>
          </cell>
        </row>
        <row r="374">
          <cell r="BA374" t="str">
            <v>.</v>
          </cell>
        </row>
        <row r="375">
          <cell r="BA375" t="str">
            <v>.</v>
          </cell>
        </row>
        <row r="376">
          <cell r="BA376" t="str">
            <v>.</v>
          </cell>
        </row>
        <row r="377">
          <cell r="BA377" t="str">
            <v>.</v>
          </cell>
        </row>
        <row r="378">
          <cell r="BA378" t="str">
            <v>.</v>
          </cell>
        </row>
        <row r="379">
          <cell r="BA379" t="str">
            <v>.</v>
          </cell>
        </row>
        <row r="380">
          <cell r="BA380" t="str">
            <v>.</v>
          </cell>
        </row>
        <row r="381">
          <cell r="BA381" t="str">
            <v>.</v>
          </cell>
        </row>
        <row r="382">
          <cell r="BA382" t="str">
            <v>.</v>
          </cell>
        </row>
        <row r="383">
          <cell r="BA383" t="str">
            <v>.</v>
          </cell>
        </row>
        <row r="384">
          <cell r="BA384" t="str">
            <v>.</v>
          </cell>
        </row>
        <row r="385">
          <cell r="BA385" t="str">
            <v>.</v>
          </cell>
        </row>
        <row r="386">
          <cell r="BA386" t="str">
            <v>.</v>
          </cell>
        </row>
        <row r="387">
          <cell r="BA387" t="str">
            <v>.</v>
          </cell>
        </row>
        <row r="388">
          <cell r="BA388" t="str">
            <v>.</v>
          </cell>
        </row>
        <row r="389">
          <cell r="BA389" t="str">
            <v>.</v>
          </cell>
        </row>
        <row r="390">
          <cell r="BA390" t="str">
            <v>.</v>
          </cell>
        </row>
        <row r="391">
          <cell r="BA391" t="str">
            <v>.</v>
          </cell>
        </row>
        <row r="392">
          <cell r="BA392" t="str">
            <v>.</v>
          </cell>
        </row>
        <row r="393">
          <cell r="BA393" t="str">
            <v>.</v>
          </cell>
        </row>
        <row r="394">
          <cell r="BA394" t="str">
            <v>.</v>
          </cell>
        </row>
        <row r="395">
          <cell r="BA395" t="str">
            <v>.</v>
          </cell>
        </row>
        <row r="396">
          <cell r="BA396" t="str">
            <v>.</v>
          </cell>
        </row>
        <row r="397">
          <cell r="BA397" t="str">
            <v>.</v>
          </cell>
        </row>
        <row r="398">
          <cell r="BA398" t="str">
            <v>.</v>
          </cell>
        </row>
        <row r="399">
          <cell r="BA399" t="str">
            <v>.</v>
          </cell>
        </row>
        <row r="400">
          <cell r="BA400" t="str">
            <v>.</v>
          </cell>
        </row>
        <row r="401">
          <cell r="BA401" t="str">
            <v>.</v>
          </cell>
        </row>
        <row r="402">
          <cell r="BA402" t="str">
            <v>.</v>
          </cell>
        </row>
        <row r="403">
          <cell r="BA403" t="str">
            <v>.</v>
          </cell>
        </row>
        <row r="404">
          <cell r="BA404" t="str">
            <v>.</v>
          </cell>
        </row>
        <row r="405">
          <cell r="BA405" t="str">
            <v>.</v>
          </cell>
        </row>
        <row r="406">
          <cell r="BA406" t="str">
            <v>.</v>
          </cell>
        </row>
        <row r="407">
          <cell r="BA407" t="str">
            <v>.</v>
          </cell>
        </row>
        <row r="408">
          <cell r="BA408" t="str">
            <v>.</v>
          </cell>
        </row>
        <row r="409">
          <cell r="BA409" t="str">
            <v>.</v>
          </cell>
        </row>
        <row r="410">
          <cell r="BA410" t="str">
            <v>.</v>
          </cell>
        </row>
        <row r="411">
          <cell r="BA411" t="str">
            <v>.</v>
          </cell>
        </row>
        <row r="412">
          <cell r="BA412" t="str">
            <v>.</v>
          </cell>
        </row>
        <row r="413">
          <cell r="BA413" t="str">
            <v>.</v>
          </cell>
        </row>
        <row r="414">
          <cell r="BA414" t="str">
            <v>.</v>
          </cell>
        </row>
        <row r="415">
          <cell r="BA415" t="str">
            <v>.</v>
          </cell>
        </row>
        <row r="416">
          <cell r="BA416" t="str">
            <v>.</v>
          </cell>
        </row>
        <row r="417">
          <cell r="BA417" t="str">
            <v>.</v>
          </cell>
        </row>
        <row r="418">
          <cell r="BA418" t="str">
            <v>.</v>
          </cell>
        </row>
        <row r="419">
          <cell r="BA419" t="str">
            <v>.</v>
          </cell>
        </row>
        <row r="420">
          <cell r="BA420" t="str">
            <v>.</v>
          </cell>
        </row>
        <row r="421">
          <cell r="BA421" t="str">
            <v>.</v>
          </cell>
        </row>
        <row r="422">
          <cell r="BA422" t="str">
            <v>.</v>
          </cell>
        </row>
        <row r="423">
          <cell r="BA423" t="str">
            <v>.</v>
          </cell>
        </row>
        <row r="424">
          <cell r="BA424" t="str">
            <v>.</v>
          </cell>
        </row>
        <row r="425">
          <cell r="BA425" t="str">
            <v>.</v>
          </cell>
        </row>
        <row r="426">
          <cell r="BA426" t="str">
            <v>.</v>
          </cell>
        </row>
        <row r="427">
          <cell r="BA427" t="str">
            <v>.</v>
          </cell>
        </row>
        <row r="428">
          <cell r="BA428" t="str">
            <v>.</v>
          </cell>
        </row>
        <row r="429">
          <cell r="BA429" t="str">
            <v>.</v>
          </cell>
        </row>
        <row r="430">
          <cell r="BA430" t="str">
            <v>.</v>
          </cell>
        </row>
        <row r="431">
          <cell r="BA431" t="str">
            <v>.</v>
          </cell>
        </row>
        <row r="432">
          <cell r="BA432" t="str">
            <v>.</v>
          </cell>
        </row>
        <row r="433">
          <cell r="BA433" t="str">
            <v>.</v>
          </cell>
        </row>
        <row r="434">
          <cell r="BA434" t="str">
            <v>.</v>
          </cell>
        </row>
        <row r="435">
          <cell r="BA435" t="str">
            <v>.</v>
          </cell>
        </row>
        <row r="436">
          <cell r="BA436" t="str">
            <v>.</v>
          </cell>
        </row>
        <row r="437">
          <cell r="BA437" t="str">
            <v>.</v>
          </cell>
        </row>
        <row r="438">
          <cell r="BA438" t="str">
            <v>.</v>
          </cell>
        </row>
        <row r="439">
          <cell r="BA439" t="str">
            <v>.</v>
          </cell>
        </row>
        <row r="440">
          <cell r="BA440" t="str">
            <v>.</v>
          </cell>
        </row>
        <row r="441">
          <cell r="BA441" t="str">
            <v>.</v>
          </cell>
        </row>
        <row r="442">
          <cell r="BA442" t="str">
            <v>.</v>
          </cell>
        </row>
        <row r="443">
          <cell r="BA443" t="str">
            <v>.</v>
          </cell>
        </row>
        <row r="444">
          <cell r="BA444" t="str">
            <v>.</v>
          </cell>
        </row>
        <row r="445">
          <cell r="BA445" t="str">
            <v>.</v>
          </cell>
        </row>
        <row r="446">
          <cell r="BA446" t="str">
            <v>.</v>
          </cell>
        </row>
        <row r="447">
          <cell r="BA447" t="str">
            <v>.</v>
          </cell>
        </row>
        <row r="448">
          <cell r="BA448" t="str">
            <v>.</v>
          </cell>
        </row>
        <row r="449">
          <cell r="BA449" t="str">
            <v>.</v>
          </cell>
        </row>
        <row r="450">
          <cell r="BA450" t="str">
            <v>.</v>
          </cell>
        </row>
        <row r="451">
          <cell r="BA451" t="str">
            <v>.</v>
          </cell>
        </row>
        <row r="452">
          <cell r="BA452" t="str">
            <v>.</v>
          </cell>
        </row>
        <row r="453">
          <cell r="BA453" t="str">
            <v>.</v>
          </cell>
        </row>
        <row r="454">
          <cell r="BA454" t="str">
            <v>.</v>
          </cell>
        </row>
        <row r="455">
          <cell r="BA455" t="str">
            <v>.</v>
          </cell>
        </row>
        <row r="456">
          <cell r="BA456" t="str">
            <v>.</v>
          </cell>
        </row>
        <row r="457">
          <cell r="BA457" t="str">
            <v>.</v>
          </cell>
        </row>
        <row r="458">
          <cell r="BA458" t="str">
            <v>.</v>
          </cell>
        </row>
        <row r="459">
          <cell r="BA459" t="str">
            <v>.</v>
          </cell>
        </row>
        <row r="460">
          <cell r="BA460" t="str">
            <v>.</v>
          </cell>
        </row>
        <row r="461">
          <cell r="BA461" t="str">
            <v>.</v>
          </cell>
        </row>
        <row r="462">
          <cell r="BA462" t="str">
            <v>.</v>
          </cell>
        </row>
        <row r="463">
          <cell r="BA463" t="str">
            <v>.</v>
          </cell>
        </row>
        <row r="464">
          <cell r="BA464" t="str">
            <v>.</v>
          </cell>
        </row>
        <row r="465">
          <cell r="BA465" t="str">
            <v>.</v>
          </cell>
        </row>
        <row r="466">
          <cell r="BA466" t="str">
            <v>.</v>
          </cell>
        </row>
        <row r="467">
          <cell r="BA467" t="str">
            <v>.</v>
          </cell>
        </row>
        <row r="468">
          <cell r="BA468" t="str">
            <v>.</v>
          </cell>
        </row>
        <row r="469">
          <cell r="BA469" t="str">
            <v>.</v>
          </cell>
        </row>
        <row r="470">
          <cell r="BA470" t="str">
            <v>.</v>
          </cell>
        </row>
        <row r="471">
          <cell r="BA471" t="str">
            <v>.</v>
          </cell>
        </row>
        <row r="472">
          <cell r="BA472" t="str">
            <v>.</v>
          </cell>
        </row>
        <row r="473">
          <cell r="BA473" t="str">
            <v>.</v>
          </cell>
        </row>
        <row r="474">
          <cell r="BA474" t="str">
            <v>.</v>
          </cell>
        </row>
        <row r="475">
          <cell r="BA475" t="str">
            <v>.</v>
          </cell>
        </row>
        <row r="476">
          <cell r="BA476" t="str">
            <v>.</v>
          </cell>
        </row>
        <row r="477">
          <cell r="BA477" t="str">
            <v>.</v>
          </cell>
        </row>
        <row r="478">
          <cell r="BA478" t="str">
            <v>.</v>
          </cell>
        </row>
        <row r="479">
          <cell r="BA479" t="str">
            <v>.</v>
          </cell>
        </row>
        <row r="480">
          <cell r="BA480" t="str">
            <v>.</v>
          </cell>
        </row>
        <row r="481">
          <cell r="BA481" t="str">
            <v>.</v>
          </cell>
        </row>
        <row r="482">
          <cell r="BA482" t="str">
            <v>.</v>
          </cell>
        </row>
        <row r="483">
          <cell r="BA483" t="str">
            <v>.</v>
          </cell>
        </row>
        <row r="484">
          <cell r="BA484" t="str">
            <v>.</v>
          </cell>
        </row>
        <row r="485">
          <cell r="BA485" t="str">
            <v>.</v>
          </cell>
        </row>
        <row r="486">
          <cell r="BA486" t="str">
            <v>.</v>
          </cell>
        </row>
        <row r="487">
          <cell r="BA487" t="str">
            <v>.</v>
          </cell>
        </row>
        <row r="488">
          <cell r="BA488" t="str">
            <v>.</v>
          </cell>
        </row>
        <row r="489">
          <cell r="BA489" t="str">
            <v>.</v>
          </cell>
        </row>
        <row r="490">
          <cell r="BA490" t="str">
            <v>.</v>
          </cell>
        </row>
        <row r="491">
          <cell r="BA491" t="str">
            <v>.</v>
          </cell>
        </row>
        <row r="492">
          <cell r="BA492" t="str">
            <v>.</v>
          </cell>
        </row>
        <row r="493">
          <cell r="BA493" t="str">
            <v>.</v>
          </cell>
        </row>
        <row r="494">
          <cell r="BA494" t="str">
            <v>.</v>
          </cell>
        </row>
        <row r="495">
          <cell r="BA495" t="str">
            <v>.</v>
          </cell>
        </row>
        <row r="496">
          <cell r="BA496" t="str">
            <v>.</v>
          </cell>
        </row>
        <row r="497">
          <cell r="BA497" t="str">
            <v>.</v>
          </cell>
        </row>
        <row r="498">
          <cell r="BA498" t="str">
            <v>.</v>
          </cell>
        </row>
        <row r="499">
          <cell r="BA499" t="str">
            <v>.</v>
          </cell>
        </row>
        <row r="500">
          <cell r="BA500" t="str">
            <v>.</v>
          </cell>
        </row>
        <row r="501">
          <cell r="BA501" t="str">
            <v>.</v>
          </cell>
        </row>
        <row r="502">
          <cell r="BA502" t="str">
            <v>.</v>
          </cell>
        </row>
        <row r="503">
          <cell r="BA503" t="str">
            <v>.</v>
          </cell>
        </row>
        <row r="504">
          <cell r="BA504" t="str">
            <v>.</v>
          </cell>
        </row>
        <row r="505">
          <cell r="BA505" t="str">
            <v>.</v>
          </cell>
        </row>
        <row r="506">
          <cell r="BA506" t="str">
            <v>.</v>
          </cell>
        </row>
        <row r="507">
          <cell r="BA507" t="str">
            <v>.</v>
          </cell>
        </row>
        <row r="508">
          <cell r="BA508" t="str">
            <v>.</v>
          </cell>
        </row>
        <row r="509">
          <cell r="BA509" t="str">
            <v>.</v>
          </cell>
        </row>
        <row r="510">
          <cell r="BA510" t="str">
            <v>.</v>
          </cell>
        </row>
        <row r="511">
          <cell r="BA511" t="str">
            <v>.</v>
          </cell>
        </row>
        <row r="512">
          <cell r="BA512" t="str">
            <v>.</v>
          </cell>
        </row>
        <row r="513">
          <cell r="BA513" t="str">
            <v>.</v>
          </cell>
        </row>
        <row r="514">
          <cell r="BA514" t="str">
            <v>.</v>
          </cell>
        </row>
        <row r="515">
          <cell r="BA515" t="str">
            <v>.</v>
          </cell>
        </row>
        <row r="516">
          <cell r="BA516" t="str">
            <v>.</v>
          </cell>
        </row>
        <row r="517">
          <cell r="BA517" t="str">
            <v>.</v>
          </cell>
        </row>
        <row r="518">
          <cell r="BA518" t="str">
            <v>.</v>
          </cell>
        </row>
        <row r="519">
          <cell r="BA519" t="str">
            <v>.</v>
          </cell>
        </row>
        <row r="520">
          <cell r="BA520" t="str">
            <v>.</v>
          </cell>
        </row>
        <row r="521">
          <cell r="BA521" t="str">
            <v>.</v>
          </cell>
        </row>
        <row r="522">
          <cell r="BA522" t="str">
            <v>.</v>
          </cell>
        </row>
        <row r="523">
          <cell r="BA523" t="str">
            <v>.</v>
          </cell>
        </row>
        <row r="524">
          <cell r="BA524" t="str">
            <v>.</v>
          </cell>
        </row>
        <row r="525">
          <cell r="BA525" t="str">
            <v>.</v>
          </cell>
        </row>
        <row r="526">
          <cell r="BA526" t="str">
            <v>.</v>
          </cell>
        </row>
        <row r="527">
          <cell r="BA527" t="str">
            <v>.</v>
          </cell>
        </row>
        <row r="528">
          <cell r="BA528" t="str">
            <v>.</v>
          </cell>
        </row>
        <row r="529">
          <cell r="BA529" t="str">
            <v>.</v>
          </cell>
        </row>
        <row r="530">
          <cell r="BA530" t="str">
            <v>.</v>
          </cell>
        </row>
        <row r="531">
          <cell r="BA531" t="str">
            <v>.</v>
          </cell>
        </row>
        <row r="532">
          <cell r="BA532" t="str">
            <v>.</v>
          </cell>
        </row>
        <row r="533">
          <cell r="BA533" t="str">
            <v>.</v>
          </cell>
        </row>
        <row r="534">
          <cell r="BA534" t="str">
            <v>.</v>
          </cell>
        </row>
        <row r="535">
          <cell r="BA535" t="str">
            <v>.</v>
          </cell>
        </row>
        <row r="536">
          <cell r="BA536" t="str">
            <v>.</v>
          </cell>
        </row>
        <row r="537">
          <cell r="BA537" t="str">
            <v>.</v>
          </cell>
        </row>
        <row r="538">
          <cell r="BA538" t="str">
            <v>.</v>
          </cell>
        </row>
        <row r="539">
          <cell r="BA539" t="str">
            <v>.</v>
          </cell>
        </row>
        <row r="540">
          <cell r="BA540" t="str">
            <v>.</v>
          </cell>
        </row>
        <row r="541">
          <cell r="BA541" t="str">
            <v>.</v>
          </cell>
        </row>
        <row r="542">
          <cell r="BA542" t="str">
            <v>.</v>
          </cell>
        </row>
        <row r="543">
          <cell r="BA543" t="str">
            <v>.</v>
          </cell>
        </row>
        <row r="544">
          <cell r="BA544" t="str">
            <v>.</v>
          </cell>
        </row>
        <row r="545">
          <cell r="BA545" t="str">
            <v>.</v>
          </cell>
        </row>
        <row r="546">
          <cell r="BA546" t="str">
            <v>.</v>
          </cell>
        </row>
        <row r="547">
          <cell r="BA547" t="str">
            <v>.</v>
          </cell>
        </row>
        <row r="548">
          <cell r="BA548" t="str">
            <v>.</v>
          </cell>
        </row>
        <row r="549">
          <cell r="BA549" t="str">
            <v>.</v>
          </cell>
        </row>
        <row r="550">
          <cell r="BA550" t="str">
            <v>.</v>
          </cell>
        </row>
        <row r="551">
          <cell r="BA551" t="str">
            <v>.</v>
          </cell>
        </row>
        <row r="552">
          <cell r="BA552" t="str">
            <v>.</v>
          </cell>
        </row>
        <row r="553">
          <cell r="BA553" t="str">
            <v>.</v>
          </cell>
        </row>
        <row r="554">
          <cell r="BA554" t="str">
            <v>.</v>
          </cell>
        </row>
        <row r="555">
          <cell r="BA555" t="str">
            <v>.</v>
          </cell>
        </row>
        <row r="556">
          <cell r="BA556" t="str">
            <v>.</v>
          </cell>
        </row>
        <row r="557">
          <cell r="BA557" t="str">
            <v>.</v>
          </cell>
        </row>
        <row r="558">
          <cell r="BA558" t="str">
            <v>.</v>
          </cell>
        </row>
        <row r="559">
          <cell r="BA559" t="str">
            <v>.</v>
          </cell>
        </row>
        <row r="560">
          <cell r="BA560" t="str">
            <v>.</v>
          </cell>
        </row>
        <row r="561">
          <cell r="BA561" t="str">
            <v>.</v>
          </cell>
        </row>
        <row r="562">
          <cell r="BA562" t="str">
            <v>.</v>
          </cell>
        </row>
        <row r="563">
          <cell r="BA563" t="str">
            <v>.</v>
          </cell>
        </row>
        <row r="564">
          <cell r="BA564" t="str">
            <v>.</v>
          </cell>
        </row>
        <row r="565">
          <cell r="BA565" t="str">
            <v>.</v>
          </cell>
        </row>
        <row r="566">
          <cell r="BA566" t="str">
            <v>.</v>
          </cell>
        </row>
        <row r="567">
          <cell r="BA567" t="str">
            <v>.</v>
          </cell>
        </row>
        <row r="568">
          <cell r="BA568" t="str">
            <v>.</v>
          </cell>
        </row>
        <row r="569">
          <cell r="BA569" t="str">
            <v>.</v>
          </cell>
        </row>
        <row r="570">
          <cell r="BA570" t="str">
            <v>.</v>
          </cell>
        </row>
        <row r="571">
          <cell r="BA571" t="str">
            <v>.</v>
          </cell>
        </row>
        <row r="572">
          <cell r="BA572" t="str">
            <v>.</v>
          </cell>
        </row>
        <row r="573">
          <cell r="BA573" t="str">
            <v>.</v>
          </cell>
        </row>
        <row r="574">
          <cell r="BA574" t="str">
            <v>.</v>
          </cell>
        </row>
        <row r="575">
          <cell r="BA575" t="str">
            <v>.</v>
          </cell>
        </row>
        <row r="576">
          <cell r="BA576" t="str">
            <v>.</v>
          </cell>
        </row>
        <row r="577">
          <cell r="BA577" t="str">
            <v>.</v>
          </cell>
        </row>
        <row r="578">
          <cell r="BA578" t="str">
            <v>.</v>
          </cell>
        </row>
        <row r="579">
          <cell r="BA579" t="str">
            <v>.</v>
          </cell>
        </row>
        <row r="580">
          <cell r="BA580" t="str">
            <v>.</v>
          </cell>
        </row>
        <row r="581">
          <cell r="BA581" t="str">
            <v>.</v>
          </cell>
        </row>
        <row r="582">
          <cell r="BA582" t="str">
            <v>.</v>
          </cell>
        </row>
        <row r="583">
          <cell r="BA583" t="str">
            <v>.</v>
          </cell>
        </row>
        <row r="584">
          <cell r="BA584" t="str">
            <v>.</v>
          </cell>
        </row>
        <row r="585">
          <cell r="BA585" t="str">
            <v>.</v>
          </cell>
        </row>
        <row r="586">
          <cell r="BA586" t="str">
            <v>.</v>
          </cell>
        </row>
        <row r="587">
          <cell r="BA587" t="str">
            <v>.</v>
          </cell>
        </row>
        <row r="588">
          <cell r="BA588" t="str">
            <v>.</v>
          </cell>
        </row>
        <row r="589">
          <cell r="BA589" t="str">
            <v>.</v>
          </cell>
        </row>
        <row r="590">
          <cell r="BA590" t="str">
            <v>.</v>
          </cell>
        </row>
        <row r="591">
          <cell r="BA591" t="str">
            <v>.</v>
          </cell>
        </row>
        <row r="592">
          <cell r="BA592" t="str">
            <v>.</v>
          </cell>
        </row>
        <row r="593">
          <cell r="BA593" t="str">
            <v>.</v>
          </cell>
        </row>
        <row r="594">
          <cell r="BA594" t="str">
            <v>.</v>
          </cell>
        </row>
        <row r="595">
          <cell r="BA595" t="str">
            <v>.</v>
          </cell>
        </row>
        <row r="596">
          <cell r="BA596" t="str">
            <v>.</v>
          </cell>
        </row>
        <row r="597">
          <cell r="BA597" t="str">
            <v>.</v>
          </cell>
        </row>
        <row r="598">
          <cell r="BA598" t="str">
            <v>.</v>
          </cell>
        </row>
        <row r="599">
          <cell r="BA599" t="str">
            <v>.</v>
          </cell>
        </row>
        <row r="600">
          <cell r="BA600" t="str">
            <v>.</v>
          </cell>
        </row>
        <row r="601">
          <cell r="BA601" t="str">
            <v>.</v>
          </cell>
        </row>
        <row r="602">
          <cell r="BA602" t="str">
            <v>.</v>
          </cell>
        </row>
        <row r="603">
          <cell r="BA603" t="str">
            <v>.</v>
          </cell>
        </row>
        <row r="604">
          <cell r="BA604" t="str">
            <v>.</v>
          </cell>
        </row>
        <row r="605">
          <cell r="BA605" t="str">
            <v>.</v>
          </cell>
        </row>
        <row r="606">
          <cell r="BA606" t="str">
            <v>.</v>
          </cell>
        </row>
        <row r="607">
          <cell r="BA607" t="str">
            <v>.</v>
          </cell>
        </row>
        <row r="608">
          <cell r="BA608" t="str">
            <v>.</v>
          </cell>
        </row>
        <row r="609">
          <cell r="BA609" t="str">
            <v>.</v>
          </cell>
        </row>
        <row r="610">
          <cell r="BA610" t="str">
            <v>.</v>
          </cell>
        </row>
        <row r="611">
          <cell r="BA611" t="str">
            <v>.</v>
          </cell>
        </row>
        <row r="612">
          <cell r="BA612" t="str">
            <v>.</v>
          </cell>
        </row>
        <row r="613">
          <cell r="BA613" t="str">
            <v>.</v>
          </cell>
        </row>
        <row r="614">
          <cell r="BA614" t="str">
            <v>.</v>
          </cell>
        </row>
        <row r="615">
          <cell r="BA615" t="str">
            <v>.</v>
          </cell>
        </row>
        <row r="616">
          <cell r="BA616" t="str">
            <v>.</v>
          </cell>
        </row>
        <row r="617">
          <cell r="BA617" t="str">
            <v>.</v>
          </cell>
        </row>
        <row r="618">
          <cell r="BA618" t="str">
            <v>.</v>
          </cell>
        </row>
        <row r="619">
          <cell r="BA619" t="str">
            <v>.</v>
          </cell>
        </row>
        <row r="620">
          <cell r="BA620" t="str">
            <v>.</v>
          </cell>
        </row>
        <row r="621">
          <cell r="BA621" t="str">
            <v>.</v>
          </cell>
        </row>
        <row r="622">
          <cell r="BA622" t="str">
            <v>.</v>
          </cell>
        </row>
        <row r="623">
          <cell r="BA623" t="str">
            <v>.</v>
          </cell>
        </row>
        <row r="624">
          <cell r="BA624" t="str">
            <v>.</v>
          </cell>
        </row>
        <row r="625">
          <cell r="BA625" t="str">
            <v>.</v>
          </cell>
        </row>
        <row r="626">
          <cell r="BA626" t="str">
            <v>.</v>
          </cell>
        </row>
        <row r="627">
          <cell r="BA627" t="str">
            <v>.</v>
          </cell>
        </row>
        <row r="628">
          <cell r="BA628" t="str">
            <v>.</v>
          </cell>
        </row>
        <row r="629">
          <cell r="BA629" t="str">
            <v>.</v>
          </cell>
        </row>
        <row r="630">
          <cell r="BA630" t="str">
            <v>.</v>
          </cell>
        </row>
        <row r="631">
          <cell r="BA631" t="str">
            <v>.</v>
          </cell>
        </row>
        <row r="632">
          <cell r="BA632" t="str">
            <v>.</v>
          </cell>
        </row>
        <row r="633">
          <cell r="BA633" t="str">
            <v>.</v>
          </cell>
        </row>
        <row r="634">
          <cell r="BA634" t="str">
            <v>.</v>
          </cell>
        </row>
        <row r="635">
          <cell r="BA635" t="str">
            <v>.</v>
          </cell>
        </row>
        <row r="636">
          <cell r="BA636" t="str">
            <v>.</v>
          </cell>
        </row>
        <row r="637">
          <cell r="BA637" t="str">
            <v>.</v>
          </cell>
        </row>
        <row r="638">
          <cell r="BA638" t="str">
            <v>.</v>
          </cell>
        </row>
        <row r="639">
          <cell r="BA639" t="str">
            <v>.</v>
          </cell>
        </row>
        <row r="640">
          <cell r="BA640" t="str">
            <v>.</v>
          </cell>
        </row>
        <row r="641">
          <cell r="BA641" t="str">
            <v>.</v>
          </cell>
        </row>
        <row r="642">
          <cell r="BA642" t="str">
            <v>.</v>
          </cell>
        </row>
        <row r="643">
          <cell r="BA643" t="str">
            <v>.</v>
          </cell>
        </row>
        <row r="644">
          <cell r="BA644" t="str">
            <v>.</v>
          </cell>
        </row>
        <row r="645">
          <cell r="BA645" t="str">
            <v>.</v>
          </cell>
        </row>
        <row r="646">
          <cell r="BA646" t="str">
            <v>.</v>
          </cell>
        </row>
        <row r="647">
          <cell r="BA647" t="str">
            <v>.</v>
          </cell>
        </row>
        <row r="648">
          <cell r="BA648" t="str">
            <v>.</v>
          </cell>
        </row>
        <row r="649">
          <cell r="BA649" t="str">
            <v>.</v>
          </cell>
        </row>
        <row r="650">
          <cell r="BA650" t="str">
            <v>.</v>
          </cell>
        </row>
        <row r="651">
          <cell r="BA651" t="str">
            <v>.</v>
          </cell>
        </row>
        <row r="652">
          <cell r="BA652" t="str">
            <v>.</v>
          </cell>
        </row>
        <row r="653">
          <cell r="BA653" t="str">
            <v>.</v>
          </cell>
        </row>
        <row r="654">
          <cell r="BA654" t="str">
            <v>.</v>
          </cell>
        </row>
        <row r="655">
          <cell r="BA655" t="str">
            <v>.</v>
          </cell>
        </row>
        <row r="656">
          <cell r="BA656" t="str">
            <v>.</v>
          </cell>
        </row>
        <row r="657">
          <cell r="BA657" t="str">
            <v>.</v>
          </cell>
        </row>
        <row r="658">
          <cell r="BA658" t="str">
            <v>.</v>
          </cell>
        </row>
        <row r="659">
          <cell r="BA659" t="str">
            <v>.</v>
          </cell>
        </row>
        <row r="660">
          <cell r="BA660" t="str">
            <v>.</v>
          </cell>
        </row>
        <row r="661">
          <cell r="BA661" t="str">
            <v>.</v>
          </cell>
        </row>
        <row r="662">
          <cell r="BA662" t="str">
            <v>.</v>
          </cell>
        </row>
        <row r="663">
          <cell r="BA663" t="str">
            <v>.</v>
          </cell>
        </row>
        <row r="664">
          <cell r="BA664" t="str">
            <v>.</v>
          </cell>
        </row>
        <row r="665">
          <cell r="BA665" t="str">
            <v>.</v>
          </cell>
        </row>
        <row r="666">
          <cell r="BA666" t="str">
            <v>.</v>
          </cell>
        </row>
        <row r="667">
          <cell r="BA667" t="str">
            <v>.</v>
          </cell>
        </row>
        <row r="668">
          <cell r="BA668" t="str">
            <v>.</v>
          </cell>
        </row>
        <row r="669">
          <cell r="BA669" t="str">
            <v>.</v>
          </cell>
        </row>
        <row r="670">
          <cell r="BA670" t="str">
            <v>.</v>
          </cell>
        </row>
        <row r="671">
          <cell r="BA671" t="str">
            <v>.</v>
          </cell>
        </row>
        <row r="672">
          <cell r="BA672" t="str">
            <v>.</v>
          </cell>
        </row>
        <row r="673">
          <cell r="BA673" t="str">
            <v>.</v>
          </cell>
        </row>
        <row r="674">
          <cell r="BA674" t="str">
            <v>.</v>
          </cell>
        </row>
        <row r="675">
          <cell r="BA675" t="str">
            <v>.</v>
          </cell>
        </row>
        <row r="676">
          <cell r="BA676" t="str">
            <v>.</v>
          </cell>
        </row>
        <row r="677">
          <cell r="BA677" t="str">
            <v>.</v>
          </cell>
        </row>
        <row r="678">
          <cell r="BA678" t="str">
            <v>.</v>
          </cell>
        </row>
        <row r="679">
          <cell r="BA679" t="str">
            <v>.</v>
          </cell>
        </row>
        <row r="680">
          <cell r="BA680" t="str">
            <v>.</v>
          </cell>
        </row>
        <row r="681">
          <cell r="BA681" t="str">
            <v>.</v>
          </cell>
        </row>
        <row r="682">
          <cell r="BA682" t="str">
            <v>.</v>
          </cell>
        </row>
        <row r="683">
          <cell r="BA683" t="str">
            <v>.</v>
          </cell>
        </row>
        <row r="684">
          <cell r="BA684" t="str">
            <v>.</v>
          </cell>
        </row>
        <row r="685">
          <cell r="BA685" t="str">
            <v>.</v>
          </cell>
        </row>
        <row r="686">
          <cell r="BA686" t="str">
            <v>.</v>
          </cell>
        </row>
        <row r="687">
          <cell r="BA687" t="str">
            <v>.</v>
          </cell>
        </row>
        <row r="688">
          <cell r="BA688" t="str">
            <v>.</v>
          </cell>
        </row>
        <row r="689">
          <cell r="BA689" t="str">
            <v>.</v>
          </cell>
        </row>
        <row r="690">
          <cell r="BA690" t="str">
            <v>.</v>
          </cell>
        </row>
        <row r="691">
          <cell r="BA691" t="str">
            <v>.</v>
          </cell>
        </row>
        <row r="692">
          <cell r="BA692" t="str">
            <v>.</v>
          </cell>
        </row>
        <row r="693">
          <cell r="BA693" t="str">
            <v>.</v>
          </cell>
        </row>
        <row r="694">
          <cell r="BA694" t="str">
            <v>.</v>
          </cell>
        </row>
        <row r="695">
          <cell r="BA695" t="str">
            <v>.</v>
          </cell>
        </row>
        <row r="696">
          <cell r="BA696" t="str">
            <v>.</v>
          </cell>
        </row>
        <row r="697">
          <cell r="BA697" t="str">
            <v>.</v>
          </cell>
        </row>
        <row r="698">
          <cell r="BA698" t="str">
            <v>.</v>
          </cell>
        </row>
        <row r="699">
          <cell r="BA699" t="str">
            <v>.</v>
          </cell>
        </row>
        <row r="700">
          <cell r="BA700" t="str">
            <v>.</v>
          </cell>
        </row>
        <row r="701">
          <cell r="BA701" t="str">
            <v>.</v>
          </cell>
        </row>
        <row r="702">
          <cell r="BA702" t="str">
            <v>.</v>
          </cell>
        </row>
        <row r="703">
          <cell r="BA703" t="str">
            <v>.</v>
          </cell>
        </row>
        <row r="704">
          <cell r="BA704" t="str">
            <v>.</v>
          </cell>
        </row>
        <row r="705">
          <cell r="BA705" t="str">
            <v>.</v>
          </cell>
        </row>
        <row r="706">
          <cell r="BA706" t="str">
            <v>.</v>
          </cell>
        </row>
        <row r="707">
          <cell r="BA707" t="str">
            <v>.</v>
          </cell>
        </row>
        <row r="708">
          <cell r="BA708" t="str">
            <v>.</v>
          </cell>
        </row>
        <row r="709">
          <cell r="BA709" t="str">
            <v>.</v>
          </cell>
        </row>
        <row r="710">
          <cell r="BA710" t="str">
            <v>.</v>
          </cell>
        </row>
        <row r="711">
          <cell r="BA711" t="str">
            <v>.</v>
          </cell>
        </row>
        <row r="712">
          <cell r="BA712" t="str">
            <v>.</v>
          </cell>
        </row>
        <row r="713">
          <cell r="BA713" t="str">
            <v>.</v>
          </cell>
        </row>
        <row r="714">
          <cell r="BA714" t="str">
            <v>.</v>
          </cell>
        </row>
        <row r="715">
          <cell r="BA715" t="str">
            <v>.</v>
          </cell>
        </row>
        <row r="716">
          <cell r="BA716" t="str">
            <v>.</v>
          </cell>
        </row>
        <row r="717">
          <cell r="BA717" t="str">
            <v>.</v>
          </cell>
        </row>
        <row r="718">
          <cell r="BA718" t="str">
            <v>.</v>
          </cell>
        </row>
        <row r="719">
          <cell r="BA719" t="str">
            <v>.</v>
          </cell>
        </row>
        <row r="720">
          <cell r="BA720" t="str">
            <v>.</v>
          </cell>
        </row>
        <row r="721">
          <cell r="BA721" t="str">
            <v>.</v>
          </cell>
        </row>
        <row r="722">
          <cell r="BA722" t="str">
            <v>.</v>
          </cell>
        </row>
        <row r="723">
          <cell r="BA723" t="str">
            <v>.</v>
          </cell>
        </row>
        <row r="724">
          <cell r="BA724" t="str">
            <v>.</v>
          </cell>
        </row>
        <row r="725">
          <cell r="BA725" t="str">
            <v>.</v>
          </cell>
        </row>
        <row r="726">
          <cell r="BA726" t="str">
            <v>.</v>
          </cell>
        </row>
        <row r="727">
          <cell r="BA727" t="str">
            <v>.</v>
          </cell>
        </row>
        <row r="728">
          <cell r="BA728" t="str">
            <v>.</v>
          </cell>
        </row>
        <row r="729">
          <cell r="BA729" t="str">
            <v>.</v>
          </cell>
        </row>
        <row r="730">
          <cell r="BA730" t="str">
            <v>.</v>
          </cell>
        </row>
        <row r="731">
          <cell r="BA731" t="str">
            <v>.</v>
          </cell>
        </row>
        <row r="732">
          <cell r="BA732" t="str">
            <v>.</v>
          </cell>
        </row>
        <row r="733">
          <cell r="BA733" t="str">
            <v>.</v>
          </cell>
        </row>
        <row r="734">
          <cell r="BA734" t="str">
            <v>.</v>
          </cell>
        </row>
        <row r="735">
          <cell r="BA735" t="str">
            <v>.</v>
          </cell>
        </row>
        <row r="736">
          <cell r="BA736" t="str">
            <v>.</v>
          </cell>
        </row>
        <row r="737">
          <cell r="BA737" t="str">
            <v>.</v>
          </cell>
        </row>
        <row r="738">
          <cell r="BA738" t="str">
            <v>.</v>
          </cell>
        </row>
        <row r="739">
          <cell r="BA739" t="str">
            <v>.</v>
          </cell>
        </row>
        <row r="740">
          <cell r="BA740" t="str">
            <v>.</v>
          </cell>
        </row>
        <row r="741">
          <cell r="BA741" t="str">
            <v>.</v>
          </cell>
        </row>
        <row r="742">
          <cell r="BA742" t="str">
            <v>.</v>
          </cell>
        </row>
        <row r="743">
          <cell r="BA743" t="str">
            <v>.</v>
          </cell>
        </row>
        <row r="744">
          <cell r="BA744" t="str">
            <v>.</v>
          </cell>
        </row>
        <row r="745">
          <cell r="BA745" t="str">
            <v>.</v>
          </cell>
        </row>
        <row r="746">
          <cell r="BA746" t="str">
            <v>.</v>
          </cell>
        </row>
        <row r="747">
          <cell r="BA747" t="str">
            <v>.</v>
          </cell>
        </row>
        <row r="748">
          <cell r="BA748" t="str">
            <v>.</v>
          </cell>
        </row>
        <row r="749">
          <cell r="BA749" t="str">
            <v>.</v>
          </cell>
        </row>
        <row r="750">
          <cell r="BA750" t="str">
            <v>.</v>
          </cell>
        </row>
        <row r="751">
          <cell r="BA751" t="str">
            <v>.</v>
          </cell>
        </row>
        <row r="752">
          <cell r="BA752" t="str">
            <v>.</v>
          </cell>
        </row>
        <row r="753">
          <cell r="BA753" t="str">
            <v>.</v>
          </cell>
        </row>
        <row r="754">
          <cell r="BA754" t="str">
            <v>.</v>
          </cell>
        </row>
        <row r="755">
          <cell r="BA755" t="str">
            <v>.</v>
          </cell>
        </row>
        <row r="756">
          <cell r="BA756" t="str">
            <v>.</v>
          </cell>
        </row>
        <row r="757">
          <cell r="BA757" t="str">
            <v>.</v>
          </cell>
        </row>
        <row r="758">
          <cell r="BA758" t="str">
            <v>.</v>
          </cell>
        </row>
        <row r="759">
          <cell r="BA759" t="str">
            <v>.</v>
          </cell>
        </row>
        <row r="760">
          <cell r="BA760" t="str">
            <v>.</v>
          </cell>
        </row>
        <row r="761">
          <cell r="BA761" t="str">
            <v>.</v>
          </cell>
        </row>
        <row r="762">
          <cell r="BA762" t="str">
            <v>.</v>
          </cell>
        </row>
        <row r="763">
          <cell r="BA763" t="str">
            <v>.</v>
          </cell>
        </row>
        <row r="764">
          <cell r="BA764" t="str">
            <v>.</v>
          </cell>
        </row>
        <row r="765">
          <cell r="BA765" t="str">
            <v>.</v>
          </cell>
        </row>
        <row r="766">
          <cell r="BA766" t="str">
            <v>.</v>
          </cell>
        </row>
        <row r="767">
          <cell r="BA767" t="str">
            <v>.</v>
          </cell>
        </row>
        <row r="768">
          <cell r="BA768" t="str">
            <v>.</v>
          </cell>
        </row>
        <row r="769">
          <cell r="BA769" t="str">
            <v>.</v>
          </cell>
        </row>
        <row r="770">
          <cell r="BA770" t="str">
            <v>.</v>
          </cell>
        </row>
        <row r="771">
          <cell r="BA771" t="str">
            <v>.</v>
          </cell>
        </row>
        <row r="772">
          <cell r="BA772" t="str">
            <v>.</v>
          </cell>
        </row>
        <row r="773">
          <cell r="BA773" t="str">
            <v>.</v>
          </cell>
        </row>
        <row r="774">
          <cell r="BA774" t="str">
            <v>.</v>
          </cell>
        </row>
        <row r="775">
          <cell r="BA775" t="str">
            <v>.</v>
          </cell>
        </row>
        <row r="776">
          <cell r="BA776" t="str">
            <v>.</v>
          </cell>
        </row>
        <row r="777">
          <cell r="BA777" t="str">
            <v>.</v>
          </cell>
        </row>
        <row r="778">
          <cell r="BA778" t="str">
            <v>.</v>
          </cell>
        </row>
        <row r="779">
          <cell r="BA779" t="str">
            <v>.</v>
          </cell>
        </row>
        <row r="780">
          <cell r="BA780" t="str">
            <v>.</v>
          </cell>
        </row>
        <row r="781">
          <cell r="BA781" t="str">
            <v>.</v>
          </cell>
        </row>
        <row r="782">
          <cell r="BA782" t="str">
            <v>.</v>
          </cell>
        </row>
        <row r="783">
          <cell r="BA783" t="str">
            <v>.</v>
          </cell>
        </row>
        <row r="784">
          <cell r="BA784" t="str">
            <v>.</v>
          </cell>
        </row>
        <row r="785">
          <cell r="BA785" t="str">
            <v>.</v>
          </cell>
        </row>
        <row r="786">
          <cell r="BA786" t="str">
            <v>.</v>
          </cell>
        </row>
        <row r="787">
          <cell r="BA787" t="str">
            <v>.</v>
          </cell>
        </row>
        <row r="788">
          <cell r="BA788" t="str">
            <v>.</v>
          </cell>
        </row>
        <row r="789">
          <cell r="BA789" t="str">
            <v>.</v>
          </cell>
        </row>
        <row r="790">
          <cell r="BA790" t="str">
            <v>.</v>
          </cell>
        </row>
        <row r="791">
          <cell r="BA791" t="str">
            <v>.</v>
          </cell>
        </row>
        <row r="792">
          <cell r="BA792" t="str">
            <v>.</v>
          </cell>
        </row>
        <row r="793">
          <cell r="BA793" t="str">
            <v>.</v>
          </cell>
        </row>
        <row r="794">
          <cell r="BA794" t="str">
            <v>.</v>
          </cell>
        </row>
        <row r="795">
          <cell r="BA795" t="str">
            <v>.</v>
          </cell>
        </row>
        <row r="796">
          <cell r="BA796" t="str">
            <v>.</v>
          </cell>
        </row>
        <row r="797">
          <cell r="BA797" t="str">
            <v>.</v>
          </cell>
        </row>
        <row r="798">
          <cell r="BA798" t="str">
            <v>.</v>
          </cell>
        </row>
        <row r="799">
          <cell r="BA799" t="str">
            <v>.</v>
          </cell>
        </row>
        <row r="800">
          <cell r="BA800" t="str">
            <v>.</v>
          </cell>
        </row>
        <row r="801">
          <cell r="BA801" t="str">
            <v>.</v>
          </cell>
        </row>
        <row r="802">
          <cell r="BA802" t="str">
            <v>.</v>
          </cell>
        </row>
        <row r="803">
          <cell r="BA803" t="str">
            <v>.</v>
          </cell>
        </row>
        <row r="804">
          <cell r="BA804" t="str">
            <v>.</v>
          </cell>
        </row>
        <row r="805">
          <cell r="BA805" t="str">
            <v>.</v>
          </cell>
        </row>
        <row r="806">
          <cell r="BA806" t="str">
            <v>.</v>
          </cell>
        </row>
        <row r="807">
          <cell r="BA807" t="str">
            <v>.</v>
          </cell>
        </row>
        <row r="808">
          <cell r="BA808" t="str">
            <v>.</v>
          </cell>
        </row>
        <row r="809">
          <cell r="BA809" t="str">
            <v>.</v>
          </cell>
        </row>
        <row r="810">
          <cell r="BA810" t="str">
            <v>.</v>
          </cell>
        </row>
        <row r="811">
          <cell r="BA811" t="str">
            <v>.</v>
          </cell>
        </row>
        <row r="812">
          <cell r="BA812" t="str">
            <v>.</v>
          </cell>
        </row>
        <row r="813">
          <cell r="BA813" t="str">
            <v>.</v>
          </cell>
        </row>
        <row r="814">
          <cell r="BA814" t="str">
            <v>.</v>
          </cell>
        </row>
        <row r="815">
          <cell r="BA815" t="str">
            <v>.</v>
          </cell>
        </row>
        <row r="816">
          <cell r="BA816" t="str">
            <v>.</v>
          </cell>
        </row>
        <row r="817">
          <cell r="BA817" t="str">
            <v>.</v>
          </cell>
        </row>
        <row r="818">
          <cell r="BA818" t="str">
            <v>.</v>
          </cell>
        </row>
        <row r="819">
          <cell r="BA819" t="str">
            <v>.</v>
          </cell>
        </row>
        <row r="820">
          <cell r="BA820" t="str">
            <v>.</v>
          </cell>
        </row>
        <row r="821">
          <cell r="BA821" t="str">
            <v>.</v>
          </cell>
        </row>
        <row r="822">
          <cell r="BA822" t="str">
            <v>.</v>
          </cell>
        </row>
        <row r="823">
          <cell r="BA823" t="str">
            <v>.</v>
          </cell>
        </row>
        <row r="824">
          <cell r="BA824" t="str">
            <v>.</v>
          </cell>
        </row>
        <row r="825">
          <cell r="BA825" t="str">
            <v>.</v>
          </cell>
        </row>
        <row r="826">
          <cell r="BA826" t="str">
            <v>.</v>
          </cell>
        </row>
        <row r="827">
          <cell r="BA827" t="str">
            <v>.</v>
          </cell>
        </row>
        <row r="828">
          <cell r="BA828" t="str">
            <v>.</v>
          </cell>
        </row>
        <row r="829">
          <cell r="BA829" t="str">
            <v>.</v>
          </cell>
        </row>
        <row r="830">
          <cell r="BA830" t="str">
            <v>.</v>
          </cell>
        </row>
        <row r="831">
          <cell r="BA831" t="str">
            <v>.</v>
          </cell>
        </row>
        <row r="832">
          <cell r="BA832" t="str">
            <v>.</v>
          </cell>
        </row>
        <row r="833">
          <cell r="BA833" t="str">
            <v>.</v>
          </cell>
        </row>
        <row r="834">
          <cell r="BA834" t="str">
            <v>.</v>
          </cell>
        </row>
        <row r="835">
          <cell r="BA835" t="str">
            <v>.</v>
          </cell>
        </row>
        <row r="836">
          <cell r="BA836" t="str">
            <v>.</v>
          </cell>
        </row>
        <row r="837">
          <cell r="BA837" t="str">
            <v>.</v>
          </cell>
        </row>
        <row r="838">
          <cell r="BA838" t="str">
            <v>.</v>
          </cell>
        </row>
        <row r="839">
          <cell r="BA839" t="str">
            <v>.</v>
          </cell>
        </row>
        <row r="840">
          <cell r="BA840" t="str">
            <v>.</v>
          </cell>
        </row>
        <row r="841">
          <cell r="BA841" t="str">
            <v>.</v>
          </cell>
        </row>
        <row r="842">
          <cell r="BA842" t="str">
            <v>.</v>
          </cell>
        </row>
        <row r="843">
          <cell r="BA843" t="str">
            <v>.</v>
          </cell>
        </row>
        <row r="844">
          <cell r="BA844" t="str">
            <v>.</v>
          </cell>
        </row>
        <row r="845">
          <cell r="BA845" t="str">
            <v>.</v>
          </cell>
        </row>
        <row r="846">
          <cell r="BA846" t="str">
            <v>.</v>
          </cell>
        </row>
        <row r="847">
          <cell r="BA847" t="str">
            <v>.</v>
          </cell>
        </row>
        <row r="848">
          <cell r="BA848" t="str">
            <v>.</v>
          </cell>
        </row>
        <row r="849">
          <cell r="BA849" t="str">
            <v>.</v>
          </cell>
        </row>
        <row r="850">
          <cell r="BA850" t="str">
            <v>.</v>
          </cell>
        </row>
        <row r="851">
          <cell r="BA851" t="str">
            <v>.</v>
          </cell>
        </row>
        <row r="852">
          <cell r="BA852" t="str">
            <v>.</v>
          </cell>
        </row>
        <row r="853">
          <cell r="BA853" t="str">
            <v>.</v>
          </cell>
        </row>
        <row r="854">
          <cell r="BA854" t="str">
            <v>.</v>
          </cell>
        </row>
        <row r="855">
          <cell r="BA855" t="str">
            <v>.</v>
          </cell>
        </row>
        <row r="856">
          <cell r="BA856" t="str">
            <v>.</v>
          </cell>
        </row>
        <row r="857">
          <cell r="BA857" t="str">
            <v>.</v>
          </cell>
        </row>
        <row r="858">
          <cell r="BA858" t="str">
            <v>.</v>
          </cell>
        </row>
        <row r="859">
          <cell r="BA859" t="str">
            <v>.</v>
          </cell>
        </row>
        <row r="860">
          <cell r="BA860" t="str">
            <v>.</v>
          </cell>
        </row>
        <row r="861">
          <cell r="BA861" t="str">
            <v>.</v>
          </cell>
        </row>
        <row r="862">
          <cell r="BA862" t="str">
            <v>.</v>
          </cell>
        </row>
        <row r="863">
          <cell r="BA863" t="str">
            <v>.</v>
          </cell>
        </row>
        <row r="864">
          <cell r="BA864" t="str">
            <v>.</v>
          </cell>
        </row>
        <row r="865">
          <cell r="BA865" t="str">
            <v>.</v>
          </cell>
        </row>
        <row r="866">
          <cell r="BA866" t="str">
            <v>.</v>
          </cell>
        </row>
        <row r="867">
          <cell r="BA867" t="str">
            <v>.</v>
          </cell>
        </row>
        <row r="868">
          <cell r="BA868" t="str">
            <v>.</v>
          </cell>
        </row>
        <row r="869">
          <cell r="BA869" t="str">
            <v>.</v>
          </cell>
        </row>
        <row r="870">
          <cell r="BA870" t="str">
            <v>.</v>
          </cell>
        </row>
        <row r="871">
          <cell r="BA871" t="str">
            <v>.</v>
          </cell>
        </row>
        <row r="872">
          <cell r="BA872" t="str">
            <v>.</v>
          </cell>
        </row>
        <row r="873">
          <cell r="BA873" t="str">
            <v>.</v>
          </cell>
        </row>
        <row r="874">
          <cell r="BA874" t="str">
            <v>.</v>
          </cell>
        </row>
        <row r="875">
          <cell r="BA875" t="str">
            <v>.</v>
          </cell>
        </row>
        <row r="876">
          <cell r="BA876" t="str">
            <v>.</v>
          </cell>
        </row>
        <row r="877">
          <cell r="BA877" t="str">
            <v>.</v>
          </cell>
        </row>
        <row r="878">
          <cell r="BA878" t="str">
            <v>.</v>
          </cell>
        </row>
        <row r="879">
          <cell r="BA879" t="str">
            <v>.</v>
          </cell>
        </row>
        <row r="880">
          <cell r="BA880" t="str">
            <v>.</v>
          </cell>
        </row>
        <row r="881">
          <cell r="BA881" t="str">
            <v>.</v>
          </cell>
        </row>
        <row r="882">
          <cell r="BA882" t="str">
            <v>.</v>
          </cell>
        </row>
        <row r="883">
          <cell r="BA883" t="str">
            <v>.</v>
          </cell>
        </row>
        <row r="884">
          <cell r="BA884" t="str">
            <v>.</v>
          </cell>
        </row>
        <row r="885">
          <cell r="BA885" t="str">
            <v>.</v>
          </cell>
        </row>
        <row r="886">
          <cell r="BA886" t="str">
            <v>.</v>
          </cell>
        </row>
        <row r="887">
          <cell r="BA887" t="str">
            <v>.</v>
          </cell>
        </row>
        <row r="888">
          <cell r="BA888" t="str">
            <v>.</v>
          </cell>
        </row>
        <row r="889">
          <cell r="BA889" t="str">
            <v>.</v>
          </cell>
        </row>
        <row r="890">
          <cell r="BA890" t="str">
            <v>.</v>
          </cell>
        </row>
        <row r="891">
          <cell r="BA891" t="str">
            <v>.</v>
          </cell>
        </row>
        <row r="892">
          <cell r="BA892" t="str">
            <v>.</v>
          </cell>
        </row>
        <row r="893">
          <cell r="BA893" t="str">
            <v>.</v>
          </cell>
        </row>
        <row r="894">
          <cell r="BA894" t="str">
            <v>.</v>
          </cell>
        </row>
        <row r="895">
          <cell r="BA895" t="str">
            <v>.</v>
          </cell>
        </row>
        <row r="896">
          <cell r="BA896" t="str">
            <v>.</v>
          </cell>
        </row>
        <row r="897">
          <cell r="BA897" t="str">
            <v>.</v>
          </cell>
        </row>
        <row r="898">
          <cell r="BA898" t="str">
            <v>.</v>
          </cell>
        </row>
        <row r="899">
          <cell r="BA899" t="str">
            <v>.</v>
          </cell>
        </row>
        <row r="900">
          <cell r="BA900" t="str">
            <v>.</v>
          </cell>
        </row>
        <row r="901">
          <cell r="BA901" t="str">
            <v>.</v>
          </cell>
        </row>
        <row r="902">
          <cell r="BA902" t="str">
            <v>.</v>
          </cell>
        </row>
        <row r="903">
          <cell r="BA903" t="str">
            <v>.</v>
          </cell>
        </row>
        <row r="904">
          <cell r="BA904" t="str">
            <v>.</v>
          </cell>
        </row>
        <row r="905">
          <cell r="BA905" t="str">
            <v>.</v>
          </cell>
        </row>
        <row r="906">
          <cell r="BA906" t="str">
            <v>.</v>
          </cell>
        </row>
        <row r="907">
          <cell r="BA907" t="str">
            <v>.</v>
          </cell>
        </row>
        <row r="908">
          <cell r="BA908" t="str">
            <v>.</v>
          </cell>
        </row>
        <row r="909">
          <cell r="BA909" t="str">
            <v>.</v>
          </cell>
        </row>
        <row r="910">
          <cell r="BA910" t="str">
            <v>.</v>
          </cell>
        </row>
        <row r="911">
          <cell r="BA911" t="str">
            <v>.</v>
          </cell>
        </row>
        <row r="912">
          <cell r="BA912" t="str">
            <v>.</v>
          </cell>
        </row>
        <row r="913">
          <cell r="BA913" t="str">
            <v>.</v>
          </cell>
        </row>
        <row r="914">
          <cell r="BA914" t="str">
            <v>.</v>
          </cell>
        </row>
        <row r="915">
          <cell r="BA915" t="str">
            <v>.</v>
          </cell>
        </row>
        <row r="916">
          <cell r="BA916" t="str">
            <v>.</v>
          </cell>
        </row>
        <row r="917">
          <cell r="BA917" t="str">
            <v>.</v>
          </cell>
        </row>
        <row r="918">
          <cell r="BA918" t="str">
            <v>.</v>
          </cell>
        </row>
        <row r="919">
          <cell r="BA919" t="str">
            <v>.</v>
          </cell>
        </row>
        <row r="920">
          <cell r="BA920" t="str">
            <v>.</v>
          </cell>
        </row>
        <row r="921">
          <cell r="BA921" t="str">
            <v>.</v>
          </cell>
        </row>
        <row r="922">
          <cell r="BA922" t="str">
            <v>.</v>
          </cell>
        </row>
        <row r="923">
          <cell r="BA923" t="str">
            <v>.</v>
          </cell>
        </row>
        <row r="924">
          <cell r="BA924" t="str">
            <v>.</v>
          </cell>
        </row>
        <row r="925">
          <cell r="BA925" t="str">
            <v>.</v>
          </cell>
        </row>
        <row r="926">
          <cell r="BA926" t="str">
            <v>.</v>
          </cell>
        </row>
        <row r="927">
          <cell r="BA927" t="str">
            <v>.</v>
          </cell>
        </row>
        <row r="928">
          <cell r="BA928" t="str">
            <v>.</v>
          </cell>
        </row>
        <row r="929">
          <cell r="BA929" t="str">
            <v>.</v>
          </cell>
        </row>
        <row r="930">
          <cell r="BA930" t="str">
            <v>.</v>
          </cell>
        </row>
        <row r="931">
          <cell r="BA931" t="str">
            <v>.</v>
          </cell>
        </row>
        <row r="932">
          <cell r="BA932" t="str">
            <v>.</v>
          </cell>
        </row>
        <row r="933">
          <cell r="BA933" t="str">
            <v>.</v>
          </cell>
        </row>
        <row r="934">
          <cell r="BA934" t="str">
            <v>.</v>
          </cell>
        </row>
        <row r="935">
          <cell r="BA935" t="str">
            <v>.</v>
          </cell>
        </row>
        <row r="936">
          <cell r="BA936" t="str">
            <v>.</v>
          </cell>
        </row>
        <row r="937">
          <cell r="BA937" t="str">
            <v>.</v>
          </cell>
        </row>
        <row r="938">
          <cell r="BA938" t="str">
            <v>.</v>
          </cell>
        </row>
        <row r="939">
          <cell r="BA939" t="str">
            <v>.</v>
          </cell>
        </row>
        <row r="940">
          <cell r="BA940" t="str">
            <v>.</v>
          </cell>
        </row>
        <row r="941">
          <cell r="BA941" t="str">
            <v>.</v>
          </cell>
        </row>
        <row r="942">
          <cell r="BA942" t="str">
            <v>.</v>
          </cell>
        </row>
        <row r="943">
          <cell r="BA943" t="str">
            <v>.</v>
          </cell>
        </row>
        <row r="944">
          <cell r="BA944" t="str">
            <v>.</v>
          </cell>
        </row>
        <row r="945">
          <cell r="BA945" t="str">
            <v>.</v>
          </cell>
        </row>
        <row r="946">
          <cell r="BA946" t="str">
            <v>.</v>
          </cell>
        </row>
        <row r="947">
          <cell r="BA947" t="str">
            <v>.</v>
          </cell>
        </row>
        <row r="948">
          <cell r="BA948" t="str">
            <v>.</v>
          </cell>
        </row>
        <row r="949">
          <cell r="BA949" t="str">
            <v>.</v>
          </cell>
        </row>
        <row r="950">
          <cell r="BA950" t="str">
            <v>.</v>
          </cell>
        </row>
        <row r="951">
          <cell r="BA951" t="str">
            <v>.</v>
          </cell>
        </row>
        <row r="952">
          <cell r="BA952" t="str">
            <v>.</v>
          </cell>
        </row>
        <row r="953">
          <cell r="BA953" t="str">
            <v>.</v>
          </cell>
        </row>
        <row r="954">
          <cell r="BA954" t="str">
            <v>.</v>
          </cell>
        </row>
        <row r="955">
          <cell r="BA955" t="str">
            <v>.</v>
          </cell>
        </row>
        <row r="956">
          <cell r="BA956" t="str">
            <v>.</v>
          </cell>
        </row>
        <row r="957">
          <cell r="BA957" t="str">
            <v>.</v>
          </cell>
        </row>
        <row r="958">
          <cell r="BA958" t="str">
            <v>.</v>
          </cell>
        </row>
        <row r="959">
          <cell r="BA959" t="str">
            <v>.</v>
          </cell>
        </row>
        <row r="960">
          <cell r="BA960" t="str">
            <v>.</v>
          </cell>
        </row>
        <row r="961">
          <cell r="BA961" t="str">
            <v>.</v>
          </cell>
        </row>
        <row r="962">
          <cell r="BA962" t="str">
            <v>.</v>
          </cell>
        </row>
        <row r="963">
          <cell r="BA963" t="str">
            <v>.</v>
          </cell>
        </row>
        <row r="964">
          <cell r="BA964" t="str">
            <v>.</v>
          </cell>
        </row>
        <row r="965">
          <cell r="BA965" t="str">
            <v>.</v>
          </cell>
        </row>
        <row r="966">
          <cell r="BA966" t="str">
            <v>.</v>
          </cell>
        </row>
        <row r="967">
          <cell r="BA967" t="str">
            <v>.</v>
          </cell>
        </row>
        <row r="968">
          <cell r="BA968" t="str">
            <v>.</v>
          </cell>
        </row>
        <row r="969">
          <cell r="BA969" t="str">
            <v>.</v>
          </cell>
        </row>
        <row r="970">
          <cell r="BA970" t="str">
            <v>.</v>
          </cell>
        </row>
        <row r="971">
          <cell r="BA971" t="str">
            <v>.</v>
          </cell>
        </row>
        <row r="972">
          <cell r="BA972" t="str">
            <v>.</v>
          </cell>
        </row>
        <row r="973">
          <cell r="BA973" t="str">
            <v>.</v>
          </cell>
        </row>
        <row r="974">
          <cell r="BA974" t="str">
            <v>.</v>
          </cell>
        </row>
        <row r="975">
          <cell r="BA975" t="str">
            <v>.</v>
          </cell>
        </row>
        <row r="976">
          <cell r="BA976" t="str">
            <v>.</v>
          </cell>
        </row>
        <row r="977">
          <cell r="BA977" t="str">
            <v>.</v>
          </cell>
        </row>
        <row r="978">
          <cell r="BA978" t="str">
            <v>.</v>
          </cell>
        </row>
        <row r="979">
          <cell r="BA979" t="str">
            <v>.</v>
          </cell>
        </row>
        <row r="980">
          <cell r="BA980" t="str">
            <v>.</v>
          </cell>
        </row>
        <row r="981">
          <cell r="BA981" t="str">
            <v>.</v>
          </cell>
        </row>
        <row r="982">
          <cell r="BA982" t="str">
            <v>.</v>
          </cell>
        </row>
        <row r="983">
          <cell r="BA983" t="str">
            <v>.</v>
          </cell>
        </row>
        <row r="984">
          <cell r="BA984" t="str">
            <v>.</v>
          </cell>
        </row>
        <row r="985">
          <cell r="BA985" t="str">
            <v>.</v>
          </cell>
        </row>
        <row r="986">
          <cell r="BA986" t="str">
            <v>.</v>
          </cell>
        </row>
        <row r="987">
          <cell r="BA987" t="str">
            <v>.</v>
          </cell>
        </row>
        <row r="988">
          <cell r="BA988" t="str">
            <v>.</v>
          </cell>
        </row>
        <row r="989">
          <cell r="BA989" t="str">
            <v>.</v>
          </cell>
        </row>
        <row r="990">
          <cell r="BA990" t="str">
            <v>.</v>
          </cell>
        </row>
        <row r="991">
          <cell r="BA991" t="str">
            <v>.</v>
          </cell>
        </row>
        <row r="992">
          <cell r="BA992" t="str">
            <v>.</v>
          </cell>
        </row>
        <row r="993">
          <cell r="BA993" t="str">
            <v>.</v>
          </cell>
        </row>
        <row r="994">
          <cell r="BA994" t="str">
            <v>.</v>
          </cell>
        </row>
        <row r="995">
          <cell r="BA995" t="str">
            <v>.</v>
          </cell>
        </row>
        <row r="996">
          <cell r="BA996" t="str">
            <v>.</v>
          </cell>
        </row>
        <row r="997">
          <cell r="A997" t="str">
            <v>.</v>
          </cell>
          <cell r="B997" t="str">
            <v>.</v>
          </cell>
          <cell r="C997" t="str">
            <v>.</v>
          </cell>
          <cell r="D997" t="str">
            <v>.</v>
          </cell>
          <cell r="E997" t="str">
            <v>.</v>
          </cell>
          <cell r="F997" t="str">
            <v>.</v>
          </cell>
          <cell r="G997" t="str">
            <v>.</v>
          </cell>
          <cell r="H997" t="str">
            <v>.</v>
          </cell>
          <cell r="S997" t="str">
            <v>.</v>
          </cell>
          <cell r="T997" t="str">
            <v>.</v>
          </cell>
          <cell r="U997" t="str">
            <v>.</v>
          </cell>
          <cell r="V997" t="str">
            <v>.</v>
          </cell>
          <cell r="W997" t="str">
            <v>.</v>
          </cell>
          <cell r="X997" t="str">
            <v>.</v>
          </cell>
          <cell r="Y997" t="str">
            <v>.</v>
          </cell>
          <cell r="Z997" t="str">
            <v>.</v>
          </cell>
          <cell r="AA997" t="str">
            <v>.</v>
          </cell>
          <cell r="AB997" t="str">
            <v>.</v>
          </cell>
          <cell r="AC997" t="str">
            <v>.</v>
          </cell>
          <cell r="AD997" t="str">
            <v>.</v>
          </cell>
          <cell r="AE997" t="str">
            <v>.</v>
          </cell>
          <cell r="AF997" t="str">
            <v>.</v>
          </cell>
          <cell r="AG997" t="str">
            <v>.</v>
          </cell>
          <cell r="AH997" t="str">
            <v>.</v>
          </cell>
          <cell r="AI997" t="str">
            <v>.</v>
          </cell>
          <cell r="AJ997" t="str">
            <v>.</v>
          </cell>
          <cell r="AK997" t="str">
            <v>.</v>
          </cell>
          <cell r="AL997" t="str">
            <v>.</v>
          </cell>
          <cell r="AM997" t="str">
            <v>.</v>
          </cell>
          <cell r="AN997" t="str">
            <v>.</v>
          </cell>
          <cell r="AO997" t="str">
            <v>.</v>
          </cell>
          <cell r="AP997" t="str">
            <v>.</v>
          </cell>
          <cell r="AQ997" t="str">
            <v>.</v>
          </cell>
          <cell r="AR997" t="str">
            <v>.</v>
          </cell>
          <cell r="AS997" t="str">
            <v>.</v>
          </cell>
          <cell r="AT997" t="str">
            <v>.</v>
          </cell>
          <cell r="AU997" t="str">
            <v>.</v>
          </cell>
          <cell r="AV997" t="str">
            <v>.</v>
          </cell>
          <cell r="AW997" t="str">
            <v>.</v>
          </cell>
          <cell r="AX997" t="str">
            <v>.</v>
          </cell>
          <cell r="AY997" t="str">
            <v>.</v>
          </cell>
          <cell r="AZ997" t="str">
            <v>.</v>
          </cell>
          <cell r="BA997" t="str">
            <v>.</v>
          </cell>
        </row>
      </sheetData>
      <sheetData sheetId="2">
        <row r="1">
          <cell r="Y1" t="str">
            <v>SmartCharts</v>
          </cell>
          <cell r="BH1" t="str">
            <v>.</v>
          </cell>
        </row>
        <row r="2">
          <cell r="BH2" t="str">
            <v>.</v>
          </cell>
        </row>
        <row r="3">
          <cell r="BH3" t="str">
            <v>.</v>
          </cell>
        </row>
        <row r="6">
          <cell r="C6" t="str">
            <v>Input starting data point here:</v>
          </cell>
        </row>
        <row r="7">
          <cell r="C7" t="str">
            <v>2010E</v>
          </cell>
          <cell r="D7">
            <v>67.2</v>
          </cell>
        </row>
        <row r="8">
          <cell r="M8" t="str">
            <v>inv series</v>
          </cell>
          <cell r="P8" t="str">
            <v>clean labels</v>
          </cell>
        </row>
        <row r="9">
          <cell r="M9" t="str">
            <v>for labels</v>
          </cell>
        </row>
        <row r="10">
          <cell r="C10" t="str">
            <v>Input increments here:</v>
          </cell>
          <cell r="G10">
            <v>3</v>
          </cell>
          <cell r="H10" t="str">
            <v>Invisible</v>
          </cell>
          <cell r="I10" t="str">
            <v>Final</v>
          </cell>
          <cell r="J10" t="str">
            <v>Minus</v>
          </cell>
          <cell r="K10" t="str">
            <v>Plus</v>
          </cell>
          <cell r="L10" t="str">
            <v>Initial</v>
          </cell>
          <cell r="M10" t="str">
            <v>inside1</v>
          </cell>
          <cell r="N10" t="str">
            <v>inside2</v>
          </cell>
          <cell r="O10" t="str">
            <v>outside</v>
          </cell>
          <cell r="P10" t="str">
            <v>labfinal</v>
          </cell>
          <cell r="Q10" t="str">
            <v>labminus</v>
          </cell>
          <cell r="R10" t="str">
            <v>labplus</v>
          </cell>
          <cell r="S10" t="str">
            <v>labinitial</v>
          </cell>
          <cell r="T10" t="str">
            <v>labinside1</v>
          </cell>
          <cell r="U10" t="str">
            <v>labinside2</v>
          </cell>
        </row>
        <row r="11">
          <cell r="H11">
            <v>0</v>
          </cell>
        </row>
        <row r="12">
          <cell r="L12">
            <v>67.2</v>
          </cell>
          <cell r="M12">
            <v>0</v>
          </cell>
          <cell r="N12">
            <v>0</v>
          </cell>
          <cell r="O12">
            <v>0</v>
          </cell>
          <cell r="P12" t="str">
            <v/>
          </cell>
          <cell r="Q12" t="str">
            <v/>
          </cell>
          <cell r="R12" t="str">
            <v/>
          </cell>
          <cell r="S12">
            <v>67.2</v>
          </cell>
          <cell r="T12" t="str">
            <v>2010E</v>
          </cell>
        </row>
        <row r="13">
          <cell r="C13" t="str">
            <v>In-Line Products</v>
          </cell>
          <cell r="D13">
            <v>5.8</v>
          </cell>
          <cell r="G13">
            <v>1</v>
          </cell>
          <cell r="H13">
            <v>67.2</v>
          </cell>
          <cell r="I13" t="str">
            <v/>
          </cell>
          <cell r="J13">
            <v>0</v>
          </cell>
          <cell r="K13">
            <v>5.8</v>
          </cell>
          <cell r="M13">
            <v>0</v>
          </cell>
          <cell r="N13">
            <v>0</v>
          </cell>
          <cell r="O13">
            <v>0</v>
          </cell>
          <cell r="P13" t="str">
            <v/>
          </cell>
          <cell r="Q13" t="str">
            <v/>
          </cell>
          <cell r="R13">
            <v>5.8</v>
          </cell>
          <cell r="S13" t="str">
            <v/>
          </cell>
          <cell r="T13" t="str">
            <v/>
          </cell>
          <cell r="U13" t="str">
            <v>In-Line Products</v>
          </cell>
        </row>
        <row r="14">
          <cell r="C14" t="str">
            <v>Pipeline</v>
          </cell>
          <cell r="D14">
            <v>6.2</v>
          </cell>
          <cell r="G14">
            <v>2</v>
          </cell>
          <cell r="H14">
            <v>73</v>
          </cell>
          <cell r="I14" t="str">
            <v/>
          </cell>
          <cell r="J14">
            <v>0</v>
          </cell>
          <cell r="K14">
            <v>6.2</v>
          </cell>
          <cell r="M14">
            <v>0</v>
          </cell>
          <cell r="N14">
            <v>0</v>
          </cell>
          <cell r="O14">
            <v>0</v>
          </cell>
          <cell r="P14" t="str">
            <v/>
          </cell>
          <cell r="Q14" t="str">
            <v/>
          </cell>
          <cell r="R14">
            <v>6.2</v>
          </cell>
          <cell r="S14" t="str">
            <v/>
          </cell>
          <cell r="T14" t="str">
            <v/>
          </cell>
          <cell r="U14" t="str">
            <v>Pipeline</v>
          </cell>
        </row>
        <row r="15">
          <cell r="C15" t="str">
            <v>Expirations</v>
          </cell>
          <cell r="D15">
            <v>-19.2</v>
          </cell>
          <cell r="G15">
            <v>3</v>
          </cell>
          <cell r="H15">
            <v>60</v>
          </cell>
          <cell r="I15" t="str">
            <v/>
          </cell>
          <cell r="J15">
            <v>19.2</v>
          </cell>
          <cell r="K15">
            <v>0</v>
          </cell>
          <cell r="M15">
            <v>0</v>
          </cell>
          <cell r="N15">
            <v>0</v>
          </cell>
          <cell r="O15">
            <v>0</v>
          </cell>
          <cell r="P15" t="str">
            <v/>
          </cell>
          <cell r="Q15">
            <v>-19.2</v>
          </cell>
          <cell r="R15" t="str">
            <v/>
          </cell>
          <cell r="S15" t="str">
            <v/>
          </cell>
          <cell r="T15" t="str">
            <v/>
          </cell>
          <cell r="U15" t="str">
            <v>Expirations</v>
          </cell>
        </row>
        <row r="16">
          <cell r="G16">
            <v>4</v>
          </cell>
          <cell r="H16" t="str">
            <v/>
          </cell>
          <cell r="I16">
            <v>60</v>
          </cell>
          <cell r="J16">
            <v>0</v>
          </cell>
          <cell r="K16">
            <v>0</v>
          </cell>
          <cell r="M16">
            <v>0</v>
          </cell>
          <cell r="N16">
            <v>0</v>
          </cell>
          <cell r="O16">
            <v>0</v>
          </cell>
          <cell r="P16">
            <v>60</v>
          </cell>
          <cell r="Q16" t="str">
            <v/>
          </cell>
          <cell r="R16" t="str">
            <v/>
          </cell>
          <cell r="S16" t="str">
            <v/>
          </cell>
          <cell r="T16" t="str">
            <v>2015E</v>
          </cell>
          <cell r="U16" t="str">
            <v/>
          </cell>
        </row>
        <row r="17">
          <cell r="G17">
            <v>5</v>
          </cell>
          <cell r="H17" t="str">
            <v/>
          </cell>
          <cell r="I17" t="str">
            <v/>
          </cell>
          <cell r="J17">
            <v>0</v>
          </cell>
          <cell r="K17">
            <v>0</v>
          </cell>
          <cell r="M17">
            <v>0</v>
          </cell>
          <cell r="N17">
            <v>0</v>
          </cell>
          <cell r="O17">
            <v>0</v>
          </cell>
          <cell r="P17" t="str">
            <v/>
          </cell>
          <cell r="Q17" t="str">
            <v/>
          </cell>
          <cell r="R17" t="str">
            <v/>
          </cell>
          <cell r="S17" t="str">
            <v/>
          </cell>
          <cell r="T17" t="str">
            <v/>
          </cell>
          <cell r="U17" t="str">
            <v/>
          </cell>
        </row>
        <row r="18">
          <cell r="G18">
            <v>6</v>
          </cell>
          <cell r="H18" t="str">
            <v/>
          </cell>
          <cell r="I18" t="str">
            <v/>
          </cell>
          <cell r="J18">
            <v>0</v>
          </cell>
          <cell r="K18">
            <v>0</v>
          </cell>
          <cell r="M18">
            <v>0</v>
          </cell>
          <cell r="N18">
            <v>0</v>
          </cell>
          <cell r="O18">
            <v>0</v>
          </cell>
          <cell r="P18" t="str">
            <v/>
          </cell>
          <cell r="Q18" t="str">
            <v/>
          </cell>
          <cell r="R18" t="str">
            <v/>
          </cell>
          <cell r="S18" t="str">
            <v/>
          </cell>
          <cell r="T18" t="str">
            <v/>
          </cell>
          <cell r="U18" t="str">
            <v/>
          </cell>
        </row>
        <row r="19">
          <cell r="G19">
            <v>7</v>
          </cell>
          <cell r="H19" t="str">
            <v/>
          </cell>
          <cell r="I19" t="str">
            <v/>
          </cell>
          <cell r="J19">
            <v>0</v>
          </cell>
          <cell r="K19">
            <v>0</v>
          </cell>
          <cell r="M19">
            <v>0</v>
          </cell>
          <cell r="N19">
            <v>0</v>
          </cell>
          <cell r="O19">
            <v>0</v>
          </cell>
          <cell r="P19" t="str">
            <v/>
          </cell>
          <cell r="Q19" t="str">
            <v/>
          </cell>
          <cell r="R19" t="str">
            <v/>
          </cell>
          <cell r="S19" t="str">
            <v/>
          </cell>
          <cell r="T19" t="str">
            <v/>
          </cell>
          <cell r="U19" t="str">
            <v/>
          </cell>
        </row>
        <row r="20">
          <cell r="G20">
            <v>8</v>
          </cell>
          <cell r="H20" t="str">
            <v/>
          </cell>
          <cell r="I20" t="str">
            <v/>
          </cell>
          <cell r="J20">
            <v>0</v>
          </cell>
          <cell r="K20">
            <v>0</v>
          </cell>
          <cell r="M20">
            <v>0</v>
          </cell>
          <cell r="N20">
            <v>0</v>
          </cell>
          <cell r="O20">
            <v>0</v>
          </cell>
          <cell r="P20" t="str">
            <v/>
          </cell>
          <cell r="Q20" t="str">
            <v/>
          </cell>
          <cell r="R20" t="str">
            <v/>
          </cell>
          <cell r="S20" t="str">
            <v/>
          </cell>
          <cell r="T20" t="str">
            <v/>
          </cell>
          <cell r="U20" t="str">
            <v/>
          </cell>
        </row>
        <row r="21">
          <cell r="G21">
            <v>9</v>
          </cell>
          <cell r="H21" t="str">
            <v/>
          </cell>
          <cell r="I21" t="str">
            <v/>
          </cell>
          <cell r="J21">
            <v>0</v>
          </cell>
          <cell r="K21">
            <v>0</v>
          </cell>
          <cell r="M21">
            <v>0</v>
          </cell>
          <cell r="N21">
            <v>0</v>
          </cell>
          <cell r="O21">
            <v>0</v>
          </cell>
          <cell r="P21" t="str">
            <v/>
          </cell>
          <cell r="Q21" t="str">
            <v/>
          </cell>
          <cell r="R21" t="str">
            <v/>
          </cell>
          <cell r="S21" t="str">
            <v/>
          </cell>
          <cell r="T21" t="str">
            <v/>
          </cell>
          <cell r="U21" t="str">
            <v/>
          </cell>
        </row>
        <row r="22">
          <cell r="G22">
            <v>10</v>
          </cell>
          <cell r="H22" t="str">
            <v/>
          </cell>
          <cell r="I22" t="str">
            <v/>
          </cell>
          <cell r="J22">
            <v>0</v>
          </cell>
          <cell r="K22">
            <v>0</v>
          </cell>
          <cell r="M22">
            <v>0</v>
          </cell>
          <cell r="N22">
            <v>0</v>
          </cell>
          <cell r="O22">
            <v>0</v>
          </cell>
          <cell r="P22" t="str">
            <v/>
          </cell>
          <cell r="Q22" t="str">
            <v/>
          </cell>
          <cell r="R22" t="str">
            <v/>
          </cell>
          <cell r="S22" t="str">
            <v/>
          </cell>
          <cell r="T22" t="str">
            <v/>
          </cell>
          <cell r="U22" t="str">
            <v/>
          </cell>
        </row>
        <row r="23">
          <cell r="G23">
            <v>11</v>
          </cell>
          <cell r="H23" t="str">
            <v/>
          </cell>
          <cell r="I23" t="str">
            <v/>
          </cell>
          <cell r="M23">
            <v>0</v>
          </cell>
          <cell r="N23">
            <v>0</v>
          </cell>
          <cell r="O23">
            <v>0</v>
          </cell>
          <cell r="P23" t="str">
            <v/>
          </cell>
          <cell r="Q23" t="str">
            <v/>
          </cell>
          <cell r="R23" t="str">
            <v/>
          </cell>
          <cell r="S23" t="str">
            <v/>
          </cell>
          <cell r="T23" t="str">
            <v/>
          </cell>
          <cell r="U23" t="str">
            <v/>
          </cell>
        </row>
        <row r="24">
          <cell r="G24">
            <v>12</v>
          </cell>
          <cell r="H24">
            <v>0</v>
          </cell>
          <cell r="I24" t="str">
            <v/>
          </cell>
          <cell r="M24">
            <v>0</v>
          </cell>
          <cell r="N24">
            <v>0</v>
          </cell>
          <cell r="O24">
            <v>0</v>
          </cell>
          <cell r="P24" t="str">
            <v/>
          </cell>
          <cell r="Q24" t="str">
            <v/>
          </cell>
          <cell r="R24" t="str">
            <v/>
          </cell>
          <cell r="S24" t="str">
            <v/>
          </cell>
          <cell r="T24" t="str">
            <v/>
          </cell>
          <cell r="U24" t="str">
            <v/>
          </cell>
        </row>
        <row r="25">
          <cell r="H25" t="str">
            <v>net chg</v>
          </cell>
          <cell r="I25">
            <v>-7.2</v>
          </cell>
        </row>
        <row r="27">
          <cell r="C27" t="str">
            <v>Input label for end point here:</v>
          </cell>
        </row>
        <row r="28">
          <cell r="C28" t="str">
            <v>2015E</v>
          </cell>
        </row>
        <row r="30">
          <cell r="C30" t="str">
            <v xml:space="preserve">End data value 
</v>
          </cell>
          <cell r="D30" t="str">
            <v/>
          </cell>
        </row>
        <row r="31">
          <cell r="C31" t="str">
            <v>is calculated</v>
          </cell>
        </row>
        <row r="32">
          <cell r="C32" t="str">
            <v>automatically</v>
          </cell>
        </row>
        <row r="1002">
          <cell r="A1002" t="str">
            <v>.</v>
          </cell>
          <cell r="B1002" t="str">
            <v>.</v>
          </cell>
          <cell r="C1002" t="str">
            <v>.</v>
          </cell>
        </row>
      </sheetData>
      <sheetData sheetId="3">
        <row r="1">
          <cell r="S1" t="str">
            <v>SmartCharts</v>
          </cell>
          <cell r="BB1" t="str">
            <v>.</v>
          </cell>
        </row>
        <row r="2">
          <cell r="BB2" t="str">
            <v>.</v>
          </cell>
        </row>
        <row r="3">
          <cell r="BB3" t="str">
            <v>.</v>
          </cell>
        </row>
        <row r="4">
          <cell r="BB4" t="str">
            <v>.</v>
          </cell>
        </row>
        <row r="5">
          <cell r="C5" t="str">
            <v>Define value axis here:</v>
          </cell>
        </row>
        <row r="6">
          <cell r="C6" t="str">
            <v>PFE/WYE Revenue Contribution per Segment</v>
          </cell>
        </row>
        <row r="10">
          <cell r="C10" t="str">
            <v>Input your data here:</v>
          </cell>
          <cell r="BB10" t="str">
            <v>.</v>
          </cell>
        </row>
        <row r="11">
          <cell r="D11" t="str">
            <v>Other</v>
          </cell>
          <cell r="E11" t="str">
            <v>Nutritionals</v>
          </cell>
          <cell r="F11" t="str">
            <v>Animal</v>
          </cell>
          <cell r="G11" t="str">
            <v>CHC</v>
          </cell>
          <cell r="H11" t="str">
            <v>Biologic</v>
          </cell>
          <cell r="I11" t="str">
            <v>Traditional</v>
          </cell>
          <cell r="BB11" t="str">
            <v>.</v>
          </cell>
        </row>
        <row r="12">
          <cell r="C12">
            <v>2010</v>
          </cell>
          <cell r="D12">
            <v>7.3922836848778701E-3</v>
          </cell>
          <cell r="E12">
            <v>3.9694505637046879E-2</v>
          </cell>
          <cell r="F12">
            <v>4.9542591862029917E-2</v>
          </cell>
          <cell r="G12">
            <v>4.5134290951814274E-2</v>
          </cell>
          <cell r="H12">
            <v>0.15079210822131184</v>
          </cell>
          <cell r="I12">
            <v>0.70744421964291904</v>
          </cell>
          <cell r="BB12" t="str">
            <v>.</v>
          </cell>
        </row>
        <row r="13">
          <cell r="C13">
            <v>2011</v>
          </cell>
          <cell r="D13">
            <v>7.8621358780429015E-3</v>
          </cell>
          <cell r="E13">
            <v>4.3501848606407156E-2</v>
          </cell>
          <cell r="F13">
            <v>5.2892461739374758E-2</v>
          </cell>
          <cell r="G13">
            <v>4.7788394858716006E-2</v>
          </cell>
          <cell r="H13">
            <v>0.16335309234331286</v>
          </cell>
          <cell r="I13">
            <v>0.68460206657414613</v>
          </cell>
          <cell r="BB13" t="str">
            <v>.</v>
          </cell>
        </row>
        <row r="14">
          <cell r="C14">
            <v>2012</v>
          </cell>
          <cell r="D14">
            <v>9.0894156599119914E-3</v>
          </cell>
          <cell r="E14">
            <v>5.1809888445371488E-2</v>
          </cell>
          <cell r="F14">
            <v>6.1361732478238944E-2</v>
          </cell>
          <cell r="G14">
            <v>5.4948172167998723E-2</v>
          </cell>
          <cell r="H14">
            <v>0.2064642573378605</v>
          </cell>
          <cell r="I14">
            <v>0.61632653391061831</v>
          </cell>
          <cell r="BB14" t="str">
            <v>.</v>
          </cell>
        </row>
        <row r="15">
          <cell r="C15">
            <v>2013</v>
          </cell>
          <cell r="D15">
            <v>9.3639207719231066E-3</v>
          </cell>
          <cell r="E15">
            <v>5.4972084194039497E-2</v>
          </cell>
          <cell r="F15">
            <v>6.3414379086380118E-2</v>
          </cell>
          <cell r="G15">
            <v>5.6314339157607203E-2</v>
          </cell>
          <cell r="H15">
            <v>0.22546494243949647</v>
          </cell>
          <cell r="I15">
            <v>0.59047033435055385</v>
          </cell>
          <cell r="BB15" t="str">
            <v>.</v>
          </cell>
        </row>
        <row r="16">
          <cell r="C16">
            <v>2014</v>
          </cell>
          <cell r="D16">
            <v>9.6393304601885728E-3</v>
          </cell>
          <cell r="E16">
            <v>5.826952701183119E-2</v>
          </cell>
          <cell r="F16">
            <v>6.5465107357308594E-2</v>
          </cell>
          <cell r="G16">
            <v>5.766814515501012E-2</v>
          </cell>
          <cell r="H16">
            <v>0.23925277361350805</v>
          </cell>
          <cell r="I16">
            <v>0.56970511640215349</v>
          </cell>
          <cell r="BB16" t="str">
            <v>.</v>
          </cell>
        </row>
        <row r="17">
          <cell r="C17">
            <v>2015</v>
          </cell>
          <cell r="D17">
            <v>9.9799761432740278E-3</v>
          </cell>
          <cell r="E17">
            <v>6.2107028447675697E-2</v>
          </cell>
          <cell r="F17">
            <v>6.7950841022483971E-2</v>
          </cell>
          <cell r="G17">
            <v>5.9392717383289405E-2</v>
          </cell>
          <cell r="H17">
            <v>0.25421323458932704</v>
          </cell>
          <cell r="I17">
            <v>0.54635620241394955</v>
          </cell>
          <cell r="BB17" t="str">
            <v>.</v>
          </cell>
        </row>
        <row r="18">
          <cell r="BB18" t="str">
            <v>.</v>
          </cell>
        </row>
        <row r="20">
          <cell r="BB20" t="str">
            <v>.</v>
          </cell>
        </row>
        <row r="21">
          <cell r="BB21" t="str">
            <v>.</v>
          </cell>
        </row>
        <row r="22">
          <cell r="BB22" t="str">
            <v>.</v>
          </cell>
        </row>
        <row r="23">
          <cell r="BB23" t="str">
            <v>.</v>
          </cell>
        </row>
        <row r="24">
          <cell r="BB24" t="str">
            <v>.</v>
          </cell>
        </row>
        <row r="25">
          <cell r="BB25" t="str">
            <v>.</v>
          </cell>
        </row>
        <row r="26">
          <cell r="BB26" t="str">
            <v>.</v>
          </cell>
        </row>
        <row r="27">
          <cell r="BB27" t="str">
            <v>.</v>
          </cell>
        </row>
        <row r="28">
          <cell r="BB28" t="str">
            <v>.</v>
          </cell>
        </row>
        <row r="29">
          <cell r="BB29" t="str">
            <v>.</v>
          </cell>
        </row>
        <row r="30">
          <cell r="BB30" t="str">
            <v>.</v>
          </cell>
        </row>
        <row r="31">
          <cell r="BB31" t="str">
            <v>.</v>
          </cell>
        </row>
        <row r="32">
          <cell r="BB32" t="str">
            <v>.</v>
          </cell>
        </row>
        <row r="33">
          <cell r="BB33" t="str">
            <v>.</v>
          </cell>
        </row>
        <row r="34">
          <cell r="BB34" t="str">
            <v>.</v>
          </cell>
        </row>
        <row r="35">
          <cell r="BB35" t="str">
            <v>.</v>
          </cell>
        </row>
        <row r="36">
          <cell r="BB36" t="str">
            <v>.</v>
          </cell>
        </row>
        <row r="37">
          <cell r="K37" t="str">
            <v>Do not change the width of the exhibit or font sizes (they are optimized for export to Word).</v>
          </cell>
          <cell r="BB37" t="str">
            <v>.</v>
          </cell>
        </row>
        <row r="38">
          <cell r="BB38" t="str">
            <v>.</v>
          </cell>
        </row>
        <row r="39">
          <cell r="K39" t="str">
            <v>Do not delete any rows or columns (some gray cells are used for calculations).</v>
          </cell>
          <cell r="BB39" t="str">
            <v>.</v>
          </cell>
        </row>
        <row r="40">
          <cell r="BB40" t="str">
            <v>.</v>
          </cell>
        </row>
        <row r="41">
          <cell r="BB41" t="str">
            <v>.</v>
          </cell>
        </row>
        <row r="42">
          <cell r="BB42" t="str">
            <v>.</v>
          </cell>
        </row>
        <row r="43">
          <cell r="BB43" t="str">
            <v>.</v>
          </cell>
        </row>
        <row r="44">
          <cell r="BB44" t="str">
            <v>.</v>
          </cell>
        </row>
        <row r="45">
          <cell r="BB45" t="str">
            <v>.</v>
          </cell>
        </row>
        <row r="46">
          <cell r="BB46" t="str">
            <v>.</v>
          </cell>
        </row>
        <row r="47">
          <cell r="BB47" t="str">
            <v>.</v>
          </cell>
        </row>
        <row r="48">
          <cell r="BB48" t="str">
            <v>.</v>
          </cell>
        </row>
        <row r="49">
          <cell r="BB49" t="str">
            <v>.</v>
          </cell>
        </row>
        <row r="50">
          <cell r="BB50" t="str">
            <v>.</v>
          </cell>
        </row>
        <row r="51">
          <cell r="BB51" t="str">
            <v>.</v>
          </cell>
        </row>
        <row r="52">
          <cell r="BB52" t="str">
            <v>.</v>
          </cell>
        </row>
        <row r="53">
          <cell r="BB53" t="str">
            <v>.</v>
          </cell>
        </row>
        <row r="54">
          <cell r="BB54" t="str">
            <v>.</v>
          </cell>
        </row>
        <row r="55">
          <cell r="BB55" t="str">
            <v>.</v>
          </cell>
        </row>
        <row r="56">
          <cell r="BB56" t="str">
            <v>.</v>
          </cell>
        </row>
        <row r="57">
          <cell r="BB57" t="str">
            <v>.</v>
          </cell>
        </row>
        <row r="58">
          <cell r="BB58" t="str">
            <v>.</v>
          </cell>
        </row>
        <row r="59">
          <cell r="BB59" t="str">
            <v>.</v>
          </cell>
        </row>
        <row r="60">
          <cell r="BB60" t="str">
            <v>.</v>
          </cell>
        </row>
        <row r="61">
          <cell r="BB61" t="str">
            <v>.</v>
          </cell>
        </row>
        <row r="62">
          <cell r="BB62" t="str">
            <v>.</v>
          </cell>
        </row>
        <row r="63">
          <cell r="BB63" t="str">
            <v>.</v>
          </cell>
        </row>
        <row r="64">
          <cell r="BB64" t="str">
            <v>.</v>
          </cell>
        </row>
        <row r="65">
          <cell r="BB65" t="str">
            <v>.</v>
          </cell>
        </row>
        <row r="66">
          <cell r="BB66" t="str">
            <v>.</v>
          </cell>
        </row>
        <row r="67">
          <cell r="BB67" t="str">
            <v>.</v>
          </cell>
        </row>
        <row r="68">
          <cell r="BB68" t="str">
            <v>.</v>
          </cell>
        </row>
        <row r="69">
          <cell r="BB69" t="str">
            <v>.</v>
          </cell>
        </row>
        <row r="70">
          <cell r="BB70" t="str">
            <v>.</v>
          </cell>
        </row>
        <row r="71">
          <cell r="BB71" t="str">
            <v>.</v>
          </cell>
        </row>
        <row r="72">
          <cell r="BB72" t="str">
            <v>.</v>
          </cell>
        </row>
        <row r="73">
          <cell r="BB73" t="str">
            <v>.</v>
          </cell>
        </row>
        <row r="74">
          <cell r="BB74" t="str">
            <v>.</v>
          </cell>
        </row>
        <row r="75">
          <cell r="BB75" t="str">
            <v>.</v>
          </cell>
        </row>
        <row r="76">
          <cell r="BB76" t="str">
            <v>.</v>
          </cell>
        </row>
        <row r="77">
          <cell r="BB77" t="str">
            <v>.</v>
          </cell>
        </row>
        <row r="78">
          <cell r="BB78" t="str">
            <v>.</v>
          </cell>
        </row>
        <row r="79">
          <cell r="BB79" t="str">
            <v>.</v>
          </cell>
        </row>
        <row r="80">
          <cell r="BB80" t="str">
            <v>.</v>
          </cell>
        </row>
        <row r="81">
          <cell r="BB81" t="str">
            <v>.</v>
          </cell>
        </row>
        <row r="82">
          <cell r="BB82" t="str">
            <v>.</v>
          </cell>
        </row>
        <row r="83">
          <cell r="BB83" t="str">
            <v>.</v>
          </cell>
        </row>
        <row r="84">
          <cell r="BB84" t="str">
            <v>.</v>
          </cell>
        </row>
        <row r="85">
          <cell r="BB85" t="str">
            <v>.</v>
          </cell>
        </row>
        <row r="86">
          <cell r="BB86" t="str">
            <v>.</v>
          </cell>
        </row>
        <row r="87">
          <cell r="BB87" t="str">
            <v>.</v>
          </cell>
        </row>
        <row r="88">
          <cell r="BB88" t="str">
            <v>.</v>
          </cell>
        </row>
        <row r="89">
          <cell r="BB89" t="str">
            <v>.</v>
          </cell>
        </row>
        <row r="90">
          <cell r="BB90" t="str">
            <v>.</v>
          </cell>
        </row>
        <row r="91">
          <cell r="BB91" t="str">
            <v>.</v>
          </cell>
        </row>
        <row r="92">
          <cell r="BB92" t="str">
            <v>.</v>
          </cell>
        </row>
        <row r="93">
          <cell r="BB93" t="str">
            <v>.</v>
          </cell>
        </row>
        <row r="94">
          <cell r="BB94" t="str">
            <v>.</v>
          </cell>
        </row>
        <row r="95">
          <cell r="BB95" t="str">
            <v>.</v>
          </cell>
        </row>
        <row r="96">
          <cell r="BB96" t="str">
            <v>.</v>
          </cell>
        </row>
        <row r="97">
          <cell r="BB97" t="str">
            <v>.</v>
          </cell>
        </row>
        <row r="98">
          <cell r="BB98" t="str">
            <v>.</v>
          </cell>
        </row>
        <row r="99">
          <cell r="BB99" t="str">
            <v>.</v>
          </cell>
        </row>
        <row r="100">
          <cell r="BB100" t="str">
            <v>.</v>
          </cell>
        </row>
        <row r="101">
          <cell r="BB101" t="str">
            <v>.</v>
          </cell>
        </row>
        <row r="102">
          <cell r="BB102" t="str">
            <v>.</v>
          </cell>
        </row>
        <row r="103">
          <cell r="BB103" t="str">
            <v>.</v>
          </cell>
        </row>
        <row r="104">
          <cell r="BB104" t="str">
            <v>.</v>
          </cell>
        </row>
        <row r="105">
          <cell r="BB105" t="str">
            <v>.</v>
          </cell>
        </row>
        <row r="106">
          <cell r="BB106" t="str">
            <v>.</v>
          </cell>
        </row>
        <row r="107">
          <cell r="BB107" t="str">
            <v>.</v>
          </cell>
        </row>
        <row r="108">
          <cell r="BB108" t="str">
            <v>.</v>
          </cell>
        </row>
        <row r="109">
          <cell r="BB109" t="str">
            <v>.</v>
          </cell>
        </row>
        <row r="110">
          <cell r="BB110" t="str">
            <v>.</v>
          </cell>
        </row>
        <row r="111">
          <cell r="BB111" t="str">
            <v>.</v>
          </cell>
        </row>
        <row r="112">
          <cell r="BB112" t="str">
            <v>.</v>
          </cell>
        </row>
        <row r="113">
          <cell r="BB113" t="str">
            <v>.</v>
          </cell>
        </row>
        <row r="114">
          <cell r="BB114" t="str">
            <v>.</v>
          </cell>
        </row>
        <row r="115">
          <cell r="BB115" t="str">
            <v>.</v>
          </cell>
        </row>
        <row r="116">
          <cell r="BB116" t="str">
            <v>.</v>
          </cell>
        </row>
        <row r="117">
          <cell r="BB117" t="str">
            <v>.</v>
          </cell>
        </row>
        <row r="118">
          <cell r="BB118" t="str">
            <v>.</v>
          </cell>
        </row>
        <row r="119">
          <cell r="BB119" t="str">
            <v>.</v>
          </cell>
        </row>
        <row r="120">
          <cell r="BB120" t="str">
            <v>.</v>
          </cell>
        </row>
        <row r="121">
          <cell r="BB121" t="str">
            <v>.</v>
          </cell>
        </row>
        <row r="122">
          <cell r="BB122" t="str">
            <v>.</v>
          </cell>
        </row>
        <row r="123">
          <cell r="BB123" t="str">
            <v>.</v>
          </cell>
        </row>
        <row r="124">
          <cell r="BB124" t="str">
            <v>.</v>
          </cell>
        </row>
        <row r="125">
          <cell r="BB125" t="str">
            <v>.</v>
          </cell>
        </row>
        <row r="126">
          <cell r="BB126" t="str">
            <v>.</v>
          </cell>
        </row>
        <row r="127">
          <cell r="BB127" t="str">
            <v>.</v>
          </cell>
        </row>
        <row r="128">
          <cell r="BB128" t="str">
            <v>.</v>
          </cell>
        </row>
        <row r="129">
          <cell r="BB129" t="str">
            <v>.</v>
          </cell>
        </row>
        <row r="130">
          <cell r="BB130" t="str">
            <v>.</v>
          </cell>
        </row>
        <row r="131">
          <cell r="BB131" t="str">
            <v>.</v>
          </cell>
        </row>
        <row r="132">
          <cell r="BB132" t="str">
            <v>.</v>
          </cell>
        </row>
        <row r="133">
          <cell r="BB133" t="str">
            <v>.</v>
          </cell>
        </row>
        <row r="134">
          <cell r="BB134" t="str">
            <v>.</v>
          </cell>
        </row>
        <row r="135">
          <cell r="BB135" t="str">
            <v>.</v>
          </cell>
        </row>
        <row r="136">
          <cell r="BB136" t="str">
            <v>.</v>
          </cell>
        </row>
        <row r="137">
          <cell r="BB137" t="str">
            <v>.</v>
          </cell>
        </row>
        <row r="138">
          <cell r="BB138" t="str">
            <v>.</v>
          </cell>
        </row>
        <row r="139">
          <cell r="BB139" t="str">
            <v>.</v>
          </cell>
        </row>
        <row r="140">
          <cell r="BB140" t="str">
            <v>.</v>
          </cell>
        </row>
        <row r="141">
          <cell r="BB141" t="str">
            <v>.</v>
          </cell>
        </row>
        <row r="142">
          <cell r="BB142" t="str">
            <v>.</v>
          </cell>
        </row>
        <row r="143">
          <cell r="BB143" t="str">
            <v>.</v>
          </cell>
        </row>
        <row r="144">
          <cell r="BB144" t="str">
            <v>.</v>
          </cell>
        </row>
        <row r="145">
          <cell r="BB145" t="str">
            <v>.</v>
          </cell>
        </row>
        <row r="146">
          <cell r="BB146" t="str">
            <v>.</v>
          </cell>
        </row>
        <row r="147">
          <cell r="BB147" t="str">
            <v>.</v>
          </cell>
        </row>
        <row r="148">
          <cell r="BB148" t="str">
            <v>.</v>
          </cell>
        </row>
        <row r="149">
          <cell r="BB149" t="str">
            <v>.</v>
          </cell>
        </row>
        <row r="150">
          <cell r="BB150" t="str">
            <v>.</v>
          </cell>
        </row>
        <row r="151">
          <cell r="BB151" t="str">
            <v>.</v>
          </cell>
        </row>
        <row r="152">
          <cell r="BB152" t="str">
            <v>.</v>
          </cell>
        </row>
        <row r="153">
          <cell r="BB153" t="str">
            <v>.</v>
          </cell>
        </row>
        <row r="154">
          <cell r="BB154" t="str">
            <v>.</v>
          </cell>
        </row>
        <row r="155">
          <cell r="BB155" t="str">
            <v>.</v>
          </cell>
        </row>
        <row r="156">
          <cell r="BB156" t="str">
            <v>.</v>
          </cell>
        </row>
        <row r="157">
          <cell r="BB157" t="str">
            <v>.</v>
          </cell>
        </row>
        <row r="158">
          <cell r="BB158" t="str">
            <v>.</v>
          </cell>
        </row>
        <row r="159">
          <cell r="BB159" t="str">
            <v>.</v>
          </cell>
        </row>
        <row r="160">
          <cell r="BB160" t="str">
            <v>.</v>
          </cell>
        </row>
        <row r="161">
          <cell r="BB161" t="str">
            <v>.</v>
          </cell>
        </row>
        <row r="162">
          <cell r="BB162" t="str">
            <v>.</v>
          </cell>
        </row>
        <row r="163">
          <cell r="BB163" t="str">
            <v>.</v>
          </cell>
        </row>
        <row r="164">
          <cell r="BB164" t="str">
            <v>.</v>
          </cell>
        </row>
        <row r="165">
          <cell r="BB165" t="str">
            <v>.</v>
          </cell>
        </row>
        <row r="166">
          <cell r="BB166" t="str">
            <v>.</v>
          </cell>
        </row>
        <row r="167">
          <cell r="BB167" t="str">
            <v>.</v>
          </cell>
        </row>
        <row r="168">
          <cell r="BB168" t="str">
            <v>.</v>
          </cell>
        </row>
        <row r="169">
          <cell r="BB169" t="str">
            <v>.</v>
          </cell>
        </row>
        <row r="170">
          <cell r="BB170" t="str">
            <v>.</v>
          </cell>
        </row>
        <row r="171">
          <cell r="BB171" t="str">
            <v>.</v>
          </cell>
        </row>
        <row r="172">
          <cell r="BB172" t="str">
            <v>.</v>
          </cell>
        </row>
        <row r="173">
          <cell r="BB173" t="str">
            <v>.</v>
          </cell>
        </row>
        <row r="174">
          <cell r="BB174" t="str">
            <v>.</v>
          </cell>
        </row>
        <row r="175">
          <cell r="BB175" t="str">
            <v>.</v>
          </cell>
        </row>
        <row r="176">
          <cell r="BB176" t="str">
            <v>.</v>
          </cell>
        </row>
        <row r="177">
          <cell r="BB177" t="str">
            <v>.</v>
          </cell>
        </row>
        <row r="178">
          <cell r="BB178" t="str">
            <v>.</v>
          </cell>
        </row>
        <row r="179">
          <cell r="BB179" t="str">
            <v>.</v>
          </cell>
        </row>
        <row r="180">
          <cell r="BB180" t="str">
            <v>.</v>
          </cell>
        </row>
        <row r="181">
          <cell r="BB181" t="str">
            <v>.</v>
          </cell>
        </row>
        <row r="182">
          <cell r="BB182" t="str">
            <v>.</v>
          </cell>
        </row>
        <row r="183">
          <cell r="BB183" t="str">
            <v>.</v>
          </cell>
        </row>
        <row r="184">
          <cell r="BB184" t="str">
            <v>.</v>
          </cell>
        </row>
        <row r="185">
          <cell r="BB185" t="str">
            <v>.</v>
          </cell>
        </row>
        <row r="186">
          <cell r="BB186" t="str">
            <v>.</v>
          </cell>
        </row>
        <row r="187">
          <cell r="BB187" t="str">
            <v>.</v>
          </cell>
        </row>
        <row r="188">
          <cell r="BB188" t="str">
            <v>.</v>
          </cell>
        </row>
        <row r="189">
          <cell r="BB189" t="str">
            <v>.</v>
          </cell>
        </row>
        <row r="190">
          <cell r="BB190" t="str">
            <v>.</v>
          </cell>
        </row>
        <row r="191">
          <cell r="BB191" t="str">
            <v>.</v>
          </cell>
        </row>
        <row r="192">
          <cell r="BB192" t="str">
            <v>.</v>
          </cell>
        </row>
        <row r="193">
          <cell r="BB193" t="str">
            <v>.</v>
          </cell>
        </row>
        <row r="194">
          <cell r="BB194" t="str">
            <v>.</v>
          </cell>
        </row>
        <row r="195">
          <cell r="BB195" t="str">
            <v>.</v>
          </cell>
        </row>
        <row r="196">
          <cell r="BB196" t="str">
            <v>.</v>
          </cell>
        </row>
        <row r="197">
          <cell r="BB197" t="str">
            <v>.</v>
          </cell>
        </row>
        <row r="198">
          <cell r="BB198" t="str">
            <v>.</v>
          </cell>
        </row>
        <row r="199">
          <cell r="BB199" t="str">
            <v>.</v>
          </cell>
        </row>
        <row r="200">
          <cell r="BB200" t="str">
            <v>.</v>
          </cell>
        </row>
        <row r="201">
          <cell r="BB201" t="str">
            <v>.</v>
          </cell>
        </row>
        <row r="202">
          <cell r="BB202" t="str">
            <v>.</v>
          </cell>
        </row>
        <row r="203">
          <cell r="BB203" t="str">
            <v>.</v>
          </cell>
        </row>
        <row r="204">
          <cell r="BB204" t="str">
            <v>.</v>
          </cell>
        </row>
        <row r="205">
          <cell r="BB205" t="str">
            <v>.</v>
          </cell>
        </row>
        <row r="206">
          <cell r="BB206" t="str">
            <v>.</v>
          </cell>
        </row>
        <row r="207">
          <cell r="BB207" t="str">
            <v>.</v>
          </cell>
        </row>
        <row r="208">
          <cell r="BB208" t="str">
            <v>.</v>
          </cell>
        </row>
        <row r="209">
          <cell r="BB209" t="str">
            <v>.</v>
          </cell>
        </row>
        <row r="210">
          <cell r="BB210" t="str">
            <v>.</v>
          </cell>
        </row>
        <row r="211">
          <cell r="BB211" t="str">
            <v>.</v>
          </cell>
        </row>
        <row r="212">
          <cell r="BB212" t="str">
            <v>.</v>
          </cell>
        </row>
        <row r="213">
          <cell r="BB213" t="str">
            <v>.</v>
          </cell>
        </row>
        <row r="214">
          <cell r="BB214" t="str">
            <v>.</v>
          </cell>
        </row>
        <row r="215">
          <cell r="BB215" t="str">
            <v>.</v>
          </cell>
        </row>
        <row r="216">
          <cell r="BB216" t="str">
            <v>.</v>
          </cell>
        </row>
        <row r="217">
          <cell r="BB217" t="str">
            <v>.</v>
          </cell>
        </row>
        <row r="218">
          <cell r="BB218" t="str">
            <v>.</v>
          </cell>
        </row>
        <row r="219">
          <cell r="BB219" t="str">
            <v>.</v>
          </cell>
        </row>
        <row r="220">
          <cell r="BB220" t="str">
            <v>.</v>
          </cell>
        </row>
        <row r="221">
          <cell r="BB221" t="str">
            <v>.</v>
          </cell>
        </row>
        <row r="222">
          <cell r="BB222" t="str">
            <v>.</v>
          </cell>
        </row>
        <row r="223">
          <cell r="BB223" t="str">
            <v>.</v>
          </cell>
        </row>
        <row r="224">
          <cell r="BB224" t="str">
            <v>.</v>
          </cell>
        </row>
        <row r="225">
          <cell r="BB225" t="str">
            <v>.</v>
          </cell>
        </row>
        <row r="226">
          <cell r="BB226" t="str">
            <v>.</v>
          </cell>
        </row>
        <row r="227">
          <cell r="BB227" t="str">
            <v>.</v>
          </cell>
        </row>
        <row r="228">
          <cell r="BB228" t="str">
            <v>.</v>
          </cell>
        </row>
        <row r="229">
          <cell r="BB229" t="str">
            <v>.</v>
          </cell>
        </row>
        <row r="230">
          <cell r="BB230" t="str">
            <v>.</v>
          </cell>
        </row>
        <row r="231">
          <cell r="BB231" t="str">
            <v>.</v>
          </cell>
        </row>
        <row r="232">
          <cell r="BB232" t="str">
            <v>.</v>
          </cell>
        </row>
        <row r="233">
          <cell r="BB233" t="str">
            <v>.</v>
          </cell>
        </row>
        <row r="234">
          <cell r="BB234" t="str">
            <v>.</v>
          </cell>
        </row>
        <row r="235">
          <cell r="BB235" t="str">
            <v>.</v>
          </cell>
        </row>
        <row r="236">
          <cell r="BB236" t="str">
            <v>.</v>
          </cell>
        </row>
        <row r="237">
          <cell r="BB237" t="str">
            <v>.</v>
          </cell>
        </row>
        <row r="238">
          <cell r="BB238" t="str">
            <v>.</v>
          </cell>
        </row>
        <row r="239">
          <cell r="BB239" t="str">
            <v>.</v>
          </cell>
        </row>
        <row r="240">
          <cell r="BB240" t="str">
            <v>.</v>
          </cell>
        </row>
        <row r="241">
          <cell r="BB241" t="str">
            <v>.</v>
          </cell>
        </row>
        <row r="242">
          <cell r="BB242" t="str">
            <v>.</v>
          </cell>
        </row>
        <row r="243">
          <cell r="BB243" t="str">
            <v>.</v>
          </cell>
        </row>
        <row r="244">
          <cell r="BB244" t="str">
            <v>.</v>
          </cell>
        </row>
        <row r="245">
          <cell r="BB245" t="str">
            <v>.</v>
          </cell>
        </row>
        <row r="246">
          <cell r="BB246" t="str">
            <v>.</v>
          </cell>
        </row>
        <row r="247">
          <cell r="BB247" t="str">
            <v>.</v>
          </cell>
        </row>
        <row r="248">
          <cell r="BB248" t="str">
            <v>.</v>
          </cell>
        </row>
        <row r="249">
          <cell r="BB249" t="str">
            <v>.</v>
          </cell>
        </row>
        <row r="250">
          <cell r="BB250" t="str">
            <v>.</v>
          </cell>
        </row>
        <row r="251">
          <cell r="BB251" t="str">
            <v>.</v>
          </cell>
        </row>
        <row r="252">
          <cell r="BB252" t="str">
            <v>.</v>
          </cell>
        </row>
        <row r="253">
          <cell r="BB253" t="str">
            <v>.</v>
          </cell>
        </row>
        <row r="254">
          <cell r="BB254" t="str">
            <v>.</v>
          </cell>
        </row>
        <row r="255">
          <cell r="BB255" t="str">
            <v>.</v>
          </cell>
        </row>
        <row r="256">
          <cell r="BB256" t="str">
            <v>.</v>
          </cell>
        </row>
        <row r="257">
          <cell r="BB257" t="str">
            <v>.</v>
          </cell>
        </row>
        <row r="258">
          <cell r="BB258" t="str">
            <v>.</v>
          </cell>
        </row>
        <row r="259">
          <cell r="BB259" t="str">
            <v>.</v>
          </cell>
        </row>
        <row r="260">
          <cell r="BB260" t="str">
            <v>.</v>
          </cell>
        </row>
        <row r="261">
          <cell r="BB261" t="str">
            <v>.</v>
          </cell>
        </row>
        <row r="262">
          <cell r="BB262" t="str">
            <v>.</v>
          </cell>
        </row>
        <row r="263">
          <cell r="BB263" t="str">
            <v>.</v>
          </cell>
        </row>
        <row r="264">
          <cell r="BB264" t="str">
            <v>.</v>
          </cell>
        </row>
        <row r="265">
          <cell r="BB265" t="str">
            <v>.</v>
          </cell>
        </row>
        <row r="266">
          <cell r="BB266" t="str">
            <v>.</v>
          </cell>
        </row>
        <row r="267">
          <cell r="BB267" t="str">
            <v>.</v>
          </cell>
        </row>
        <row r="268">
          <cell r="BB268" t="str">
            <v>.</v>
          </cell>
        </row>
        <row r="269">
          <cell r="BB269" t="str">
            <v>.</v>
          </cell>
        </row>
        <row r="270">
          <cell r="BB270" t="str">
            <v>.</v>
          </cell>
        </row>
        <row r="271">
          <cell r="BB271" t="str">
            <v>.</v>
          </cell>
        </row>
        <row r="272">
          <cell r="BB272" t="str">
            <v>.</v>
          </cell>
        </row>
        <row r="273">
          <cell r="BB273" t="str">
            <v>.</v>
          </cell>
        </row>
        <row r="274">
          <cell r="BB274" t="str">
            <v>.</v>
          </cell>
        </row>
        <row r="275">
          <cell r="BB275" t="str">
            <v>.</v>
          </cell>
        </row>
        <row r="276">
          <cell r="BB276" t="str">
            <v>.</v>
          </cell>
        </row>
        <row r="277">
          <cell r="BB277" t="str">
            <v>.</v>
          </cell>
        </row>
        <row r="278">
          <cell r="BB278" t="str">
            <v>.</v>
          </cell>
        </row>
        <row r="279">
          <cell r="BB279" t="str">
            <v>.</v>
          </cell>
        </row>
        <row r="280">
          <cell r="BB280" t="str">
            <v>.</v>
          </cell>
        </row>
        <row r="281">
          <cell r="BB281" t="str">
            <v>.</v>
          </cell>
        </row>
        <row r="282">
          <cell r="BB282" t="str">
            <v>.</v>
          </cell>
        </row>
        <row r="283">
          <cell r="BB283" t="str">
            <v>.</v>
          </cell>
        </row>
        <row r="284">
          <cell r="BB284" t="str">
            <v>.</v>
          </cell>
        </row>
        <row r="285">
          <cell r="BB285" t="str">
            <v>.</v>
          </cell>
        </row>
        <row r="286">
          <cell r="BB286" t="str">
            <v>.</v>
          </cell>
        </row>
        <row r="287">
          <cell r="BB287" t="str">
            <v>.</v>
          </cell>
        </row>
        <row r="288">
          <cell r="BB288" t="str">
            <v>.</v>
          </cell>
        </row>
        <row r="289">
          <cell r="BB289" t="str">
            <v>.</v>
          </cell>
        </row>
        <row r="290">
          <cell r="BB290" t="str">
            <v>.</v>
          </cell>
        </row>
        <row r="291">
          <cell r="BB291" t="str">
            <v>.</v>
          </cell>
        </row>
        <row r="292">
          <cell r="BB292" t="str">
            <v>.</v>
          </cell>
        </row>
        <row r="293">
          <cell r="BB293" t="str">
            <v>.</v>
          </cell>
        </row>
        <row r="294">
          <cell r="BB294" t="str">
            <v>.</v>
          </cell>
        </row>
        <row r="295">
          <cell r="BB295" t="str">
            <v>.</v>
          </cell>
        </row>
        <row r="296">
          <cell r="BB296" t="str">
            <v>.</v>
          </cell>
        </row>
        <row r="297">
          <cell r="BB297" t="str">
            <v>.</v>
          </cell>
        </row>
        <row r="298">
          <cell r="BB298" t="str">
            <v>.</v>
          </cell>
        </row>
        <row r="299">
          <cell r="BB299" t="str">
            <v>.</v>
          </cell>
        </row>
        <row r="300">
          <cell r="BB300" t="str">
            <v>.</v>
          </cell>
        </row>
        <row r="301">
          <cell r="BB301" t="str">
            <v>.</v>
          </cell>
        </row>
        <row r="302">
          <cell r="BB302" t="str">
            <v>.</v>
          </cell>
        </row>
        <row r="303">
          <cell r="BB303" t="str">
            <v>.</v>
          </cell>
        </row>
        <row r="304">
          <cell r="BB304" t="str">
            <v>.</v>
          </cell>
        </row>
        <row r="305">
          <cell r="BB305" t="str">
            <v>.</v>
          </cell>
        </row>
        <row r="306">
          <cell r="BB306" t="str">
            <v>.</v>
          </cell>
        </row>
        <row r="307">
          <cell r="BB307" t="str">
            <v>.</v>
          </cell>
        </row>
        <row r="308">
          <cell r="BB308" t="str">
            <v>.</v>
          </cell>
        </row>
        <row r="309">
          <cell r="BB309" t="str">
            <v>.</v>
          </cell>
        </row>
        <row r="310">
          <cell r="BB310" t="str">
            <v>.</v>
          </cell>
        </row>
        <row r="311">
          <cell r="BB311" t="str">
            <v>.</v>
          </cell>
        </row>
        <row r="312">
          <cell r="BB312" t="str">
            <v>.</v>
          </cell>
        </row>
        <row r="313">
          <cell r="BB313" t="str">
            <v>.</v>
          </cell>
        </row>
        <row r="314">
          <cell r="BB314" t="str">
            <v>.</v>
          </cell>
        </row>
        <row r="315">
          <cell r="BB315" t="str">
            <v>.</v>
          </cell>
        </row>
        <row r="316">
          <cell r="BB316" t="str">
            <v>.</v>
          </cell>
        </row>
        <row r="317">
          <cell r="BB317" t="str">
            <v>.</v>
          </cell>
        </row>
        <row r="318">
          <cell r="BB318" t="str">
            <v>.</v>
          </cell>
        </row>
        <row r="319">
          <cell r="BB319" t="str">
            <v>.</v>
          </cell>
        </row>
        <row r="320">
          <cell r="BB320" t="str">
            <v>.</v>
          </cell>
        </row>
        <row r="321">
          <cell r="BB321" t="str">
            <v>.</v>
          </cell>
        </row>
        <row r="322">
          <cell r="BB322" t="str">
            <v>.</v>
          </cell>
        </row>
        <row r="323">
          <cell r="BB323" t="str">
            <v>.</v>
          </cell>
        </row>
        <row r="324">
          <cell r="BB324" t="str">
            <v>.</v>
          </cell>
        </row>
        <row r="325">
          <cell r="BB325" t="str">
            <v>.</v>
          </cell>
        </row>
        <row r="326">
          <cell r="BB326" t="str">
            <v>.</v>
          </cell>
        </row>
        <row r="327">
          <cell r="BB327" t="str">
            <v>.</v>
          </cell>
        </row>
        <row r="328">
          <cell r="BB328" t="str">
            <v>.</v>
          </cell>
        </row>
        <row r="329">
          <cell r="BB329" t="str">
            <v>.</v>
          </cell>
        </row>
        <row r="330">
          <cell r="BB330" t="str">
            <v>.</v>
          </cell>
        </row>
        <row r="331">
          <cell r="BB331" t="str">
            <v>.</v>
          </cell>
        </row>
        <row r="332">
          <cell r="BB332" t="str">
            <v>.</v>
          </cell>
        </row>
        <row r="333">
          <cell r="BB333" t="str">
            <v>.</v>
          </cell>
        </row>
        <row r="334">
          <cell r="BB334" t="str">
            <v>.</v>
          </cell>
        </row>
        <row r="335">
          <cell r="BB335" t="str">
            <v>.</v>
          </cell>
        </row>
        <row r="336">
          <cell r="BB336" t="str">
            <v>.</v>
          </cell>
        </row>
        <row r="337">
          <cell r="BB337" t="str">
            <v>.</v>
          </cell>
        </row>
        <row r="338">
          <cell r="BB338" t="str">
            <v>.</v>
          </cell>
        </row>
        <row r="339">
          <cell r="BB339" t="str">
            <v>.</v>
          </cell>
        </row>
        <row r="340">
          <cell r="BB340" t="str">
            <v>.</v>
          </cell>
        </row>
        <row r="341">
          <cell r="BB341" t="str">
            <v>.</v>
          </cell>
        </row>
        <row r="342">
          <cell r="BB342" t="str">
            <v>.</v>
          </cell>
        </row>
        <row r="343">
          <cell r="BB343" t="str">
            <v>.</v>
          </cell>
        </row>
        <row r="344">
          <cell r="BB344" t="str">
            <v>.</v>
          </cell>
        </row>
        <row r="345">
          <cell r="BB345" t="str">
            <v>.</v>
          </cell>
        </row>
        <row r="346">
          <cell r="BB346" t="str">
            <v>.</v>
          </cell>
        </row>
        <row r="347">
          <cell r="BB347" t="str">
            <v>.</v>
          </cell>
        </row>
        <row r="348">
          <cell r="BB348" t="str">
            <v>.</v>
          </cell>
        </row>
        <row r="349">
          <cell r="BB349" t="str">
            <v>.</v>
          </cell>
        </row>
        <row r="350">
          <cell r="BB350" t="str">
            <v>.</v>
          </cell>
        </row>
        <row r="351">
          <cell r="BB351" t="str">
            <v>.</v>
          </cell>
        </row>
        <row r="352">
          <cell r="BB352" t="str">
            <v>.</v>
          </cell>
        </row>
        <row r="353">
          <cell r="BB353" t="str">
            <v>.</v>
          </cell>
        </row>
        <row r="354">
          <cell r="BB354" t="str">
            <v>.</v>
          </cell>
        </row>
        <row r="355">
          <cell r="BB355" t="str">
            <v>.</v>
          </cell>
        </row>
        <row r="356">
          <cell r="BB356" t="str">
            <v>.</v>
          </cell>
        </row>
        <row r="357">
          <cell r="BB357" t="str">
            <v>.</v>
          </cell>
        </row>
        <row r="358">
          <cell r="BB358" t="str">
            <v>.</v>
          </cell>
        </row>
        <row r="359">
          <cell r="BB359" t="str">
            <v>.</v>
          </cell>
        </row>
        <row r="360">
          <cell r="BB360" t="str">
            <v>.</v>
          </cell>
        </row>
        <row r="361">
          <cell r="BB361" t="str">
            <v>.</v>
          </cell>
        </row>
        <row r="362">
          <cell r="BB362" t="str">
            <v>.</v>
          </cell>
        </row>
        <row r="363">
          <cell r="BB363" t="str">
            <v>.</v>
          </cell>
        </row>
        <row r="364">
          <cell r="BB364" t="str">
            <v>.</v>
          </cell>
        </row>
        <row r="365">
          <cell r="BB365" t="str">
            <v>.</v>
          </cell>
        </row>
        <row r="366">
          <cell r="BB366" t="str">
            <v>.</v>
          </cell>
        </row>
        <row r="367">
          <cell r="BB367" t="str">
            <v>.</v>
          </cell>
        </row>
        <row r="368">
          <cell r="BB368" t="str">
            <v>.</v>
          </cell>
        </row>
        <row r="369">
          <cell r="BB369" t="str">
            <v>.</v>
          </cell>
        </row>
        <row r="370">
          <cell r="BB370" t="str">
            <v>.</v>
          </cell>
        </row>
        <row r="371">
          <cell r="BB371" t="str">
            <v>.</v>
          </cell>
        </row>
        <row r="372">
          <cell r="BB372" t="str">
            <v>.</v>
          </cell>
        </row>
        <row r="373">
          <cell r="BB373" t="str">
            <v>.</v>
          </cell>
        </row>
        <row r="374">
          <cell r="BB374" t="str">
            <v>.</v>
          </cell>
        </row>
        <row r="375">
          <cell r="BB375" t="str">
            <v>.</v>
          </cell>
        </row>
        <row r="376">
          <cell r="BB376" t="str">
            <v>.</v>
          </cell>
        </row>
        <row r="377">
          <cell r="BB377" t="str">
            <v>.</v>
          </cell>
        </row>
        <row r="378">
          <cell r="BB378" t="str">
            <v>.</v>
          </cell>
        </row>
        <row r="379">
          <cell r="BB379" t="str">
            <v>.</v>
          </cell>
        </row>
        <row r="380">
          <cell r="BB380" t="str">
            <v>.</v>
          </cell>
        </row>
        <row r="381">
          <cell r="BB381" t="str">
            <v>.</v>
          </cell>
        </row>
        <row r="382">
          <cell r="BB382" t="str">
            <v>.</v>
          </cell>
        </row>
        <row r="383">
          <cell r="BB383" t="str">
            <v>.</v>
          </cell>
        </row>
        <row r="384">
          <cell r="BB384" t="str">
            <v>.</v>
          </cell>
        </row>
        <row r="385">
          <cell r="BB385" t="str">
            <v>.</v>
          </cell>
        </row>
        <row r="386">
          <cell r="BB386" t="str">
            <v>.</v>
          </cell>
        </row>
        <row r="387">
          <cell r="BB387" t="str">
            <v>.</v>
          </cell>
        </row>
        <row r="388">
          <cell r="BB388" t="str">
            <v>.</v>
          </cell>
        </row>
        <row r="389">
          <cell r="BB389" t="str">
            <v>.</v>
          </cell>
        </row>
        <row r="390">
          <cell r="BB390" t="str">
            <v>.</v>
          </cell>
        </row>
        <row r="391">
          <cell r="BB391" t="str">
            <v>.</v>
          </cell>
        </row>
        <row r="392">
          <cell r="BB392" t="str">
            <v>.</v>
          </cell>
        </row>
        <row r="393">
          <cell r="BB393" t="str">
            <v>.</v>
          </cell>
        </row>
        <row r="394">
          <cell r="BB394" t="str">
            <v>.</v>
          </cell>
        </row>
        <row r="395">
          <cell r="BB395" t="str">
            <v>.</v>
          </cell>
        </row>
        <row r="396">
          <cell r="BB396" t="str">
            <v>.</v>
          </cell>
        </row>
        <row r="397">
          <cell r="BB397" t="str">
            <v>.</v>
          </cell>
        </row>
        <row r="398">
          <cell r="BB398" t="str">
            <v>.</v>
          </cell>
        </row>
        <row r="399">
          <cell r="BB399" t="str">
            <v>.</v>
          </cell>
        </row>
        <row r="400">
          <cell r="BB400" t="str">
            <v>.</v>
          </cell>
        </row>
        <row r="401">
          <cell r="BB401" t="str">
            <v>.</v>
          </cell>
        </row>
        <row r="402">
          <cell r="BB402" t="str">
            <v>.</v>
          </cell>
        </row>
        <row r="403">
          <cell r="BB403" t="str">
            <v>.</v>
          </cell>
        </row>
        <row r="404">
          <cell r="BB404" t="str">
            <v>.</v>
          </cell>
        </row>
        <row r="405">
          <cell r="BB405" t="str">
            <v>.</v>
          </cell>
        </row>
        <row r="406">
          <cell r="BB406" t="str">
            <v>.</v>
          </cell>
        </row>
        <row r="407">
          <cell r="BB407" t="str">
            <v>.</v>
          </cell>
        </row>
        <row r="408">
          <cell r="BB408" t="str">
            <v>.</v>
          </cell>
        </row>
        <row r="409">
          <cell r="BB409" t="str">
            <v>.</v>
          </cell>
        </row>
        <row r="410">
          <cell r="BB410" t="str">
            <v>.</v>
          </cell>
        </row>
        <row r="411">
          <cell r="BB411" t="str">
            <v>.</v>
          </cell>
        </row>
        <row r="412">
          <cell r="BB412" t="str">
            <v>.</v>
          </cell>
        </row>
        <row r="413">
          <cell r="BB413" t="str">
            <v>.</v>
          </cell>
        </row>
        <row r="414">
          <cell r="BB414" t="str">
            <v>.</v>
          </cell>
        </row>
        <row r="415">
          <cell r="BB415" t="str">
            <v>.</v>
          </cell>
        </row>
        <row r="416">
          <cell r="BB416" t="str">
            <v>.</v>
          </cell>
        </row>
        <row r="417">
          <cell r="BB417" t="str">
            <v>.</v>
          </cell>
        </row>
        <row r="418">
          <cell r="BB418" t="str">
            <v>.</v>
          </cell>
        </row>
        <row r="419">
          <cell r="BB419" t="str">
            <v>.</v>
          </cell>
        </row>
        <row r="420">
          <cell r="BB420" t="str">
            <v>.</v>
          </cell>
        </row>
        <row r="421">
          <cell r="BB421" t="str">
            <v>.</v>
          </cell>
        </row>
        <row r="422">
          <cell r="BB422" t="str">
            <v>.</v>
          </cell>
        </row>
        <row r="423">
          <cell r="BB423" t="str">
            <v>.</v>
          </cell>
        </row>
        <row r="424">
          <cell r="BB424" t="str">
            <v>.</v>
          </cell>
        </row>
        <row r="425">
          <cell r="BB425" t="str">
            <v>.</v>
          </cell>
        </row>
        <row r="426">
          <cell r="BB426" t="str">
            <v>.</v>
          </cell>
        </row>
        <row r="427">
          <cell r="BB427" t="str">
            <v>.</v>
          </cell>
        </row>
        <row r="428">
          <cell r="BB428" t="str">
            <v>.</v>
          </cell>
        </row>
        <row r="429">
          <cell r="BB429" t="str">
            <v>.</v>
          </cell>
        </row>
        <row r="430">
          <cell r="BB430" t="str">
            <v>.</v>
          </cell>
        </row>
        <row r="431">
          <cell r="BB431" t="str">
            <v>.</v>
          </cell>
        </row>
        <row r="432">
          <cell r="BB432" t="str">
            <v>.</v>
          </cell>
        </row>
        <row r="433">
          <cell r="BB433" t="str">
            <v>.</v>
          </cell>
        </row>
        <row r="434">
          <cell r="BB434" t="str">
            <v>.</v>
          </cell>
        </row>
        <row r="435">
          <cell r="BB435" t="str">
            <v>.</v>
          </cell>
        </row>
        <row r="436">
          <cell r="BB436" t="str">
            <v>.</v>
          </cell>
        </row>
        <row r="437">
          <cell r="BB437" t="str">
            <v>.</v>
          </cell>
        </row>
        <row r="438">
          <cell r="BB438" t="str">
            <v>.</v>
          </cell>
        </row>
        <row r="439">
          <cell r="BB439" t="str">
            <v>.</v>
          </cell>
        </row>
        <row r="440">
          <cell r="BB440" t="str">
            <v>.</v>
          </cell>
        </row>
        <row r="441">
          <cell r="BB441" t="str">
            <v>.</v>
          </cell>
        </row>
        <row r="442">
          <cell r="BB442" t="str">
            <v>.</v>
          </cell>
        </row>
        <row r="443">
          <cell r="BB443" t="str">
            <v>.</v>
          </cell>
        </row>
        <row r="444">
          <cell r="BB444" t="str">
            <v>.</v>
          </cell>
        </row>
        <row r="445">
          <cell r="BB445" t="str">
            <v>.</v>
          </cell>
        </row>
        <row r="446">
          <cell r="BB446" t="str">
            <v>.</v>
          </cell>
        </row>
        <row r="447">
          <cell r="BB447" t="str">
            <v>.</v>
          </cell>
        </row>
        <row r="448">
          <cell r="BB448" t="str">
            <v>.</v>
          </cell>
        </row>
        <row r="449">
          <cell r="BB449" t="str">
            <v>.</v>
          </cell>
        </row>
        <row r="450">
          <cell r="BB450" t="str">
            <v>.</v>
          </cell>
        </row>
        <row r="451">
          <cell r="BB451" t="str">
            <v>.</v>
          </cell>
        </row>
        <row r="452">
          <cell r="BB452" t="str">
            <v>.</v>
          </cell>
        </row>
        <row r="453">
          <cell r="BB453" t="str">
            <v>.</v>
          </cell>
        </row>
        <row r="454">
          <cell r="BB454" t="str">
            <v>.</v>
          </cell>
        </row>
        <row r="455">
          <cell r="BB455" t="str">
            <v>.</v>
          </cell>
        </row>
        <row r="456">
          <cell r="BB456" t="str">
            <v>.</v>
          </cell>
        </row>
        <row r="457">
          <cell r="BB457" t="str">
            <v>.</v>
          </cell>
        </row>
        <row r="458">
          <cell r="BB458" t="str">
            <v>.</v>
          </cell>
        </row>
        <row r="459">
          <cell r="BB459" t="str">
            <v>.</v>
          </cell>
        </row>
        <row r="460">
          <cell r="BB460" t="str">
            <v>.</v>
          </cell>
        </row>
        <row r="461">
          <cell r="BB461" t="str">
            <v>.</v>
          </cell>
        </row>
        <row r="462">
          <cell r="BB462" t="str">
            <v>.</v>
          </cell>
        </row>
        <row r="463">
          <cell r="BB463" t="str">
            <v>.</v>
          </cell>
        </row>
        <row r="464">
          <cell r="BB464" t="str">
            <v>.</v>
          </cell>
        </row>
        <row r="465">
          <cell r="BB465" t="str">
            <v>.</v>
          </cell>
        </row>
        <row r="466">
          <cell r="BB466" t="str">
            <v>.</v>
          </cell>
        </row>
        <row r="467">
          <cell r="BB467" t="str">
            <v>.</v>
          </cell>
        </row>
        <row r="468">
          <cell r="BB468" t="str">
            <v>.</v>
          </cell>
        </row>
        <row r="469">
          <cell r="BB469" t="str">
            <v>.</v>
          </cell>
        </row>
        <row r="470">
          <cell r="BB470" t="str">
            <v>.</v>
          </cell>
        </row>
        <row r="471">
          <cell r="BB471" t="str">
            <v>.</v>
          </cell>
        </row>
        <row r="472">
          <cell r="BB472" t="str">
            <v>.</v>
          </cell>
        </row>
        <row r="473">
          <cell r="BB473" t="str">
            <v>.</v>
          </cell>
        </row>
        <row r="474">
          <cell r="BB474" t="str">
            <v>.</v>
          </cell>
        </row>
        <row r="475">
          <cell r="BB475" t="str">
            <v>.</v>
          </cell>
        </row>
        <row r="476">
          <cell r="BB476" t="str">
            <v>.</v>
          </cell>
        </row>
        <row r="477">
          <cell r="BB477" t="str">
            <v>.</v>
          </cell>
        </row>
        <row r="478">
          <cell r="BB478" t="str">
            <v>.</v>
          </cell>
        </row>
        <row r="479">
          <cell r="BB479" t="str">
            <v>.</v>
          </cell>
        </row>
        <row r="480">
          <cell r="BB480" t="str">
            <v>.</v>
          </cell>
        </row>
        <row r="481">
          <cell r="BB481" t="str">
            <v>.</v>
          </cell>
        </row>
        <row r="482">
          <cell r="BB482" t="str">
            <v>.</v>
          </cell>
        </row>
        <row r="483">
          <cell r="BB483" t="str">
            <v>.</v>
          </cell>
        </row>
        <row r="484">
          <cell r="BB484" t="str">
            <v>.</v>
          </cell>
        </row>
        <row r="485">
          <cell r="BB485" t="str">
            <v>.</v>
          </cell>
        </row>
        <row r="486">
          <cell r="BB486" t="str">
            <v>.</v>
          </cell>
        </row>
        <row r="487">
          <cell r="BB487" t="str">
            <v>.</v>
          </cell>
        </row>
        <row r="488">
          <cell r="BB488" t="str">
            <v>.</v>
          </cell>
        </row>
        <row r="489">
          <cell r="BB489" t="str">
            <v>.</v>
          </cell>
        </row>
        <row r="490">
          <cell r="BB490" t="str">
            <v>.</v>
          </cell>
        </row>
        <row r="491">
          <cell r="BB491" t="str">
            <v>.</v>
          </cell>
        </row>
        <row r="492">
          <cell r="BB492" t="str">
            <v>.</v>
          </cell>
        </row>
        <row r="493">
          <cell r="BB493" t="str">
            <v>.</v>
          </cell>
        </row>
        <row r="494">
          <cell r="BB494" t="str">
            <v>.</v>
          </cell>
        </row>
        <row r="495">
          <cell r="BB495" t="str">
            <v>.</v>
          </cell>
        </row>
        <row r="496">
          <cell r="BB496" t="str">
            <v>.</v>
          </cell>
        </row>
        <row r="497">
          <cell r="BB497" t="str">
            <v>.</v>
          </cell>
        </row>
        <row r="498">
          <cell r="BB498" t="str">
            <v>.</v>
          </cell>
        </row>
        <row r="499">
          <cell r="BB499" t="str">
            <v>.</v>
          </cell>
        </row>
        <row r="500">
          <cell r="BB500" t="str">
            <v>.</v>
          </cell>
        </row>
        <row r="501">
          <cell r="BB501" t="str">
            <v>.</v>
          </cell>
        </row>
        <row r="502">
          <cell r="BB502" t="str">
            <v>.</v>
          </cell>
        </row>
        <row r="503">
          <cell r="BB503" t="str">
            <v>.</v>
          </cell>
        </row>
        <row r="504">
          <cell r="BB504" t="str">
            <v>.</v>
          </cell>
        </row>
        <row r="505">
          <cell r="BB505" t="str">
            <v>.</v>
          </cell>
        </row>
        <row r="506">
          <cell r="BB506" t="str">
            <v>.</v>
          </cell>
        </row>
        <row r="507">
          <cell r="BB507" t="str">
            <v>.</v>
          </cell>
        </row>
        <row r="508">
          <cell r="BB508" t="str">
            <v>.</v>
          </cell>
        </row>
        <row r="509">
          <cell r="BB509" t="str">
            <v>.</v>
          </cell>
        </row>
        <row r="510">
          <cell r="BB510" t="str">
            <v>.</v>
          </cell>
        </row>
        <row r="511">
          <cell r="BB511" t="str">
            <v>.</v>
          </cell>
        </row>
        <row r="512">
          <cell r="BB512" t="str">
            <v>.</v>
          </cell>
        </row>
        <row r="513">
          <cell r="BB513" t="str">
            <v>.</v>
          </cell>
        </row>
        <row r="514">
          <cell r="BB514" t="str">
            <v>.</v>
          </cell>
        </row>
        <row r="515">
          <cell r="BB515" t="str">
            <v>.</v>
          </cell>
        </row>
        <row r="516">
          <cell r="BB516" t="str">
            <v>.</v>
          </cell>
        </row>
        <row r="517">
          <cell r="BB517" t="str">
            <v>.</v>
          </cell>
        </row>
        <row r="518">
          <cell r="BB518" t="str">
            <v>.</v>
          </cell>
        </row>
        <row r="519">
          <cell r="BB519" t="str">
            <v>.</v>
          </cell>
        </row>
        <row r="520">
          <cell r="BB520" t="str">
            <v>.</v>
          </cell>
        </row>
        <row r="521">
          <cell r="BB521" t="str">
            <v>.</v>
          </cell>
        </row>
        <row r="522">
          <cell r="BB522" t="str">
            <v>.</v>
          </cell>
        </row>
        <row r="523">
          <cell r="BB523" t="str">
            <v>.</v>
          </cell>
        </row>
        <row r="524">
          <cell r="BB524" t="str">
            <v>.</v>
          </cell>
        </row>
        <row r="525">
          <cell r="BB525" t="str">
            <v>.</v>
          </cell>
        </row>
        <row r="526">
          <cell r="BB526" t="str">
            <v>.</v>
          </cell>
        </row>
        <row r="527">
          <cell r="BB527" t="str">
            <v>.</v>
          </cell>
        </row>
        <row r="528">
          <cell r="BB528" t="str">
            <v>.</v>
          </cell>
        </row>
        <row r="529">
          <cell r="BB529" t="str">
            <v>.</v>
          </cell>
        </row>
        <row r="530">
          <cell r="BB530" t="str">
            <v>.</v>
          </cell>
        </row>
        <row r="531">
          <cell r="BB531" t="str">
            <v>.</v>
          </cell>
        </row>
        <row r="532">
          <cell r="BB532" t="str">
            <v>.</v>
          </cell>
        </row>
        <row r="533">
          <cell r="BB533" t="str">
            <v>.</v>
          </cell>
        </row>
        <row r="534">
          <cell r="BB534" t="str">
            <v>.</v>
          </cell>
        </row>
        <row r="535">
          <cell r="BB535" t="str">
            <v>.</v>
          </cell>
        </row>
        <row r="536">
          <cell r="BB536" t="str">
            <v>.</v>
          </cell>
        </row>
        <row r="537">
          <cell r="BB537" t="str">
            <v>.</v>
          </cell>
        </row>
        <row r="538">
          <cell r="BB538" t="str">
            <v>.</v>
          </cell>
        </row>
        <row r="539">
          <cell r="BB539" t="str">
            <v>.</v>
          </cell>
        </row>
        <row r="540">
          <cell r="BB540" t="str">
            <v>.</v>
          </cell>
        </row>
        <row r="541">
          <cell r="BB541" t="str">
            <v>.</v>
          </cell>
        </row>
        <row r="542">
          <cell r="BB542" t="str">
            <v>.</v>
          </cell>
        </row>
        <row r="543">
          <cell r="BB543" t="str">
            <v>.</v>
          </cell>
        </row>
        <row r="544">
          <cell r="BB544" t="str">
            <v>.</v>
          </cell>
        </row>
        <row r="545">
          <cell r="BB545" t="str">
            <v>.</v>
          </cell>
        </row>
        <row r="546">
          <cell r="BB546" t="str">
            <v>.</v>
          </cell>
        </row>
        <row r="547">
          <cell r="BB547" t="str">
            <v>.</v>
          </cell>
        </row>
        <row r="548">
          <cell r="BB548" t="str">
            <v>.</v>
          </cell>
        </row>
        <row r="549">
          <cell r="BB549" t="str">
            <v>.</v>
          </cell>
        </row>
        <row r="550">
          <cell r="BB550" t="str">
            <v>.</v>
          </cell>
        </row>
        <row r="551">
          <cell r="BB551" t="str">
            <v>.</v>
          </cell>
        </row>
        <row r="552">
          <cell r="BB552" t="str">
            <v>.</v>
          </cell>
        </row>
        <row r="553">
          <cell r="BB553" t="str">
            <v>.</v>
          </cell>
        </row>
        <row r="554">
          <cell r="BB554" t="str">
            <v>.</v>
          </cell>
        </row>
        <row r="555">
          <cell r="BB555" t="str">
            <v>.</v>
          </cell>
        </row>
        <row r="556">
          <cell r="BB556" t="str">
            <v>.</v>
          </cell>
        </row>
        <row r="557">
          <cell r="BB557" t="str">
            <v>.</v>
          </cell>
        </row>
        <row r="558">
          <cell r="BB558" t="str">
            <v>.</v>
          </cell>
        </row>
        <row r="559">
          <cell r="BB559" t="str">
            <v>.</v>
          </cell>
        </row>
        <row r="560">
          <cell r="BB560" t="str">
            <v>.</v>
          </cell>
        </row>
        <row r="561">
          <cell r="BB561" t="str">
            <v>.</v>
          </cell>
        </row>
        <row r="562">
          <cell r="BB562" t="str">
            <v>.</v>
          </cell>
        </row>
        <row r="563">
          <cell r="BB563" t="str">
            <v>.</v>
          </cell>
        </row>
        <row r="564">
          <cell r="BB564" t="str">
            <v>.</v>
          </cell>
        </row>
        <row r="565">
          <cell r="BB565" t="str">
            <v>.</v>
          </cell>
        </row>
        <row r="566">
          <cell r="BB566" t="str">
            <v>.</v>
          </cell>
        </row>
        <row r="567">
          <cell r="BB567" t="str">
            <v>.</v>
          </cell>
        </row>
        <row r="568">
          <cell r="BB568" t="str">
            <v>.</v>
          </cell>
        </row>
        <row r="569">
          <cell r="BB569" t="str">
            <v>.</v>
          </cell>
        </row>
        <row r="570">
          <cell r="BB570" t="str">
            <v>.</v>
          </cell>
        </row>
        <row r="571">
          <cell r="BB571" t="str">
            <v>.</v>
          </cell>
        </row>
        <row r="572">
          <cell r="BB572" t="str">
            <v>.</v>
          </cell>
        </row>
        <row r="573">
          <cell r="BB573" t="str">
            <v>.</v>
          </cell>
        </row>
        <row r="574">
          <cell r="BB574" t="str">
            <v>.</v>
          </cell>
        </row>
        <row r="575">
          <cell r="BB575" t="str">
            <v>.</v>
          </cell>
        </row>
        <row r="576">
          <cell r="BB576" t="str">
            <v>.</v>
          </cell>
        </row>
        <row r="577">
          <cell r="BB577" t="str">
            <v>.</v>
          </cell>
        </row>
        <row r="578">
          <cell r="BB578" t="str">
            <v>.</v>
          </cell>
        </row>
        <row r="579">
          <cell r="BB579" t="str">
            <v>.</v>
          </cell>
        </row>
        <row r="580">
          <cell r="BB580" t="str">
            <v>.</v>
          </cell>
        </row>
        <row r="581">
          <cell r="BB581" t="str">
            <v>.</v>
          </cell>
        </row>
        <row r="582">
          <cell r="BB582" t="str">
            <v>.</v>
          </cell>
        </row>
        <row r="583">
          <cell r="BB583" t="str">
            <v>.</v>
          </cell>
        </row>
        <row r="584">
          <cell r="BB584" t="str">
            <v>.</v>
          </cell>
        </row>
        <row r="585">
          <cell r="BB585" t="str">
            <v>.</v>
          </cell>
        </row>
        <row r="586">
          <cell r="BB586" t="str">
            <v>.</v>
          </cell>
        </row>
        <row r="587">
          <cell r="BB587" t="str">
            <v>.</v>
          </cell>
        </row>
        <row r="588">
          <cell r="BB588" t="str">
            <v>.</v>
          </cell>
        </row>
        <row r="589">
          <cell r="BB589" t="str">
            <v>.</v>
          </cell>
        </row>
        <row r="590">
          <cell r="BB590" t="str">
            <v>.</v>
          </cell>
        </row>
        <row r="591">
          <cell r="BB591" t="str">
            <v>.</v>
          </cell>
        </row>
        <row r="592">
          <cell r="BB592" t="str">
            <v>.</v>
          </cell>
        </row>
        <row r="593">
          <cell r="BB593" t="str">
            <v>.</v>
          </cell>
        </row>
        <row r="594">
          <cell r="BB594" t="str">
            <v>.</v>
          </cell>
        </row>
        <row r="595">
          <cell r="BB595" t="str">
            <v>.</v>
          </cell>
        </row>
        <row r="596">
          <cell r="BB596" t="str">
            <v>.</v>
          </cell>
        </row>
        <row r="597">
          <cell r="BB597" t="str">
            <v>.</v>
          </cell>
        </row>
        <row r="598">
          <cell r="BB598" t="str">
            <v>.</v>
          </cell>
        </row>
        <row r="599">
          <cell r="BB599" t="str">
            <v>.</v>
          </cell>
        </row>
        <row r="600">
          <cell r="BB600" t="str">
            <v>.</v>
          </cell>
        </row>
        <row r="601">
          <cell r="BB601" t="str">
            <v>.</v>
          </cell>
        </row>
        <row r="602">
          <cell r="BB602" t="str">
            <v>.</v>
          </cell>
        </row>
        <row r="603">
          <cell r="BB603" t="str">
            <v>.</v>
          </cell>
        </row>
        <row r="604">
          <cell r="BB604" t="str">
            <v>.</v>
          </cell>
        </row>
        <row r="605">
          <cell r="BB605" t="str">
            <v>.</v>
          </cell>
        </row>
        <row r="606">
          <cell r="BB606" t="str">
            <v>.</v>
          </cell>
        </row>
        <row r="607">
          <cell r="BB607" t="str">
            <v>.</v>
          </cell>
        </row>
        <row r="608">
          <cell r="BB608" t="str">
            <v>.</v>
          </cell>
        </row>
        <row r="609">
          <cell r="BB609" t="str">
            <v>.</v>
          </cell>
        </row>
        <row r="610">
          <cell r="BB610" t="str">
            <v>.</v>
          </cell>
        </row>
        <row r="611">
          <cell r="BB611" t="str">
            <v>.</v>
          </cell>
        </row>
        <row r="612">
          <cell r="BB612" t="str">
            <v>.</v>
          </cell>
        </row>
        <row r="613">
          <cell r="BB613" t="str">
            <v>.</v>
          </cell>
        </row>
        <row r="614">
          <cell r="BB614" t="str">
            <v>.</v>
          </cell>
        </row>
        <row r="615">
          <cell r="BB615" t="str">
            <v>.</v>
          </cell>
        </row>
        <row r="616">
          <cell r="BB616" t="str">
            <v>.</v>
          </cell>
        </row>
        <row r="617">
          <cell r="BB617" t="str">
            <v>.</v>
          </cell>
        </row>
        <row r="618">
          <cell r="BB618" t="str">
            <v>.</v>
          </cell>
        </row>
        <row r="619">
          <cell r="BB619" t="str">
            <v>.</v>
          </cell>
        </row>
        <row r="620">
          <cell r="BB620" t="str">
            <v>.</v>
          </cell>
        </row>
        <row r="621">
          <cell r="BB621" t="str">
            <v>.</v>
          </cell>
        </row>
        <row r="622">
          <cell r="BB622" t="str">
            <v>.</v>
          </cell>
        </row>
        <row r="623">
          <cell r="BB623" t="str">
            <v>.</v>
          </cell>
        </row>
        <row r="624">
          <cell r="BB624" t="str">
            <v>.</v>
          </cell>
        </row>
        <row r="625">
          <cell r="BB625" t="str">
            <v>.</v>
          </cell>
        </row>
        <row r="626">
          <cell r="BB626" t="str">
            <v>.</v>
          </cell>
        </row>
        <row r="627">
          <cell r="BB627" t="str">
            <v>.</v>
          </cell>
        </row>
        <row r="628">
          <cell r="BB628" t="str">
            <v>.</v>
          </cell>
        </row>
        <row r="629">
          <cell r="BB629" t="str">
            <v>.</v>
          </cell>
        </row>
        <row r="630">
          <cell r="BB630" t="str">
            <v>.</v>
          </cell>
        </row>
        <row r="631">
          <cell r="BB631" t="str">
            <v>.</v>
          </cell>
        </row>
        <row r="632">
          <cell r="BB632" t="str">
            <v>.</v>
          </cell>
        </row>
        <row r="633">
          <cell r="BB633" t="str">
            <v>.</v>
          </cell>
        </row>
        <row r="634">
          <cell r="BB634" t="str">
            <v>.</v>
          </cell>
        </row>
        <row r="635">
          <cell r="BB635" t="str">
            <v>.</v>
          </cell>
        </row>
        <row r="636">
          <cell r="BB636" t="str">
            <v>.</v>
          </cell>
        </row>
        <row r="637">
          <cell r="BB637" t="str">
            <v>.</v>
          </cell>
        </row>
        <row r="638">
          <cell r="BB638" t="str">
            <v>.</v>
          </cell>
        </row>
        <row r="639">
          <cell r="BB639" t="str">
            <v>.</v>
          </cell>
        </row>
        <row r="640">
          <cell r="BB640" t="str">
            <v>.</v>
          </cell>
        </row>
        <row r="641">
          <cell r="BB641" t="str">
            <v>.</v>
          </cell>
        </row>
        <row r="642">
          <cell r="BB642" t="str">
            <v>.</v>
          </cell>
        </row>
        <row r="643">
          <cell r="BB643" t="str">
            <v>.</v>
          </cell>
        </row>
        <row r="644">
          <cell r="BB644" t="str">
            <v>.</v>
          </cell>
        </row>
        <row r="645">
          <cell r="BB645" t="str">
            <v>.</v>
          </cell>
        </row>
        <row r="646">
          <cell r="BB646" t="str">
            <v>.</v>
          </cell>
        </row>
        <row r="647">
          <cell r="BB647" t="str">
            <v>.</v>
          </cell>
        </row>
        <row r="648">
          <cell r="BB648" t="str">
            <v>.</v>
          </cell>
        </row>
        <row r="649">
          <cell r="BB649" t="str">
            <v>.</v>
          </cell>
        </row>
        <row r="650">
          <cell r="BB650" t="str">
            <v>.</v>
          </cell>
        </row>
        <row r="651">
          <cell r="BB651" t="str">
            <v>.</v>
          </cell>
        </row>
        <row r="652">
          <cell r="BB652" t="str">
            <v>.</v>
          </cell>
        </row>
        <row r="653">
          <cell r="BB653" t="str">
            <v>.</v>
          </cell>
        </row>
        <row r="654">
          <cell r="BB654" t="str">
            <v>.</v>
          </cell>
        </row>
        <row r="655">
          <cell r="BB655" t="str">
            <v>.</v>
          </cell>
        </row>
        <row r="656">
          <cell r="BB656" t="str">
            <v>.</v>
          </cell>
        </row>
        <row r="657">
          <cell r="BB657" t="str">
            <v>.</v>
          </cell>
        </row>
        <row r="658">
          <cell r="BB658" t="str">
            <v>.</v>
          </cell>
        </row>
        <row r="659">
          <cell r="BB659" t="str">
            <v>.</v>
          </cell>
        </row>
        <row r="660">
          <cell r="BB660" t="str">
            <v>.</v>
          </cell>
        </row>
        <row r="661">
          <cell r="BB661" t="str">
            <v>.</v>
          </cell>
        </row>
        <row r="662">
          <cell r="BB662" t="str">
            <v>.</v>
          </cell>
        </row>
        <row r="663">
          <cell r="BB663" t="str">
            <v>.</v>
          </cell>
        </row>
        <row r="664">
          <cell r="BB664" t="str">
            <v>.</v>
          </cell>
        </row>
        <row r="665">
          <cell r="BB665" t="str">
            <v>.</v>
          </cell>
        </row>
        <row r="666">
          <cell r="BB666" t="str">
            <v>.</v>
          </cell>
        </row>
        <row r="667">
          <cell r="BB667" t="str">
            <v>.</v>
          </cell>
        </row>
        <row r="668">
          <cell r="BB668" t="str">
            <v>.</v>
          </cell>
        </row>
        <row r="669">
          <cell r="BB669" t="str">
            <v>.</v>
          </cell>
        </row>
        <row r="670">
          <cell r="BB670" t="str">
            <v>.</v>
          </cell>
        </row>
        <row r="671">
          <cell r="BB671" t="str">
            <v>.</v>
          </cell>
        </row>
        <row r="672">
          <cell r="BB672" t="str">
            <v>.</v>
          </cell>
        </row>
        <row r="673">
          <cell r="BB673" t="str">
            <v>.</v>
          </cell>
        </row>
        <row r="674">
          <cell r="BB674" t="str">
            <v>.</v>
          </cell>
        </row>
        <row r="675">
          <cell r="BB675" t="str">
            <v>.</v>
          </cell>
        </row>
        <row r="676">
          <cell r="BB676" t="str">
            <v>.</v>
          </cell>
        </row>
        <row r="677">
          <cell r="BB677" t="str">
            <v>.</v>
          </cell>
        </row>
        <row r="678">
          <cell r="BB678" t="str">
            <v>.</v>
          </cell>
        </row>
        <row r="679">
          <cell r="BB679" t="str">
            <v>.</v>
          </cell>
        </row>
        <row r="680">
          <cell r="BB680" t="str">
            <v>.</v>
          </cell>
        </row>
        <row r="681">
          <cell r="BB681" t="str">
            <v>.</v>
          </cell>
        </row>
        <row r="682">
          <cell r="BB682" t="str">
            <v>.</v>
          </cell>
        </row>
        <row r="683">
          <cell r="BB683" t="str">
            <v>.</v>
          </cell>
        </row>
        <row r="684">
          <cell r="BB684" t="str">
            <v>.</v>
          </cell>
        </row>
        <row r="685">
          <cell r="BB685" t="str">
            <v>.</v>
          </cell>
        </row>
        <row r="686">
          <cell r="BB686" t="str">
            <v>.</v>
          </cell>
        </row>
        <row r="687">
          <cell r="BB687" t="str">
            <v>.</v>
          </cell>
        </row>
        <row r="688">
          <cell r="BB688" t="str">
            <v>.</v>
          </cell>
        </row>
        <row r="689">
          <cell r="BB689" t="str">
            <v>.</v>
          </cell>
        </row>
        <row r="690">
          <cell r="BB690" t="str">
            <v>.</v>
          </cell>
        </row>
        <row r="691">
          <cell r="BB691" t="str">
            <v>.</v>
          </cell>
        </row>
        <row r="692">
          <cell r="BB692" t="str">
            <v>.</v>
          </cell>
        </row>
        <row r="693">
          <cell r="BB693" t="str">
            <v>.</v>
          </cell>
        </row>
        <row r="694">
          <cell r="BB694" t="str">
            <v>.</v>
          </cell>
        </row>
        <row r="695">
          <cell r="BB695" t="str">
            <v>.</v>
          </cell>
        </row>
        <row r="696">
          <cell r="BB696" t="str">
            <v>.</v>
          </cell>
        </row>
        <row r="697">
          <cell r="BB697" t="str">
            <v>.</v>
          </cell>
        </row>
        <row r="698">
          <cell r="BB698" t="str">
            <v>.</v>
          </cell>
        </row>
        <row r="699">
          <cell r="BB699" t="str">
            <v>.</v>
          </cell>
        </row>
        <row r="700">
          <cell r="BB700" t="str">
            <v>.</v>
          </cell>
        </row>
        <row r="701">
          <cell r="BB701" t="str">
            <v>.</v>
          </cell>
        </row>
        <row r="702">
          <cell r="BB702" t="str">
            <v>.</v>
          </cell>
        </row>
        <row r="703">
          <cell r="BB703" t="str">
            <v>.</v>
          </cell>
        </row>
        <row r="704">
          <cell r="BB704" t="str">
            <v>.</v>
          </cell>
        </row>
        <row r="705">
          <cell r="BB705" t="str">
            <v>.</v>
          </cell>
        </row>
        <row r="706">
          <cell r="BB706" t="str">
            <v>.</v>
          </cell>
        </row>
        <row r="707">
          <cell r="BB707" t="str">
            <v>.</v>
          </cell>
        </row>
        <row r="708">
          <cell r="BB708" t="str">
            <v>.</v>
          </cell>
        </row>
        <row r="709">
          <cell r="BB709" t="str">
            <v>.</v>
          </cell>
        </row>
        <row r="710">
          <cell r="BB710" t="str">
            <v>.</v>
          </cell>
        </row>
        <row r="711">
          <cell r="BB711" t="str">
            <v>.</v>
          </cell>
        </row>
        <row r="712">
          <cell r="BB712" t="str">
            <v>.</v>
          </cell>
        </row>
        <row r="713">
          <cell r="BB713" t="str">
            <v>.</v>
          </cell>
        </row>
        <row r="714">
          <cell r="BB714" t="str">
            <v>.</v>
          </cell>
        </row>
        <row r="715">
          <cell r="BB715" t="str">
            <v>.</v>
          </cell>
        </row>
        <row r="716">
          <cell r="BB716" t="str">
            <v>.</v>
          </cell>
        </row>
        <row r="717">
          <cell r="BB717" t="str">
            <v>.</v>
          </cell>
        </row>
        <row r="718">
          <cell r="BB718" t="str">
            <v>.</v>
          </cell>
        </row>
        <row r="719">
          <cell r="BB719" t="str">
            <v>.</v>
          </cell>
        </row>
        <row r="720">
          <cell r="BB720" t="str">
            <v>.</v>
          </cell>
        </row>
        <row r="721">
          <cell r="BB721" t="str">
            <v>.</v>
          </cell>
        </row>
        <row r="722">
          <cell r="BB722" t="str">
            <v>.</v>
          </cell>
        </row>
        <row r="723">
          <cell r="BB723" t="str">
            <v>.</v>
          </cell>
        </row>
        <row r="724">
          <cell r="BB724" t="str">
            <v>.</v>
          </cell>
        </row>
        <row r="725">
          <cell r="BB725" t="str">
            <v>.</v>
          </cell>
        </row>
        <row r="726">
          <cell r="BB726" t="str">
            <v>.</v>
          </cell>
        </row>
        <row r="727">
          <cell r="BB727" t="str">
            <v>.</v>
          </cell>
        </row>
        <row r="728">
          <cell r="BB728" t="str">
            <v>.</v>
          </cell>
        </row>
        <row r="729">
          <cell r="BB729" t="str">
            <v>.</v>
          </cell>
        </row>
        <row r="730">
          <cell r="BB730" t="str">
            <v>.</v>
          </cell>
        </row>
        <row r="731">
          <cell r="BB731" t="str">
            <v>.</v>
          </cell>
        </row>
        <row r="732">
          <cell r="BB732" t="str">
            <v>.</v>
          </cell>
        </row>
        <row r="733">
          <cell r="BB733" t="str">
            <v>.</v>
          </cell>
        </row>
        <row r="734">
          <cell r="BB734" t="str">
            <v>.</v>
          </cell>
        </row>
        <row r="735">
          <cell r="BB735" t="str">
            <v>.</v>
          </cell>
        </row>
        <row r="736">
          <cell r="BB736" t="str">
            <v>.</v>
          </cell>
        </row>
        <row r="737">
          <cell r="BB737" t="str">
            <v>.</v>
          </cell>
        </row>
        <row r="738">
          <cell r="BB738" t="str">
            <v>.</v>
          </cell>
        </row>
        <row r="739">
          <cell r="BB739" t="str">
            <v>.</v>
          </cell>
        </row>
        <row r="740">
          <cell r="BB740" t="str">
            <v>.</v>
          </cell>
        </row>
        <row r="741">
          <cell r="BB741" t="str">
            <v>.</v>
          </cell>
        </row>
        <row r="742">
          <cell r="BB742" t="str">
            <v>.</v>
          </cell>
        </row>
        <row r="743">
          <cell r="BB743" t="str">
            <v>.</v>
          </cell>
        </row>
        <row r="744">
          <cell r="BB744" t="str">
            <v>.</v>
          </cell>
        </row>
        <row r="745">
          <cell r="BB745" t="str">
            <v>.</v>
          </cell>
        </row>
        <row r="746">
          <cell r="BB746" t="str">
            <v>.</v>
          </cell>
        </row>
        <row r="747">
          <cell r="BB747" t="str">
            <v>.</v>
          </cell>
        </row>
        <row r="748">
          <cell r="BB748" t="str">
            <v>.</v>
          </cell>
        </row>
        <row r="749">
          <cell r="BB749" t="str">
            <v>.</v>
          </cell>
        </row>
        <row r="750">
          <cell r="BB750" t="str">
            <v>.</v>
          </cell>
        </row>
        <row r="751">
          <cell r="BB751" t="str">
            <v>.</v>
          </cell>
        </row>
        <row r="752">
          <cell r="BB752" t="str">
            <v>.</v>
          </cell>
        </row>
        <row r="753">
          <cell r="BB753" t="str">
            <v>.</v>
          </cell>
        </row>
        <row r="754">
          <cell r="BB754" t="str">
            <v>.</v>
          </cell>
        </row>
        <row r="755">
          <cell r="BB755" t="str">
            <v>.</v>
          </cell>
        </row>
        <row r="756">
          <cell r="BB756" t="str">
            <v>.</v>
          </cell>
        </row>
        <row r="757">
          <cell r="BB757" t="str">
            <v>.</v>
          </cell>
        </row>
        <row r="758">
          <cell r="BB758" t="str">
            <v>.</v>
          </cell>
        </row>
        <row r="759">
          <cell r="BB759" t="str">
            <v>.</v>
          </cell>
        </row>
        <row r="760">
          <cell r="BB760" t="str">
            <v>.</v>
          </cell>
        </row>
        <row r="761">
          <cell r="BB761" t="str">
            <v>.</v>
          </cell>
        </row>
        <row r="762">
          <cell r="BB762" t="str">
            <v>.</v>
          </cell>
        </row>
        <row r="763">
          <cell r="BB763" t="str">
            <v>.</v>
          </cell>
        </row>
        <row r="764">
          <cell r="BB764" t="str">
            <v>.</v>
          </cell>
        </row>
        <row r="765">
          <cell r="BB765" t="str">
            <v>.</v>
          </cell>
        </row>
        <row r="766">
          <cell r="BB766" t="str">
            <v>.</v>
          </cell>
        </row>
        <row r="767">
          <cell r="BB767" t="str">
            <v>.</v>
          </cell>
        </row>
        <row r="768">
          <cell r="BB768" t="str">
            <v>.</v>
          </cell>
        </row>
        <row r="769">
          <cell r="BB769" t="str">
            <v>.</v>
          </cell>
        </row>
        <row r="770">
          <cell r="BB770" t="str">
            <v>.</v>
          </cell>
        </row>
        <row r="771">
          <cell r="BB771" t="str">
            <v>.</v>
          </cell>
        </row>
        <row r="772">
          <cell r="BB772" t="str">
            <v>.</v>
          </cell>
        </row>
        <row r="773">
          <cell r="BB773" t="str">
            <v>.</v>
          </cell>
        </row>
        <row r="774">
          <cell r="BB774" t="str">
            <v>.</v>
          </cell>
        </row>
        <row r="775">
          <cell r="BB775" t="str">
            <v>.</v>
          </cell>
        </row>
        <row r="776">
          <cell r="BB776" t="str">
            <v>.</v>
          </cell>
        </row>
        <row r="777">
          <cell r="BB777" t="str">
            <v>.</v>
          </cell>
        </row>
        <row r="778">
          <cell r="BB778" t="str">
            <v>.</v>
          </cell>
        </row>
        <row r="779">
          <cell r="BB779" t="str">
            <v>.</v>
          </cell>
        </row>
        <row r="780">
          <cell r="BB780" t="str">
            <v>.</v>
          </cell>
        </row>
        <row r="781">
          <cell r="BB781" t="str">
            <v>.</v>
          </cell>
        </row>
        <row r="782">
          <cell r="BB782" t="str">
            <v>.</v>
          </cell>
        </row>
        <row r="783">
          <cell r="BB783" t="str">
            <v>.</v>
          </cell>
        </row>
        <row r="784">
          <cell r="BB784" t="str">
            <v>.</v>
          </cell>
        </row>
        <row r="785">
          <cell r="BB785" t="str">
            <v>.</v>
          </cell>
        </row>
        <row r="786">
          <cell r="BB786" t="str">
            <v>.</v>
          </cell>
        </row>
        <row r="787">
          <cell r="BB787" t="str">
            <v>.</v>
          </cell>
        </row>
        <row r="788">
          <cell r="BB788" t="str">
            <v>.</v>
          </cell>
        </row>
        <row r="789">
          <cell r="BB789" t="str">
            <v>.</v>
          </cell>
        </row>
        <row r="790">
          <cell r="BB790" t="str">
            <v>.</v>
          </cell>
        </row>
        <row r="791">
          <cell r="BB791" t="str">
            <v>.</v>
          </cell>
        </row>
        <row r="792">
          <cell r="BB792" t="str">
            <v>.</v>
          </cell>
        </row>
        <row r="793">
          <cell r="BB793" t="str">
            <v>.</v>
          </cell>
        </row>
        <row r="794">
          <cell r="BB794" t="str">
            <v>.</v>
          </cell>
        </row>
        <row r="795">
          <cell r="BB795" t="str">
            <v>.</v>
          </cell>
        </row>
        <row r="796">
          <cell r="BB796" t="str">
            <v>.</v>
          </cell>
        </row>
        <row r="797">
          <cell r="BB797" t="str">
            <v>.</v>
          </cell>
        </row>
        <row r="798">
          <cell r="BB798" t="str">
            <v>.</v>
          </cell>
        </row>
        <row r="799">
          <cell r="BB799" t="str">
            <v>.</v>
          </cell>
        </row>
        <row r="800">
          <cell r="BB800" t="str">
            <v>.</v>
          </cell>
        </row>
        <row r="801">
          <cell r="BB801" t="str">
            <v>.</v>
          </cell>
        </row>
        <row r="802">
          <cell r="BB802" t="str">
            <v>.</v>
          </cell>
        </row>
        <row r="803">
          <cell r="BB803" t="str">
            <v>.</v>
          </cell>
        </row>
        <row r="804">
          <cell r="BB804" t="str">
            <v>.</v>
          </cell>
        </row>
        <row r="805">
          <cell r="BB805" t="str">
            <v>.</v>
          </cell>
        </row>
        <row r="806">
          <cell r="BB806" t="str">
            <v>.</v>
          </cell>
        </row>
        <row r="807">
          <cell r="BB807" t="str">
            <v>.</v>
          </cell>
        </row>
        <row r="808">
          <cell r="BB808" t="str">
            <v>.</v>
          </cell>
        </row>
        <row r="809">
          <cell r="BB809" t="str">
            <v>.</v>
          </cell>
        </row>
        <row r="810">
          <cell r="BB810" t="str">
            <v>.</v>
          </cell>
        </row>
        <row r="811">
          <cell r="BB811" t="str">
            <v>.</v>
          </cell>
        </row>
        <row r="812">
          <cell r="BB812" t="str">
            <v>.</v>
          </cell>
        </row>
        <row r="813">
          <cell r="BB813" t="str">
            <v>.</v>
          </cell>
        </row>
        <row r="814">
          <cell r="BB814" t="str">
            <v>.</v>
          </cell>
        </row>
        <row r="815">
          <cell r="BB815" t="str">
            <v>.</v>
          </cell>
        </row>
        <row r="816">
          <cell r="BB816" t="str">
            <v>.</v>
          </cell>
        </row>
        <row r="817">
          <cell r="BB817" t="str">
            <v>.</v>
          </cell>
        </row>
        <row r="818">
          <cell r="BB818" t="str">
            <v>.</v>
          </cell>
        </row>
        <row r="819">
          <cell r="BB819" t="str">
            <v>.</v>
          </cell>
        </row>
        <row r="820">
          <cell r="BB820" t="str">
            <v>.</v>
          </cell>
        </row>
        <row r="821">
          <cell r="BB821" t="str">
            <v>.</v>
          </cell>
        </row>
        <row r="822">
          <cell r="BB822" t="str">
            <v>.</v>
          </cell>
        </row>
        <row r="823">
          <cell r="BB823" t="str">
            <v>.</v>
          </cell>
        </row>
        <row r="824">
          <cell r="BB824" t="str">
            <v>.</v>
          </cell>
        </row>
        <row r="825">
          <cell r="BB825" t="str">
            <v>.</v>
          </cell>
        </row>
        <row r="826">
          <cell r="BB826" t="str">
            <v>.</v>
          </cell>
        </row>
        <row r="827">
          <cell r="BB827" t="str">
            <v>.</v>
          </cell>
        </row>
        <row r="828">
          <cell r="BB828" t="str">
            <v>.</v>
          </cell>
        </row>
        <row r="829">
          <cell r="BB829" t="str">
            <v>.</v>
          </cell>
        </row>
        <row r="830">
          <cell r="BB830" t="str">
            <v>.</v>
          </cell>
        </row>
        <row r="831">
          <cell r="BB831" t="str">
            <v>.</v>
          </cell>
        </row>
        <row r="832">
          <cell r="BB832" t="str">
            <v>.</v>
          </cell>
        </row>
        <row r="833">
          <cell r="BB833" t="str">
            <v>.</v>
          </cell>
        </row>
        <row r="834">
          <cell r="BB834" t="str">
            <v>.</v>
          </cell>
        </row>
        <row r="835">
          <cell r="BB835" t="str">
            <v>.</v>
          </cell>
        </row>
        <row r="836">
          <cell r="BB836" t="str">
            <v>.</v>
          </cell>
        </row>
        <row r="837">
          <cell r="BB837" t="str">
            <v>.</v>
          </cell>
        </row>
        <row r="838">
          <cell r="BB838" t="str">
            <v>.</v>
          </cell>
        </row>
        <row r="839">
          <cell r="BB839" t="str">
            <v>.</v>
          </cell>
        </row>
        <row r="840">
          <cell r="BB840" t="str">
            <v>.</v>
          </cell>
        </row>
        <row r="841">
          <cell r="BB841" t="str">
            <v>.</v>
          </cell>
        </row>
        <row r="842">
          <cell r="BB842" t="str">
            <v>.</v>
          </cell>
        </row>
        <row r="843">
          <cell r="BB843" t="str">
            <v>.</v>
          </cell>
        </row>
        <row r="844">
          <cell r="BB844" t="str">
            <v>.</v>
          </cell>
        </row>
        <row r="845">
          <cell r="BB845" t="str">
            <v>.</v>
          </cell>
        </row>
        <row r="846">
          <cell r="BB846" t="str">
            <v>.</v>
          </cell>
        </row>
        <row r="847">
          <cell r="BB847" t="str">
            <v>.</v>
          </cell>
        </row>
        <row r="848">
          <cell r="BB848" t="str">
            <v>.</v>
          </cell>
        </row>
        <row r="849">
          <cell r="BB849" t="str">
            <v>.</v>
          </cell>
        </row>
        <row r="850">
          <cell r="BB850" t="str">
            <v>.</v>
          </cell>
        </row>
        <row r="851">
          <cell r="BB851" t="str">
            <v>.</v>
          </cell>
        </row>
        <row r="852">
          <cell r="BB852" t="str">
            <v>.</v>
          </cell>
        </row>
        <row r="853">
          <cell r="BB853" t="str">
            <v>.</v>
          </cell>
        </row>
        <row r="854">
          <cell r="BB854" t="str">
            <v>.</v>
          </cell>
        </row>
        <row r="855">
          <cell r="BB855" t="str">
            <v>.</v>
          </cell>
        </row>
        <row r="856">
          <cell r="BB856" t="str">
            <v>.</v>
          </cell>
        </row>
        <row r="857">
          <cell r="BB857" t="str">
            <v>.</v>
          </cell>
        </row>
        <row r="858">
          <cell r="BB858" t="str">
            <v>.</v>
          </cell>
        </row>
        <row r="859">
          <cell r="BB859" t="str">
            <v>.</v>
          </cell>
        </row>
        <row r="860">
          <cell r="BB860" t="str">
            <v>.</v>
          </cell>
        </row>
        <row r="861">
          <cell r="BB861" t="str">
            <v>.</v>
          </cell>
        </row>
        <row r="862">
          <cell r="BB862" t="str">
            <v>.</v>
          </cell>
        </row>
        <row r="863">
          <cell r="BB863" t="str">
            <v>.</v>
          </cell>
        </row>
        <row r="864">
          <cell r="BB864" t="str">
            <v>.</v>
          </cell>
        </row>
        <row r="865">
          <cell r="BB865" t="str">
            <v>.</v>
          </cell>
        </row>
        <row r="866">
          <cell r="BB866" t="str">
            <v>.</v>
          </cell>
        </row>
        <row r="867">
          <cell r="BB867" t="str">
            <v>.</v>
          </cell>
        </row>
        <row r="868">
          <cell r="BB868" t="str">
            <v>.</v>
          </cell>
        </row>
        <row r="869">
          <cell r="BB869" t="str">
            <v>.</v>
          </cell>
        </row>
        <row r="870">
          <cell r="BB870" t="str">
            <v>.</v>
          </cell>
        </row>
        <row r="871">
          <cell r="BB871" t="str">
            <v>.</v>
          </cell>
        </row>
        <row r="872">
          <cell r="BB872" t="str">
            <v>.</v>
          </cell>
        </row>
        <row r="873">
          <cell r="BB873" t="str">
            <v>.</v>
          </cell>
        </row>
        <row r="874">
          <cell r="BB874" t="str">
            <v>.</v>
          </cell>
        </row>
        <row r="875">
          <cell r="BB875" t="str">
            <v>.</v>
          </cell>
        </row>
        <row r="876">
          <cell r="BB876" t="str">
            <v>.</v>
          </cell>
        </row>
        <row r="877">
          <cell r="BB877" t="str">
            <v>.</v>
          </cell>
        </row>
        <row r="878">
          <cell r="BB878" t="str">
            <v>.</v>
          </cell>
        </row>
        <row r="879">
          <cell r="BB879" t="str">
            <v>.</v>
          </cell>
        </row>
        <row r="880">
          <cell r="BB880" t="str">
            <v>.</v>
          </cell>
        </row>
        <row r="881">
          <cell r="BB881" t="str">
            <v>.</v>
          </cell>
        </row>
        <row r="882">
          <cell r="BB882" t="str">
            <v>.</v>
          </cell>
        </row>
        <row r="883">
          <cell r="BB883" t="str">
            <v>.</v>
          </cell>
        </row>
        <row r="884">
          <cell r="BB884" t="str">
            <v>.</v>
          </cell>
        </row>
        <row r="885">
          <cell r="BB885" t="str">
            <v>.</v>
          </cell>
        </row>
        <row r="886">
          <cell r="BB886" t="str">
            <v>.</v>
          </cell>
        </row>
        <row r="887">
          <cell r="BB887" t="str">
            <v>.</v>
          </cell>
        </row>
        <row r="888">
          <cell r="BB888" t="str">
            <v>.</v>
          </cell>
        </row>
        <row r="889">
          <cell r="BB889" t="str">
            <v>.</v>
          </cell>
        </row>
        <row r="890">
          <cell r="BB890" t="str">
            <v>.</v>
          </cell>
        </row>
        <row r="891">
          <cell r="BB891" t="str">
            <v>.</v>
          </cell>
        </row>
        <row r="892">
          <cell r="BB892" t="str">
            <v>.</v>
          </cell>
        </row>
        <row r="893">
          <cell r="BB893" t="str">
            <v>.</v>
          </cell>
        </row>
        <row r="894">
          <cell r="BB894" t="str">
            <v>.</v>
          </cell>
        </row>
        <row r="895">
          <cell r="BB895" t="str">
            <v>.</v>
          </cell>
        </row>
        <row r="896">
          <cell r="BB896" t="str">
            <v>.</v>
          </cell>
        </row>
        <row r="897">
          <cell r="BB897" t="str">
            <v>.</v>
          </cell>
        </row>
        <row r="898">
          <cell r="BB898" t="str">
            <v>.</v>
          </cell>
        </row>
        <row r="899">
          <cell r="BB899" t="str">
            <v>.</v>
          </cell>
        </row>
        <row r="900">
          <cell r="BB900" t="str">
            <v>.</v>
          </cell>
        </row>
        <row r="901">
          <cell r="BB901" t="str">
            <v>.</v>
          </cell>
        </row>
        <row r="902">
          <cell r="BB902" t="str">
            <v>.</v>
          </cell>
        </row>
        <row r="903">
          <cell r="BB903" t="str">
            <v>.</v>
          </cell>
        </row>
        <row r="904">
          <cell r="BB904" t="str">
            <v>.</v>
          </cell>
        </row>
        <row r="905">
          <cell r="BB905" t="str">
            <v>.</v>
          </cell>
        </row>
        <row r="906">
          <cell r="BB906" t="str">
            <v>.</v>
          </cell>
        </row>
        <row r="907">
          <cell r="BB907" t="str">
            <v>.</v>
          </cell>
        </row>
        <row r="908">
          <cell r="BB908" t="str">
            <v>.</v>
          </cell>
        </row>
        <row r="909">
          <cell r="BB909" t="str">
            <v>.</v>
          </cell>
        </row>
        <row r="910">
          <cell r="BB910" t="str">
            <v>.</v>
          </cell>
        </row>
        <row r="911">
          <cell r="BB911" t="str">
            <v>.</v>
          </cell>
        </row>
        <row r="912">
          <cell r="BB912" t="str">
            <v>.</v>
          </cell>
        </row>
        <row r="913">
          <cell r="BB913" t="str">
            <v>.</v>
          </cell>
        </row>
        <row r="914">
          <cell r="BB914" t="str">
            <v>.</v>
          </cell>
        </row>
        <row r="915">
          <cell r="BB915" t="str">
            <v>.</v>
          </cell>
        </row>
        <row r="916">
          <cell r="BB916" t="str">
            <v>.</v>
          </cell>
        </row>
        <row r="917">
          <cell r="BB917" t="str">
            <v>.</v>
          </cell>
        </row>
        <row r="918">
          <cell r="BB918" t="str">
            <v>.</v>
          </cell>
        </row>
        <row r="919">
          <cell r="BB919" t="str">
            <v>.</v>
          </cell>
        </row>
        <row r="920">
          <cell r="BB920" t="str">
            <v>.</v>
          </cell>
        </row>
        <row r="921">
          <cell r="BB921" t="str">
            <v>.</v>
          </cell>
        </row>
        <row r="922">
          <cell r="BB922" t="str">
            <v>.</v>
          </cell>
        </row>
        <row r="923">
          <cell r="BB923" t="str">
            <v>.</v>
          </cell>
        </row>
        <row r="924">
          <cell r="BB924" t="str">
            <v>.</v>
          </cell>
        </row>
        <row r="925">
          <cell r="BB925" t="str">
            <v>.</v>
          </cell>
        </row>
        <row r="926">
          <cell r="BB926" t="str">
            <v>.</v>
          </cell>
        </row>
        <row r="927">
          <cell r="BB927" t="str">
            <v>.</v>
          </cell>
        </row>
        <row r="928">
          <cell r="BB928" t="str">
            <v>.</v>
          </cell>
        </row>
        <row r="929">
          <cell r="BB929" t="str">
            <v>.</v>
          </cell>
        </row>
        <row r="930">
          <cell r="BB930" t="str">
            <v>.</v>
          </cell>
        </row>
        <row r="931">
          <cell r="BB931" t="str">
            <v>.</v>
          </cell>
        </row>
        <row r="932">
          <cell r="BB932" t="str">
            <v>.</v>
          </cell>
        </row>
        <row r="933">
          <cell r="BB933" t="str">
            <v>.</v>
          </cell>
        </row>
        <row r="934">
          <cell r="BB934" t="str">
            <v>.</v>
          </cell>
        </row>
        <row r="935">
          <cell r="BB935" t="str">
            <v>.</v>
          </cell>
        </row>
        <row r="936">
          <cell r="BB936" t="str">
            <v>.</v>
          </cell>
        </row>
        <row r="937">
          <cell r="BB937" t="str">
            <v>.</v>
          </cell>
        </row>
        <row r="938">
          <cell r="BB938" t="str">
            <v>.</v>
          </cell>
        </row>
        <row r="939">
          <cell r="BB939" t="str">
            <v>.</v>
          </cell>
        </row>
        <row r="940">
          <cell r="BB940" t="str">
            <v>.</v>
          </cell>
        </row>
        <row r="941">
          <cell r="BB941" t="str">
            <v>.</v>
          </cell>
        </row>
        <row r="942">
          <cell r="BB942" t="str">
            <v>.</v>
          </cell>
        </row>
        <row r="943">
          <cell r="BB943" t="str">
            <v>.</v>
          </cell>
        </row>
        <row r="944">
          <cell r="BB944" t="str">
            <v>.</v>
          </cell>
        </row>
        <row r="945">
          <cell r="BB945" t="str">
            <v>.</v>
          </cell>
        </row>
        <row r="946">
          <cell r="BB946" t="str">
            <v>.</v>
          </cell>
        </row>
        <row r="947">
          <cell r="BB947" t="str">
            <v>.</v>
          </cell>
        </row>
        <row r="948">
          <cell r="BB948" t="str">
            <v>.</v>
          </cell>
        </row>
        <row r="949">
          <cell r="BB949" t="str">
            <v>.</v>
          </cell>
        </row>
        <row r="950">
          <cell r="BB950" t="str">
            <v>.</v>
          </cell>
        </row>
        <row r="951">
          <cell r="BB951" t="str">
            <v>.</v>
          </cell>
        </row>
        <row r="952">
          <cell r="BB952" t="str">
            <v>.</v>
          </cell>
        </row>
        <row r="953">
          <cell r="BB953" t="str">
            <v>.</v>
          </cell>
        </row>
        <row r="954">
          <cell r="BB954" t="str">
            <v>.</v>
          </cell>
        </row>
        <row r="955">
          <cell r="BB955" t="str">
            <v>.</v>
          </cell>
        </row>
        <row r="956">
          <cell r="BB956" t="str">
            <v>.</v>
          </cell>
        </row>
        <row r="957">
          <cell r="BB957" t="str">
            <v>.</v>
          </cell>
        </row>
        <row r="958">
          <cell r="BB958" t="str">
            <v>.</v>
          </cell>
        </row>
        <row r="959">
          <cell r="BB959" t="str">
            <v>.</v>
          </cell>
        </row>
        <row r="960">
          <cell r="BB960" t="str">
            <v>.</v>
          </cell>
        </row>
        <row r="961">
          <cell r="BB961" t="str">
            <v>.</v>
          </cell>
        </row>
        <row r="962">
          <cell r="BB962" t="str">
            <v>.</v>
          </cell>
        </row>
        <row r="963">
          <cell r="BB963" t="str">
            <v>.</v>
          </cell>
        </row>
        <row r="964">
          <cell r="BB964" t="str">
            <v>.</v>
          </cell>
        </row>
        <row r="965">
          <cell r="BB965" t="str">
            <v>.</v>
          </cell>
        </row>
        <row r="966">
          <cell r="BB966" t="str">
            <v>.</v>
          </cell>
        </row>
        <row r="967">
          <cell r="BB967" t="str">
            <v>.</v>
          </cell>
        </row>
        <row r="968">
          <cell r="BB968" t="str">
            <v>.</v>
          </cell>
        </row>
        <row r="969">
          <cell r="BB969" t="str">
            <v>.</v>
          </cell>
        </row>
        <row r="970">
          <cell r="BB970" t="str">
            <v>.</v>
          </cell>
        </row>
        <row r="971">
          <cell r="BB971" t="str">
            <v>.</v>
          </cell>
        </row>
        <row r="972">
          <cell r="BB972" t="str">
            <v>.</v>
          </cell>
        </row>
        <row r="973">
          <cell r="BB973" t="str">
            <v>.</v>
          </cell>
        </row>
        <row r="974">
          <cell r="BB974" t="str">
            <v>.</v>
          </cell>
        </row>
        <row r="975">
          <cell r="BB975" t="str">
            <v>.</v>
          </cell>
        </row>
        <row r="976">
          <cell r="BB976" t="str">
            <v>.</v>
          </cell>
        </row>
        <row r="977">
          <cell r="BB977" t="str">
            <v>.</v>
          </cell>
        </row>
        <row r="978">
          <cell r="BB978" t="str">
            <v>.</v>
          </cell>
        </row>
        <row r="979">
          <cell r="BB979" t="str">
            <v>.</v>
          </cell>
        </row>
        <row r="980">
          <cell r="BB980" t="str">
            <v>.</v>
          </cell>
        </row>
        <row r="981">
          <cell r="BB981" t="str">
            <v>.</v>
          </cell>
        </row>
        <row r="982">
          <cell r="BB982" t="str">
            <v>.</v>
          </cell>
        </row>
        <row r="983">
          <cell r="BB983" t="str">
            <v>.</v>
          </cell>
        </row>
        <row r="984">
          <cell r="BB984" t="str">
            <v>.</v>
          </cell>
        </row>
        <row r="985">
          <cell r="BB985" t="str">
            <v>.</v>
          </cell>
        </row>
        <row r="986">
          <cell r="BB986" t="str">
            <v>.</v>
          </cell>
        </row>
        <row r="987">
          <cell r="BB987" t="str">
            <v>.</v>
          </cell>
        </row>
        <row r="988">
          <cell r="BB988" t="str">
            <v>.</v>
          </cell>
        </row>
        <row r="989">
          <cell r="BB989" t="str">
            <v>.</v>
          </cell>
        </row>
        <row r="990">
          <cell r="BB990" t="str">
            <v>.</v>
          </cell>
        </row>
        <row r="991">
          <cell r="BB991" t="str">
            <v>.</v>
          </cell>
        </row>
        <row r="992">
          <cell r="BB992" t="str">
            <v>.</v>
          </cell>
        </row>
        <row r="993">
          <cell r="BB993" t="str">
            <v>.</v>
          </cell>
        </row>
        <row r="994">
          <cell r="BB994" t="str">
            <v>.</v>
          </cell>
        </row>
        <row r="995">
          <cell r="BB995" t="str">
            <v>.</v>
          </cell>
        </row>
        <row r="996">
          <cell r="BB996" t="str">
            <v>.</v>
          </cell>
        </row>
        <row r="997">
          <cell r="A997" t="str">
            <v>.</v>
          </cell>
          <cell r="B997" t="str">
            <v>.</v>
          </cell>
          <cell r="C997" t="str">
            <v>.</v>
          </cell>
          <cell r="D997" t="str">
            <v>.</v>
          </cell>
          <cell r="E997" t="str">
            <v>.</v>
          </cell>
          <cell r="F997" t="str">
            <v>.</v>
          </cell>
          <cell r="G997" t="str">
            <v>.</v>
          </cell>
          <cell r="I997" t="str">
            <v>.</v>
          </cell>
          <cell r="T997" t="str">
            <v>.</v>
          </cell>
          <cell r="U997" t="str">
            <v>.</v>
          </cell>
          <cell r="V997" t="str">
            <v>.</v>
          </cell>
          <cell r="W997" t="str">
            <v>.</v>
          </cell>
          <cell r="X997" t="str">
            <v>.</v>
          </cell>
          <cell r="Y997" t="str">
            <v>.</v>
          </cell>
          <cell r="Z997" t="str">
            <v>.</v>
          </cell>
          <cell r="AA997" t="str">
            <v>.</v>
          </cell>
          <cell r="AB997" t="str">
            <v>.</v>
          </cell>
          <cell r="AC997" t="str">
            <v>.</v>
          </cell>
          <cell r="AD997" t="str">
            <v>.</v>
          </cell>
          <cell r="AE997" t="str">
            <v>.</v>
          </cell>
          <cell r="AF997" t="str">
            <v>.</v>
          </cell>
          <cell r="AG997" t="str">
            <v>.</v>
          </cell>
          <cell r="AH997" t="str">
            <v>.</v>
          </cell>
          <cell r="AI997" t="str">
            <v>.</v>
          </cell>
          <cell r="AJ997" t="str">
            <v>.</v>
          </cell>
          <cell r="AK997" t="str">
            <v>.</v>
          </cell>
          <cell r="AL997" t="str">
            <v>.</v>
          </cell>
          <cell r="AM997" t="str">
            <v>.</v>
          </cell>
          <cell r="AN997" t="str">
            <v>.</v>
          </cell>
          <cell r="AO997" t="str">
            <v>.</v>
          </cell>
          <cell r="AP997" t="str">
            <v>.</v>
          </cell>
          <cell r="AQ997" t="str">
            <v>.</v>
          </cell>
          <cell r="AR997" t="str">
            <v>.</v>
          </cell>
          <cell r="AS997" t="str">
            <v>.</v>
          </cell>
          <cell r="AT997" t="str">
            <v>.</v>
          </cell>
          <cell r="AU997" t="str">
            <v>.</v>
          </cell>
          <cell r="AV997" t="str">
            <v>.</v>
          </cell>
          <cell r="AW997" t="str">
            <v>.</v>
          </cell>
          <cell r="AX997" t="str">
            <v>.</v>
          </cell>
          <cell r="AY997" t="str">
            <v>.</v>
          </cell>
          <cell r="AZ997" t="str">
            <v>.</v>
          </cell>
          <cell r="BA997" t="str">
            <v>.</v>
          </cell>
          <cell r="BB997" t="str">
            <v>.</v>
          </cell>
        </row>
      </sheetData>
      <sheetData sheetId="4"/>
      <sheetData sheetId="5">
        <row r="1">
          <cell r="S1" t="str">
            <v>SmartCharts</v>
          </cell>
          <cell r="BB1" t="str">
            <v>.</v>
          </cell>
        </row>
        <row r="2">
          <cell r="BB2" t="str">
            <v>.</v>
          </cell>
        </row>
        <row r="3">
          <cell r="BB3" t="str">
            <v>.</v>
          </cell>
        </row>
        <row r="4">
          <cell r="BB4" t="str">
            <v>.</v>
          </cell>
        </row>
        <row r="5">
          <cell r="C5" t="str">
            <v>Define value axis here:</v>
          </cell>
        </row>
        <row r="6">
          <cell r="C6" t="str">
            <v>Pharmaceutical Revenue Contribution</v>
          </cell>
        </row>
        <row r="10">
          <cell r="C10" t="str">
            <v>Input your data here:</v>
          </cell>
          <cell r="BB10" t="str">
            <v>.</v>
          </cell>
        </row>
        <row r="11">
          <cell r="D11" t="str">
            <v>Traditional</v>
          </cell>
          <cell r="E11" t="str">
            <v>Biologic</v>
          </cell>
          <cell r="BB11" t="str">
            <v>.</v>
          </cell>
        </row>
        <row r="12">
          <cell r="C12">
            <v>2010</v>
          </cell>
          <cell r="D12">
            <v>0.82430001699349376</v>
          </cell>
          <cell r="E12">
            <v>0.17569998300650647</v>
          </cell>
          <cell r="BB12" t="str">
            <v>.</v>
          </cell>
        </row>
        <row r="13">
          <cell r="C13">
            <v>2011</v>
          </cell>
          <cell r="D13">
            <v>0.80735644965960518</v>
          </cell>
          <cell r="E13">
            <v>0.19264355034039463</v>
          </cell>
          <cell r="BB13" t="str">
            <v>.</v>
          </cell>
        </row>
        <row r="14">
          <cell r="C14">
            <v>2012</v>
          </cell>
          <cell r="D14">
            <v>0.74906834211819795</v>
          </cell>
          <cell r="E14">
            <v>0.25093165788180211</v>
          </cell>
          <cell r="BB14" t="str">
            <v>.</v>
          </cell>
        </row>
        <row r="15">
          <cell r="C15">
            <v>2013</v>
          </cell>
          <cell r="D15">
            <v>0.72367300587064676</v>
          </cell>
          <cell r="E15">
            <v>0.27632699412935324</v>
          </cell>
          <cell r="BB15" t="str">
            <v>.</v>
          </cell>
        </row>
        <row r="16">
          <cell r="C16">
            <v>2014</v>
          </cell>
          <cell r="D16">
            <v>0.70424570108479179</v>
          </cell>
          <cell r="E16">
            <v>0.29575429891520816</v>
          </cell>
          <cell r="BB16" t="str">
            <v>.</v>
          </cell>
        </row>
        <row r="17">
          <cell r="C17">
            <v>2015</v>
          </cell>
          <cell r="D17">
            <v>0.68245948091534925</v>
          </cell>
          <cell r="E17">
            <v>0.3175405190846507</v>
          </cell>
          <cell r="BB17" t="str">
            <v>.</v>
          </cell>
        </row>
        <row r="18">
          <cell r="BB18" t="str">
            <v>.</v>
          </cell>
        </row>
        <row r="20">
          <cell r="BB20" t="str">
            <v>.</v>
          </cell>
        </row>
        <row r="21">
          <cell r="BB21" t="str">
            <v>.</v>
          </cell>
        </row>
        <row r="22">
          <cell r="BB22" t="str">
            <v>.</v>
          </cell>
        </row>
        <row r="23">
          <cell r="BB23" t="str">
            <v>.</v>
          </cell>
        </row>
        <row r="24">
          <cell r="BB24" t="str">
            <v>.</v>
          </cell>
        </row>
        <row r="25">
          <cell r="BB25" t="str">
            <v>.</v>
          </cell>
        </row>
        <row r="26">
          <cell r="BB26" t="str">
            <v>.</v>
          </cell>
        </row>
        <row r="27">
          <cell r="BB27" t="str">
            <v>.</v>
          </cell>
        </row>
        <row r="28">
          <cell r="BB28" t="str">
            <v>.</v>
          </cell>
        </row>
        <row r="29">
          <cell r="BB29" t="str">
            <v>.</v>
          </cell>
        </row>
        <row r="30">
          <cell r="BB30" t="str">
            <v>.</v>
          </cell>
        </row>
        <row r="31">
          <cell r="BB31" t="str">
            <v>.</v>
          </cell>
        </row>
        <row r="32">
          <cell r="BB32" t="str">
            <v>.</v>
          </cell>
        </row>
        <row r="33">
          <cell r="BB33" t="str">
            <v>.</v>
          </cell>
        </row>
        <row r="34">
          <cell r="BB34" t="str">
            <v>.</v>
          </cell>
        </row>
        <row r="35">
          <cell r="BB35" t="str">
            <v>.</v>
          </cell>
        </row>
        <row r="36">
          <cell r="BB36" t="str">
            <v>.</v>
          </cell>
        </row>
        <row r="37">
          <cell r="K37" t="str">
            <v>Do not change the width of the exhibit or font sizes (they are optimized for export to Word).</v>
          </cell>
          <cell r="BB37" t="str">
            <v>.</v>
          </cell>
        </row>
        <row r="38">
          <cell r="BB38" t="str">
            <v>.</v>
          </cell>
        </row>
        <row r="39">
          <cell r="K39" t="str">
            <v>Do not delete any rows or columns (some gray cells are used for calculations).</v>
          </cell>
          <cell r="BB39" t="str">
            <v>.</v>
          </cell>
        </row>
        <row r="40">
          <cell r="BB40" t="str">
            <v>.</v>
          </cell>
        </row>
        <row r="41">
          <cell r="BB41" t="str">
            <v>.</v>
          </cell>
        </row>
        <row r="42">
          <cell r="BB42" t="str">
            <v>.</v>
          </cell>
        </row>
        <row r="43">
          <cell r="BB43" t="str">
            <v>.</v>
          </cell>
        </row>
        <row r="44">
          <cell r="BB44" t="str">
            <v>.</v>
          </cell>
        </row>
        <row r="45">
          <cell r="BB45" t="str">
            <v>.</v>
          </cell>
        </row>
        <row r="46">
          <cell r="BB46" t="str">
            <v>.</v>
          </cell>
        </row>
        <row r="47">
          <cell r="BB47" t="str">
            <v>.</v>
          </cell>
        </row>
        <row r="48">
          <cell r="BB48" t="str">
            <v>.</v>
          </cell>
        </row>
        <row r="49">
          <cell r="BB49" t="str">
            <v>.</v>
          </cell>
        </row>
        <row r="50">
          <cell r="BB50" t="str">
            <v>.</v>
          </cell>
        </row>
        <row r="51">
          <cell r="BB51" t="str">
            <v>.</v>
          </cell>
        </row>
        <row r="52">
          <cell r="BB52" t="str">
            <v>.</v>
          </cell>
        </row>
        <row r="53">
          <cell r="BB53" t="str">
            <v>.</v>
          </cell>
        </row>
        <row r="54">
          <cell r="BB54" t="str">
            <v>.</v>
          </cell>
        </row>
        <row r="55">
          <cell r="BB55" t="str">
            <v>.</v>
          </cell>
        </row>
        <row r="56">
          <cell r="BB56" t="str">
            <v>.</v>
          </cell>
        </row>
        <row r="57">
          <cell r="BB57" t="str">
            <v>.</v>
          </cell>
        </row>
        <row r="58">
          <cell r="BB58" t="str">
            <v>.</v>
          </cell>
        </row>
        <row r="59">
          <cell r="BB59" t="str">
            <v>.</v>
          </cell>
        </row>
        <row r="60">
          <cell r="BB60" t="str">
            <v>.</v>
          </cell>
        </row>
        <row r="61">
          <cell r="BB61" t="str">
            <v>.</v>
          </cell>
        </row>
        <row r="62">
          <cell r="BB62" t="str">
            <v>.</v>
          </cell>
        </row>
        <row r="63">
          <cell r="BB63" t="str">
            <v>.</v>
          </cell>
        </row>
        <row r="64">
          <cell r="BB64" t="str">
            <v>.</v>
          </cell>
        </row>
        <row r="65">
          <cell r="BB65" t="str">
            <v>.</v>
          </cell>
        </row>
        <row r="66">
          <cell r="BB66" t="str">
            <v>.</v>
          </cell>
        </row>
        <row r="67">
          <cell r="BB67" t="str">
            <v>.</v>
          </cell>
        </row>
        <row r="68">
          <cell r="BB68" t="str">
            <v>.</v>
          </cell>
        </row>
        <row r="69">
          <cell r="BB69" t="str">
            <v>.</v>
          </cell>
        </row>
        <row r="70">
          <cell r="BB70" t="str">
            <v>.</v>
          </cell>
        </row>
        <row r="71">
          <cell r="BB71" t="str">
            <v>.</v>
          </cell>
        </row>
        <row r="72">
          <cell r="BB72" t="str">
            <v>.</v>
          </cell>
        </row>
        <row r="73">
          <cell r="BB73" t="str">
            <v>.</v>
          </cell>
        </row>
        <row r="74">
          <cell r="BB74" t="str">
            <v>.</v>
          </cell>
        </row>
        <row r="75">
          <cell r="BB75" t="str">
            <v>.</v>
          </cell>
        </row>
        <row r="76">
          <cell r="BB76" t="str">
            <v>.</v>
          </cell>
        </row>
        <row r="77">
          <cell r="BB77" t="str">
            <v>.</v>
          </cell>
        </row>
        <row r="78">
          <cell r="BB78" t="str">
            <v>.</v>
          </cell>
        </row>
        <row r="79">
          <cell r="BB79" t="str">
            <v>.</v>
          </cell>
        </row>
        <row r="80">
          <cell r="BB80" t="str">
            <v>.</v>
          </cell>
        </row>
        <row r="81">
          <cell r="BB81" t="str">
            <v>.</v>
          </cell>
        </row>
        <row r="82">
          <cell r="BB82" t="str">
            <v>.</v>
          </cell>
        </row>
        <row r="83">
          <cell r="BB83" t="str">
            <v>.</v>
          </cell>
        </row>
        <row r="84">
          <cell r="BB84" t="str">
            <v>.</v>
          </cell>
        </row>
        <row r="85">
          <cell r="BB85" t="str">
            <v>.</v>
          </cell>
        </row>
        <row r="86">
          <cell r="BB86" t="str">
            <v>.</v>
          </cell>
        </row>
        <row r="87">
          <cell r="BB87" t="str">
            <v>.</v>
          </cell>
        </row>
        <row r="88">
          <cell r="BB88" t="str">
            <v>.</v>
          </cell>
        </row>
        <row r="89">
          <cell r="BB89" t="str">
            <v>.</v>
          </cell>
        </row>
        <row r="90">
          <cell r="BB90" t="str">
            <v>.</v>
          </cell>
        </row>
        <row r="91">
          <cell r="BB91" t="str">
            <v>.</v>
          </cell>
        </row>
        <row r="92">
          <cell r="BB92" t="str">
            <v>.</v>
          </cell>
        </row>
        <row r="93">
          <cell r="BB93" t="str">
            <v>.</v>
          </cell>
        </row>
        <row r="94">
          <cell r="BB94" t="str">
            <v>.</v>
          </cell>
        </row>
        <row r="95">
          <cell r="BB95" t="str">
            <v>.</v>
          </cell>
        </row>
        <row r="96">
          <cell r="BB96" t="str">
            <v>.</v>
          </cell>
        </row>
        <row r="97">
          <cell r="BB97" t="str">
            <v>.</v>
          </cell>
        </row>
        <row r="98">
          <cell r="BB98" t="str">
            <v>.</v>
          </cell>
        </row>
        <row r="99">
          <cell r="BB99" t="str">
            <v>.</v>
          </cell>
        </row>
        <row r="100">
          <cell r="BB100" t="str">
            <v>.</v>
          </cell>
        </row>
        <row r="101">
          <cell r="BB101" t="str">
            <v>.</v>
          </cell>
        </row>
        <row r="102">
          <cell r="BB102" t="str">
            <v>.</v>
          </cell>
        </row>
        <row r="103">
          <cell r="BB103" t="str">
            <v>.</v>
          </cell>
        </row>
        <row r="104">
          <cell r="BB104" t="str">
            <v>.</v>
          </cell>
        </row>
        <row r="105">
          <cell r="BB105" t="str">
            <v>.</v>
          </cell>
        </row>
        <row r="106">
          <cell r="BB106" t="str">
            <v>.</v>
          </cell>
        </row>
        <row r="107">
          <cell r="BB107" t="str">
            <v>.</v>
          </cell>
        </row>
        <row r="108">
          <cell r="BB108" t="str">
            <v>.</v>
          </cell>
        </row>
        <row r="109">
          <cell r="BB109" t="str">
            <v>.</v>
          </cell>
        </row>
        <row r="110">
          <cell r="BB110" t="str">
            <v>.</v>
          </cell>
        </row>
        <row r="111">
          <cell r="BB111" t="str">
            <v>.</v>
          </cell>
        </row>
        <row r="112">
          <cell r="BB112" t="str">
            <v>.</v>
          </cell>
        </row>
        <row r="113">
          <cell r="BB113" t="str">
            <v>.</v>
          </cell>
        </row>
        <row r="114">
          <cell r="BB114" t="str">
            <v>.</v>
          </cell>
        </row>
        <row r="115">
          <cell r="BB115" t="str">
            <v>.</v>
          </cell>
        </row>
        <row r="116">
          <cell r="BB116" t="str">
            <v>.</v>
          </cell>
        </row>
        <row r="117">
          <cell r="BB117" t="str">
            <v>.</v>
          </cell>
        </row>
        <row r="118">
          <cell r="BB118" t="str">
            <v>.</v>
          </cell>
        </row>
        <row r="119">
          <cell r="BB119" t="str">
            <v>.</v>
          </cell>
        </row>
        <row r="120">
          <cell r="BB120" t="str">
            <v>.</v>
          </cell>
        </row>
        <row r="121">
          <cell r="BB121" t="str">
            <v>.</v>
          </cell>
        </row>
        <row r="122">
          <cell r="BB122" t="str">
            <v>.</v>
          </cell>
        </row>
        <row r="123">
          <cell r="BB123" t="str">
            <v>.</v>
          </cell>
        </row>
        <row r="124">
          <cell r="BB124" t="str">
            <v>.</v>
          </cell>
        </row>
        <row r="125">
          <cell r="BB125" t="str">
            <v>.</v>
          </cell>
        </row>
        <row r="126">
          <cell r="BB126" t="str">
            <v>.</v>
          </cell>
        </row>
        <row r="127">
          <cell r="BB127" t="str">
            <v>.</v>
          </cell>
        </row>
        <row r="128">
          <cell r="BB128" t="str">
            <v>.</v>
          </cell>
        </row>
        <row r="129">
          <cell r="BB129" t="str">
            <v>.</v>
          </cell>
        </row>
        <row r="130">
          <cell r="BB130" t="str">
            <v>.</v>
          </cell>
        </row>
        <row r="131">
          <cell r="BB131" t="str">
            <v>.</v>
          </cell>
        </row>
        <row r="132">
          <cell r="BB132" t="str">
            <v>.</v>
          </cell>
        </row>
        <row r="133">
          <cell r="BB133" t="str">
            <v>.</v>
          </cell>
        </row>
        <row r="134">
          <cell r="BB134" t="str">
            <v>.</v>
          </cell>
        </row>
        <row r="135">
          <cell r="BB135" t="str">
            <v>.</v>
          </cell>
        </row>
        <row r="136">
          <cell r="BB136" t="str">
            <v>.</v>
          </cell>
        </row>
        <row r="137">
          <cell r="BB137" t="str">
            <v>.</v>
          </cell>
        </row>
        <row r="138">
          <cell r="BB138" t="str">
            <v>.</v>
          </cell>
        </row>
        <row r="139">
          <cell r="BB139" t="str">
            <v>.</v>
          </cell>
        </row>
        <row r="140">
          <cell r="BB140" t="str">
            <v>.</v>
          </cell>
        </row>
        <row r="141">
          <cell r="BB141" t="str">
            <v>.</v>
          </cell>
        </row>
        <row r="142">
          <cell r="BB142" t="str">
            <v>.</v>
          </cell>
        </row>
        <row r="143">
          <cell r="BB143" t="str">
            <v>.</v>
          </cell>
        </row>
        <row r="144">
          <cell r="BB144" t="str">
            <v>.</v>
          </cell>
        </row>
        <row r="145">
          <cell r="BB145" t="str">
            <v>.</v>
          </cell>
        </row>
        <row r="146">
          <cell r="BB146" t="str">
            <v>.</v>
          </cell>
        </row>
        <row r="147">
          <cell r="BB147" t="str">
            <v>.</v>
          </cell>
        </row>
        <row r="148">
          <cell r="BB148" t="str">
            <v>.</v>
          </cell>
        </row>
        <row r="149">
          <cell r="BB149" t="str">
            <v>.</v>
          </cell>
        </row>
        <row r="150">
          <cell r="BB150" t="str">
            <v>.</v>
          </cell>
        </row>
        <row r="151">
          <cell r="BB151" t="str">
            <v>.</v>
          </cell>
        </row>
        <row r="152">
          <cell r="BB152" t="str">
            <v>.</v>
          </cell>
        </row>
        <row r="153">
          <cell r="BB153" t="str">
            <v>.</v>
          </cell>
        </row>
        <row r="154">
          <cell r="BB154" t="str">
            <v>.</v>
          </cell>
        </row>
        <row r="155">
          <cell r="BB155" t="str">
            <v>.</v>
          </cell>
        </row>
        <row r="156">
          <cell r="BB156" t="str">
            <v>.</v>
          </cell>
        </row>
        <row r="157">
          <cell r="BB157" t="str">
            <v>.</v>
          </cell>
        </row>
        <row r="158">
          <cell r="BB158" t="str">
            <v>.</v>
          </cell>
        </row>
        <row r="159">
          <cell r="BB159" t="str">
            <v>.</v>
          </cell>
        </row>
        <row r="160">
          <cell r="BB160" t="str">
            <v>.</v>
          </cell>
        </row>
        <row r="161">
          <cell r="BB161" t="str">
            <v>.</v>
          </cell>
        </row>
        <row r="162">
          <cell r="BB162" t="str">
            <v>.</v>
          </cell>
        </row>
        <row r="163">
          <cell r="BB163" t="str">
            <v>.</v>
          </cell>
        </row>
        <row r="164">
          <cell r="BB164" t="str">
            <v>.</v>
          </cell>
        </row>
        <row r="165">
          <cell r="BB165" t="str">
            <v>.</v>
          </cell>
        </row>
        <row r="166">
          <cell r="BB166" t="str">
            <v>.</v>
          </cell>
        </row>
        <row r="167">
          <cell r="BB167" t="str">
            <v>.</v>
          </cell>
        </row>
        <row r="168">
          <cell r="BB168" t="str">
            <v>.</v>
          </cell>
        </row>
        <row r="169">
          <cell r="BB169" t="str">
            <v>.</v>
          </cell>
        </row>
        <row r="170">
          <cell r="BB170" t="str">
            <v>.</v>
          </cell>
        </row>
        <row r="171">
          <cell r="BB171" t="str">
            <v>.</v>
          </cell>
        </row>
        <row r="172">
          <cell r="BB172" t="str">
            <v>.</v>
          </cell>
        </row>
        <row r="173">
          <cell r="BB173" t="str">
            <v>.</v>
          </cell>
        </row>
        <row r="174">
          <cell r="BB174" t="str">
            <v>.</v>
          </cell>
        </row>
        <row r="175">
          <cell r="BB175" t="str">
            <v>.</v>
          </cell>
        </row>
        <row r="176">
          <cell r="BB176" t="str">
            <v>.</v>
          </cell>
        </row>
        <row r="177">
          <cell r="BB177" t="str">
            <v>.</v>
          </cell>
        </row>
        <row r="178">
          <cell r="BB178" t="str">
            <v>.</v>
          </cell>
        </row>
        <row r="179">
          <cell r="BB179" t="str">
            <v>.</v>
          </cell>
        </row>
        <row r="180">
          <cell r="BB180" t="str">
            <v>.</v>
          </cell>
        </row>
        <row r="181">
          <cell r="BB181" t="str">
            <v>.</v>
          </cell>
        </row>
        <row r="182">
          <cell r="BB182" t="str">
            <v>.</v>
          </cell>
        </row>
        <row r="183">
          <cell r="BB183" t="str">
            <v>.</v>
          </cell>
        </row>
        <row r="184">
          <cell r="BB184" t="str">
            <v>.</v>
          </cell>
        </row>
        <row r="185">
          <cell r="BB185" t="str">
            <v>.</v>
          </cell>
        </row>
        <row r="186">
          <cell r="BB186" t="str">
            <v>.</v>
          </cell>
        </row>
        <row r="187">
          <cell r="BB187" t="str">
            <v>.</v>
          </cell>
        </row>
        <row r="188">
          <cell r="BB188" t="str">
            <v>.</v>
          </cell>
        </row>
        <row r="189">
          <cell r="BB189" t="str">
            <v>.</v>
          </cell>
        </row>
        <row r="190">
          <cell r="BB190" t="str">
            <v>.</v>
          </cell>
        </row>
        <row r="191">
          <cell r="BB191" t="str">
            <v>.</v>
          </cell>
        </row>
        <row r="192">
          <cell r="BB192" t="str">
            <v>.</v>
          </cell>
        </row>
        <row r="193">
          <cell r="BB193" t="str">
            <v>.</v>
          </cell>
        </row>
        <row r="194">
          <cell r="BB194" t="str">
            <v>.</v>
          </cell>
        </row>
        <row r="195">
          <cell r="BB195" t="str">
            <v>.</v>
          </cell>
        </row>
        <row r="196">
          <cell r="BB196" t="str">
            <v>.</v>
          </cell>
        </row>
        <row r="197">
          <cell r="BB197" t="str">
            <v>.</v>
          </cell>
        </row>
        <row r="198">
          <cell r="BB198" t="str">
            <v>.</v>
          </cell>
        </row>
        <row r="199">
          <cell r="BB199" t="str">
            <v>.</v>
          </cell>
        </row>
        <row r="200">
          <cell r="BB200" t="str">
            <v>.</v>
          </cell>
        </row>
        <row r="201">
          <cell r="BB201" t="str">
            <v>.</v>
          </cell>
        </row>
        <row r="202">
          <cell r="BB202" t="str">
            <v>.</v>
          </cell>
        </row>
        <row r="203">
          <cell r="BB203" t="str">
            <v>.</v>
          </cell>
        </row>
        <row r="204">
          <cell r="BB204" t="str">
            <v>.</v>
          </cell>
        </row>
        <row r="205">
          <cell r="BB205" t="str">
            <v>.</v>
          </cell>
        </row>
        <row r="206">
          <cell r="BB206" t="str">
            <v>.</v>
          </cell>
        </row>
        <row r="207">
          <cell r="BB207" t="str">
            <v>.</v>
          </cell>
        </row>
        <row r="208">
          <cell r="BB208" t="str">
            <v>.</v>
          </cell>
        </row>
        <row r="209">
          <cell r="BB209" t="str">
            <v>.</v>
          </cell>
        </row>
        <row r="210">
          <cell r="BB210" t="str">
            <v>.</v>
          </cell>
        </row>
        <row r="211">
          <cell r="BB211" t="str">
            <v>.</v>
          </cell>
        </row>
        <row r="212">
          <cell r="BB212" t="str">
            <v>.</v>
          </cell>
        </row>
        <row r="213">
          <cell r="BB213" t="str">
            <v>.</v>
          </cell>
        </row>
        <row r="214">
          <cell r="BB214" t="str">
            <v>.</v>
          </cell>
        </row>
        <row r="215">
          <cell r="BB215" t="str">
            <v>.</v>
          </cell>
        </row>
        <row r="216">
          <cell r="BB216" t="str">
            <v>.</v>
          </cell>
        </row>
        <row r="217">
          <cell r="BB217" t="str">
            <v>.</v>
          </cell>
        </row>
        <row r="218">
          <cell r="BB218" t="str">
            <v>.</v>
          </cell>
        </row>
        <row r="219">
          <cell r="BB219" t="str">
            <v>.</v>
          </cell>
        </row>
        <row r="220">
          <cell r="BB220" t="str">
            <v>.</v>
          </cell>
        </row>
        <row r="221">
          <cell r="BB221" t="str">
            <v>.</v>
          </cell>
        </row>
        <row r="222">
          <cell r="BB222" t="str">
            <v>.</v>
          </cell>
        </row>
        <row r="223">
          <cell r="BB223" t="str">
            <v>.</v>
          </cell>
        </row>
        <row r="224">
          <cell r="BB224" t="str">
            <v>.</v>
          </cell>
        </row>
        <row r="225">
          <cell r="BB225" t="str">
            <v>.</v>
          </cell>
        </row>
        <row r="226">
          <cell r="BB226" t="str">
            <v>.</v>
          </cell>
        </row>
        <row r="227">
          <cell r="BB227" t="str">
            <v>.</v>
          </cell>
        </row>
        <row r="228">
          <cell r="BB228" t="str">
            <v>.</v>
          </cell>
        </row>
        <row r="229">
          <cell r="BB229" t="str">
            <v>.</v>
          </cell>
        </row>
        <row r="230">
          <cell r="BB230" t="str">
            <v>.</v>
          </cell>
        </row>
        <row r="231">
          <cell r="BB231" t="str">
            <v>.</v>
          </cell>
        </row>
        <row r="232">
          <cell r="BB232" t="str">
            <v>.</v>
          </cell>
        </row>
        <row r="233">
          <cell r="BB233" t="str">
            <v>.</v>
          </cell>
        </row>
        <row r="234">
          <cell r="BB234" t="str">
            <v>.</v>
          </cell>
        </row>
        <row r="235">
          <cell r="BB235" t="str">
            <v>.</v>
          </cell>
        </row>
        <row r="236">
          <cell r="BB236" t="str">
            <v>.</v>
          </cell>
        </row>
        <row r="237">
          <cell r="BB237" t="str">
            <v>.</v>
          </cell>
        </row>
        <row r="238">
          <cell r="BB238" t="str">
            <v>.</v>
          </cell>
        </row>
        <row r="239">
          <cell r="BB239" t="str">
            <v>.</v>
          </cell>
        </row>
        <row r="240">
          <cell r="BB240" t="str">
            <v>.</v>
          </cell>
        </row>
        <row r="241">
          <cell r="BB241" t="str">
            <v>.</v>
          </cell>
        </row>
        <row r="242">
          <cell r="BB242" t="str">
            <v>.</v>
          </cell>
        </row>
        <row r="243">
          <cell r="BB243" t="str">
            <v>.</v>
          </cell>
        </row>
        <row r="244">
          <cell r="BB244" t="str">
            <v>.</v>
          </cell>
        </row>
        <row r="245">
          <cell r="BB245" t="str">
            <v>.</v>
          </cell>
        </row>
        <row r="246">
          <cell r="BB246" t="str">
            <v>.</v>
          </cell>
        </row>
        <row r="247">
          <cell r="BB247" t="str">
            <v>.</v>
          </cell>
        </row>
        <row r="248">
          <cell r="BB248" t="str">
            <v>.</v>
          </cell>
        </row>
        <row r="249">
          <cell r="BB249" t="str">
            <v>.</v>
          </cell>
        </row>
        <row r="250">
          <cell r="BB250" t="str">
            <v>.</v>
          </cell>
        </row>
        <row r="251">
          <cell r="BB251" t="str">
            <v>.</v>
          </cell>
        </row>
        <row r="252">
          <cell r="BB252" t="str">
            <v>.</v>
          </cell>
        </row>
        <row r="253">
          <cell r="BB253" t="str">
            <v>.</v>
          </cell>
        </row>
        <row r="254">
          <cell r="BB254" t="str">
            <v>.</v>
          </cell>
        </row>
        <row r="255">
          <cell r="BB255" t="str">
            <v>.</v>
          </cell>
        </row>
        <row r="256">
          <cell r="BB256" t="str">
            <v>.</v>
          </cell>
        </row>
        <row r="257">
          <cell r="BB257" t="str">
            <v>.</v>
          </cell>
        </row>
        <row r="258">
          <cell r="BB258" t="str">
            <v>.</v>
          </cell>
        </row>
        <row r="259">
          <cell r="BB259" t="str">
            <v>.</v>
          </cell>
        </row>
        <row r="260">
          <cell r="BB260" t="str">
            <v>.</v>
          </cell>
        </row>
        <row r="261">
          <cell r="BB261" t="str">
            <v>.</v>
          </cell>
        </row>
        <row r="262">
          <cell r="BB262" t="str">
            <v>.</v>
          </cell>
        </row>
        <row r="263">
          <cell r="BB263" t="str">
            <v>.</v>
          </cell>
        </row>
        <row r="264">
          <cell r="BB264" t="str">
            <v>.</v>
          </cell>
        </row>
        <row r="265">
          <cell r="BB265" t="str">
            <v>.</v>
          </cell>
        </row>
        <row r="266">
          <cell r="BB266" t="str">
            <v>.</v>
          </cell>
        </row>
        <row r="267">
          <cell r="BB267" t="str">
            <v>.</v>
          </cell>
        </row>
        <row r="268">
          <cell r="BB268" t="str">
            <v>.</v>
          </cell>
        </row>
        <row r="269">
          <cell r="BB269" t="str">
            <v>.</v>
          </cell>
        </row>
        <row r="270">
          <cell r="BB270" t="str">
            <v>.</v>
          </cell>
        </row>
        <row r="271">
          <cell r="BB271" t="str">
            <v>.</v>
          </cell>
        </row>
        <row r="272">
          <cell r="BB272" t="str">
            <v>.</v>
          </cell>
        </row>
        <row r="273">
          <cell r="BB273" t="str">
            <v>.</v>
          </cell>
        </row>
        <row r="274">
          <cell r="BB274" t="str">
            <v>.</v>
          </cell>
        </row>
        <row r="275">
          <cell r="BB275" t="str">
            <v>.</v>
          </cell>
        </row>
        <row r="276">
          <cell r="BB276" t="str">
            <v>.</v>
          </cell>
        </row>
        <row r="277">
          <cell r="BB277" t="str">
            <v>.</v>
          </cell>
        </row>
        <row r="278">
          <cell r="BB278" t="str">
            <v>.</v>
          </cell>
        </row>
        <row r="279">
          <cell r="BB279" t="str">
            <v>.</v>
          </cell>
        </row>
        <row r="280">
          <cell r="BB280" t="str">
            <v>.</v>
          </cell>
        </row>
        <row r="281">
          <cell r="BB281" t="str">
            <v>.</v>
          </cell>
        </row>
        <row r="282">
          <cell r="BB282" t="str">
            <v>.</v>
          </cell>
        </row>
        <row r="283">
          <cell r="BB283" t="str">
            <v>.</v>
          </cell>
        </row>
        <row r="284">
          <cell r="BB284" t="str">
            <v>.</v>
          </cell>
        </row>
        <row r="285">
          <cell r="BB285" t="str">
            <v>.</v>
          </cell>
        </row>
        <row r="286">
          <cell r="BB286" t="str">
            <v>.</v>
          </cell>
        </row>
        <row r="287">
          <cell r="BB287" t="str">
            <v>.</v>
          </cell>
        </row>
        <row r="288">
          <cell r="BB288" t="str">
            <v>.</v>
          </cell>
        </row>
        <row r="289">
          <cell r="BB289" t="str">
            <v>.</v>
          </cell>
        </row>
        <row r="290">
          <cell r="BB290" t="str">
            <v>.</v>
          </cell>
        </row>
        <row r="291">
          <cell r="BB291" t="str">
            <v>.</v>
          </cell>
        </row>
        <row r="292">
          <cell r="BB292" t="str">
            <v>.</v>
          </cell>
        </row>
        <row r="293">
          <cell r="BB293" t="str">
            <v>.</v>
          </cell>
        </row>
        <row r="294">
          <cell r="BB294" t="str">
            <v>.</v>
          </cell>
        </row>
        <row r="295">
          <cell r="BB295" t="str">
            <v>.</v>
          </cell>
        </row>
        <row r="296">
          <cell r="BB296" t="str">
            <v>.</v>
          </cell>
        </row>
        <row r="297">
          <cell r="BB297" t="str">
            <v>.</v>
          </cell>
        </row>
        <row r="298">
          <cell r="BB298" t="str">
            <v>.</v>
          </cell>
        </row>
        <row r="299">
          <cell r="BB299" t="str">
            <v>.</v>
          </cell>
        </row>
        <row r="300">
          <cell r="BB300" t="str">
            <v>.</v>
          </cell>
        </row>
        <row r="301">
          <cell r="BB301" t="str">
            <v>.</v>
          </cell>
        </row>
        <row r="302">
          <cell r="BB302" t="str">
            <v>.</v>
          </cell>
        </row>
        <row r="303">
          <cell r="BB303" t="str">
            <v>.</v>
          </cell>
        </row>
        <row r="304">
          <cell r="BB304" t="str">
            <v>.</v>
          </cell>
        </row>
        <row r="305">
          <cell r="BB305" t="str">
            <v>.</v>
          </cell>
        </row>
        <row r="306">
          <cell r="BB306" t="str">
            <v>.</v>
          </cell>
        </row>
        <row r="307">
          <cell r="BB307" t="str">
            <v>.</v>
          </cell>
        </row>
        <row r="308">
          <cell r="BB308" t="str">
            <v>.</v>
          </cell>
        </row>
        <row r="309">
          <cell r="BB309" t="str">
            <v>.</v>
          </cell>
        </row>
        <row r="310">
          <cell r="BB310" t="str">
            <v>.</v>
          </cell>
        </row>
        <row r="311">
          <cell r="BB311" t="str">
            <v>.</v>
          </cell>
        </row>
        <row r="312">
          <cell r="BB312" t="str">
            <v>.</v>
          </cell>
        </row>
        <row r="313">
          <cell r="BB313" t="str">
            <v>.</v>
          </cell>
        </row>
        <row r="314">
          <cell r="BB314" t="str">
            <v>.</v>
          </cell>
        </row>
        <row r="315">
          <cell r="BB315" t="str">
            <v>.</v>
          </cell>
        </row>
        <row r="316">
          <cell r="BB316" t="str">
            <v>.</v>
          </cell>
        </row>
        <row r="317">
          <cell r="BB317" t="str">
            <v>.</v>
          </cell>
        </row>
        <row r="318">
          <cell r="BB318" t="str">
            <v>.</v>
          </cell>
        </row>
        <row r="319">
          <cell r="BB319" t="str">
            <v>.</v>
          </cell>
        </row>
        <row r="320">
          <cell r="BB320" t="str">
            <v>.</v>
          </cell>
        </row>
        <row r="321">
          <cell r="BB321" t="str">
            <v>.</v>
          </cell>
        </row>
        <row r="322">
          <cell r="BB322" t="str">
            <v>.</v>
          </cell>
        </row>
        <row r="323">
          <cell r="BB323" t="str">
            <v>.</v>
          </cell>
        </row>
        <row r="324">
          <cell r="BB324" t="str">
            <v>.</v>
          </cell>
        </row>
        <row r="325">
          <cell r="BB325" t="str">
            <v>.</v>
          </cell>
        </row>
        <row r="326">
          <cell r="BB326" t="str">
            <v>.</v>
          </cell>
        </row>
        <row r="327">
          <cell r="BB327" t="str">
            <v>.</v>
          </cell>
        </row>
        <row r="328">
          <cell r="BB328" t="str">
            <v>.</v>
          </cell>
        </row>
        <row r="329">
          <cell r="BB329" t="str">
            <v>.</v>
          </cell>
        </row>
        <row r="330">
          <cell r="BB330" t="str">
            <v>.</v>
          </cell>
        </row>
        <row r="331">
          <cell r="BB331" t="str">
            <v>.</v>
          </cell>
        </row>
        <row r="332">
          <cell r="BB332" t="str">
            <v>.</v>
          </cell>
        </row>
        <row r="333">
          <cell r="BB333" t="str">
            <v>.</v>
          </cell>
        </row>
        <row r="334">
          <cell r="BB334" t="str">
            <v>.</v>
          </cell>
        </row>
        <row r="335">
          <cell r="BB335" t="str">
            <v>.</v>
          </cell>
        </row>
        <row r="336">
          <cell r="BB336" t="str">
            <v>.</v>
          </cell>
        </row>
        <row r="337">
          <cell r="BB337" t="str">
            <v>.</v>
          </cell>
        </row>
        <row r="338">
          <cell r="BB338" t="str">
            <v>.</v>
          </cell>
        </row>
        <row r="339">
          <cell r="BB339" t="str">
            <v>.</v>
          </cell>
        </row>
        <row r="340">
          <cell r="BB340" t="str">
            <v>.</v>
          </cell>
        </row>
        <row r="341">
          <cell r="BB341" t="str">
            <v>.</v>
          </cell>
        </row>
        <row r="342">
          <cell r="BB342" t="str">
            <v>.</v>
          </cell>
        </row>
        <row r="343">
          <cell r="BB343" t="str">
            <v>.</v>
          </cell>
        </row>
        <row r="344">
          <cell r="BB344" t="str">
            <v>.</v>
          </cell>
        </row>
        <row r="345">
          <cell r="BB345" t="str">
            <v>.</v>
          </cell>
        </row>
        <row r="346">
          <cell r="BB346" t="str">
            <v>.</v>
          </cell>
        </row>
        <row r="347">
          <cell r="BB347" t="str">
            <v>.</v>
          </cell>
        </row>
        <row r="348">
          <cell r="BB348" t="str">
            <v>.</v>
          </cell>
        </row>
        <row r="349">
          <cell r="BB349" t="str">
            <v>.</v>
          </cell>
        </row>
        <row r="350">
          <cell r="BB350" t="str">
            <v>.</v>
          </cell>
        </row>
        <row r="351">
          <cell r="BB351" t="str">
            <v>.</v>
          </cell>
        </row>
        <row r="352">
          <cell r="BB352" t="str">
            <v>.</v>
          </cell>
        </row>
        <row r="353">
          <cell r="BB353" t="str">
            <v>.</v>
          </cell>
        </row>
        <row r="354">
          <cell r="BB354" t="str">
            <v>.</v>
          </cell>
        </row>
        <row r="355">
          <cell r="BB355" t="str">
            <v>.</v>
          </cell>
        </row>
        <row r="356">
          <cell r="BB356" t="str">
            <v>.</v>
          </cell>
        </row>
        <row r="357">
          <cell r="BB357" t="str">
            <v>.</v>
          </cell>
        </row>
        <row r="358">
          <cell r="BB358" t="str">
            <v>.</v>
          </cell>
        </row>
        <row r="359">
          <cell r="BB359" t="str">
            <v>.</v>
          </cell>
        </row>
        <row r="360">
          <cell r="BB360" t="str">
            <v>.</v>
          </cell>
        </row>
        <row r="361">
          <cell r="BB361" t="str">
            <v>.</v>
          </cell>
        </row>
        <row r="362">
          <cell r="BB362" t="str">
            <v>.</v>
          </cell>
        </row>
        <row r="363">
          <cell r="BB363" t="str">
            <v>.</v>
          </cell>
        </row>
        <row r="364">
          <cell r="BB364" t="str">
            <v>.</v>
          </cell>
        </row>
        <row r="365">
          <cell r="BB365" t="str">
            <v>.</v>
          </cell>
        </row>
        <row r="366">
          <cell r="BB366" t="str">
            <v>.</v>
          </cell>
        </row>
        <row r="367">
          <cell r="BB367" t="str">
            <v>.</v>
          </cell>
        </row>
        <row r="368">
          <cell r="BB368" t="str">
            <v>.</v>
          </cell>
        </row>
        <row r="369">
          <cell r="BB369" t="str">
            <v>.</v>
          </cell>
        </row>
        <row r="370">
          <cell r="BB370" t="str">
            <v>.</v>
          </cell>
        </row>
        <row r="371">
          <cell r="BB371" t="str">
            <v>.</v>
          </cell>
        </row>
        <row r="372">
          <cell r="BB372" t="str">
            <v>.</v>
          </cell>
        </row>
        <row r="373">
          <cell r="BB373" t="str">
            <v>.</v>
          </cell>
        </row>
        <row r="374">
          <cell r="BB374" t="str">
            <v>.</v>
          </cell>
        </row>
        <row r="375">
          <cell r="BB375" t="str">
            <v>.</v>
          </cell>
        </row>
        <row r="376">
          <cell r="BB376" t="str">
            <v>.</v>
          </cell>
        </row>
        <row r="377">
          <cell r="BB377" t="str">
            <v>.</v>
          </cell>
        </row>
        <row r="378">
          <cell r="BB378" t="str">
            <v>.</v>
          </cell>
        </row>
        <row r="379">
          <cell r="BB379" t="str">
            <v>.</v>
          </cell>
        </row>
        <row r="380">
          <cell r="BB380" t="str">
            <v>.</v>
          </cell>
        </row>
        <row r="381">
          <cell r="BB381" t="str">
            <v>.</v>
          </cell>
        </row>
        <row r="382">
          <cell r="BB382" t="str">
            <v>.</v>
          </cell>
        </row>
        <row r="383">
          <cell r="BB383" t="str">
            <v>.</v>
          </cell>
        </row>
        <row r="384">
          <cell r="BB384" t="str">
            <v>.</v>
          </cell>
        </row>
        <row r="385">
          <cell r="BB385" t="str">
            <v>.</v>
          </cell>
        </row>
        <row r="386">
          <cell r="BB386" t="str">
            <v>.</v>
          </cell>
        </row>
        <row r="387">
          <cell r="BB387" t="str">
            <v>.</v>
          </cell>
        </row>
        <row r="388">
          <cell r="BB388" t="str">
            <v>.</v>
          </cell>
        </row>
        <row r="389">
          <cell r="BB389" t="str">
            <v>.</v>
          </cell>
        </row>
        <row r="390">
          <cell r="BB390" t="str">
            <v>.</v>
          </cell>
        </row>
        <row r="391">
          <cell r="BB391" t="str">
            <v>.</v>
          </cell>
        </row>
        <row r="392">
          <cell r="BB392" t="str">
            <v>.</v>
          </cell>
        </row>
        <row r="393">
          <cell r="BB393" t="str">
            <v>.</v>
          </cell>
        </row>
        <row r="394">
          <cell r="BB394" t="str">
            <v>.</v>
          </cell>
        </row>
        <row r="395">
          <cell r="BB395" t="str">
            <v>.</v>
          </cell>
        </row>
        <row r="396">
          <cell r="BB396" t="str">
            <v>.</v>
          </cell>
        </row>
        <row r="397">
          <cell r="BB397" t="str">
            <v>.</v>
          </cell>
        </row>
        <row r="398">
          <cell r="BB398" t="str">
            <v>.</v>
          </cell>
        </row>
        <row r="399">
          <cell r="BB399" t="str">
            <v>.</v>
          </cell>
        </row>
        <row r="400">
          <cell r="BB400" t="str">
            <v>.</v>
          </cell>
        </row>
        <row r="401">
          <cell r="BB401" t="str">
            <v>.</v>
          </cell>
        </row>
        <row r="402">
          <cell r="BB402" t="str">
            <v>.</v>
          </cell>
        </row>
        <row r="403">
          <cell r="BB403" t="str">
            <v>.</v>
          </cell>
        </row>
        <row r="404">
          <cell r="BB404" t="str">
            <v>.</v>
          </cell>
        </row>
        <row r="405">
          <cell r="BB405" t="str">
            <v>.</v>
          </cell>
        </row>
        <row r="406">
          <cell r="BB406" t="str">
            <v>.</v>
          </cell>
        </row>
        <row r="407">
          <cell r="BB407" t="str">
            <v>.</v>
          </cell>
        </row>
        <row r="408">
          <cell r="BB408" t="str">
            <v>.</v>
          </cell>
        </row>
        <row r="409">
          <cell r="BB409" t="str">
            <v>.</v>
          </cell>
        </row>
        <row r="410">
          <cell r="BB410" t="str">
            <v>.</v>
          </cell>
        </row>
        <row r="411">
          <cell r="BB411" t="str">
            <v>.</v>
          </cell>
        </row>
        <row r="412">
          <cell r="BB412" t="str">
            <v>.</v>
          </cell>
        </row>
        <row r="413">
          <cell r="BB413" t="str">
            <v>.</v>
          </cell>
        </row>
        <row r="414">
          <cell r="BB414" t="str">
            <v>.</v>
          </cell>
        </row>
        <row r="415">
          <cell r="BB415" t="str">
            <v>.</v>
          </cell>
        </row>
        <row r="416">
          <cell r="BB416" t="str">
            <v>.</v>
          </cell>
        </row>
        <row r="417">
          <cell r="BB417" t="str">
            <v>.</v>
          </cell>
        </row>
        <row r="418">
          <cell r="BB418" t="str">
            <v>.</v>
          </cell>
        </row>
        <row r="419">
          <cell r="BB419" t="str">
            <v>.</v>
          </cell>
        </row>
        <row r="420">
          <cell r="BB420" t="str">
            <v>.</v>
          </cell>
        </row>
        <row r="421">
          <cell r="BB421" t="str">
            <v>.</v>
          </cell>
        </row>
        <row r="422">
          <cell r="BB422" t="str">
            <v>.</v>
          </cell>
        </row>
        <row r="423">
          <cell r="BB423" t="str">
            <v>.</v>
          </cell>
        </row>
        <row r="424">
          <cell r="BB424" t="str">
            <v>.</v>
          </cell>
        </row>
        <row r="425">
          <cell r="BB425" t="str">
            <v>.</v>
          </cell>
        </row>
        <row r="426">
          <cell r="BB426" t="str">
            <v>.</v>
          </cell>
        </row>
        <row r="427">
          <cell r="BB427" t="str">
            <v>.</v>
          </cell>
        </row>
        <row r="428">
          <cell r="BB428" t="str">
            <v>.</v>
          </cell>
        </row>
        <row r="429">
          <cell r="BB429" t="str">
            <v>.</v>
          </cell>
        </row>
        <row r="430">
          <cell r="BB430" t="str">
            <v>.</v>
          </cell>
        </row>
        <row r="431">
          <cell r="BB431" t="str">
            <v>.</v>
          </cell>
        </row>
        <row r="432">
          <cell r="BB432" t="str">
            <v>.</v>
          </cell>
        </row>
        <row r="433">
          <cell r="BB433" t="str">
            <v>.</v>
          </cell>
        </row>
        <row r="434">
          <cell r="BB434" t="str">
            <v>.</v>
          </cell>
        </row>
        <row r="435">
          <cell r="BB435" t="str">
            <v>.</v>
          </cell>
        </row>
        <row r="436">
          <cell r="BB436" t="str">
            <v>.</v>
          </cell>
        </row>
        <row r="437">
          <cell r="BB437" t="str">
            <v>.</v>
          </cell>
        </row>
        <row r="438">
          <cell r="BB438" t="str">
            <v>.</v>
          </cell>
        </row>
        <row r="439">
          <cell r="BB439" t="str">
            <v>.</v>
          </cell>
        </row>
        <row r="440">
          <cell r="BB440" t="str">
            <v>.</v>
          </cell>
        </row>
        <row r="441">
          <cell r="BB441" t="str">
            <v>.</v>
          </cell>
        </row>
        <row r="442">
          <cell r="BB442" t="str">
            <v>.</v>
          </cell>
        </row>
        <row r="443">
          <cell r="BB443" t="str">
            <v>.</v>
          </cell>
        </row>
        <row r="444">
          <cell r="BB444" t="str">
            <v>.</v>
          </cell>
        </row>
        <row r="445">
          <cell r="BB445" t="str">
            <v>.</v>
          </cell>
        </row>
        <row r="446">
          <cell r="BB446" t="str">
            <v>.</v>
          </cell>
        </row>
        <row r="447">
          <cell r="BB447" t="str">
            <v>.</v>
          </cell>
        </row>
        <row r="448">
          <cell r="BB448" t="str">
            <v>.</v>
          </cell>
        </row>
        <row r="449">
          <cell r="BB449" t="str">
            <v>.</v>
          </cell>
        </row>
        <row r="450">
          <cell r="BB450" t="str">
            <v>.</v>
          </cell>
        </row>
        <row r="451">
          <cell r="BB451" t="str">
            <v>.</v>
          </cell>
        </row>
        <row r="452">
          <cell r="BB452" t="str">
            <v>.</v>
          </cell>
        </row>
        <row r="453">
          <cell r="BB453" t="str">
            <v>.</v>
          </cell>
        </row>
        <row r="454">
          <cell r="BB454" t="str">
            <v>.</v>
          </cell>
        </row>
        <row r="455">
          <cell r="BB455" t="str">
            <v>.</v>
          </cell>
        </row>
        <row r="456">
          <cell r="BB456" t="str">
            <v>.</v>
          </cell>
        </row>
        <row r="457">
          <cell r="BB457" t="str">
            <v>.</v>
          </cell>
        </row>
        <row r="458">
          <cell r="BB458" t="str">
            <v>.</v>
          </cell>
        </row>
        <row r="459">
          <cell r="BB459" t="str">
            <v>.</v>
          </cell>
        </row>
        <row r="460">
          <cell r="BB460" t="str">
            <v>.</v>
          </cell>
        </row>
        <row r="461">
          <cell r="BB461" t="str">
            <v>.</v>
          </cell>
        </row>
        <row r="462">
          <cell r="BB462" t="str">
            <v>.</v>
          </cell>
        </row>
        <row r="463">
          <cell r="BB463" t="str">
            <v>.</v>
          </cell>
        </row>
        <row r="464">
          <cell r="BB464" t="str">
            <v>.</v>
          </cell>
        </row>
        <row r="465">
          <cell r="BB465" t="str">
            <v>.</v>
          </cell>
        </row>
        <row r="466">
          <cell r="BB466" t="str">
            <v>.</v>
          </cell>
        </row>
        <row r="467">
          <cell r="BB467" t="str">
            <v>.</v>
          </cell>
        </row>
        <row r="468">
          <cell r="BB468" t="str">
            <v>.</v>
          </cell>
        </row>
        <row r="469">
          <cell r="BB469" t="str">
            <v>.</v>
          </cell>
        </row>
        <row r="470">
          <cell r="BB470" t="str">
            <v>.</v>
          </cell>
        </row>
        <row r="471">
          <cell r="BB471" t="str">
            <v>.</v>
          </cell>
        </row>
        <row r="472">
          <cell r="BB472" t="str">
            <v>.</v>
          </cell>
        </row>
        <row r="473">
          <cell r="BB473" t="str">
            <v>.</v>
          </cell>
        </row>
        <row r="474">
          <cell r="BB474" t="str">
            <v>.</v>
          </cell>
        </row>
        <row r="475">
          <cell r="BB475" t="str">
            <v>.</v>
          </cell>
        </row>
        <row r="476">
          <cell r="BB476" t="str">
            <v>.</v>
          </cell>
        </row>
        <row r="477">
          <cell r="BB477" t="str">
            <v>.</v>
          </cell>
        </row>
        <row r="478">
          <cell r="BB478" t="str">
            <v>.</v>
          </cell>
        </row>
        <row r="479">
          <cell r="BB479" t="str">
            <v>.</v>
          </cell>
        </row>
        <row r="480">
          <cell r="BB480" t="str">
            <v>.</v>
          </cell>
        </row>
        <row r="481">
          <cell r="BB481" t="str">
            <v>.</v>
          </cell>
        </row>
        <row r="482">
          <cell r="BB482" t="str">
            <v>.</v>
          </cell>
        </row>
        <row r="483">
          <cell r="BB483" t="str">
            <v>.</v>
          </cell>
        </row>
        <row r="484">
          <cell r="BB484" t="str">
            <v>.</v>
          </cell>
        </row>
        <row r="485">
          <cell r="BB485" t="str">
            <v>.</v>
          </cell>
        </row>
        <row r="486">
          <cell r="BB486" t="str">
            <v>.</v>
          </cell>
        </row>
        <row r="487">
          <cell r="BB487" t="str">
            <v>.</v>
          </cell>
        </row>
        <row r="488">
          <cell r="BB488" t="str">
            <v>.</v>
          </cell>
        </row>
        <row r="489">
          <cell r="BB489" t="str">
            <v>.</v>
          </cell>
        </row>
        <row r="490">
          <cell r="BB490" t="str">
            <v>.</v>
          </cell>
        </row>
        <row r="491">
          <cell r="BB491" t="str">
            <v>.</v>
          </cell>
        </row>
        <row r="492">
          <cell r="BB492" t="str">
            <v>.</v>
          </cell>
        </row>
        <row r="493">
          <cell r="BB493" t="str">
            <v>.</v>
          </cell>
        </row>
        <row r="494">
          <cell r="BB494" t="str">
            <v>.</v>
          </cell>
        </row>
        <row r="495">
          <cell r="BB495" t="str">
            <v>.</v>
          </cell>
        </row>
        <row r="496">
          <cell r="BB496" t="str">
            <v>.</v>
          </cell>
        </row>
        <row r="497">
          <cell r="BB497" t="str">
            <v>.</v>
          </cell>
        </row>
        <row r="498">
          <cell r="BB498" t="str">
            <v>.</v>
          </cell>
        </row>
        <row r="499">
          <cell r="BB499" t="str">
            <v>.</v>
          </cell>
        </row>
        <row r="500">
          <cell r="BB500" t="str">
            <v>.</v>
          </cell>
        </row>
        <row r="501">
          <cell r="BB501" t="str">
            <v>.</v>
          </cell>
        </row>
        <row r="502">
          <cell r="BB502" t="str">
            <v>.</v>
          </cell>
        </row>
        <row r="503">
          <cell r="BB503" t="str">
            <v>.</v>
          </cell>
        </row>
        <row r="504">
          <cell r="BB504" t="str">
            <v>.</v>
          </cell>
        </row>
        <row r="505">
          <cell r="BB505" t="str">
            <v>.</v>
          </cell>
        </row>
        <row r="506">
          <cell r="BB506" t="str">
            <v>.</v>
          </cell>
        </row>
        <row r="507">
          <cell r="BB507" t="str">
            <v>.</v>
          </cell>
        </row>
        <row r="508">
          <cell r="BB508" t="str">
            <v>.</v>
          </cell>
        </row>
        <row r="509">
          <cell r="BB509" t="str">
            <v>.</v>
          </cell>
        </row>
        <row r="510">
          <cell r="BB510" t="str">
            <v>.</v>
          </cell>
        </row>
        <row r="511">
          <cell r="BB511" t="str">
            <v>.</v>
          </cell>
        </row>
        <row r="512">
          <cell r="BB512" t="str">
            <v>.</v>
          </cell>
        </row>
        <row r="513">
          <cell r="BB513" t="str">
            <v>.</v>
          </cell>
        </row>
        <row r="514">
          <cell r="BB514" t="str">
            <v>.</v>
          </cell>
        </row>
        <row r="515">
          <cell r="BB515" t="str">
            <v>.</v>
          </cell>
        </row>
        <row r="516">
          <cell r="BB516" t="str">
            <v>.</v>
          </cell>
        </row>
        <row r="517">
          <cell r="BB517" t="str">
            <v>.</v>
          </cell>
        </row>
        <row r="518">
          <cell r="BB518" t="str">
            <v>.</v>
          </cell>
        </row>
        <row r="519">
          <cell r="BB519" t="str">
            <v>.</v>
          </cell>
        </row>
        <row r="520">
          <cell r="BB520" t="str">
            <v>.</v>
          </cell>
        </row>
        <row r="521">
          <cell r="BB521" t="str">
            <v>.</v>
          </cell>
        </row>
        <row r="522">
          <cell r="BB522" t="str">
            <v>.</v>
          </cell>
        </row>
        <row r="523">
          <cell r="BB523" t="str">
            <v>.</v>
          </cell>
        </row>
        <row r="524">
          <cell r="BB524" t="str">
            <v>.</v>
          </cell>
        </row>
        <row r="525">
          <cell r="BB525" t="str">
            <v>.</v>
          </cell>
        </row>
        <row r="526">
          <cell r="BB526" t="str">
            <v>.</v>
          </cell>
        </row>
        <row r="527">
          <cell r="BB527" t="str">
            <v>.</v>
          </cell>
        </row>
        <row r="528">
          <cell r="BB528" t="str">
            <v>.</v>
          </cell>
        </row>
        <row r="529">
          <cell r="BB529" t="str">
            <v>.</v>
          </cell>
        </row>
        <row r="530">
          <cell r="BB530" t="str">
            <v>.</v>
          </cell>
        </row>
        <row r="531">
          <cell r="BB531" t="str">
            <v>.</v>
          </cell>
        </row>
        <row r="532">
          <cell r="BB532" t="str">
            <v>.</v>
          </cell>
        </row>
        <row r="533">
          <cell r="BB533" t="str">
            <v>.</v>
          </cell>
        </row>
        <row r="534">
          <cell r="BB534" t="str">
            <v>.</v>
          </cell>
        </row>
        <row r="535">
          <cell r="BB535" t="str">
            <v>.</v>
          </cell>
        </row>
        <row r="536">
          <cell r="BB536" t="str">
            <v>.</v>
          </cell>
        </row>
        <row r="537">
          <cell r="BB537" t="str">
            <v>.</v>
          </cell>
        </row>
        <row r="538">
          <cell r="BB538" t="str">
            <v>.</v>
          </cell>
        </row>
        <row r="539">
          <cell r="BB539" t="str">
            <v>.</v>
          </cell>
        </row>
        <row r="540">
          <cell r="BB540" t="str">
            <v>.</v>
          </cell>
        </row>
        <row r="541">
          <cell r="BB541" t="str">
            <v>.</v>
          </cell>
        </row>
        <row r="542">
          <cell r="BB542" t="str">
            <v>.</v>
          </cell>
        </row>
        <row r="543">
          <cell r="BB543" t="str">
            <v>.</v>
          </cell>
        </row>
        <row r="544">
          <cell r="BB544" t="str">
            <v>.</v>
          </cell>
        </row>
        <row r="545">
          <cell r="BB545" t="str">
            <v>.</v>
          </cell>
        </row>
        <row r="546">
          <cell r="BB546" t="str">
            <v>.</v>
          </cell>
        </row>
        <row r="547">
          <cell r="BB547" t="str">
            <v>.</v>
          </cell>
        </row>
        <row r="548">
          <cell r="BB548" t="str">
            <v>.</v>
          </cell>
        </row>
        <row r="549">
          <cell r="BB549" t="str">
            <v>.</v>
          </cell>
        </row>
        <row r="550">
          <cell r="BB550" t="str">
            <v>.</v>
          </cell>
        </row>
        <row r="551">
          <cell r="BB551" t="str">
            <v>.</v>
          </cell>
        </row>
        <row r="552">
          <cell r="BB552" t="str">
            <v>.</v>
          </cell>
        </row>
        <row r="553">
          <cell r="BB553" t="str">
            <v>.</v>
          </cell>
        </row>
        <row r="554">
          <cell r="BB554" t="str">
            <v>.</v>
          </cell>
        </row>
        <row r="555">
          <cell r="BB555" t="str">
            <v>.</v>
          </cell>
        </row>
        <row r="556">
          <cell r="BB556" t="str">
            <v>.</v>
          </cell>
        </row>
        <row r="557">
          <cell r="BB557" t="str">
            <v>.</v>
          </cell>
        </row>
        <row r="558">
          <cell r="BB558" t="str">
            <v>.</v>
          </cell>
        </row>
        <row r="559">
          <cell r="BB559" t="str">
            <v>.</v>
          </cell>
        </row>
        <row r="560">
          <cell r="BB560" t="str">
            <v>.</v>
          </cell>
        </row>
        <row r="561">
          <cell r="BB561" t="str">
            <v>.</v>
          </cell>
        </row>
        <row r="562">
          <cell r="BB562" t="str">
            <v>.</v>
          </cell>
        </row>
        <row r="563">
          <cell r="BB563" t="str">
            <v>.</v>
          </cell>
        </row>
        <row r="564">
          <cell r="BB564" t="str">
            <v>.</v>
          </cell>
        </row>
        <row r="565">
          <cell r="BB565" t="str">
            <v>.</v>
          </cell>
        </row>
        <row r="566">
          <cell r="BB566" t="str">
            <v>.</v>
          </cell>
        </row>
        <row r="567">
          <cell r="BB567" t="str">
            <v>.</v>
          </cell>
        </row>
        <row r="568">
          <cell r="BB568" t="str">
            <v>.</v>
          </cell>
        </row>
        <row r="569">
          <cell r="BB569" t="str">
            <v>.</v>
          </cell>
        </row>
        <row r="570">
          <cell r="BB570" t="str">
            <v>.</v>
          </cell>
        </row>
        <row r="571">
          <cell r="BB571" t="str">
            <v>.</v>
          </cell>
        </row>
        <row r="572">
          <cell r="BB572" t="str">
            <v>.</v>
          </cell>
        </row>
        <row r="573">
          <cell r="BB573" t="str">
            <v>.</v>
          </cell>
        </row>
        <row r="574">
          <cell r="BB574" t="str">
            <v>.</v>
          </cell>
        </row>
        <row r="575">
          <cell r="BB575" t="str">
            <v>.</v>
          </cell>
        </row>
        <row r="576">
          <cell r="BB576" t="str">
            <v>.</v>
          </cell>
        </row>
        <row r="577">
          <cell r="BB577" t="str">
            <v>.</v>
          </cell>
        </row>
        <row r="578">
          <cell r="BB578" t="str">
            <v>.</v>
          </cell>
        </row>
        <row r="579">
          <cell r="BB579" t="str">
            <v>.</v>
          </cell>
        </row>
        <row r="580">
          <cell r="BB580" t="str">
            <v>.</v>
          </cell>
        </row>
        <row r="581">
          <cell r="BB581" t="str">
            <v>.</v>
          </cell>
        </row>
        <row r="582">
          <cell r="BB582" t="str">
            <v>.</v>
          </cell>
        </row>
        <row r="583">
          <cell r="BB583" t="str">
            <v>.</v>
          </cell>
        </row>
        <row r="584">
          <cell r="BB584" t="str">
            <v>.</v>
          </cell>
        </row>
        <row r="585">
          <cell r="BB585" t="str">
            <v>.</v>
          </cell>
        </row>
        <row r="586">
          <cell r="BB586" t="str">
            <v>.</v>
          </cell>
        </row>
        <row r="587">
          <cell r="BB587" t="str">
            <v>.</v>
          </cell>
        </row>
        <row r="588">
          <cell r="BB588" t="str">
            <v>.</v>
          </cell>
        </row>
        <row r="589">
          <cell r="BB589" t="str">
            <v>.</v>
          </cell>
        </row>
        <row r="590">
          <cell r="BB590" t="str">
            <v>.</v>
          </cell>
        </row>
        <row r="591">
          <cell r="BB591" t="str">
            <v>.</v>
          </cell>
        </row>
        <row r="592">
          <cell r="BB592" t="str">
            <v>.</v>
          </cell>
        </row>
        <row r="593">
          <cell r="BB593" t="str">
            <v>.</v>
          </cell>
        </row>
        <row r="594">
          <cell r="BB594" t="str">
            <v>.</v>
          </cell>
        </row>
        <row r="595">
          <cell r="BB595" t="str">
            <v>.</v>
          </cell>
        </row>
        <row r="596">
          <cell r="BB596" t="str">
            <v>.</v>
          </cell>
        </row>
        <row r="597">
          <cell r="BB597" t="str">
            <v>.</v>
          </cell>
        </row>
        <row r="598">
          <cell r="BB598" t="str">
            <v>.</v>
          </cell>
        </row>
        <row r="599">
          <cell r="BB599" t="str">
            <v>.</v>
          </cell>
        </row>
        <row r="600">
          <cell r="BB600" t="str">
            <v>.</v>
          </cell>
        </row>
        <row r="601">
          <cell r="BB601" t="str">
            <v>.</v>
          </cell>
        </row>
        <row r="602">
          <cell r="BB602" t="str">
            <v>.</v>
          </cell>
        </row>
        <row r="603">
          <cell r="BB603" t="str">
            <v>.</v>
          </cell>
        </row>
        <row r="604">
          <cell r="BB604" t="str">
            <v>.</v>
          </cell>
        </row>
        <row r="605">
          <cell r="BB605" t="str">
            <v>.</v>
          </cell>
        </row>
        <row r="606">
          <cell r="BB606" t="str">
            <v>.</v>
          </cell>
        </row>
        <row r="607">
          <cell r="BB607" t="str">
            <v>.</v>
          </cell>
        </row>
        <row r="608">
          <cell r="BB608" t="str">
            <v>.</v>
          </cell>
        </row>
        <row r="609">
          <cell r="BB609" t="str">
            <v>.</v>
          </cell>
        </row>
        <row r="610">
          <cell r="BB610" t="str">
            <v>.</v>
          </cell>
        </row>
        <row r="611">
          <cell r="BB611" t="str">
            <v>.</v>
          </cell>
        </row>
        <row r="612">
          <cell r="BB612" t="str">
            <v>.</v>
          </cell>
        </row>
        <row r="613">
          <cell r="BB613" t="str">
            <v>.</v>
          </cell>
        </row>
        <row r="614">
          <cell r="BB614" t="str">
            <v>.</v>
          </cell>
        </row>
        <row r="615">
          <cell r="BB615" t="str">
            <v>.</v>
          </cell>
        </row>
        <row r="616">
          <cell r="BB616" t="str">
            <v>.</v>
          </cell>
        </row>
        <row r="617">
          <cell r="BB617" t="str">
            <v>.</v>
          </cell>
        </row>
        <row r="618">
          <cell r="BB618" t="str">
            <v>.</v>
          </cell>
        </row>
        <row r="619">
          <cell r="BB619" t="str">
            <v>.</v>
          </cell>
        </row>
        <row r="620">
          <cell r="BB620" t="str">
            <v>.</v>
          </cell>
        </row>
        <row r="621">
          <cell r="BB621" t="str">
            <v>.</v>
          </cell>
        </row>
        <row r="622">
          <cell r="BB622" t="str">
            <v>.</v>
          </cell>
        </row>
        <row r="623">
          <cell r="BB623" t="str">
            <v>.</v>
          </cell>
        </row>
        <row r="624">
          <cell r="BB624" t="str">
            <v>.</v>
          </cell>
        </row>
        <row r="625">
          <cell r="BB625" t="str">
            <v>.</v>
          </cell>
        </row>
        <row r="626">
          <cell r="BB626" t="str">
            <v>.</v>
          </cell>
        </row>
        <row r="627">
          <cell r="BB627" t="str">
            <v>.</v>
          </cell>
        </row>
        <row r="628">
          <cell r="BB628" t="str">
            <v>.</v>
          </cell>
        </row>
        <row r="629">
          <cell r="BB629" t="str">
            <v>.</v>
          </cell>
        </row>
        <row r="630">
          <cell r="BB630" t="str">
            <v>.</v>
          </cell>
        </row>
        <row r="631">
          <cell r="BB631" t="str">
            <v>.</v>
          </cell>
        </row>
        <row r="632">
          <cell r="BB632" t="str">
            <v>.</v>
          </cell>
        </row>
        <row r="633">
          <cell r="BB633" t="str">
            <v>.</v>
          </cell>
        </row>
        <row r="634">
          <cell r="BB634" t="str">
            <v>.</v>
          </cell>
        </row>
        <row r="635">
          <cell r="BB635" t="str">
            <v>.</v>
          </cell>
        </row>
        <row r="636">
          <cell r="BB636" t="str">
            <v>.</v>
          </cell>
        </row>
        <row r="637">
          <cell r="BB637" t="str">
            <v>.</v>
          </cell>
        </row>
        <row r="638">
          <cell r="BB638" t="str">
            <v>.</v>
          </cell>
        </row>
        <row r="639">
          <cell r="BB639" t="str">
            <v>.</v>
          </cell>
        </row>
        <row r="640">
          <cell r="BB640" t="str">
            <v>.</v>
          </cell>
        </row>
        <row r="641">
          <cell r="BB641" t="str">
            <v>.</v>
          </cell>
        </row>
        <row r="642">
          <cell r="BB642" t="str">
            <v>.</v>
          </cell>
        </row>
        <row r="643">
          <cell r="BB643" t="str">
            <v>.</v>
          </cell>
        </row>
        <row r="644">
          <cell r="BB644" t="str">
            <v>.</v>
          </cell>
        </row>
        <row r="645">
          <cell r="BB645" t="str">
            <v>.</v>
          </cell>
        </row>
        <row r="646">
          <cell r="BB646" t="str">
            <v>.</v>
          </cell>
        </row>
        <row r="647">
          <cell r="BB647" t="str">
            <v>.</v>
          </cell>
        </row>
        <row r="648">
          <cell r="BB648" t="str">
            <v>.</v>
          </cell>
        </row>
        <row r="649">
          <cell r="BB649" t="str">
            <v>.</v>
          </cell>
        </row>
        <row r="650">
          <cell r="BB650" t="str">
            <v>.</v>
          </cell>
        </row>
        <row r="651">
          <cell r="BB651" t="str">
            <v>.</v>
          </cell>
        </row>
        <row r="652">
          <cell r="BB652" t="str">
            <v>.</v>
          </cell>
        </row>
        <row r="653">
          <cell r="BB653" t="str">
            <v>.</v>
          </cell>
        </row>
        <row r="654">
          <cell r="BB654" t="str">
            <v>.</v>
          </cell>
        </row>
        <row r="655">
          <cell r="BB655" t="str">
            <v>.</v>
          </cell>
        </row>
        <row r="656">
          <cell r="BB656" t="str">
            <v>.</v>
          </cell>
        </row>
        <row r="657">
          <cell r="BB657" t="str">
            <v>.</v>
          </cell>
        </row>
        <row r="658">
          <cell r="BB658" t="str">
            <v>.</v>
          </cell>
        </row>
        <row r="659">
          <cell r="BB659" t="str">
            <v>.</v>
          </cell>
        </row>
        <row r="660">
          <cell r="BB660" t="str">
            <v>.</v>
          </cell>
        </row>
        <row r="661">
          <cell r="BB661" t="str">
            <v>.</v>
          </cell>
        </row>
        <row r="662">
          <cell r="BB662" t="str">
            <v>.</v>
          </cell>
        </row>
        <row r="663">
          <cell r="BB663" t="str">
            <v>.</v>
          </cell>
        </row>
        <row r="664">
          <cell r="BB664" t="str">
            <v>.</v>
          </cell>
        </row>
        <row r="665">
          <cell r="BB665" t="str">
            <v>.</v>
          </cell>
        </row>
        <row r="666">
          <cell r="BB666" t="str">
            <v>.</v>
          </cell>
        </row>
        <row r="667">
          <cell r="BB667" t="str">
            <v>.</v>
          </cell>
        </row>
        <row r="668">
          <cell r="BB668" t="str">
            <v>.</v>
          </cell>
        </row>
        <row r="669">
          <cell r="BB669" t="str">
            <v>.</v>
          </cell>
        </row>
        <row r="670">
          <cell r="BB670" t="str">
            <v>.</v>
          </cell>
        </row>
        <row r="671">
          <cell r="BB671" t="str">
            <v>.</v>
          </cell>
        </row>
        <row r="672">
          <cell r="BB672" t="str">
            <v>.</v>
          </cell>
        </row>
        <row r="673">
          <cell r="BB673" t="str">
            <v>.</v>
          </cell>
        </row>
        <row r="674">
          <cell r="BB674" t="str">
            <v>.</v>
          </cell>
        </row>
        <row r="675">
          <cell r="BB675" t="str">
            <v>.</v>
          </cell>
        </row>
        <row r="676">
          <cell r="BB676" t="str">
            <v>.</v>
          </cell>
        </row>
        <row r="677">
          <cell r="BB677" t="str">
            <v>.</v>
          </cell>
        </row>
        <row r="678">
          <cell r="BB678" t="str">
            <v>.</v>
          </cell>
        </row>
        <row r="679">
          <cell r="BB679" t="str">
            <v>.</v>
          </cell>
        </row>
        <row r="680">
          <cell r="BB680" t="str">
            <v>.</v>
          </cell>
        </row>
        <row r="681">
          <cell r="BB681" t="str">
            <v>.</v>
          </cell>
        </row>
        <row r="682">
          <cell r="BB682" t="str">
            <v>.</v>
          </cell>
        </row>
        <row r="683">
          <cell r="BB683" t="str">
            <v>.</v>
          </cell>
        </row>
        <row r="684">
          <cell r="BB684" t="str">
            <v>.</v>
          </cell>
        </row>
        <row r="685">
          <cell r="BB685" t="str">
            <v>.</v>
          </cell>
        </row>
        <row r="686">
          <cell r="BB686" t="str">
            <v>.</v>
          </cell>
        </row>
        <row r="687">
          <cell r="BB687" t="str">
            <v>.</v>
          </cell>
        </row>
        <row r="688">
          <cell r="BB688" t="str">
            <v>.</v>
          </cell>
        </row>
        <row r="689">
          <cell r="BB689" t="str">
            <v>.</v>
          </cell>
        </row>
        <row r="690">
          <cell r="BB690" t="str">
            <v>.</v>
          </cell>
        </row>
        <row r="691">
          <cell r="BB691" t="str">
            <v>.</v>
          </cell>
        </row>
        <row r="692">
          <cell r="BB692" t="str">
            <v>.</v>
          </cell>
        </row>
        <row r="693">
          <cell r="BB693" t="str">
            <v>.</v>
          </cell>
        </row>
        <row r="694">
          <cell r="BB694" t="str">
            <v>.</v>
          </cell>
        </row>
        <row r="695">
          <cell r="BB695" t="str">
            <v>.</v>
          </cell>
        </row>
        <row r="696">
          <cell r="BB696" t="str">
            <v>.</v>
          </cell>
        </row>
        <row r="697">
          <cell r="BB697" t="str">
            <v>.</v>
          </cell>
        </row>
        <row r="698">
          <cell r="BB698" t="str">
            <v>.</v>
          </cell>
        </row>
        <row r="699">
          <cell r="BB699" t="str">
            <v>.</v>
          </cell>
        </row>
        <row r="700">
          <cell r="BB700" t="str">
            <v>.</v>
          </cell>
        </row>
        <row r="701">
          <cell r="BB701" t="str">
            <v>.</v>
          </cell>
        </row>
        <row r="702">
          <cell r="BB702" t="str">
            <v>.</v>
          </cell>
        </row>
        <row r="703">
          <cell r="BB703" t="str">
            <v>.</v>
          </cell>
        </row>
        <row r="704">
          <cell r="BB704" t="str">
            <v>.</v>
          </cell>
        </row>
        <row r="705">
          <cell r="BB705" t="str">
            <v>.</v>
          </cell>
        </row>
        <row r="706">
          <cell r="BB706" t="str">
            <v>.</v>
          </cell>
        </row>
        <row r="707">
          <cell r="BB707" t="str">
            <v>.</v>
          </cell>
        </row>
        <row r="708">
          <cell r="BB708" t="str">
            <v>.</v>
          </cell>
        </row>
        <row r="709">
          <cell r="BB709" t="str">
            <v>.</v>
          </cell>
        </row>
        <row r="710">
          <cell r="BB710" t="str">
            <v>.</v>
          </cell>
        </row>
        <row r="711">
          <cell r="BB711" t="str">
            <v>.</v>
          </cell>
        </row>
        <row r="712">
          <cell r="BB712" t="str">
            <v>.</v>
          </cell>
        </row>
        <row r="713">
          <cell r="BB713" t="str">
            <v>.</v>
          </cell>
        </row>
        <row r="714">
          <cell r="BB714" t="str">
            <v>.</v>
          </cell>
        </row>
        <row r="715">
          <cell r="BB715" t="str">
            <v>.</v>
          </cell>
        </row>
        <row r="716">
          <cell r="BB716" t="str">
            <v>.</v>
          </cell>
        </row>
        <row r="717">
          <cell r="BB717" t="str">
            <v>.</v>
          </cell>
        </row>
        <row r="718">
          <cell r="BB718" t="str">
            <v>.</v>
          </cell>
        </row>
        <row r="719">
          <cell r="BB719" t="str">
            <v>.</v>
          </cell>
        </row>
        <row r="720">
          <cell r="BB720" t="str">
            <v>.</v>
          </cell>
        </row>
        <row r="721">
          <cell r="BB721" t="str">
            <v>.</v>
          </cell>
        </row>
        <row r="722">
          <cell r="BB722" t="str">
            <v>.</v>
          </cell>
        </row>
        <row r="723">
          <cell r="BB723" t="str">
            <v>.</v>
          </cell>
        </row>
        <row r="724">
          <cell r="BB724" t="str">
            <v>.</v>
          </cell>
        </row>
        <row r="725">
          <cell r="BB725" t="str">
            <v>.</v>
          </cell>
        </row>
        <row r="726">
          <cell r="BB726" t="str">
            <v>.</v>
          </cell>
        </row>
        <row r="727">
          <cell r="BB727" t="str">
            <v>.</v>
          </cell>
        </row>
        <row r="728">
          <cell r="BB728" t="str">
            <v>.</v>
          </cell>
        </row>
        <row r="729">
          <cell r="BB729" t="str">
            <v>.</v>
          </cell>
        </row>
        <row r="730">
          <cell r="BB730" t="str">
            <v>.</v>
          </cell>
        </row>
        <row r="731">
          <cell r="BB731" t="str">
            <v>.</v>
          </cell>
        </row>
        <row r="732">
          <cell r="BB732" t="str">
            <v>.</v>
          </cell>
        </row>
        <row r="733">
          <cell r="BB733" t="str">
            <v>.</v>
          </cell>
        </row>
        <row r="734">
          <cell r="BB734" t="str">
            <v>.</v>
          </cell>
        </row>
        <row r="735">
          <cell r="BB735" t="str">
            <v>.</v>
          </cell>
        </row>
        <row r="736">
          <cell r="BB736" t="str">
            <v>.</v>
          </cell>
        </row>
        <row r="737">
          <cell r="BB737" t="str">
            <v>.</v>
          </cell>
        </row>
        <row r="738">
          <cell r="BB738" t="str">
            <v>.</v>
          </cell>
        </row>
        <row r="739">
          <cell r="BB739" t="str">
            <v>.</v>
          </cell>
        </row>
        <row r="740">
          <cell r="BB740" t="str">
            <v>.</v>
          </cell>
        </row>
        <row r="741">
          <cell r="BB741" t="str">
            <v>.</v>
          </cell>
        </row>
        <row r="742">
          <cell r="BB742" t="str">
            <v>.</v>
          </cell>
        </row>
        <row r="743">
          <cell r="BB743" t="str">
            <v>.</v>
          </cell>
        </row>
        <row r="744">
          <cell r="BB744" t="str">
            <v>.</v>
          </cell>
        </row>
        <row r="745">
          <cell r="BB745" t="str">
            <v>.</v>
          </cell>
        </row>
        <row r="746">
          <cell r="BB746" t="str">
            <v>.</v>
          </cell>
        </row>
        <row r="747">
          <cell r="BB747" t="str">
            <v>.</v>
          </cell>
        </row>
        <row r="748">
          <cell r="BB748" t="str">
            <v>.</v>
          </cell>
        </row>
        <row r="749">
          <cell r="BB749" t="str">
            <v>.</v>
          </cell>
        </row>
        <row r="750">
          <cell r="BB750" t="str">
            <v>.</v>
          </cell>
        </row>
        <row r="751">
          <cell r="BB751" t="str">
            <v>.</v>
          </cell>
        </row>
        <row r="752">
          <cell r="BB752" t="str">
            <v>.</v>
          </cell>
        </row>
        <row r="753">
          <cell r="BB753" t="str">
            <v>.</v>
          </cell>
        </row>
        <row r="754">
          <cell r="BB754" t="str">
            <v>.</v>
          </cell>
        </row>
        <row r="755">
          <cell r="BB755" t="str">
            <v>.</v>
          </cell>
        </row>
        <row r="756">
          <cell r="BB756" t="str">
            <v>.</v>
          </cell>
        </row>
        <row r="757">
          <cell r="BB757" t="str">
            <v>.</v>
          </cell>
        </row>
        <row r="758">
          <cell r="BB758" t="str">
            <v>.</v>
          </cell>
        </row>
        <row r="759">
          <cell r="BB759" t="str">
            <v>.</v>
          </cell>
        </row>
        <row r="760">
          <cell r="BB760" t="str">
            <v>.</v>
          </cell>
        </row>
        <row r="761">
          <cell r="BB761" t="str">
            <v>.</v>
          </cell>
        </row>
        <row r="762">
          <cell r="BB762" t="str">
            <v>.</v>
          </cell>
        </row>
        <row r="763">
          <cell r="BB763" t="str">
            <v>.</v>
          </cell>
        </row>
        <row r="764">
          <cell r="BB764" t="str">
            <v>.</v>
          </cell>
        </row>
        <row r="765">
          <cell r="BB765" t="str">
            <v>.</v>
          </cell>
        </row>
        <row r="766">
          <cell r="BB766" t="str">
            <v>.</v>
          </cell>
        </row>
        <row r="767">
          <cell r="BB767" t="str">
            <v>.</v>
          </cell>
        </row>
        <row r="768">
          <cell r="BB768" t="str">
            <v>.</v>
          </cell>
        </row>
        <row r="769">
          <cell r="BB769" t="str">
            <v>.</v>
          </cell>
        </row>
        <row r="770">
          <cell r="BB770" t="str">
            <v>.</v>
          </cell>
        </row>
        <row r="771">
          <cell r="BB771" t="str">
            <v>.</v>
          </cell>
        </row>
        <row r="772">
          <cell r="BB772" t="str">
            <v>.</v>
          </cell>
        </row>
        <row r="773">
          <cell r="BB773" t="str">
            <v>.</v>
          </cell>
        </row>
        <row r="774">
          <cell r="BB774" t="str">
            <v>.</v>
          </cell>
        </row>
        <row r="775">
          <cell r="BB775" t="str">
            <v>.</v>
          </cell>
        </row>
        <row r="776">
          <cell r="BB776" t="str">
            <v>.</v>
          </cell>
        </row>
        <row r="777">
          <cell r="BB777" t="str">
            <v>.</v>
          </cell>
        </row>
        <row r="778">
          <cell r="BB778" t="str">
            <v>.</v>
          </cell>
        </row>
        <row r="779">
          <cell r="BB779" t="str">
            <v>.</v>
          </cell>
        </row>
        <row r="780">
          <cell r="BB780" t="str">
            <v>.</v>
          </cell>
        </row>
        <row r="781">
          <cell r="BB781" t="str">
            <v>.</v>
          </cell>
        </row>
        <row r="782">
          <cell r="BB782" t="str">
            <v>.</v>
          </cell>
        </row>
        <row r="783">
          <cell r="BB783" t="str">
            <v>.</v>
          </cell>
        </row>
        <row r="784">
          <cell r="BB784" t="str">
            <v>.</v>
          </cell>
        </row>
        <row r="785">
          <cell r="BB785" t="str">
            <v>.</v>
          </cell>
        </row>
        <row r="786">
          <cell r="BB786" t="str">
            <v>.</v>
          </cell>
        </row>
        <row r="787">
          <cell r="BB787" t="str">
            <v>.</v>
          </cell>
        </row>
        <row r="788">
          <cell r="BB788" t="str">
            <v>.</v>
          </cell>
        </row>
        <row r="789">
          <cell r="BB789" t="str">
            <v>.</v>
          </cell>
        </row>
        <row r="790">
          <cell r="BB790" t="str">
            <v>.</v>
          </cell>
        </row>
        <row r="791">
          <cell r="BB791" t="str">
            <v>.</v>
          </cell>
        </row>
        <row r="792">
          <cell r="BB792" t="str">
            <v>.</v>
          </cell>
        </row>
        <row r="793">
          <cell r="BB793" t="str">
            <v>.</v>
          </cell>
        </row>
        <row r="794">
          <cell r="BB794" t="str">
            <v>.</v>
          </cell>
        </row>
        <row r="795">
          <cell r="BB795" t="str">
            <v>.</v>
          </cell>
        </row>
        <row r="796">
          <cell r="BB796" t="str">
            <v>.</v>
          </cell>
        </row>
        <row r="797">
          <cell r="BB797" t="str">
            <v>.</v>
          </cell>
        </row>
        <row r="798">
          <cell r="BB798" t="str">
            <v>.</v>
          </cell>
        </row>
        <row r="799">
          <cell r="BB799" t="str">
            <v>.</v>
          </cell>
        </row>
        <row r="800">
          <cell r="BB800" t="str">
            <v>.</v>
          </cell>
        </row>
        <row r="801">
          <cell r="BB801" t="str">
            <v>.</v>
          </cell>
        </row>
        <row r="802">
          <cell r="BB802" t="str">
            <v>.</v>
          </cell>
        </row>
        <row r="803">
          <cell r="BB803" t="str">
            <v>.</v>
          </cell>
        </row>
        <row r="804">
          <cell r="BB804" t="str">
            <v>.</v>
          </cell>
        </row>
        <row r="805">
          <cell r="BB805" t="str">
            <v>.</v>
          </cell>
        </row>
        <row r="806">
          <cell r="BB806" t="str">
            <v>.</v>
          </cell>
        </row>
        <row r="807">
          <cell r="BB807" t="str">
            <v>.</v>
          </cell>
        </row>
        <row r="808">
          <cell r="BB808" t="str">
            <v>.</v>
          </cell>
        </row>
        <row r="809">
          <cell r="BB809" t="str">
            <v>.</v>
          </cell>
        </row>
        <row r="810">
          <cell r="BB810" t="str">
            <v>.</v>
          </cell>
        </row>
        <row r="811">
          <cell r="BB811" t="str">
            <v>.</v>
          </cell>
        </row>
        <row r="812">
          <cell r="BB812" t="str">
            <v>.</v>
          </cell>
        </row>
        <row r="813">
          <cell r="BB813" t="str">
            <v>.</v>
          </cell>
        </row>
        <row r="814">
          <cell r="BB814" t="str">
            <v>.</v>
          </cell>
        </row>
        <row r="815">
          <cell r="BB815" t="str">
            <v>.</v>
          </cell>
        </row>
        <row r="816">
          <cell r="BB816" t="str">
            <v>.</v>
          </cell>
        </row>
        <row r="817">
          <cell r="BB817" t="str">
            <v>.</v>
          </cell>
        </row>
        <row r="818">
          <cell r="BB818" t="str">
            <v>.</v>
          </cell>
        </row>
        <row r="819">
          <cell r="BB819" t="str">
            <v>.</v>
          </cell>
        </row>
        <row r="820">
          <cell r="BB820" t="str">
            <v>.</v>
          </cell>
        </row>
        <row r="821">
          <cell r="BB821" t="str">
            <v>.</v>
          </cell>
        </row>
        <row r="822">
          <cell r="BB822" t="str">
            <v>.</v>
          </cell>
        </row>
        <row r="823">
          <cell r="BB823" t="str">
            <v>.</v>
          </cell>
        </row>
        <row r="824">
          <cell r="BB824" t="str">
            <v>.</v>
          </cell>
        </row>
        <row r="825">
          <cell r="BB825" t="str">
            <v>.</v>
          </cell>
        </row>
        <row r="826">
          <cell r="BB826" t="str">
            <v>.</v>
          </cell>
        </row>
        <row r="827">
          <cell r="BB827" t="str">
            <v>.</v>
          </cell>
        </row>
        <row r="828">
          <cell r="BB828" t="str">
            <v>.</v>
          </cell>
        </row>
        <row r="829">
          <cell r="BB829" t="str">
            <v>.</v>
          </cell>
        </row>
        <row r="830">
          <cell r="BB830" t="str">
            <v>.</v>
          </cell>
        </row>
        <row r="831">
          <cell r="BB831" t="str">
            <v>.</v>
          </cell>
        </row>
        <row r="832">
          <cell r="BB832" t="str">
            <v>.</v>
          </cell>
        </row>
        <row r="833">
          <cell r="BB833" t="str">
            <v>.</v>
          </cell>
        </row>
        <row r="834">
          <cell r="BB834" t="str">
            <v>.</v>
          </cell>
        </row>
        <row r="835">
          <cell r="BB835" t="str">
            <v>.</v>
          </cell>
        </row>
        <row r="836">
          <cell r="BB836" t="str">
            <v>.</v>
          </cell>
        </row>
        <row r="837">
          <cell r="BB837" t="str">
            <v>.</v>
          </cell>
        </row>
        <row r="838">
          <cell r="BB838" t="str">
            <v>.</v>
          </cell>
        </row>
        <row r="839">
          <cell r="BB839" t="str">
            <v>.</v>
          </cell>
        </row>
        <row r="840">
          <cell r="BB840" t="str">
            <v>.</v>
          </cell>
        </row>
        <row r="841">
          <cell r="BB841" t="str">
            <v>.</v>
          </cell>
        </row>
        <row r="842">
          <cell r="BB842" t="str">
            <v>.</v>
          </cell>
        </row>
        <row r="843">
          <cell r="BB843" t="str">
            <v>.</v>
          </cell>
        </row>
        <row r="844">
          <cell r="BB844" t="str">
            <v>.</v>
          </cell>
        </row>
        <row r="845">
          <cell r="BB845" t="str">
            <v>.</v>
          </cell>
        </row>
        <row r="846">
          <cell r="BB846" t="str">
            <v>.</v>
          </cell>
        </row>
        <row r="847">
          <cell r="BB847" t="str">
            <v>.</v>
          </cell>
        </row>
        <row r="848">
          <cell r="BB848" t="str">
            <v>.</v>
          </cell>
        </row>
        <row r="849">
          <cell r="BB849" t="str">
            <v>.</v>
          </cell>
        </row>
        <row r="850">
          <cell r="BB850" t="str">
            <v>.</v>
          </cell>
        </row>
        <row r="851">
          <cell r="BB851" t="str">
            <v>.</v>
          </cell>
        </row>
        <row r="852">
          <cell r="BB852" t="str">
            <v>.</v>
          </cell>
        </row>
        <row r="853">
          <cell r="BB853" t="str">
            <v>.</v>
          </cell>
        </row>
        <row r="854">
          <cell r="BB854" t="str">
            <v>.</v>
          </cell>
        </row>
        <row r="855">
          <cell r="BB855" t="str">
            <v>.</v>
          </cell>
        </row>
        <row r="856">
          <cell r="BB856" t="str">
            <v>.</v>
          </cell>
        </row>
        <row r="857">
          <cell r="BB857" t="str">
            <v>.</v>
          </cell>
        </row>
        <row r="858">
          <cell r="BB858" t="str">
            <v>.</v>
          </cell>
        </row>
        <row r="859">
          <cell r="BB859" t="str">
            <v>.</v>
          </cell>
        </row>
        <row r="860">
          <cell r="BB860" t="str">
            <v>.</v>
          </cell>
        </row>
        <row r="861">
          <cell r="BB861" t="str">
            <v>.</v>
          </cell>
        </row>
        <row r="862">
          <cell r="BB862" t="str">
            <v>.</v>
          </cell>
        </row>
        <row r="863">
          <cell r="BB863" t="str">
            <v>.</v>
          </cell>
        </row>
        <row r="864">
          <cell r="BB864" t="str">
            <v>.</v>
          </cell>
        </row>
        <row r="865">
          <cell r="BB865" t="str">
            <v>.</v>
          </cell>
        </row>
        <row r="866">
          <cell r="BB866" t="str">
            <v>.</v>
          </cell>
        </row>
        <row r="867">
          <cell r="BB867" t="str">
            <v>.</v>
          </cell>
        </row>
        <row r="868">
          <cell r="BB868" t="str">
            <v>.</v>
          </cell>
        </row>
        <row r="869">
          <cell r="BB869" t="str">
            <v>.</v>
          </cell>
        </row>
        <row r="870">
          <cell r="BB870" t="str">
            <v>.</v>
          </cell>
        </row>
        <row r="871">
          <cell r="BB871" t="str">
            <v>.</v>
          </cell>
        </row>
        <row r="872">
          <cell r="BB872" t="str">
            <v>.</v>
          </cell>
        </row>
        <row r="873">
          <cell r="BB873" t="str">
            <v>.</v>
          </cell>
        </row>
        <row r="874">
          <cell r="BB874" t="str">
            <v>.</v>
          </cell>
        </row>
        <row r="875">
          <cell r="BB875" t="str">
            <v>.</v>
          </cell>
        </row>
        <row r="876">
          <cell r="BB876" t="str">
            <v>.</v>
          </cell>
        </row>
        <row r="877">
          <cell r="BB877" t="str">
            <v>.</v>
          </cell>
        </row>
        <row r="878">
          <cell r="BB878" t="str">
            <v>.</v>
          </cell>
        </row>
        <row r="879">
          <cell r="BB879" t="str">
            <v>.</v>
          </cell>
        </row>
        <row r="880">
          <cell r="BB880" t="str">
            <v>.</v>
          </cell>
        </row>
        <row r="881">
          <cell r="BB881" t="str">
            <v>.</v>
          </cell>
        </row>
        <row r="882">
          <cell r="BB882" t="str">
            <v>.</v>
          </cell>
        </row>
        <row r="883">
          <cell r="BB883" t="str">
            <v>.</v>
          </cell>
        </row>
        <row r="884">
          <cell r="BB884" t="str">
            <v>.</v>
          </cell>
        </row>
        <row r="885">
          <cell r="BB885" t="str">
            <v>.</v>
          </cell>
        </row>
        <row r="886">
          <cell r="BB886" t="str">
            <v>.</v>
          </cell>
        </row>
        <row r="887">
          <cell r="BB887" t="str">
            <v>.</v>
          </cell>
        </row>
        <row r="888">
          <cell r="BB888" t="str">
            <v>.</v>
          </cell>
        </row>
        <row r="889">
          <cell r="BB889" t="str">
            <v>.</v>
          </cell>
        </row>
        <row r="890">
          <cell r="BB890" t="str">
            <v>.</v>
          </cell>
        </row>
        <row r="891">
          <cell r="BB891" t="str">
            <v>.</v>
          </cell>
        </row>
        <row r="892">
          <cell r="BB892" t="str">
            <v>.</v>
          </cell>
        </row>
        <row r="893">
          <cell r="BB893" t="str">
            <v>.</v>
          </cell>
        </row>
        <row r="894">
          <cell r="BB894" t="str">
            <v>.</v>
          </cell>
        </row>
        <row r="895">
          <cell r="BB895" t="str">
            <v>.</v>
          </cell>
        </row>
        <row r="896">
          <cell r="BB896" t="str">
            <v>.</v>
          </cell>
        </row>
        <row r="897">
          <cell r="BB897" t="str">
            <v>.</v>
          </cell>
        </row>
        <row r="898">
          <cell r="BB898" t="str">
            <v>.</v>
          </cell>
        </row>
        <row r="899">
          <cell r="BB899" t="str">
            <v>.</v>
          </cell>
        </row>
        <row r="900">
          <cell r="BB900" t="str">
            <v>.</v>
          </cell>
        </row>
        <row r="901">
          <cell r="BB901" t="str">
            <v>.</v>
          </cell>
        </row>
        <row r="902">
          <cell r="BB902" t="str">
            <v>.</v>
          </cell>
        </row>
        <row r="903">
          <cell r="BB903" t="str">
            <v>.</v>
          </cell>
        </row>
        <row r="904">
          <cell r="BB904" t="str">
            <v>.</v>
          </cell>
        </row>
        <row r="905">
          <cell r="BB905" t="str">
            <v>.</v>
          </cell>
        </row>
        <row r="906">
          <cell r="BB906" t="str">
            <v>.</v>
          </cell>
        </row>
        <row r="907">
          <cell r="BB907" t="str">
            <v>.</v>
          </cell>
        </row>
        <row r="908">
          <cell r="BB908" t="str">
            <v>.</v>
          </cell>
        </row>
        <row r="909">
          <cell r="BB909" t="str">
            <v>.</v>
          </cell>
        </row>
        <row r="910">
          <cell r="BB910" t="str">
            <v>.</v>
          </cell>
        </row>
        <row r="911">
          <cell r="BB911" t="str">
            <v>.</v>
          </cell>
        </row>
        <row r="912">
          <cell r="BB912" t="str">
            <v>.</v>
          </cell>
        </row>
        <row r="913">
          <cell r="BB913" t="str">
            <v>.</v>
          </cell>
        </row>
        <row r="914">
          <cell r="BB914" t="str">
            <v>.</v>
          </cell>
        </row>
        <row r="915">
          <cell r="BB915" t="str">
            <v>.</v>
          </cell>
        </row>
        <row r="916">
          <cell r="BB916" t="str">
            <v>.</v>
          </cell>
        </row>
        <row r="917">
          <cell r="BB917" t="str">
            <v>.</v>
          </cell>
        </row>
        <row r="918">
          <cell r="BB918" t="str">
            <v>.</v>
          </cell>
        </row>
        <row r="919">
          <cell r="BB919" t="str">
            <v>.</v>
          </cell>
        </row>
        <row r="920">
          <cell r="BB920" t="str">
            <v>.</v>
          </cell>
        </row>
        <row r="921">
          <cell r="BB921" t="str">
            <v>.</v>
          </cell>
        </row>
        <row r="922">
          <cell r="BB922" t="str">
            <v>.</v>
          </cell>
        </row>
        <row r="923">
          <cell r="BB923" t="str">
            <v>.</v>
          </cell>
        </row>
        <row r="924">
          <cell r="BB924" t="str">
            <v>.</v>
          </cell>
        </row>
        <row r="925">
          <cell r="BB925" t="str">
            <v>.</v>
          </cell>
        </row>
        <row r="926">
          <cell r="BB926" t="str">
            <v>.</v>
          </cell>
        </row>
        <row r="927">
          <cell r="BB927" t="str">
            <v>.</v>
          </cell>
        </row>
        <row r="928">
          <cell r="BB928" t="str">
            <v>.</v>
          </cell>
        </row>
        <row r="929">
          <cell r="BB929" t="str">
            <v>.</v>
          </cell>
        </row>
        <row r="930">
          <cell r="BB930" t="str">
            <v>.</v>
          </cell>
        </row>
        <row r="931">
          <cell r="BB931" t="str">
            <v>.</v>
          </cell>
        </row>
        <row r="932">
          <cell r="BB932" t="str">
            <v>.</v>
          </cell>
        </row>
        <row r="933">
          <cell r="BB933" t="str">
            <v>.</v>
          </cell>
        </row>
        <row r="934">
          <cell r="BB934" t="str">
            <v>.</v>
          </cell>
        </row>
        <row r="935">
          <cell r="BB935" t="str">
            <v>.</v>
          </cell>
        </row>
        <row r="936">
          <cell r="BB936" t="str">
            <v>.</v>
          </cell>
        </row>
        <row r="937">
          <cell r="BB937" t="str">
            <v>.</v>
          </cell>
        </row>
        <row r="938">
          <cell r="BB938" t="str">
            <v>.</v>
          </cell>
        </row>
        <row r="939">
          <cell r="BB939" t="str">
            <v>.</v>
          </cell>
        </row>
        <row r="940">
          <cell r="BB940" t="str">
            <v>.</v>
          </cell>
        </row>
        <row r="941">
          <cell r="BB941" t="str">
            <v>.</v>
          </cell>
        </row>
        <row r="942">
          <cell r="BB942" t="str">
            <v>.</v>
          </cell>
        </row>
        <row r="943">
          <cell r="BB943" t="str">
            <v>.</v>
          </cell>
        </row>
        <row r="944">
          <cell r="BB944" t="str">
            <v>.</v>
          </cell>
        </row>
        <row r="945">
          <cell r="BB945" t="str">
            <v>.</v>
          </cell>
        </row>
        <row r="946">
          <cell r="BB946" t="str">
            <v>.</v>
          </cell>
        </row>
        <row r="947">
          <cell r="BB947" t="str">
            <v>.</v>
          </cell>
        </row>
        <row r="948">
          <cell r="BB948" t="str">
            <v>.</v>
          </cell>
        </row>
        <row r="949">
          <cell r="BB949" t="str">
            <v>.</v>
          </cell>
        </row>
        <row r="950">
          <cell r="BB950" t="str">
            <v>.</v>
          </cell>
        </row>
        <row r="951">
          <cell r="BB951" t="str">
            <v>.</v>
          </cell>
        </row>
        <row r="952">
          <cell r="BB952" t="str">
            <v>.</v>
          </cell>
        </row>
        <row r="953">
          <cell r="BB953" t="str">
            <v>.</v>
          </cell>
        </row>
        <row r="954">
          <cell r="BB954" t="str">
            <v>.</v>
          </cell>
        </row>
        <row r="955">
          <cell r="BB955" t="str">
            <v>.</v>
          </cell>
        </row>
        <row r="956">
          <cell r="BB956" t="str">
            <v>.</v>
          </cell>
        </row>
        <row r="957">
          <cell r="BB957" t="str">
            <v>.</v>
          </cell>
        </row>
        <row r="958">
          <cell r="BB958" t="str">
            <v>.</v>
          </cell>
        </row>
        <row r="959">
          <cell r="BB959" t="str">
            <v>.</v>
          </cell>
        </row>
        <row r="960">
          <cell r="BB960" t="str">
            <v>.</v>
          </cell>
        </row>
        <row r="961">
          <cell r="BB961" t="str">
            <v>.</v>
          </cell>
        </row>
        <row r="962">
          <cell r="BB962" t="str">
            <v>.</v>
          </cell>
        </row>
        <row r="963">
          <cell r="BB963" t="str">
            <v>.</v>
          </cell>
        </row>
        <row r="964">
          <cell r="BB964" t="str">
            <v>.</v>
          </cell>
        </row>
        <row r="965">
          <cell r="BB965" t="str">
            <v>.</v>
          </cell>
        </row>
        <row r="966">
          <cell r="BB966" t="str">
            <v>.</v>
          </cell>
        </row>
        <row r="967">
          <cell r="BB967" t="str">
            <v>.</v>
          </cell>
        </row>
        <row r="968">
          <cell r="BB968" t="str">
            <v>.</v>
          </cell>
        </row>
        <row r="969">
          <cell r="BB969" t="str">
            <v>.</v>
          </cell>
        </row>
        <row r="970">
          <cell r="BB970" t="str">
            <v>.</v>
          </cell>
        </row>
        <row r="971">
          <cell r="BB971" t="str">
            <v>.</v>
          </cell>
        </row>
        <row r="972">
          <cell r="BB972" t="str">
            <v>.</v>
          </cell>
        </row>
        <row r="973">
          <cell r="BB973" t="str">
            <v>.</v>
          </cell>
        </row>
        <row r="974">
          <cell r="BB974" t="str">
            <v>.</v>
          </cell>
        </row>
        <row r="975">
          <cell r="BB975" t="str">
            <v>.</v>
          </cell>
        </row>
        <row r="976">
          <cell r="BB976" t="str">
            <v>.</v>
          </cell>
        </row>
        <row r="977">
          <cell r="BB977" t="str">
            <v>.</v>
          </cell>
        </row>
        <row r="978">
          <cell r="BB978" t="str">
            <v>.</v>
          </cell>
        </row>
        <row r="979">
          <cell r="BB979" t="str">
            <v>.</v>
          </cell>
        </row>
        <row r="980">
          <cell r="BB980" t="str">
            <v>.</v>
          </cell>
        </row>
        <row r="981">
          <cell r="BB981" t="str">
            <v>.</v>
          </cell>
        </row>
        <row r="982">
          <cell r="BB982" t="str">
            <v>.</v>
          </cell>
        </row>
        <row r="983">
          <cell r="BB983" t="str">
            <v>.</v>
          </cell>
        </row>
        <row r="984">
          <cell r="BB984" t="str">
            <v>.</v>
          </cell>
        </row>
        <row r="985">
          <cell r="BB985" t="str">
            <v>.</v>
          </cell>
        </row>
        <row r="986">
          <cell r="BB986" t="str">
            <v>.</v>
          </cell>
        </row>
        <row r="987">
          <cell r="BB987" t="str">
            <v>.</v>
          </cell>
        </row>
        <row r="988">
          <cell r="BB988" t="str">
            <v>.</v>
          </cell>
        </row>
        <row r="989">
          <cell r="BB989" t="str">
            <v>.</v>
          </cell>
        </row>
        <row r="990">
          <cell r="BB990" t="str">
            <v>.</v>
          </cell>
        </row>
        <row r="991">
          <cell r="BB991" t="str">
            <v>.</v>
          </cell>
        </row>
        <row r="992">
          <cell r="BB992" t="str">
            <v>.</v>
          </cell>
        </row>
        <row r="993">
          <cell r="BB993" t="str">
            <v>.</v>
          </cell>
        </row>
        <row r="994">
          <cell r="BB994" t="str">
            <v>.</v>
          </cell>
        </row>
        <row r="995">
          <cell r="BB995" t="str">
            <v>.</v>
          </cell>
        </row>
        <row r="996">
          <cell r="BB996" t="str">
            <v>.</v>
          </cell>
        </row>
        <row r="997">
          <cell r="A997" t="str">
            <v>.</v>
          </cell>
          <cell r="B997" t="str">
            <v>.</v>
          </cell>
          <cell r="C997" t="str">
            <v>.</v>
          </cell>
          <cell r="D997" t="str">
            <v>.</v>
          </cell>
          <cell r="E997" t="str">
            <v>.</v>
          </cell>
          <cell r="F997" t="str">
            <v>.</v>
          </cell>
          <cell r="G997" t="str">
            <v>.</v>
          </cell>
          <cell r="I997" t="str">
            <v>.</v>
          </cell>
          <cell r="T997" t="str">
            <v>.</v>
          </cell>
          <cell r="U997" t="str">
            <v>.</v>
          </cell>
          <cell r="V997" t="str">
            <v>.</v>
          </cell>
          <cell r="W997" t="str">
            <v>.</v>
          </cell>
          <cell r="X997" t="str">
            <v>.</v>
          </cell>
          <cell r="Y997" t="str">
            <v>.</v>
          </cell>
          <cell r="Z997" t="str">
            <v>.</v>
          </cell>
          <cell r="AA997" t="str">
            <v>.</v>
          </cell>
          <cell r="AB997" t="str">
            <v>.</v>
          </cell>
          <cell r="AC997" t="str">
            <v>.</v>
          </cell>
          <cell r="AD997" t="str">
            <v>.</v>
          </cell>
          <cell r="AE997" t="str">
            <v>.</v>
          </cell>
          <cell r="AF997" t="str">
            <v>.</v>
          </cell>
          <cell r="AG997" t="str">
            <v>.</v>
          </cell>
          <cell r="AH997" t="str">
            <v>.</v>
          </cell>
          <cell r="AI997" t="str">
            <v>.</v>
          </cell>
          <cell r="AJ997" t="str">
            <v>.</v>
          </cell>
          <cell r="AK997" t="str">
            <v>.</v>
          </cell>
          <cell r="AL997" t="str">
            <v>.</v>
          </cell>
          <cell r="AM997" t="str">
            <v>.</v>
          </cell>
          <cell r="AN997" t="str">
            <v>.</v>
          </cell>
          <cell r="AO997" t="str">
            <v>.</v>
          </cell>
          <cell r="AP997" t="str">
            <v>.</v>
          </cell>
          <cell r="AQ997" t="str">
            <v>.</v>
          </cell>
          <cell r="AR997" t="str">
            <v>.</v>
          </cell>
          <cell r="AS997" t="str">
            <v>.</v>
          </cell>
          <cell r="AT997" t="str">
            <v>.</v>
          </cell>
          <cell r="AU997" t="str">
            <v>.</v>
          </cell>
          <cell r="AV997" t="str">
            <v>.</v>
          </cell>
          <cell r="AW997" t="str">
            <v>.</v>
          </cell>
          <cell r="AX997" t="str">
            <v>.</v>
          </cell>
          <cell r="AY997" t="str">
            <v>.</v>
          </cell>
          <cell r="AZ997" t="str">
            <v>.</v>
          </cell>
          <cell r="BA997" t="str">
            <v>.</v>
          </cell>
          <cell r="BB997" t="str">
            <v>.</v>
          </cell>
        </row>
      </sheetData>
      <sheetData sheetId="6"/>
      <sheetData sheetId="7"/>
      <sheetData sheetId="8"/>
      <sheetData sheetId="9"/>
      <sheetData sheetId="10"/>
      <sheetData sheetId="11"/>
      <sheetData sheetId="12">
        <row r="2">
          <cell r="B2" t="str">
            <v>($M)</v>
          </cell>
          <cell r="C2" t="str">
            <v>2009E</v>
          </cell>
          <cell r="D2" t="str">
            <v>2010E</v>
          </cell>
          <cell r="E2" t="str">
            <v>2011E</v>
          </cell>
          <cell r="F2" t="str">
            <v>2012E</v>
          </cell>
          <cell r="G2" t="str">
            <v>2013E</v>
          </cell>
          <cell r="H2" t="str">
            <v>2014E</v>
          </cell>
          <cell r="I2" t="str">
            <v>2015E</v>
          </cell>
        </row>
        <row r="3">
          <cell r="B3" t="str">
            <v>Revenue</v>
          </cell>
          <cell r="C3">
            <v>46664.590000000004</v>
          </cell>
          <cell r="D3">
            <v>59490.450000000004</v>
          </cell>
          <cell r="E3">
            <v>57134.93</v>
          </cell>
          <cell r="F3">
            <v>58779.911381268947</v>
          </cell>
          <cell r="G3">
            <v>59239.936075638652</v>
          </cell>
          <cell r="H3">
            <v>59771.216511600302</v>
          </cell>
          <cell r="I3">
            <v>59987.717899738433</v>
          </cell>
        </row>
        <row r="4">
          <cell r="B4" t="str">
            <v>Op. Income</v>
          </cell>
          <cell r="C4">
            <v>7540</v>
          </cell>
          <cell r="D4">
            <v>10000</v>
          </cell>
          <cell r="E4">
            <v>9200</v>
          </cell>
          <cell r="F4">
            <v>23420.697731424829</v>
          </cell>
          <cell r="G4">
            <v>24062.427582023694</v>
          </cell>
          <cell r="H4">
            <v>24252.934339512249</v>
          </cell>
          <cell r="I4">
            <v>24182.870845785517</v>
          </cell>
        </row>
        <row r="5">
          <cell r="B5" t="str">
            <v>Op. Margin</v>
          </cell>
          <cell r="C5">
            <v>0.15271279077999245</v>
          </cell>
          <cell r="D5">
            <v>0.14871522964147593</v>
          </cell>
          <cell r="E5">
            <v>0.14030701020421829</v>
          </cell>
          <cell r="F5">
            <v>0.39844731271384948</v>
          </cell>
          <cell r="G5">
            <v>0.40618591403104048</v>
          </cell>
          <cell r="H5">
            <v>0.40576276935580319</v>
          </cell>
          <cell r="I5">
            <v>0.40313036888991177</v>
          </cell>
        </row>
        <row r="6">
          <cell r="B6" t="str">
            <v>EPS</v>
          </cell>
          <cell r="C6">
            <v>0</v>
          </cell>
          <cell r="D6">
            <v>0</v>
          </cell>
          <cell r="E6">
            <v>0</v>
          </cell>
          <cell r="F6">
            <v>2.1029587057701495</v>
          </cell>
          <cell r="G6">
            <v>2.2372166055191349</v>
          </cell>
          <cell r="H6">
            <v>2.3276533306404867</v>
          </cell>
          <cell r="I6">
            <v>2.3911545965022829</v>
          </cell>
        </row>
      </sheetData>
      <sheetData sheetId="13">
        <row r="1">
          <cell r="B1" t="str">
            <v>Historical Planned vs. Realized Cost Savings</v>
          </cell>
        </row>
        <row r="3">
          <cell r="B3" t="str">
            <v>($B)</v>
          </cell>
          <cell r="C3" t="str">
            <v>Warner-Lambert</v>
          </cell>
          <cell r="D3" t="str">
            <v>Pharmacia</v>
          </cell>
          <cell r="E3" t="str">
            <v>Adapting to Scale (AtS)</v>
          </cell>
          <cell r="F3" t="str">
            <v>2007/2008 Plan</v>
          </cell>
        </row>
        <row r="4">
          <cell r="B4" t="str">
            <v>Original Goal</v>
          </cell>
          <cell r="C4">
            <v>1.6</v>
          </cell>
          <cell r="D4">
            <v>3.8</v>
          </cell>
          <cell r="E4">
            <v>2</v>
          </cell>
          <cell r="F4" t="str">
            <v>1.5-2.0</v>
          </cell>
        </row>
        <row r="5">
          <cell r="B5" t="str">
            <v>Actual Savings</v>
          </cell>
          <cell r="C5">
            <v>1.8</v>
          </cell>
          <cell r="D5">
            <v>4.2</v>
          </cell>
          <cell r="E5">
            <v>2.6</v>
          </cell>
          <cell r="F5">
            <v>2.8</v>
          </cell>
        </row>
        <row r="6">
          <cell r="B6" t="str">
            <v>% Upside</v>
          </cell>
          <cell r="C6">
            <v>0.12499999999999997</v>
          </cell>
          <cell r="D6">
            <v>0.10526315789473695</v>
          </cell>
          <cell r="E6">
            <v>0.30000000000000004</v>
          </cell>
          <cell r="F6" t="str">
            <v>40%-87%</v>
          </cell>
        </row>
      </sheetData>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ood 2-32"/>
      <sheetName val="Good 12-00 (3)"/>
      <sheetName val="Good 12-43"/>
      <sheetName val="Good 12-07"/>
      <sheetName val="Good 12-00 (2)"/>
      <sheetName val="Good 12-00"/>
      <sheetName val="Good 11-50"/>
      <sheetName val="Good 11-40"/>
      <sheetName val="Good 11-36"/>
      <sheetName val="Good 11-18"/>
      <sheetName val="Good 10-48 pm (2)"/>
      <sheetName val="Samples"/>
      <sheetName val="Good 10-48 pm"/>
      <sheetName val="Good 11-04 pm"/>
      <sheetName val="Sheet3 (6)"/>
      <sheetName val="Sheet3 (5)"/>
      <sheetName val="Sheet3 (3)"/>
      <sheetName val="Sheet3 (2)"/>
      <sheetName val="Sheet1"/>
      <sheetName val="Sheet2"/>
      <sheetName val="Sheet3"/>
      <sheetName val="Sheet3 (4)"/>
      <sheetName val="Good 12-22_tbnt"/>
      <sheetName val="DCF Model"/>
      <sheetName val="SoP Model"/>
      <sheetName val="LBO Summary"/>
      <sheetName val="Sheet4"/>
      <sheetName val="ForeignStake"/>
    </sheetNames>
    <sheetDataSet>
      <sheetData sheetId="0" refreshError="1"/>
      <sheetData sheetId="1" refreshError="1"/>
      <sheetData sheetId="2" refreshError="1"/>
      <sheetData sheetId="3" refreshError="1"/>
      <sheetData sheetId="4" refreshError="1">
        <row r="3">
          <cell r="A3" t="str">
            <v>Base</v>
          </cell>
          <cell r="B3">
            <v>40</v>
          </cell>
        </row>
        <row r="4">
          <cell r="A4" t="str">
            <v>Price Target</v>
          </cell>
          <cell r="B4">
            <v>40</v>
          </cell>
          <cell r="S4" t="str">
            <v>Bear</v>
          </cell>
          <cell r="U4" t="str">
            <v>Base</v>
          </cell>
          <cell r="X4" t="str">
            <v>Bull</v>
          </cell>
        </row>
        <row r="5">
          <cell r="R5">
            <v>-30</v>
          </cell>
          <cell r="S5">
            <v>-30</v>
          </cell>
          <cell r="U5">
            <v>40</v>
          </cell>
          <cell r="X5">
            <v>17</v>
          </cell>
          <cell r="Z5">
            <v>17</v>
          </cell>
        </row>
        <row r="6">
          <cell r="C6" t="str">
            <v>Bear</v>
          </cell>
          <cell r="S6" t="str">
            <v>-space2</v>
          </cell>
          <cell r="T6" t="str">
            <v>-bear</v>
          </cell>
          <cell r="U6" t="str">
            <v>-space1</v>
          </cell>
          <cell r="V6" t="str">
            <v>+space1</v>
          </cell>
          <cell r="W6" t="str">
            <v>+bull</v>
          </cell>
          <cell r="X6" t="str">
            <v>+space2</v>
          </cell>
        </row>
        <row r="7">
          <cell r="A7" t="str">
            <v>Binary driver one</v>
          </cell>
          <cell r="C7">
            <v>-5</v>
          </cell>
          <cell r="S7">
            <v>-23</v>
          </cell>
          <cell r="T7">
            <v>-7</v>
          </cell>
          <cell r="U7">
            <v>0</v>
          </cell>
          <cell r="V7">
            <v>0</v>
          </cell>
          <cell r="W7">
            <v>3</v>
          </cell>
          <cell r="X7">
            <v>14</v>
          </cell>
          <cell r="Y7">
            <v>17</v>
          </cell>
        </row>
        <row r="8">
          <cell r="A8" t="str">
            <v>Binary driver two</v>
          </cell>
          <cell r="C8">
            <v>-5</v>
          </cell>
          <cell r="S8">
            <v>-18</v>
          </cell>
          <cell r="T8">
            <v>-5</v>
          </cell>
          <cell r="U8">
            <v>-7</v>
          </cell>
          <cell r="V8">
            <v>3</v>
          </cell>
          <cell r="W8">
            <v>2</v>
          </cell>
          <cell r="X8">
            <v>12</v>
          </cell>
          <cell r="Y8">
            <v>17</v>
          </cell>
        </row>
        <row r="9">
          <cell r="A9" t="str">
            <v>Binary driver three</v>
          </cell>
          <cell r="C9">
            <v>-6</v>
          </cell>
          <cell r="S9">
            <v>-12</v>
          </cell>
          <cell r="T9">
            <v>-6</v>
          </cell>
          <cell r="U9">
            <v>-12</v>
          </cell>
          <cell r="V9">
            <v>5</v>
          </cell>
          <cell r="W9">
            <v>3</v>
          </cell>
          <cell r="X9">
            <v>9</v>
          </cell>
          <cell r="Y9">
            <v>17</v>
          </cell>
        </row>
        <row r="10">
          <cell r="A10" t="str">
            <v>Bull only driver one</v>
          </cell>
          <cell r="C10">
            <v>0</v>
          </cell>
          <cell r="S10">
            <v>-12</v>
          </cell>
          <cell r="U10">
            <v>-18</v>
          </cell>
          <cell r="V10">
            <v>8</v>
          </cell>
          <cell r="W10">
            <v>4</v>
          </cell>
          <cell r="X10">
            <v>5</v>
          </cell>
          <cell r="Y10">
            <v>17</v>
          </cell>
        </row>
        <row r="11">
          <cell r="A11" t="str">
            <v>Bull only driver two</v>
          </cell>
          <cell r="C11">
            <v>0</v>
          </cell>
          <cell r="S11">
            <v>-12</v>
          </cell>
          <cell r="U11">
            <v>-18</v>
          </cell>
          <cell r="V11">
            <v>12</v>
          </cell>
          <cell r="W11">
            <v>5</v>
          </cell>
          <cell r="X11">
            <v>0</v>
          </cell>
          <cell r="Y11">
            <v>17</v>
          </cell>
        </row>
        <row r="12">
          <cell r="A12" t="str">
            <v>Bear only driver one</v>
          </cell>
          <cell r="C12">
            <v>-4</v>
          </cell>
          <cell r="S12">
            <v>-8</v>
          </cell>
          <cell r="T12">
            <v>-4</v>
          </cell>
          <cell r="U12">
            <v>-18</v>
          </cell>
          <cell r="V12">
            <v>17</v>
          </cell>
          <cell r="X12">
            <v>0</v>
          </cell>
          <cell r="Y12">
            <v>17</v>
          </cell>
        </row>
        <row r="13">
          <cell r="A13" t="str">
            <v>Bear only driver two</v>
          </cell>
          <cell r="C13">
            <v>-3</v>
          </cell>
          <cell r="S13">
            <v>-5</v>
          </cell>
          <cell r="T13">
            <v>-3</v>
          </cell>
          <cell r="U13">
            <v>-22</v>
          </cell>
          <cell r="V13">
            <v>17</v>
          </cell>
          <cell r="X13">
            <v>0</v>
          </cell>
          <cell r="Y13">
            <v>17</v>
          </cell>
        </row>
        <row r="14">
          <cell r="A14" t="str">
            <v>Bear only driver three</v>
          </cell>
          <cell r="C14">
            <v>-5</v>
          </cell>
          <cell r="S14">
            <v>0</v>
          </cell>
          <cell r="T14">
            <v>-5</v>
          </cell>
          <cell r="U14">
            <v>-25</v>
          </cell>
          <cell r="V14">
            <v>17</v>
          </cell>
          <cell r="X14">
            <v>0</v>
          </cell>
          <cell r="Y14">
            <v>17</v>
          </cell>
        </row>
        <row r="15">
          <cell r="C15">
            <v>0</v>
          </cell>
        </row>
        <row r="16">
          <cell r="S16" t="str">
            <v>-space1</v>
          </cell>
          <cell r="T16" t="str">
            <v>-bear</v>
          </cell>
          <cell r="U16" t="str">
            <v>-space2</v>
          </cell>
          <cell r="V16" t="str">
            <v>+space1</v>
          </cell>
          <cell r="W16" t="str">
            <v>+bull</v>
          </cell>
          <cell r="X16" t="str">
            <v>+space2</v>
          </cell>
          <cell r="Y16" t="str">
            <v>Bear 
10.00</v>
          </cell>
          <cell r="Z16" t="str">
            <v>Base 
40.00</v>
          </cell>
          <cell r="AA16" t="str">
            <v>Bull
57.00</v>
          </cell>
          <cell r="AB16" t="str">
            <v/>
          </cell>
        </row>
        <row r="18">
          <cell r="R18" t="str">
            <v>Binary driver one</v>
          </cell>
          <cell r="S18">
            <v>0</v>
          </cell>
          <cell r="T18">
            <v>-5</v>
          </cell>
          <cell r="U18">
            <v>-23</v>
          </cell>
          <cell r="V18">
            <v>0</v>
          </cell>
          <cell r="W18">
            <v>3</v>
          </cell>
          <cell r="X18">
            <v>14</v>
          </cell>
          <cell r="Y18">
            <v>-30</v>
          </cell>
          <cell r="Z18">
            <v>0</v>
          </cell>
          <cell r="AA18">
            <v>17</v>
          </cell>
          <cell r="AB18" t="str">
            <v/>
          </cell>
        </row>
        <row r="19">
          <cell r="R19" t="str">
            <v>Binary driver two</v>
          </cell>
          <cell r="S19">
            <v>-7</v>
          </cell>
          <cell r="T19">
            <v>-5</v>
          </cell>
          <cell r="U19">
            <v>-18</v>
          </cell>
          <cell r="V19">
            <v>3</v>
          </cell>
          <cell r="W19">
            <v>2</v>
          </cell>
          <cell r="X19">
            <v>12</v>
          </cell>
          <cell r="Y19">
            <v>-30</v>
          </cell>
          <cell r="Z19">
            <v>0</v>
          </cell>
          <cell r="AA19">
            <v>17</v>
          </cell>
          <cell r="AB19" t="str">
            <v/>
          </cell>
        </row>
        <row r="20">
          <cell r="R20" t="str">
            <v>Binary driver three</v>
          </cell>
          <cell r="S20">
            <v>-12</v>
          </cell>
          <cell r="T20">
            <v>-6</v>
          </cell>
          <cell r="U20">
            <v>-12</v>
          </cell>
          <cell r="V20">
            <v>5</v>
          </cell>
          <cell r="W20">
            <v>3</v>
          </cell>
          <cell r="X20">
            <v>9</v>
          </cell>
          <cell r="Y20">
            <v>-30</v>
          </cell>
          <cell r="Z20">
            <v>0</v>
          </cell>
          <cell r="AA20">
            <v>17</v>
          </cell>
          <cell r="AB20" t="str">
            <v/>
          </cell>
        </row>
        <row r="21">
          <cell r="R21" t="str">
            <v>Bull only driver one</v>
          </cell>
          <cell r="S21">
            <v>-18</v>
          </cell>
          <cell r="T21">
            <v>0</v>
          </cell>
          <cell r="U21">
            <v>-12</v>
          </cell>
          <cell r="V21">
            <v>8</v>
          </cell>
          <cell r="W21">
            <v>4</v>
          </cell>
          <cell r="X21">
            <v>5</v>
          </cell>
          <cell r="Y21">
            <v>-30</v>
          </cell>
          <cell r="Z21">
            <v>0</v>
          </cell>
          <cell r="AA21">
            <v>17</v>
          </cell>
          <cell r="AB21" t="str">
            <v/>
          </cell>
        </row>
        <row r="22">
          <cell r="R22" t="str">
            <v>Bull only driver two</v>
          </cell>
          <cell r="S22">
            <v>-18</v>
          </cell>
          <cell r="T22">
            <v>0</v>
          </cell>
          <cell r="U22">
            <v>-12</v>
          </cell>
          <cell r="V22">
            <v>12</v>
          </cell>
          <cell r="W22">
            <v>5</v>
          </cell>
          <cell r="X22">
            <v>0</v>
          </cell>
          <cell r="Y22">
            <v>-30</v>
          </cell>
          <cell r="Z22">
            <v>0</v>
          </cell>
          <cell r="AA22">
            <v>17</v>
          </cell>
          <cell r="AB22" t="str">
            <v/>
          </cell>
        </row>
        <row r="23">
          <cell r="R23" t="str">
            <v>Bear only driver one</v>
          </cell>
          <cell r="S23">
            <v>-18</v>
          </cell>
          <cell r="T23">
            <v>-4</v>
          </cell>
          <cell r="U23">
            <v>-8</v>
          </cell>
          <cell r="V23">
            <v>17</v>
          </cell>
          <cell r="W23">
            <v>0</v>
          </cell>
          <cell r="X23">
            <v>0</v>
          </cell>
          <cell r="Y23">
            <v>-30</v>
          </cell>
          <cell r="Z23">
            <v>0</v>
          </cell>
          <cell r="AA23">
            <v>17</v>
          </cell>
          <cell r="AB23" t="str">
            <v/>
          </cell>
        </row>
        <row r="24">
          <cell r="R24" t="str">
            <v>Bear only driver two</v>
          </cell>
          <cell r="S24">
            <v>-22</v>
          </cell>
          <cell r="T24">
            <v>-3</v>
          </cell>
          <cell r="U24">
            <v>-5</v>
          </cell>
          <cell r="V24">
            <v>17</v>
          </cell>
          <cell r="W24">
            <v>0</v>
          </cell>
          <cell r="X24">
            <v>0</v>
          </cell>
          <cell r="Y24">
            <v>-30</v>
          </cell>
          <cell r="Z24">
            <v>0</v>
          </cell>
          <cell r="AA24">
            <v>17</v>
          </cell>
          <cell r="AB24" t="str">
            <v/>
          </cell>
        </row>
        <row r="25">
          <cell r="R25" t="str">
            <v>Bear only driver three</v>
          </cell>
          <cell r="S25">
            <v>-25</v>
          </cell>
          <cell r="T25">
            <v>-5</v>
          </cell>
          <cell r="U25">
            <v>0</v>
          </cell>
          <cell r="V25">
            <v>17</v>
          </cell>
          <cell r="W25">
            <v>0</v>
          </cell>
          <cell r="X25">
            <v>0</v>
          </cell>
          <cell r="Y25">
            <v>-30</v>
          </cell>
          <cell r="Z25">
            <v>0</v>
          </cell>
          <cell r="AA25">
            <v>17</v>
          </cell>
          <cell r="AB25" t="str">
            <v/>
          </cell>
        </row>
        <row r="26">
          <cell r="Y26">
            <v>-30</v>
          </cell>
          <cell r="Z26">
            <v>0</v>
          </cell>
          <cell r="AA26">
            <v>17</v>
          </cell>
          <cell r="AB26" t="str">
            <v/>
          </cell>
        </row>
        <row r="27">
          <cell r="Y27">
            <v>-30</v>
          </cell>
          <cell r="Z27">
            <v>0</v>
          </cell>
          <cell r="AA27">
            <v>17</v>
          </cell>
          <cell r="AB27" t="str">
            <v/>
          </cell>
        </row>
        <row r="29">
          <cell r="AA29" t="str">
            <v>Note: Price Target = Base Case unless otherwise indicated.</v>
          </cell>
        </row>
        <row r="31">
          <cell r="R31" t="str">
            <v>Bear</v>
          </cell>
          <cell r="S31">
            <v>10</v>
          </cell>
        </row>
        <row r="32">
          <cell r="S32">
            <v>20</v>
          </cell>
        </row>
        <row r="33">
          <cell r="R33" t="str">
            <v>Bull</v>
          </cell>
          <cell r="S33">
            <v>57</v>
          </cell>
        </row>
      </sheetData>
      <sheetData sheetId="5" refreshError="1"/>
      <sheetData sheetId="6" refreshError="1">
        <row r="4">
          <cell r="C4" t="str">
            <v>Bear</v>
          </cell>
          <cell r="E4" t="str">
            <v>Base</v>
          </cell>
          <cell r="H4" t="str">
            <v>Bull</v>
          </cell>
        </row>
        <row r="5">
          <cell r="B5">
            <v>-30</v>
          </cell>
          <cell r="C5">
            <v>-30</v>
          </cell>
          <cell r="E5">
            <v>40</v>
          </cell>
          <cell r="H5">
            <v>17</v>
          </cell>
          <cell r="J5">
            <v>17</v>
          </cell>
        </row>
        <row r="6">
          <cell r="C6" t="str">
            <v>-space2</v>
          </cell>
          <cell r="D6" t="str">
            <v>-bear</v>
          </cell>
          <cell r="E6" t="str">
            <v>-space1</v>
          </cell>
          <cell r="F6" t="str">
            <v>+space1</v>
          </cell>
          <cell r="G6" t="str">
            <v>+bull</v>
          </cell>
          <cell r="H6" t="str">
            <v>+space2</v>
          </cell>
        </row>
        <row r="7">
          <cell r="B7" t="str">
            <v>Binary driver one</v>
          </cell>
          <cell r="C7">
            <v>-23</v>
          </cell>
          <cell r="D7">
            <v>-7</v>
          </cell>
          <cell r="E7">
            <v>0</v>
          </cell>
          <cell r="F7">
            <v>0</v>
          </cell>
          <cell r="G7">
            <v>3</v>
          </cell>
          <cell r="H7">
            <v>14</v>
          </cell>
          <cell r="I7">
            <v>17</v>
          </cell>
        </row>
        <row r="8">
          <cell r="B8" t="str">
            <v>Binary driver two</v>
          </cell>
          <cell r="C8">
            <v>-18</v>
          </cell>
          <cell r="D8">
            <v>-5</v>
          </cell>
          <cell r="E8">
            <v>-7</v>
          </cell>
          <cell r="F8">
            <v>3</v>
          </cell>
          <cell r="G8">
            <v>2</v>
          </cell>
          <cell r="H8">
            <v>12</v>
          </cell>
          <cell r="I8">
            <v>17</v>
          </cell>
        </row>
        <row r="9">
          <cell r="B9" t="str">
            <v>Binary driver three</v>
          </cell>
          <cell r="C9">
            <v>-12</v>
          </cell>
          <cell r="D9">
            <v>-6</v>
          </cell>
          <cell r="E9">
            <v>-12</v>
          </cell>
          <cell r="F9">
            <v>5</v>
          </cell>
          <cell r="G9">
            <v>3</v>
          </cell>
          <cell r="H9">
            <v>9</v>
          </cell>
          <cell r="I9">
            <v>17</v>
          </cell>
        </row>
        <row r="10">
          <cell r="B10" t="str">
            <v>Bull only driver one</v>
          </cell>
          <cell r="C10">
            <v>-12</v>
          </cell>
          <cell r="E10">
            <v>-18</v>
          </cell>
          <cell r="F10">
            <v>8</v>
          </cell>
          <cell r="G10">
            <v>4</v>
          </cell>
          <cell r="H10">
            <v>5</v>
          </cell>
          <cell r="I10">
            <v>17</v>
          </cell>
        </row>
        <row r="11">
          <cell r="B11" t="str">
            <v>Bull only driver two</v>
          </cell>
          <cell r="C11">
            <v>-12</v>
          </cell>
          <cell r="E11">
            <v>-18</v>
          </cell>
          <cell r="F11">
            <v>12</v>
          </cell>
          <cell r="G11">
            <v>5</v>
          </cell>
          <cell r="H11">
            <v>0</v>
          </cell>
          <cell r="I11">
            <v>17</v>
          </cell>
        </row>
        <row r="12">
          <cell r="B12" t="str">
            <v>Bear only driver one</v>
          </cell>
          <cell r="C12">
            <v>-8</v>
          </cell>
          <cell r="D12">
            <v>-4</v>
          </cell>
          <cell r="E12">
            <v>-18</v>
          </cell>
          <cell r="F12">
            <v>17</v>
          </cell>
          <cell r="H12">
            <v>0</v>
          </cell>
          <cell r="I12">
            <v>17</v>
          </cell>
        </row>
        <row r="13">
          <cell r="B13" t="str">
            <v>Bear only driver two</v>
          </cell>
          <cell r="C13">
            <v>-5</v>
          </cell>
          <cell r="D13">
            <v>-3</v>
          </cell>
          <cell r="E13">
            <v>-22</v>
          </cell>
          <cell r="F13">
            <v>17</v>
          </cell>
          <cell r="H13">
            <v>0</v>
          </cell>
          <cell r="I13">
            <v>17</v>
          </cell>
        </row>
        <row r="14">
          <cell r="B14" t="str">
            <v>Bear only driver three</v>
          </cell>
          <cell r="C14">
            <v>0</v>
          </cell>
          <cell r="D14">
            <v>-5</v>
          </cell>
          <cell r="E14">
            <v>-25</v>
          </cell>
          <cell r="F14">
            <v>17</v>
          </cell>
          <cell r="H14">
            <v>0</v>
          </cell>
          <cell r="I14">
            <v>17</v>
          </cell>
        </row>
        <row r="16">
          <cell r="C16" t="str">
            <v>-space1</v>
          </cell>
          <cell r="D16" t="str">
            <v>-bear</v>
          </cell>
          <cell r="E16" t="str">
            <v>-space2</v>
          </cell>
          <cell r="F16" t="str">
            <v>+space1</v>
          </cell>
          <cell r="G16" t="str">
            <v>+bull</v>
          </cell>
          <cell r="H16" t="str">
            <v>+space2</v>
          </cell>
          <cell r="I16" t="str">
            <v>Bear  10.00</v>
          </cell>
          <cell r="J16" t="str">
            <v>Base  40.00</v>
          </cell>
          <cell r="K16" t="str">
            <v>Bull: 57.00</v>
          </cell>
          <cell r="L16" t="str">
            <v/>
          </cell>
        </row>
        <row r="18">
          <cell r="B18" t="str">
            <v>Binary driver one</v>
          </cell>
          <cell r="C18">
            <v>0</v>
          </cell>
          <cell r="D18">
            <v>-7</v>
          </cell>
          <cell r="E18">
            <v>-23</v>
          </cell>
          <cell r="F18">
            <v>0</v>
          </cell>
          <cell r="G18">
            <v>3</v>
          </cell>
          <cell r="H18">
            <v>14</v>
          </cell>
          <cell r="I18">
            <v>-30</v>
          </cell>
          <cell r="J18">
            <v>0</v>
          </cell>
          <cell r="K18">
            <v>17</v>
          </cell>
          <cell r="L18" t="str">
            <v/>
          </cell>
        </row>
        <row r="19">
          <cell r="B19" t="str">
            <v>Binary driver two</v>
          </cell>
          <cell r="C19">
            <v>-7</v>
          </cell>
          <cell r="D19">
            <v>-5</v>
          </cell>
          <cell r="E19">
            <v>-18</v>
          </cell>
          <cell r="F19">
            <v>3</v>
          </cell>
          <cell r="G19">
            <v>2</v>
          </cell>
          <cell r="H19">
            <v>12</v>
          </cell>
          <cell r="I19">
            <v>-30</v>
          </cell>
          <cell r="J19">
            <v>0</v>
          </cell>
          <cell r="K19">
            <v>17</v>
          </cell>
          <cell r="L19" t="str">
            <v/>
          </cell>
        </row>
        <row r="20">
          <cell r="B20" t="str">
            <v>Binary driver three</v>
          </cell>
          <cell r="C20">
            <v>-12</v>
          </cell>
          <cell r="D20">
            <v>-6</v>
          </cell>
          <cell r="E20">
            <v>-12</v>
          </cell>
          <cell r="F20">
            <v>5</v>
          </cell>
          <cell r="G20">
            <v>3</v>
          </cell>
          <cell r="H20">
            <v>9</v>
          </cell>
          <cell r="I20">
            <v>-30</v>
          </cell>
          <cell r="J20">
            <v>0</v>
          </cell>
          <cell r="K20">
            <v>17</v>
          </cell>
          <cell r="L20" t="str">
            <v/>
          </cell>
        </row>
        <row r="21">
          <cell r="B21" t="str">
            <v>Bull only driver one</v>
          </cell>
          <cell r="C21">
            <v>-18</v>
          </cell>
          <cell r="D21">
            <v>0</v>
          </cell>
          <cell r="E21">
            <v>-12</v>
          </cell>
          <cell r="F21">
            <v>8</v>
          </cell>
          <cell r="G21">
            <v>4</v>
          </cell>
          <cell r="H21">
            <v>5</v>
          </cell>
          <cell r="I21">
            <v>-30</v>
          </cell>
          <cell r="J21">
            <v>0</v>
          </cell>
          <cell r="K21">
            <v>17</v>
          </cell>
          <cell r="L21" t="str">
            <v/>
          </cell>
        </row>
        <row r="22">
          <cell r="B22" t="str">
            <v>Bull only driver two</v>
          </cell>
          <cell r="C22">
            <v>-18</v>
          </cell>
          <cell r="D22">
            <v>0</v>
          </cell>
          <cell r="E22">
            <v>-12</v>
          </cell>
          <cell r="F22">
            <v>12</v>
          </cell>
          <cell r="G22">
            <v>5</v>
          </cell>
          <cell r="H22">
            <v>0</v>
          </cell>
          <cell r="I22">
            <v>-30</v>
          </cell>
          <cell r="J22">
            <v>0</v>
          </cell>
          <cell r="K22">
            <v>17</v>
          </cell>
          <cell r="L22" t="str">
            <v/>
          </cell>
        </row>
        <row r="23">
          <cell r="B23" t="str">
            <v>Bear only driver one</v>
          </cell>
          <cell r="C23">
            <v>-18</v>
          </cell>
          <cell r="D23">
            <v>-4</v>
          </cell>
          <cell r="E23">
            <v>-8</v>
          </cell>
          <cell r="F23">
            <v>17</v>
          </cell>
          <cell r="G23">
            <v>0</v>
          </cell>
          <cell r="H23">
            <v>0</v>
          </cell>
          <cell r="I23">
            <v>-30</v>
          </cell>
          <cell r="J23">
            <v>0</v>
          </cell>
          <cell r="K23">
            <v>17</v>
          </cell>
          <cell r="L23" t="str">
            <v/>
          </cell>
        </row>
        <row r="24">
          <cell r="B24" t="str">
            <v>Bear only driver two</v>
          </cell>
          <cell r="C24">
            <v>-22</v>
          </cell>
          <cell r="D24">
            <v>-3</v>
          </cell>
          <cell r="E24">
            <v>-5</v>
          </cell>
          <cell r="F24">
            <v>17</v>
          </cell>
          <cell r="G24">
            <v>0</v>
          </cell>
          <cell r="H24">
            <v>0</v>
          </cell>
          <cell r="I24">
            <v>-30</v>
          </cell>
          <cell r="J24">
            <v>0</v>
          </cell>
          <cell r="K24">
            <v>17</v>
          </cell>
          <cell r="L24" t="str">
            <v/>
          </cell>
        </row>
        <row r="25">
          <cell r="B25" t="str">
            <v>Bear only driver three</v>
          </cell>
          <cell r="C25">
            <v>-25</v>
          </cell>
          <cell r="D25">
            <v>-5</v>
          </cell>
          <cell r="E25">
            <v>0</v>
          </cell>
          <cell r="F25">
            <v>17</v>
          </cell>
          <cell r="G25">
            <v>0</v>
          </cell>
          <cell r="H25">
            <v>0</v>
          </cell>
          <cell r="I25">
            <v>-30</v>
          </cell>
          <cell r="J25">
            <v>0</v>
          </cell>
          <cell r="K25">
            <v>17</v>
          </cell>
          <cell r="L25" t="str">
            <v/>
          </cell>
        </row>
        <row r="26">
          <cell r="I26">
            <v>-30</v>
          </cell>
          <cell r="J26">
            <v>0</v>
          </cell>
          <cell r="K26">
            <v>17</v>
          </cell>
          <cell r="L26" t="str">
            <v/>
          </cell>
        </row>
        <row r="27">
          <cell r="I27">
            <v>-30</v>
          </cell>
          <cell r="J27">
            <v>0</v>
          </cell>
          <cell r="K27">
            <v>17</v>
          </cell>
          <cell r="L27" t="str">
            <v/>
          </cell>
        </row>
        <row r="28">
          <cell r="B28" t="str">
            <v>Bear</v>
          </cell>
          <cell r="C28">
            <v>10</v>
          </cell>
        </row>
        <row r="29">
          <cell r="B29" t="str">
            <v>Base</v>
          </cell>
          <cell r="C29">
            <v>40</v>
          </cell>
          <cell r="K29" t="str">
            <v>Note: Price Target = Base Case unless otherwise indicated.</v>
          </cell>
        </row>
        <row r="30">
          <cell r="B30" t="str">
            <v>Bull</v>
          </cell>
          <cell r="C30">
            <v>57</v>
          </cell>
        </row>
        <row r="31">
          <cell r="B31" t="str">
            <v>Price Target</v>
          </cell>
          <cell r="C31">
            <v>40</v>
          </cell>
        </row>
        <row r="35">
          <cell r="I35" t="str">
            <v>s</v>
          </cell>
        </row>
      </sheetData>
      <sheetData sheetId="7" refreshError="1"/>
      <sheetData sheetId="8" refreshError="1">
        <row r="4">
          <cell r="C4" t="str">
            <v>Bear</v>
          </cell>
          <cell r="E4" t="str">
            <v>Base</v>
          </cell>
          <cell r="H4" t="str">
            <v>Bull</v>
          </cell>
        </row>
        <row r="5">
          <cell r="B5">
            <v>-30</v>
          </cell>
          <cell r="C5">
            <v>-30</v>
          </cell>
          <cell r="E5">
            <v>40</v>
          </cell>
          <cell r="H5">
            <v>17</v>
          </cell>
          <cell r="J5">
            <v>17</v>
          </cell>
        </row>
        <row r="6">
          <cell r="C6" t="str">
            <v>-space2</v>
          </cell>
          <cell r="D6" t="str">
            <v>-bear</v>
          </cell>
          <cell r="E6" t="str">
            <v>-space1</v>
          </cell>
          <cell r="F6" t="str">
            <v>+space1</v>
          </cell>
          <cell r="G6" t="str">
            <v>+bull</v>
          </cell>
          <cell r="H6" t="str">
            <v>+space2</v>
          </cell>
        </row>
        <row r="7">
          <cell r="B7" t="str">
            <v>Binary driver one</v>
          </cell>
          <cell r="C7">
            <v>-23</v>
          </cell>
          <cell r="D7">
            <v>-7</v>
          </cell>
          <cell r="E7">
            <v>0</v>
          </cell>
          <cell r="F7">
            <v>0</v>
          </cell>
          <cell r="G7">
            <v>3</v>
          </cell>
          <cell r="H7">
            <v>14</v>
          </cell>
          <cell r="I7">
            <v>17</v>
          </cell>
        </row>
        <row r="8">
          <cell r="B8" t="str">
            <v>Binary driver two</v>
          </cell>
          <cell r="C8">
            <v>-18</v>
          </cell>
          <cell r="D8">
            <v>-5</v>
          </cell>
          <cell r="E8">
            <v>-7</v>
          </cell>
          <cell r="F8">
            <v>3</v>
          </cell>
          <cell r="G8">
            <v>2</v>
          </cell>
          <cell r="H8">
            <v>12</v>
          </cell>
          <cell r="I8">
            <v>17</v>
          </cell>
        </row>
        <row r="9">
          <cell r="B9" t="str">
            <v>Driver number three</v>
          </cell>
          <cell r="C9">
            <v>-12</v>
          </cell>
          <cell r="D9">
            <v>-6</v>
          </cell>
          <cell r="E9">
            <v>-12</v>
          </cell>
          <cell r="F9">
            <v>5</v>
          </cell>
          <cell r="G9">
            <v>3</v>
          </cell>
          <cell r="H9">
            <v>9</v>
          </cell>
          <cell r="I9">
            <v>17</v>
          </cell>
        </row>
        <row r="10">
          <cell r="B10" t="str">
            <v>Bull only driver one</v>
          </cell>
          <cell r="C10">
            <v>-12</v>
          </cell>
          <cell r="E10">
            <v>-18</v>
          </cell>
          <cell r="F10">
            <v>8</v>
          </cell>
          <cell r="G10">
            <v>4</v>
          </cell>
          <cell r="H10">
            <v>5</v>
          </cell>
          <cell r="I10">
            <v>17</v>
          </cell>
        </row>
        <row r="11">
          <cell r="B11" t="str">
            <v>Bull only driver two</v>
          </cell>
          <cell r="C11">
            <v>-12</v>
          </cell>
          <cell r="E11">
            <v>-18</v>
          </cell>
          <cell r="F11">
            <v>12</v>
          </cell>
          <cell r="G11">
            <v>5</v>
          </cell>
          <cell r="H11">
            <v>0</v>
          </cell>
          <cell r="I11">
            <v>17</v>
          </cell>
        </row>
        <row r="12">
          <cell r="B12" t="str">
            <v>Bear only driver one</v>
          </cell>
          <cell r="C12">
            <v>-8</v>
          </cell>
          <cell r="D12">
            <v>-4</v>
          </cell>
          <cell r="E12">
            <v>-18</v>
          </cell>
          <cell r="F12">
            <v>17</v>
          </cell>
          <cell r="H12">
            <v>0</v>
          </cell>
          <cell r="I12">
            <v>17</v>
          </cell>
        </row>
        <row r="13">
          <cell r="B13" t="str">
            <v>Bear only driver two</v>
          </cell>
          <cell r="C13">
            <v>-5</v>
          </cell>
          <cell r="D13">
            <v>-3</v>
          </cell>
          <cell r="E13">
            <v>-22</v>
          </cell>
          <cell r="F13">
            <v>17</v>
          </cell>
          <cell r="H13">
            <v>0</v>
          </cell>
          <cell r="I13">
            <v>17</v>
          </cell>
        </row>
        <row r="14">
          <cell r="B14" t="str">
            <v>Bear only driver three</v>
          </cell>
          <cell r="C14">
            <v>0</v>
          </cell>
          <cell r="D14">
            <v>-5</v>
          </cell>
          <cell r="E14">
            <v>-25</v>
          </cell>
          <cell r="F14">
            <v>17</v>
          </cell>
          <cell r="H14">
            <v>0</v>
          </cell>
          <cell r="I14">
            <v>17</v>
          </cell>
        </row>
        <row r="16">
          <cell r="C16" t="str">
            <v>-space1</v>
          </cell>
          <cell r="D16" t="str">
            <v>-bear</v>
          </cell>
          <cell r="E16" t="str">
            <v>-space2</v>
          </cell>
          <cell r="F16" t="str">
            <v>+space1</v>
          </cell>
          <cell r="G16" t="str">
            <v>+bull</v>
          </cell>
          <cell r="H16" t="str">
            <v>+space2</v>
          </cell>
          <cell r="I16" t="str">
            <v>Bear  10.00</v>
          </cell>
          <cell r="J16" t="str">
            <v>Base  40.00</v>
          </cell>
          <cell r="K16" t="str">
            <v>Bull: 57.00</v>
          </cell>
          <cell r="L16" t="str">
            <v/>
          </cell>
        </row>
        <row r="18">
          <cell r="B18" t="str">
            <v>Binary driver one</v>
          </cell>
          <cell r="C18">
            <v>0</v>
          </cell>
          <cell r="D18">
            <v>-7</v>
          </cell>
          <cell r="E18">
            <v>-23</v>
          </cell>
          <cell r="F18">
            <v>0</v>
          </cell>
          <cell r="G18">
            <v>3</v>
          </cell>
          <cell r="H18">
            <v>14</v>
          </cell>
          <cell r="I18">
            <v>-30</v>
          </cell>
          <cell r="J18">
            <v>0</v>
          </cell>
          <cell r="K18">
            <v>17</v>
          </cell>
          <cell r="L18" t="str">
            <v/>
          </cell>
        </row>
        <row r="19">
          <cell r="B19" t="str">
            <v>Binary driver two</v>
          </cell>
          <cell r="C19">
            <v>-7</v>
          </cell>
          <cell r="D19">
            <v>-5</v>
          </cell>
          <cell r="E19">
            <v>-18</v>
          </cell>
          <cell r="F19">
            <v>3</v>
          </cell>
          <cell r="G19">
            <v>2</v>
          </cell>
          <cell r="H19">
            <v>12</v>
          </cell>
          <cell r="I19">
            <v>-30</v>
          </cell>
          <cell r="J19">
            <v>0</v>
          </cell>
          <cell r="K19">
            <v>17</v>
          </cell>
          <cell r="L19" t="str">
            <v/>
          </cell>
        </row>
        <row r="20">
          <cell r="B20" t="str">
            <v>Driver number three</v>
          </cell>
          <cell r="C20">
            <v>-12</v>
          </cell>
          <cell r="D20">
            <v>-6</v>
          </cell>
          <cell r="E20">
            <v>-12</v>
          </cell>
          <cell r="F20">
            <v>5</v>
          </cell>
          <cell r="G20">
            <v>3</v>
          </cell>
          <cell r="H20">
            <v>9</v>
          </cell>
          <cell r="I20">
            <v>-30</v>
          </cell>
          <cell r="J20">
            <v>0</v>
          </cell>
          <cell r="K20">
            <v>17</v>
          </cell>
          <cell r="L20" t="str">
            <v/>
          </cell>
        </row>
        <row r="21">
          <cell r="B21" t="str">
            <v>Bull only driver one</v>
          </cell>
          <cell r="C21">
            <v>-18</v>
          </cell>
          <cell r="D21">
            <v>0</v>
          </cell>
          <cell r="E21">
            <v>-12</v>
          </cell>
          <cell r="F21">
            <v>8</v>
          </cell>
          <cell r="G21">
            <v>4</v>
          </cell>
          <cell r="H21">
            <v>5</v>
          </cell>
          <cell r="I21">
            <v>-30</v>
          </cell>
          <cell r="J21">
            <v>0</v>
          </cell>
          <cell r="K21">
            <v>17</v>
          </cell>
          <cell r="L21" t="str">
            <v/>
          </cell>
        </row>
        <row r="22">
          <cell r="B22" t="str">
            <v>Bull only driver two</v>
          </cell>
          <cell r="C22">
            <v>-18</v>
          </cell>
          <cell r="D22">
            <v>0</v>
          </cell>
          <cell r="E22">
            <v>-12</v>
          </cell>
          <cell r="F22">
            <v>12</v>
          </cell>
          <cell r="G22">
            <v>5</v>
          </cell>
          <cell r="H22">
            <v>0</v>
          </cell>
          <cell r="I22">
            <v>-30</v>
          </cell>
          <cell r="J22">
            <v>0</v>
          </cell>
          <cell r="K22">
            <v>17</v>
          </cell>
          <cell r="L22" t="str">
            <v/>
          </cell>
        </row>
        <row r="23">
          <cell r="B23" t="str">
            <v>Bear only driver one</v>
          </cell>
          <cell r="C23">
            <v>-18</v>
          </cell>
          <cell r="D23">
            <v>-4</v>
          </cell>
          <cell r="E23">
            <v>-8</v>
          </cell>
          <cell r="F23">
            <v>17</v>
          </cell>
          <cell r="G23">
            <v>0</v>
          </cell>
          <cell r="H23">
            <v>0</v>
          </cell>
          <cell r="I23">
            <v>-30</v>
          </cell>
          <cell r="J23">
            <v>0</v>
          </cell>
          <cell r="K23">
            <v>17</v>
          </cell>
          <cell r="L23" t="str">
            <v/>
          </cell>
        </row>
        <row r="24">
          <cell r="B24" t="str">
            <v>Bear only driver two</v>
          </cell>
          <cell r="C24">
            <v>-22</v>
          </cell>
          <cell r="D24">
            <v>-3</v>
          </cell>
          <cell r="E24">
            <v>-5</v>
          </cell>
          <cell r="F24">
            <v>17</v>
          </cell>
          <cell r="G24">
            <v>0</v>
          </cell>
          <cell r="H24">
            <v>0</v>
          </cell>
          <cell r="I24">
            <v>-30</v>
          </cell>
          <cell r="J24">
            <v>0</v>
          </cell>
          <cell r="K24">
            <v>17</v>
          </cell>
          <cell r="L24" t="str">
            <v/>
          </cell>
        </row>
        <row r="25">
          <cell r="B25" t="str">
            <v>Bear only driver three</v>
          </cell>
          <cell r="C25">
            <v>-25</v>
          </cell>
          <cell r="D25">
            <v>-5</v>
          </cell>
          <cell r="E25">
            <v>0</v>
          </cell>
          <cell r="F25">
            <v>17</v>
          </cell>
          <cell r="G25">
            <v>0</v>
          </cell>
          <cell r="H25">
            <v>0</v>
          </cell>
          <cell r="I25">
            <v>-30</v>
          </cell>
          <cell r="J25">
            <v>0</v>
          </cell>
          <cell r="K25">
            <v>17</v>
          </cell>
          <cell r="L25" t="str">
            <v/>
          </cell>
        </row>
        <row r="26">
          <cell r="I26">
            <v>-30</v>
          </cell>
          <cell r="J26">
            <v>0</v>
          </cell>
          <cell r="K26">
            <v>17</v>
          </cell>
          <cell r="L26" t="str">
            <v/>
          </cell>
        </row>
        <row r="27">
          <cell r="I27">
            <v>-30</v>
          </cell>
          <cell r="J27">
            <v>0</v>
          </cell>
          <cell r="K27">
            <v>17</v>
          </cell>
          <cell r="L27" t="str">
            <v/>
          </cell>
        </row>
        <row r="28">
          <cell r="B28" t="str">
            <v>Bear</v>
          </cell>
          <cell r="C28">
            <v>10</v>
          </cell>
        </row>
        <row r="29">
          <cell r="B29" t="str">
            <v>Base</v>
          </cell>
          <cell r="C29">
            <v>40</v>
          </cell>
          <cell r="K29" t="str">
            <v>Note: Price Target = Base Case unless otherwise indicated.</v>
          </cell>
        </row>
        <row r="30">
          <cell r="B30" t="str">
            <v>Bull</v>
          </cell>
          <cell r="C30">
            <v>57</v>
          </cell>
        </row>
        <row r="31">
          <cell r="B31" t="str">
            <v>Price Target</v>
          </cell>
          <cell r="C31">
            <v>40</v>
          </cell>
        </row>
        <row r="35">
          <cell r="I35" t="str">
            <v>s</v>
          </cell>
        </row>
      </sheetData>
      <sheetData sheetId="9" refreshError="1"/>
      <sheetData sheetId="10" refreshError="1"/>
      <sheetData sheetId="11" refreshError="1"/>
      <sheetData sheetId="12" refreshError="1"/>
      <sheetData sheetId="13" refreshError="1"/>
      <sheetData sheetId="14" refreshError="1"/>
      <sheetData sheetId="15" refreshError="1">
        <row r="4">
          <cell r="C4" t="str">
            <v>Bear</v>
          </cell>
          <cell r="E4" t="str">
            <v>Base</v>
          </cell>
          <cell r="H4" t="str">
            <v>Bull</v>
          </cell>
        </row>
        <row r="5">
          <cell r="B5">
            <v>-36</v>
          </cell>
          <cell r="C5">
            <v>-36</v>
          </cell>
          <cell r="E5">
            <v>40</v>
          </cell>
          <cell r="H5">
            <v>18</v>
          </cell>
          <cell r="J5">
            <v>18</v>
          </cell>
        </row>
        <row r="6">
          <cell r="A6" t="str">
            <v>check</v>
          </cell>
          <cell r="C6" t="str">
            <v>-space2</v>
          </cell>
          <cell r="D6" t="str">
            <v>-bear</v>
          </cell>
          <cell r="E6" t="str">
            <v>-space1</v>
          </cell>
          <cell r="F6" t="str">
            <v>+space1</v>
          </cell>
          <cell r="G6" t="str">
            <v>+bull</v>
          </cell>
          <cell r="H6" t="str">
            <v>+space2</v>
          </cell>
        </row>
        <row r="7">
          <cell r="A7">
            <v>-36</v>
          </cell>
          <cell r="B7" t="str">
            <v>This is long label number one</v>
          </cell>
          <cell r="C7">
            <v>-32</v>
          </cell>
          <cell r="D7">
            <v>-4</v>
          </cell>
          <cell r="E7">
            <v>0</v>
          </cell>
          <cell r="F7">
            <v>0</v>
          </cell>
          <cell r="G7">
            <v>4</v>
          </cell>
          <cell r="H7">
            <v>14</v>
          </cell>
          <cell r="I7">
            <v>18</v>
          </cell>
        </row>
        <row r="8">
          <cell r="A8">
            <v>-36</v>
          </cell>
          <cell r="B8" t="str">
            <v>This is long label number two</v>
          </cell>
          <cell r="C8">
            <v>-27</v>
          </cell>
          <cell r="D8">
            <v>-5</v>
          </cell>
          <cell r="E8">
            <v>-4</v>
          </cell>
          <cell r="F8">
            <v>4</v>
          </cell>
          <cell r="G8">
            <v>2</v>
          </cell>
          <cell r="H8">
            <v>12</v>
          </cell>
          <cell r="I8">
            <v>18</v>
          </cell>
        </row>
        <row r="9">
          <cell r="A9">
            <v>-36</v>
          </cell>
          <cell r="B9" t="str">
            <v>This is long label number three</v>
          </cell>
          <cell r="C9">
            <v>-21</v>
          </cell>
          <cell r="D9">
            <v>-6</v>
          </cell>
          <cell r="E9">
            <v>-9</v>
          </cell>
          <cell r="F9">
            <v>6</v>
          </cell>
          <cell r="G9">
            <v>3</v>
          </cell>
          <cell r="H9">
            <v>9</v>
          </cell>
          <cell r="I9">
            <v>18</v>
          </cell>
        </row>
        <row r="10">
          <cell r="A10">
            <v>-36</v>
          </cell>
          <cell r="B10" t="str">
            <v>This is long label number four</v>
          </cell>
          <cell r="C10">
            <v>-17</v>
          </cell>
          <cell r="D10">
            <v>-4</v>
          </cell>
          <cell r="E10">
            <v>-15</v>
          </cell>
          <cell r="F10">
            <v>9</v>
          </cell>
          <cell r="G10">
            <v>4</v>
          </cell>
          <cell r="H10">
            <v>5</v>
          </cell>
          <cell r="I10">
            <v>18</v>
          </cell>
        </row>
        <row r="11">
          <cell r="A11">
            <v>-36</v>
          </cell>
          <cell r="B11" t="str">
            <v>This is long label number five</v>
          </cell>
          <cell r="C11">
            <v>-12</v>
          </cell>
          <cell r="D11">
            <v>-5</v>
          </cell>
          <cell r="E11">
            <v>-19</v>
          </cell>
          <cell r="F11">
            <v>13</v>
          </cell>
          <cell r="G11">
            <v>5</v>
          </cell>
          <cell r="H11">
            <v>0</v>
          </cell>
          <cell r="I11">
            <v>18</v>
          </cell>
        </row>
        <row r="12">
          <cell r="A12">
            <v>-36</v>
          </cell>
          <cell r="B12" t="str">
            <v>This is long label number six</v>
          </cell>
          <cell r="C12">
            <v>-8</v>
          </cell>
          <cell r="D12">
            <v>-4</v>
          </cell>
          <cell r="E12">
            <v>-24</v>
          </cell>
          <cell r="F12">
            <v>18</v>
          </cell>
          <cell r="H12">
            <v>0</v>
          </cell>
          <cell r="I12">
            <v>18</v>
          </cell>
        </row>
        <row r="13">
          <cell r="A13">
            <v>-36</v>
          </cell>
          <cell r="B13" t="str">
            <v>This is long label number seven</v>
          </cell>
          <cell r="C13">
            <v>-5</v>
          </cell>
          <cell r="D13">
            <v>-3</v>
          </cell>
          <cell r="E13">
            <v>-28</v>
          </cell>
          <cell r="F13">
            <v>18</v>
          </cell>
          <cell r="H13">
            <v>0</v>
          </cell>
          <cell r="I13">
            <v>18</v>
          </cell>
        </row>
        <row r="14">
          <cell r="A14">
            <v>-36</v>
          </cell>
          <cell r="B14" t="str">
            <v>This is long label number eight</v>
          </cell>
          <cell r="C14">
            <v>0</v>
          </cell>
          <cell r="D14">
            <v>-5</v>
          </cell>
          <cell r="E14">
            <v>-31</v>
          </cell>
          <cell r="F14">
            <v>18</v>
          </cell>
          <cell r="H14">
            <v>0</v>
          </cell>
          <cell r="I14">
            <v>18</v>
          </cell>
        </row>
        <row r="16">
          <cell r="C16" t="str">
            <v>-space1</v>
          </cell>
          <cell r="D16" t="str">
            <v>-bear</v>
          </cell>
          <cell r="E16" t="str">
            <v>-space2</v>
          </cell>
          <cell r="F16" t="str">
            <v>+space1</v>
          </cell>
          <cell r="G16" t="str">
            <v>+bull</v>
          </cell>
          <cell r="H16" t="str">
            <v>+space2</v>
          </cell>
          <cell r="I16" t="str">
            <v>Bear  4.00</v>
          </cell>
          <cell r="J16" t="str">
            <v>Base  40.00</v>
          </cell>
          <cell r="K16" t="str">
            <v>Bull: 58.00</v>
          </cell>
          <cell r="L16" t="str">
            <v>PT:
42.00</v>
          </cell>
        </row>
        <row r="18">
          <cell r="B18" t="str">
            <v>Driver number one</v>
          </cell>
          <cell r="C18">
            <v>0</v>
          </cell>
          <cell r="D18">
            <v>-4</v>
          </cell>
          <cell r="E18">
            <v>-32</v>
          </cell>
          <cell r="F18">
            <v>0</v>
          </cell>
          <cell r="G18">
            <v>4</v>
          </cell>
          <cell r="H18">
            <v>14</v>
          </cell>
          <cell r="I18">
            <v>-36</v>
          </cell>
          <cell r="J18">
            <v>0</v>
          </cell>
          <cell r="K18">
            <v>18</v>
          </cell>
          <cell r="L18">
            <v>2</v>
          </cell>
        </row>
        <row r="19">
          <cell r="B19" t="str">
            <v>Driver number two</v>
          </cell>
          <cell r="C19">
            <v>-4</v>
          </cell>
          <cell r="D19">
            <v>-5</v>
          </cell>
          <cell r="E19">
            <v>-27</v>
          </cell>
          <cell r="F19">
            <v>4</v>
          </cell>
          <cell r="G19">
            <v>2</v>
          </cell>
          <cell r="H19">
            <v>12</v>
          </cell>
          <cell r="I19">
            <v>-36</v>
          </cell>
          <cell r="J19">
            <v>0</v>
          </cell>
          <cell r="K19">
            <v>18</v>
          </cell>
          <cell r="L19">
            <v>2</v>
          </cell>
        </row>
        <row r="20">
          <cell r="B20" t="str">
            <v>Driver number three</v>
          </cell>
          <cell r="C20">
            <v>-9</v>
          </cell>
          <cell r="D20">
            <v>-6</v>
          </cell>
          <cell r="E20">
            <v>-21</v>
          </cell>
          <cell r="F20">
            <v>6</v>
          </cell>
          <cell r="G20">
            <v>3</v>
          </cell>
          <cell r="H20">
            <v>9</v>
          </cell>
          <cell r="I20">
            <v>-36</v>
          </cell>
          <cell r="J20">
            <v>0</v>
          </cell>
          <cell r="K20">
            <v>18</v>
          </cell>
          <cell r="L20">
            <v>2</v>
          </cell>
        </row>
        <row r="21">
          <cell r="B21" t="str">
            <v>Driver number four</v>
          </cell>
          <cell r="C21">
            <v>-15</v>
          </cell>
          <cell r="D21">
            <v>-4</v>
          </cell>
          <cell r="E21">
            <v>-17</v>
          </cell>
          <cell r="F21">
            <v>9</v>
          </cell>
          <cell r="G21">
            <v>4</v>
          </cell>
          <cell r="H21">
            <v>5</v>
          </cell>
          <cell r="I21">
            <v>-36</v>
          </cell>
          <cell r="J21">
            <v>0</v>
          </cell>
          <cell r="K21">
            <v>18</v>
          </cell>
          <cell r="L21">
            <v>2</v>
          </cell>
        </row>
        <row r="22">
          <cell r="B22" t="str">
            <v>Driver number five</v>
          </cell>
          <cell r="C22">
            <v>-19</v>
          </cell>
          <cell r="D22">
            <v>-5</v>
          </cell>
          <cell r="E22">
            <v>-12</v>
          </cell>
          <cell r="F22">
            <v>13</v>
          </cell>
          <cell r="G22">
            <v>5</v>
          </cell>
          <cell r="H22">
            <v>0</v>
          </cell>
          <cell r="I22">
            <v>-36</v>
          </cell>
          <cell r="J22">
            <v>0</v>
          </cell>
          <cell r="K22">
            <v>18</v>
          </cell>
          <cell r="L22">
            <v>2</v>
          </cell>
        </row>
        <row r="23">
          <cell r="B23" t="str">
            <v>Driver number six</v>
          </cell>
          <cell r="C23">
            <v>-24</v>
          </cell>
          <cell r="D23">
            <v>-4</v>
          </cell>
          <cell r="E23">
            <v>-8</v>
          </cell>
          <cell r="F23">
            <v>18</v>
          </cell>
          <cell r="G23">
            <v>0</v>
          </cell>
          <cell r="H23">
            <v>0</v>
          </cell>
          <cell r="I23">
            <v>-36</v>
          </cell>
          <cell r="J23">
            <v>0</v>
          </cell>
          <cell r="K23">
            <v>18</v>
          </cell>
          <cell r="L23">
            <v>2</v>
          </cell>
        </row>
        <row r="24">
          <cell r="B24" t="str">
            <v>Driver number seven</v>
          </cell>
          <cell r="C24">
            <v>-28</v>
          </cell>
          <cell r="D24">
            <v>-3</v>
          </cell>
          <cell r="E24">
            <v>-5</v>
          </cell>
          <cell r="F24">
            <v>18</v>
          </cell>
          <cell r="G24">
            <v>0</v>
          </cell>
          <cell r="H24">
            <v>0</v>
          </cell>
          <cell r="I24">
            <v>-36</v>
          </cell>
          <cell r="J24">
            <v>0</v>
          </cell>
          <cell r="K24">
            <v>18</v>
          </cell>
          <cell r="L24">
            <v>2</v>
          </cell>
        </row>
        <row r="25">
          <cell r="B25" t="str">
            <v>Driver number eight</v>
          </cell>
          <cell r="C25">
            <v>-31</v>
          </cell>
          <cell r="D25">
            <v>-5</v>
          </cell>
          <cell r="E25">
            <v>0</v>
          </cell>
          <cell r="F25">
            <v>18</v>
          </cell>
          <cell r="G25">
            <v>0</v>
          </cell>
          <cell r="H25">
            <v>0</v>
          </cell>
          <cell r="I25">
            <v>-36</v>
          </cell>
          <cell r="J25">
            <v>0</v>
          </cell>
          <cell r="K25">
            <v>18</v>
          </cell>
          <cell r="L25">
            <v>2</v>
          </cell>
        </row>
        <row r="26">
          <cell r="I26">
            <v>-36</v>
          </cell>
          <cell r="J26">
            <v>0</v>
          </cell>
          <cell r="K26">
            <v>18</v>
          </cell>
          <cell r="L26">
            <v>2</v>
          </cell>
        </row>
        <row r="27">
          <cell r="I27">
            <v>-36</v>
          </cell>
          <cell r="J27">
            <v>0</v>
          </cell>
          <cell r="K27">
            <v>18</v>
          </cell>
          <cell r="L27">
            <v>2</v>
          </cell>
        </row>
        <row r="28">
          <cell r="B28" t="str">
            <v>Bear</v>
          </cell>
          <cell r="C28">
            <v>4</v>
          </cell>
        </row>
        <row r="29">
          <cell r="B29" t="str">
            <v>Base</v>
          </cell>
          <cell r="C29">
            <v>40</v>
          </cell>
        </row>
        <row r="30">
          <cell r="B30" t="str">
            <v>Bull</v>
          </cell>
          <cell r="C30">
            <v>58</v>
          </cell>
        </row>
        <row r="31">
          <cell r="B31" t="str">
            <v>Price Target</v>
          </cell>
          <cell r="C31">
            <v>42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Performance"/>
      <sheetName val="Vs Global"/>
      <sheetName val="PE FY1"/>
      <sheetName val="MW-Cache"/>
      <sheetName val="EVEBITDA FY1"/>
      <sheetName val="Sheet3"/>
      <sheetName val="Peers"/>
      <sheetName val="Risk Reward"/>
    </sheetNames>
    <sheetDataSet>
      <sheetData sheetId="0" refreshError="1"/>
      <sheetData sheetId="1">
        <row r="1">
          <cell r="B1" t="str">
            <v>DASA3-BR</v>
          </cell>
          <cell r="C1" t="str">
            <v>FLRY3-BR</v>
          </cell>
          <cell r="D1" t="str">
            <v>IBOVESPA-BSP</v>
          </cell>
          <cell r="F1" t="str">
            <v>DASA</v>
          </cell>
          <cell r="G1" t="str">
            <v>FLRY</v>
          </cell>
          <cell r="H1" t="str">
            <v>IBOVESPA</v>
          </cell>
        </row>
        <row r="2">
          <cell r="A2">
            <v>40179</v>
          </cell>
          <cell r="B2">
            <v>14.2475</v>
          </cell>
          <cell r="C2">
            <v>18.39</v>
          </cell>
          <cell r="D2">
            <v>68588.41</v>
          </cell>
          <cell r="F2">
            <v>100</v>
          </cell>
          <cell r="G2">
            <v>100</v>
          </cell>
          <cell r="H2">
            <v>100</v>
          </cell>
        </row>
        <row r="3">
          <cell r="A3">
            <v>40180</v>
          </cell>
          <cell r="B3">
            <v>14.2475</v>
          </cell>
          <cell r="C3">
            <v>18.39</v>
          </cell>
          <cell r="D3">
            <v>68588.41</v>
          </cell>
          <cell r="F3">
            <v>100</v>
          </cell>
          <cell r="G3">
            <v>100</v>
          </cell>
          <cell r="H3">
            <v>100</v>
          </cell>
        </row>
        <row r="4">
          <cell r="A4">
            <v>40181</v>
          </cell>
          <cell r="B4">
            <v>14.2475</v>
          </cell>
          <cell r="C4">
            <v>18.39</v>
          </cell>
          <cell r="D4">
            <v>68588.41</v>
          </cell>
          <cell r="F4">
            <v>100</v>
          </cell>
          <cell r="G4">
            <v>100</v>
          </cell>
          <cell r="H4">
            <v>100</v>
          </cell>
        </row>
        <row r="5">
          <cell r="A5">
            <v>40182</v>
          </cell>
          <cell r="B5">
            <v>14.385</v>
          </cell>
          <cell r="C5">
            <v>18.100000000000001</v>
          </cell>
          <cell r="D5">
            <v>70045.08</v>
          </cell>
          <cell r="F5">
            <v>100.96508159326196</v>
          </cell>
          <cell r="G5">
            <v>98.423056008700385</v>
          </cell>
          <cell r="H5">
            <v>102.1237844702917</v>
          </cell>
        </row>
        <row r="6">
          <cell r="A6">
            <v>40183</v>
          </cell>
          <cell r="B6">
            <v>14.5</v>
          </cell>
          <cell r="C6">
            <v>18</v>
          </cell>
          <cell r="D6">
            <v>70239.820000000007</v>
          </cell>
          <cell r="F6">
            <v>101.77224074399017</v>
          </cell>
          <cell r="G6">
            <v>97.879282218597069</v>
          </cell>
          <cell r="H6">
            <v>102.40770999065293</v>
          </cell>
        </row>
        <row r="7">
          <cell r="A7">
            <v>40184</v>
          </cell>
          <cell r="B7">
            <v>14.1625</v>
          </cell>
          <cell r="C7">
            <v>18.649999999999999</v>
          </cell>
          <cell r="D7">
            <v>70729.34</v>
          </cell>
          <cell r="F7">
            <v>99.403404105983498</v>
          </cell>
          <cell r="G7">
            <v>101.41381185426862</v>
          </cell>
          <cell r="H7">
            <v>103.1214165775238</v>
          </cell>
        </row>
        <row r="8">
          <cell r="A8">
            <v>40185</v>
          </cell>
          <cell r="B8">
            <v>14.2225</v>
          </cell>
          <cell r="C8">
            <v>18.71</v>
          </cell>
          <cell r="D8">
            <v>70451.12</v>
          </cell>
          <cell r="F8">
            <v>99.824530619406914</v>
          </cell>
          <cell r="G8">
            <v>101.74007612833063</v>
          </cell>
          <cell r="H8">
            <v>102.715779531848</v>
          </cell>
        </row>
        <row r="9">
          <cell r="A9">
            <v>40186</v>
          </cell>
          <cell r="B9">
            <v>14.3</v>
          </cell>
          <cell r="C9">
            <v>19.09</v>
          </cell>
          <cell r="D9">
            <v>70262.7</v>
          </cell>
          <cell r="F9">
            <v>100.36848569924548</v>
          </cell>
          <cell r="G9">
            <v>103.80641653072323</v>
          </cell>
          <cell r="H9">
            <v>102.44106839624945</v>
          </cell>
        </row>
        <row r="10">
          <cell r="A10">
            <v>40187</v>
          </cell>
          <cell r="B10">
            <v>14.3</v>
          </cell>
          <cell r="C10">
            <v>19.09</v>
          </cell>
          <cell r="D10">
            <v>70262.7</v>
          </cell>
          <cell r="F10">
            <v>100.36848569924548</v>
          </cell>
          <cell r="G10">
            <v>103.80641653072323</v>
          </cell>
          <cell r="H10">
            <v>102.44106839624945</v>
          </cell>
        </row>
        <row r="11">
          <cell r="A11">
            <v>40188</v>
          </cell>
          <cell r="B11">
            <v>14.3</v>
          </cell>
          <cell r="C11">
            <v>19.09</v>
          </cell>
          <cell r="D11">
            <v>70262.7</v>
          </cell>
          <cell r="F11">
            <v>100.36848569924548</v>
          </cell>
          <cell r="G11">
            <v>103.80641653072323</v>
          </cell>
          <cell r="H11">
            <v>102.44106839624945</v>
          </cell>
        </row>
        <row r="12">
          <cell r="A12">
            <v>40189</v>
          </cell>
          <cell r="B12">
            <v>14.75</v>
          </cell>
          <cell r="C12">
            <v>19.25</v>
          </cell>
          <cell r="D12">
            <v>70433.490000000005</v>
          </cell>
          <cell r="F12">
            <v>103.52693454992104</v>
          </cell>
          <cell r="G12">
            <v>104.67645459488853</v>
          </cell>
          <cell r="H12">
            <v>102.69007548068252</v>
          </cell>
        </row>
        <row r="13">
          <cell r="A13">
            <v>40190</v>
          </cell>
          <cell r="B13">
            <v>14.512499999999999</v>
          </cell>
          <cell r="C13">
            <v>19.600000000000001</v>
          </cell>
          <cell r="D13">
            <v>70075.78</v>
          </cell>
          <cell r="F13">
            <v>101.85997543428671</v>
          </cell>
          <cell r="G13">
            <v>106.57966286025014</v>
          </cell>
          <cell r="H13">
            <v>102.16854421905974</v>
          </cell>
        </row>
        <row r="14">
          <cell r="A14">
            <v>40191</v>
          </cell>
          <cell r="B14">
            <v>14.5625</v>
          </cell>
          <cell r="C14">
            <v>19.649999999999999</v>
          </cell>
          <cell r="D14">
            <v>70385.47</v>
          </cell>
          <cell r="F14">
            <v>102.21091419547288</v>
          </cell>
          <cell r="G14">
            <v>106.85154975530178</v>
          </cell>
          <cell r="H14">
            <v>102.62006365215348</v>
          </cell>
        </row>
        <row r="15">
          <cell r="A15">
            <v>40192</v>
          </cell>
          <cell r="B15">
            <v>14.4375</v>
          </cell>
          <cell r="C15">
            <v>20</v>
          </cell>
          <cell r="D15">
            <v>69801.42</v>
          </cell>
          <cell r="F15">
            <v>101.33356729250747</v>
          </cell>
          <cell r="G15">
            <v>108.75475802066342</v>
          </cell>
          <cell r="H15">
            <v>101.7685349463561</v>
          </cell>
        </row>
        <row r="16">
          <cell r="A16">
            <v>40193</v>
          </cell>
          <cell r="B16">
            <v>14.25</v>
          </cell>
          <cell r="C16">
            <v>19.71</v>
          </cell>
          <cell r="D16">
            <v>68978.3</v>
          </cell>
          <cell r="F16">
            <v>100.01754693805931</v>
          </cell>
          <cell r="G16">
            <v>107.17781402936379</v>
          </cell>
          <cell r="H16">
            <v>100.56844880935422</v>
          </cell>
        </row>
        <row r="17">
          <cell r="A17">
            <v>40194</v>
          </cell>
          <cell r="B17">
            <v>14.25</v>
          </cell>
          <cell r="C17">
            <v>19.71</v>
          </cell>
          <cell r="D17">
            <v>68978.3</v>
          </cell>
          <cell r="F17">
            <v>100.01754693805931</v>
          </cell>
          <cell r="G17">
            <v>107.17781402936379</v>
          </cell>
          <cell r="H17">
            <v>100.56844880935422</v>
          </cell>
        </row>
        <row r="18">
          <cell r="A18">
            <v>40195</v>
          </cell>
          <cell r="B18">
            <v>14.25</v>
          </cell>
          <cell r="C18">
            <v>19.71</v>
          </cell>
          <cell r="D18">
            <v>68978.3</v>
          </cell>
          <cell r="F18">
            <v>100.01754693805931</v>
          </cell>
          <cell r="G18">
            <v>107.17781402936379</v>
          </cell>
          <cell r="H18">
            <v>100.56844880935422</v>
          </cell>
        </row>
        <row r="19">
          <cell r="A19">
            <v>40196</v>
          </cell>
          <cell r="B19">
            <v>14.25</v>
          </cell>
          <cell r="C19">
            <v>19.71</v>
          </cell>
          <cell r="D19">
            <v>68978.3</v>
          </cell>
          <cell r="F19">
            <v>100.01754693805931</v>
          </cell>
          <cell r="G19">
            <v>107.17781402936379</v>
          </cell>
          <cell r="H19">
            <v>100.56844880935422</v>
          </cell>
        </row>
        <row r="20">
          <cell r="A20">
            <v>40197</v>
          </cell>
          <cell r="B20">
            <v>14.5</v>
          </cell>
          <cell r="C20">
            <v>20.010000000000002</v>
          </cell>
          <cell r="D20">
            <v>69908.59</v>
          </cell>
          <cell r="F20">
            <v>101.77224074399017</v>
          </cell>
          <cell r="G20">
            <v>108.80913539967374</v>
          </cell>
          <cell r="H20">
            <v>101.92478583480793</v>
          </cell>
        </row>
        <row r="21">
          <cell r="A21">
            <v>40198</v>
          </cell>
          <cell r="B21">
            <v>14.725</v>
          </cell>
          <cell r="C21">
            <v>19.75</v>
          </cell>
          <cell r="D21">
            <v>68200.070000000007</v>
          </cell>
          <cell r="F21">
            <v>103.35146516932794</v>
          </cell>
          <cell r="G21">
            <v>107.39532354540511</v>
          </cell>
          <cell r="H21">
            <v>99.433811047668257</v>
          </cell>
        </row>
        <row r="22">
          <cell r="A22">
            <v>40199</v>
          </cell>
          <cell r="B22">
            <v>14.637499999999999</v>
          </cell>
          <cell r="C22">
            <v>19.62</v>
          </cell>
          <cell r="D22">
            <v>66270.14</v>
          </cell>
          <cell r="F22">
            <v>102.73732233725215</v>
          </cell>
          <cell r="G22">
            <v>106.68841761827079</v>
          </cell>
          <cell r="H22">
            <v>96.62002661965775</v>
          </cell>
        </row>
        <row r="23">
          <cell r="A23">
            <v>40200</v>
          </cell>
          <cell r="B23">
            <v>14.4</v>
          </cell>
          <cell r="C23">
            <v>19.5</v>
          </cell>
          <cell r="D23">
            <v>66220.039999999994</v>
          </cell>
          <cell r="F23">
            <v>101.07036322161782</v>
          </cell>
          <cell r="G23">
            <v>106.03588907014681</v>
          </cell>
          <cell r="H23">
            <v>96.546982208801737</v>
          </cell>
        </row>
        <row r="24">
          <cell r="A24">
            <v>40201</v>
          </cell>
          <cell r="B24">
            <v>14.4</v>
          </cell>
          <cell r="C24">
            <v>19.5</v>
          </cell>
          <cell r="D24">
            <v>66220.039999999994</v>
          </cell>
          <cell r="F24">
            <v>101.07036322161782</v>
          </cell>
          <cell r="G24">
            <v>106.03588907014681</v>
          </cell>
          <cell r="H24">
            <v>96.546982208801737</v>
          </cell>
        </row>
        <row r="25">
          <cell r="A25">
            <v>40202</v>
          </cell>
          <cell r="B25">
            <v>14.4</v>
          </cell>
          <cell r="C25">
            <v>19.5</v>
          </cell>
          <cell r="D25">
            <v>66220.039999999994</v>
          </cell>
          <cell r="F25">
            <v>101.07036322161782</v>
          </cell>
          <cell r="G25">
            <v>106.03588907014681</v>
          </cell>
          <cell r="H25">
            <v>96.546982208801737</v>
          </cell>
        </row>
        <row r="26">
          <cell r="A26">
            <v>40203</v>
          </cell>
          <cell r="B26">
            <v>14.4</v>
          </cell>
          <cell r="C26">
            <v>19.5</v>
          </cell>
          <cell r="D26">
            <v>66220.039999999994</v>
          </cell>
          <cell r="F26">
            <v>101.07036322161782</v>
          </cell>
          <cell r="G26">
            <v>106.03588907014681</v>
          </cell>
          <cell r="H26">
            <v>96.546982208801737</v>
          </cell>
        </row>
        <row r="27">
          <cell r="A27">
            <v>40204</v>
          </cell>
          <cell r="B27">
            <v>14.5</v>
          </cell>
          <cell r="C27">
            <v>19.39</v>
          </cell>
          <cell r="D27">
            <v>65523.73</v>
          </cell>
          <cell r="F27">
            <v>101.77224074399017</v>
          </cell>
          <cell r="G27">
            <v>105.43773790103317</v>
          </cell>
          <cell r="H27">
            <v>95.531781535685113</v>
          </cell>
        </row>
        <row r="28">
          <cell r="A28">
            <v>40205</v>
          </cell>
          <cell r="B28">
            <v>14.475</v>
          </cell>
          <cell r="C28">
            <v>19.38</v>
          </cell>
          <cell r="D28">
            <v>65069.79</v>
          </cell>
          <cell r="F28">
            <v>101.59677136339708</v>
          </cell>
          <cell r="G28">
            <v>105.38336052202284</v>
          </cell>
          <cell r="H28">
            <v>94.869949602272456</v>
          </cell>
        </row>
        <row r="29">
          <cell r="A29">
            <v>40206</v>
          </cell>
          <cell r="B29">
            <v>14.25</v>
          </cell>
          <cell r="C29">
            <v>19.5</v>
          </cell>
          <cell r="D29">
            <v>65587.81</v>
          </cell>
          <cell r="F29">
            <v>100.01754693805931</v>
          </cell>
          <cell r="G29">
            <v>106.03588907014681</v>
          </cell>
          <cell r="H29">
            <v>95.625208398911695</v>
          </cell>
        </row>
        <row r="30">
          <cell r="A30">
            <v>40207</v>
          </cell>
          <cell r="B30">
            <v>14.455</v>
          </cell>
          <cell r="C30">
            <v>19.489999999999998</v>
          </cell>
          <cell r="D30">
            <v>65401.77</v>
          </cell>
          <cell r="F30">
            <v>101.4563958589226</v>
          </cell>
          <cell r="G30">
            <v>105.98151169113648</v>
          </cell>
          <cell r="H30">
            <v>95.353967237321868</v>
          </cell>
        </row>
        <row r="31">
          <cell r="A31">
            <v>40208</v>
          </cell>
          <cell r="B31">
            <v>14.455</v>
          </cell>
          <cell r="C31">
            <v>19.489999999999998</v>
          </cell>
          <cell r="D31">
            <v>65401.77</v>
          </cell>
          <cell r="F31">
            <v>101.4563958589226</v>
          </cell>
          <cell r="G31">
            <v>105.98151169113648</v>
          </cell>
          <cell r="H31">
            <v>95.353967237321868</v>
          </cell>
        </row>
        <row r="32">
          <cell r="A32">
            <v>40209</v>
          </cell>
          <cell r="B32">
            <v>14.455</v>
          </cell>
          <cell r="C32">
            <v>19.489999999999998</v>
          </cell>
          <cell r="D32">
            <v>65401.77</v>
          </cell>
          <cell r="F32">
            <v>101.4563958589226</v>
          </cell>
          <cell r="G32">
            <v>105.98151169113648</v>
          </cell>
          <cell r="H32">
            <v>95.353967237321868</v>
          </cell>
        </row>
        <row r="33">
          <cell r="A33">
            <v>40210</v>
          </cell>
          <cell r="B33">
            <v>14.6625</v>
          </cell>
          <cell r="C33">
            <v>19.190000000000001</v>
          </cell>
          <cell r="D33">
            <v>66571.740000000005</v>
          </cell>
          <cell r="F33">
            <v>102.91279171784522</v>
          </cell>
          <cell r="G33">
            <v>104.35019032082653</v>
          </cell>
          <cell r="H33">
            <v>97.05975105706635</v>
          </cell>
        </row>
        <row r="34">
          <cell r="A34">
            <v>40211</v>
          </cell>
          <cell r="B34">
            <v>15.25</v>
          </cell>
          <cell r="C34">
            <v>18.899999999999999</v>
          </cell>
          <cell r="D34">
            <v>67163.210000000006</v>
          </cell>
          <cell r="F34">
            <v>107.03632216178276</v>
          </cell>
          <cell r="G34">
            <v>102.77324632952691</v>
          </cell>
          <cell r="H34">
            <v>97.922097917126237</v>
          </cell>
        </row>
        <row r="35">
          <cell r="A35">
            <v>40212</v>
          </cell>
          <cell r="B35">
            <v>15.4</v>
          </cell>
          <cell r="C35">
            <v>18.89</v>
          </cell>
          <cell r="D35">
            <v>67108.56</v>
          </cell>
          <cell r="F35">
            <v>108.08913844534129</v>
          </cell>
          <cell r="G35">
            <v>102.71886895051658</v>
          </cell>
          <cell r="H35">
            <v>97.842419732430002</v>
          </cell>
        </row>
        <row r="36">
          <cell r="A36">
            <v>40213</v>
          </cell>
          <cell r="B36">
            <v>14.6</v>
          </cell>
          <cell r="C36">
            <v>17.93</v>
          </cell>
          <cell r="D36">
            <v>63934.01</v>
          </cell>
          <cell r="F36">
            <v>102.47411826636252</v>
          </cell>
          <cell r="G36">
            <v>97.498640565524738</v>
          </cell>
          <cell r="H36">
            <v>93.214013854527309</v>
          </cell>
        </row>
        <row r="37">
          <cell r="A37">
            <v>40214</v>
          </cell>
          <cell r="B37">
            <v>14.41</v>
          </cell>
          <cell r="C37">
            <v>17.690000000000001</v>
          </cell>
          <cell r="D37">
            <v>62762.7</v>
          </cell>
          <cell r="F37">
            <v>101.14055097385506</v>
          </cell>
          <cell r="G37">
            <v>96.193583469276788</v>
          </cell>
          <cell r="H37">
            <v>91.506276351937586</v>
          </cell>
        </row>
        <row r="38">
          <cell r="A38">
            <v>40215</v>
          </cell>
          <cell r="B38">
            <v>14.41</v>
          </cell>
          <cell r="C38">
            <v>17.690000000000001</v>
          </cell>
          <cell r="D38">
            <v>62762.7</v>
          </cell>
          <cell r="F38">
            <v>101.14055097385506</v>
          </cell>
          <cell r="G38">
            <v>96.193583469276788</v>
          </cell>
          <cell r="H38">
            <v>91.506276351937586</v>
          </cell>
        </row>
        <row r="39">
          <cell r="A39">
            <v>40216</v>
          </cell>
          <cell r="B39">
            <v>14.41</v>
          </cell>
          <cell r="C39">
            <v>17.690000000000001</v>
          </cell>
          <cell r="D39">
            <v>62762.7</v>
          </cell>
          <cell r="F39">
            <v>101.14055097385506</v>
          </cell>
          <cell r="G39">
            <v>96.193583469276788</v>
          </cell>
          <cell r="H39">
            <v>91.506276351937586</v>
          </cell>
        </row>
        <row r="40">
          <cell r="A40">
            <v>40217</v>
          </cell>
          <cell r="B40">
            <v>14.75</v>
          </cell>
          <cell r="C40">
            <v>17.88</v>
          </cell>
          <cell r="D40">
            <v>63153.09</v>
          </cell>
          <cell r="F40">
            <v>103.52693454992104</v>
          </cell>
          <cell r="G40">
            <v>97.226753670473073</v>
          </cell>
          <cell r="H40">
            <v>92.075454147428104</v>
          </cell>
        </row>
        <row r="41">
          <cell r="A41">
            <v>40218</v>
          </cell>
          <cell r="B41">
            <v>14.85</v>
          </cell>
          <cell r="C41">
            <v>18.5</v>
          </cell>
          <cell r="D41">
            <v>64718.17</v>
          </cell>
          <cell r="F41">
            <v>104.22881207229338</v>
          </cell>
          <cell r="G41">
            <v>100.59815116911363</v>
          </cell>
          <cell r="H41">
            <v>94.357297391789658</v>
          </cell>
        </row>
        <row r="42">
          <cell r="A42">
            <v>40219</v>
          </cell>
          <cell r="B42">
            <v>15.44</v>
          </cell>
          <cell r="C42">
            <v>18.940000000000001</v>
          </cell>
          <cell r="D42">
            <v>65051.42</v>
          </cell>
          <cell r="F42">
            <v>108.36988945429023</v>
          </cell>
          <cell r="G42">
            <v>102.99075584556824</v>
          </cell>
          <cell r="H42">
            <v>94.843166651625239</v>
          </cell>
        </row>
        <row r="43">
          <cell r="A43">
            <v>40220</v>
          </cell>
          <cell r="B43">
            <v>15.32</v>
          </cell>
          <cell r="C43">
            <v>18.77</v>
          </cell>
          <cell r="D43">
            <v>66128.94</v>
          </cell>
          <cell r="F43">
            <v>107.52763642744341</v>
          </cell>
          <cell r="G43">
            <v>102.0663404023926</v>
          </cell>
          <cell r="H43">
            <v>96.41416093477018</v>
          </cell>
        </row>
        <row r="44">
          <cell r="A44">
            <v>40221</v>
          </cell>
          <cell r="B44">
            <v>15.39</v>
          </cell>
          <cell r="C44">
            <v>18.5</v>
          </cell>
          <cell r="D44">
            <v>65854.97</v>
          </cell>
          <cell r="F44">
            <v>108.01895069310406</v>
          </cell>
          <cell r="G44">
            <v>100.59815116911363</v>
          </cell>
          <cell r="H44">
            <v>96.014720271252813</v>
          </cell>
        </row>
        <row r="45">
          <cell r="A45">
            <v>40222</v>
          </cell>
          <cell r="B45">
            <v>15.39</v>
          </cell>
          <cell r="C45">
            <v>18.5</v>
          </cell>
          <cell r="D45">
            <v>65854.97</v>
          </cell>
          <cell r="F45">
            <v>108.01895069310406</v>
          </cell>
          <cell r="G45">
            <v>100.59815116911363</v>
          </cell>
          <cell r="H45">
            <v>96.014720271252813</v>
          </cell>
        </row>
        <row r="46">
          <cell r="A46">
            <v>40223</v>
          </cell>
          <cell r="B46">
            <v>15.39</v>
          </cell>
          <cell r="C46">
            <v>18.5</v>
          </cell>
          <cell r="D46">
            <v>65854.97</v>
          </cell>
          <cell r="F46">
            <v>108.01895069310406</v>
          </cell>
          <cell r="G46">
            <v>100.59815116911363</v>
          </cell>
          <cell r="H46">
            <v>96.014720271252813</v>
          </cell>
        </row>
        <row r="47">
          <cell r="A47">
            <v>40224</v>
          </cell>
          <cell r="B47">
            <v>15.39</v>
          </cell>
          <cell r="C47">
            <v>18.5</v>
          </cell>
          <cell r="D47">
            <v>65854.97</v>
          </cell>
          <cell r="F47">
            <v>108.01895069310406</v>
          </cell>
          <cell r="G47">
            <v>100.59815116911363</v>
          </cell>
          <cell r="H47">
            <v>96.014720271252813</v>
          </cell>
        </row>
        <row r="48">
          <cell r="A48">
            <v>40225</v>
          </cell>
          <cell r="B48">
            <v>15.39</v>
          </cell>
          <cell r="C48">
            <v>18.5</v>
          </cell>
          <cell r="D48">
            <v>65854.97</v>
          </cell>
          <cell r="F48">
            <v>108.01895069310406</v>
          </cell>
          <cell r="G48">
            <v>100.59815116911363</v>
          </cell>
          <cell r="H48">
            <v>96.014720271252813</v>
          </cell>
        </row>
        <row r="49">
          <cell r="A49">
            <v>40226</v>
          </cell>
          <cell r="B49">
            <v>15.6</v>
          </cell>
          <cell r="C49">
            <v>19</v>
          </cell>
          <cell r="D49">
            <v>67284.570000000007</v>
          </cell>
          <cell r="F49">
            <v>109.49289349008598</v>
          </cell>
          <cell r="G49">
            <v>103.31702011963021</v>
          </cell>
          <cell r="H49">
            <v>98.099037432125925</v>
          </cell>
        </row>
        <row r="50">
          <cell r="A50">
            <v>40227</v>
          </cell>
          <cell r="B50">
            <v>15.84</v>
          </cell>
          <cell r="C50">
            <v>19.899999999999999</v>
          </cell>
          <cell r="D50">
            <v>67836.08</v>
          </cell>
          <cell r="F50">
            <v>111.17739954377961</v>
          </cell>
          <cell r="G50">
            <v>108.21098423056009</v>
          </cell>
          <cell r="H50">
            <v>98.90312372017371</v>
          </cell>
        </row>
        <row r="51">
          <cell r="A51">
            <v>40228</v>
          </cell>
          <cell r="B51">
            <v>16</v>
          </cell>
          <cell r="C51">
            <v>19.920000000000002</v>
          </cell>
          <cell r="D51">
            <v>67597.429999999993</v>
          </cell>
          <cell r="F51">
            <v>112.30040357957536</v>
          </cell>
          <cell r="G51">
            <v>108.31973898858077</v>
          </cell>
          <cell r="H51">
            <v>98.555178637323692</v>
          </cell>
        </row>
        <row r="52">
          <cell r="A52">
            <v>40229</v>
          </cell>
          <cell r="B52">
            <v>16</v>
          </cell>
          <cell r="C52">
            <v>19.920000000000002</v>
          </cell>
          <cell r="D52">
            <v>67597.429999999993</v>
          </cell>
          <cell r="F52">
            <v>112.30040357957536</v>
          </cell>
          <cell r="G52">
            <v>108.31973898858077</v>
          </cell>
          <cell r="H52">
            <v>98.555178637323692</v>
          </cell>
        </row>
        <row r="53">
          <cell r="A53">
            <v>40230</v>
          </cell>
          <cell r="B53">
            <v>16</v>
          </cell>
          <cell r="C53">
            <v>19.920000000000002</v>
          </cell>
          <cell r="D53">
            <v>67597.429999999993</v>
          </cell>
          <cell r="F53">
            <v>112.30040357957536</v>
          </cell>
          <cell r="G53">
            <v>108.31973898858077</v>
          </cell>
          <cell r="H53">
            <v>98.555178637323692</v>
          </cell>
        </row>
        <row r="54">
          <cell r="A54">
            <v>40231</v>
          </cell>
          <cell r="B54">
            <v>15.55</v>
          </cell>
          <cell r="C54">
            <v>19.739999999999998</v>
          </cell>
          <cell r="D54">
            <v>67184.160000000003</v>
          </cell>
          <cell r="F54">
            <v>109.1419547288998</v>
          </cell>
          <cell r="G54">
            <v>107.34094616639476</v>
          </cell>
          <cell r="H54">
            <v>97.952642436236687</v>
          </cell>
        </row>
        <row r="55">
          <cell r="A55">
            <v>40232</v>
          </cell>
          <cell r="B55">
            <v>15.2</v>
          </cell>
          <cell r="C55">
            <v>19.3</v>
          </cell>
          <cell r="D55">
            <v>66108.33</v>
          </cell>
          <cell r="F55">
            <v>106.68538340059659</v>
          </cell>
          <cell r="G55">
            <v>104.94834148994019</v>
          </cell>
          <cell r="H55">
            <v>96.384112126232395</v>
          </cell>
        </row>
        <row r="56">
          <cell r="A56">
            <v>40233</v>
          </cell>
          <cell r="B56">
            <v>15.2</v>
          </cell>
          <cell r="C56">
            <v>19.649999999999999</v>
          </cell>
          <cell r="D56">
            <v>65794.77</v>
          </cell>
          <cell r="F56">
            <v>106.68538340059659</v>
          </cell>
          <cell r="G56">
            <v>106.85154975530178</v>
          </cell>
          <cell r="H56">
            <v>95.926950340443824</v>
          </cell>
        </row>
        <row r="57">
          <cell r="A57">
            <v>40234</v>
          </cell>
          <cell r="B57">
            <v>14.8</v>
          </cell>
          <cell r="C57">
            <v>19.25</v>
          </cell>
          <cell r="D57">
            <v>66121.039999999994</v>
          </cell>
          <cell r="F57">
            <v>103.87787331110721</v>
          </cell>
          <cell r="G57">
            <v>104.67645459488853</v>
          </cell>
          <cell r="H57">
            <v>96.402642953816823</v>
          </cell>
        </row>
        <row r="58">
          <cell r="A58">
            <v>40235</v>
          </cell>
          <cell r="B58">
            <v>14.8</v>
          </cell>
          <cell r="C58">
            <v>19.989999999999998</v>
          </cell>
          <cell r="D58">
            <v>66503.27</v>
          </cell>
          <cell r="F58">
            <v>103.87787331110721</v>
          </cell>
          <cell r="G58">
            <v>108.70038064165306</v>
          </cell>
          <cell r="H58">
            <v>96.959923695563148</v>
          </cell>
        </row>
        <row r="59">
          <cell r="A59">
            <v>40236</v>
          </cell>
          <cell r="B59">
            <v>14.8</v>
          </cell>
          <cell r="C59">
            <v>19.989999999999998</v>
          </cell>
          <cell r="D59">
            <v>66503.27</v>
          </cell>
          <cell r="F59">
            <v>103.87787331110721</v>
          </cell>
          <cell r="G59">
            <v>108.70038064165306</v>
          </cell>
          <cell r="H59">
            <v>96.959923695563148</v>
          </cell>
        </row>
        <row r="60">
          <cell r="A60">
            <v>40237</v>
          </cell>
          <cell r="B60">
            <v>14.8</v>
          </cell>
          <cell r="C60">
            <v>19.989999999999998</v>
          </cell>
          <cell r="D60">
            <v>66503.27</v>
          </cell>
          <cell r="F60">
            <v>103.87787331110721</v>
          </cell>
          <cell r="G60">
            <v>108.70038064165306</v>
          </cell>
          <cell r="H60">
            <v>96.959923695563148</v>
          </cell>
        </row>
        <row r="61">
          <cell r="A61">
            <v>40238</v>
          </cell>
          <cell r="B61">
            <v>15.19</v>
          </cell>
          <cell r="C61">
            <v>19.23</v>
          </cell>
          <cell r="D61">
            <v>67227.929999999993</v>
          </cell>
          <cell r="F61">
            <v>106.61519564835935</v>
          </cell>
          <cell r="G61">
            <v>104.56769983686786</v>
          </cell>
          <cell r="H61">
            <v>98.01645788260727</v>
          </cell>
        </row>
        <row r="62">
          <cell r="A62">
            <v>40239</v>
          </cell>
          <cell r="B62">
            <v>15.35</v>
          </cell>
          <cell r="C62">
            <v>18.95</v>
          </cell>
          <cell r="D62">
            <v>67779.16</v>
          </cell>
          <cell r="F62">
            <v>107.73819968415511</v>
          </cell>
          <cell r="G62">
            <v>103.04513322457858</v>
          </cell>
          <cell r="H62">
            <v>98.820135938418758</v>
          </cell>
        </row>
        <row r="63">
          <cell r="A63">
            <v>40240</v>
          </cell>
          <cell r="B63">
            <v>15.14</v>
          </cell>
          <cell r="C63">
            <v>19</v>
          </cell>
          <cell r="D63">
            <v>67641.34</v>
          </cell>
          <cell r="F63">
            <v>106.26425688717318</v>
          </cell>
          <cell r="G63">
            <v>103.31702011963021</v>
          </cell>
          <cell r="H63">
            <v>98.619198199812459</v>
          </cell>
        </row>
        <row r="64">
          <cell r="A64">
            <v>40241</v>
          </cell>
          <cell r="B64">
            <v>15.04</v>
          </cell>
          <cell r="C64">
            <v>19</v>
          </cell>
          <cell r="D64">
            <v>67814.710000000006</v>
          </cell>
          <cell r="F64">
            <v>105.56237936480085</v>
          </cell>
          <cell r="G64">
            <v>103.31702011963021</v>
          </cell>
          <cell r="H64">
            <v>98.871966852708795</v>
          </cell>
        </row>
        <row r="65">
          <cell r="A65">
            <v>40242</v>
          </cell>
          <cell r="B65">
            <v>15.25</v>
          </cell>
          <cell r="C65">
            <v>19.25</v>
          </cell>
          <cell r="D65">
            <v>68846.5</v>
          </cell>
          <cell r="F65">
            <v>107.03632216178276</v>
          </cell>
          <cell r="G65">
            <v>104.67645459488853</v>
          </cell>
          <cell r="H65">
            <v>100.37628806382885</v>
          </cell>
        </row>
        <row r="66">
          <cell r="A66">
            <v>40243</v>
          </cell>
          <cell r="B66">
            <v>15.25</v>
          </cell>
          <cell r="C66">
            <v>19.25</v>
          </cell>
          <cell r="D66">
            <v>68846.5</v>
          </cell>
          <cell r="F66">
            <v>107.03632216178276</v>
          </cell>
          <cell r="G66">
            <v>104.67645459488853</v>
          </cell>
          <cell r="H66">
            <v>100.37628806382885</v>
          </cell>
        </row>
        <row r="67">
          <cell r="A67">
            <v>40244</v>
          </cell>
          <cell r="B67">
            <v>15.25</v>
          </cell>
          <cell r="C67">
            <v>19.25</v>
          </cell>
          <cell r="D67">
            <v>68846.5</v>
          </cell>
          <cell r="F67">
            <v>107.03632216178276</v>
          </cell>
          <cell r="G67">
            <v>104.67645459488853</v>
          </cell>
          <cell r="H67">
            <v>100.37628806382885</v>
          </cell>
        </row>
        <row r="68">
          <cell r="A68">
            <v>40245</v>
          </cell>
          <cell r="B68">
            <v>14.9</v>
          </cell>
          <cell r="C68">
            <v>19.2</v>
          </cell>
          <cell r="D68">
            <v>68575.47</v>
          </cell>
          <cell r="F68">
            <v>104.57975083347955</v>
          </cell>
          <cell r="G68">
            <v>104.40456769983686</v>
          </cell>
          <cell r="H68">
            <v>99.981133838792886</v>
          </cell>
        </row>
        <row r="69">
          <cell r="A69">
            <v>40246</v>
          </cell>
          <cell r="B69">
            <v>14.99</v>
          </cell>
          <cell r="C69">
            <v>19.05</v>
          </cell>
          <cell r="D69">
            <v>69576.38</v>
          </cell>
          <cell r="F69">
            <v>105.21144060361468</v>
          </cell>
          <cell r="G69">
            <v>103.58890701468188</v>
          </cell>
          <cell r="H69">
            <v>101.44043286613584</v>
          </cell>
        </row>
        <row r="70">
          <cell r="A70">
            <v>40247</v>
          </cell>
          <cell r="B70">
            <v>14.85</v>
          </cell>
          <cell r="C70">
            <v>18.95</v>
          </cell>
          <cell r="D70">
            <v>69979.28</v>
          </cell>
          <cell r="F70">
            <v>104.22881207229338</v>
          </cell>
          <cell r="G70">
            <v>103.04513322457858</v>
          </cell>
          <cell r="H70">
            <v>102.02784989475626</v>
          </cell>
        </row>
        <row r="71">
          <cell r="A71">
            <v>40248</v>
          </cell>
          <cell r="B71">
            <v>15.25</v>
          </cell>
          <cell r="C71">
            <v>19</v>
          </cell>
          <cell r="D71">
            <v>69884.61</v>
          </cell>
          <cell r="F71">
            <v>107.03632216178276</v>
          </cell>
          <cell r="G71">
            <v>103.31702011963021</v>
          </cell>
          <cell r="H71">
            <v>101.8898236597116</v>
          </cell>
        </row>
        <row r="72">
          <cell r="A72">
            <v>40249</v>
          </cell>
          <cell r="B72">
            <v>15.25</v>
          </cell>
          <cell r="C72">
            <v>19</v>
          </cell>
          <cell r="D72">
            <v>69341.38</v>
          </cell>
          <cell r="F72">
            <v>107.03632216178276</v>
          </cell>
          <cell r="G72">
            <v>103.31702011963021</v>
          </cell>
          <cell r="H72">
            <v>101.09780938208073</v>
          </cell>
        </row>
        <row r="73">
          <cell r="A73">
            <v>40250</v>
          </cell>
          <cell r="B73">
            <v>15.25</v>
          </cell>
          <cell r="C73">
            <v>19</v>
          </cell>
          <cell r="D73">
            <v>69341.38</v>
          </cell>
          <cell r="F73">
            <v>107.03632216178276</v>
          </cell>
          <cell r="G73">
            <v>103.31702011963021</v>
          </cell>
          <cell r="H73">
            <v>101.09780938208073</v>
          </cell>
        </row>
        <row r="74">
          <cell r="A74">
            <v>40251</v>
          </cell>
          <cell r="B74">
            <v>15.25</v>
          </cell>
          <cell r="C74">
            <v>19</v>
          </cell>
          <cell r="D74">
            <v>69341.38</v>
          </cell>
          <cell r="F74">
            <v>107.03632216178276</v>
          </cell>
          <cell r="G74">
            <v>103.31702011963021</v>
          </cell>
          <cell r="H74">
            <v>101.09780938208073</v>
          </cell>
        </row>
        <row r="75">
          <cell r="A75">
            <v>40252</v>
          </cell>
          <cell r="B75">
            <v>15.1</v>
          </cell>
          <cell r="C75">
            <v>19.2</v>
          </cell>
          <cell r="D75">
            <v>69023.75</v>
          </cell>
          <cell r="F75">
            <v>105.98350587822425</v>
          </cell>
          <cell r="G75">
            <v>104.40456769983686</v>
          </cell>
          <cell r="H75">
            <v>100.63471364914275</v>
          </cell>
        </row>
        <row r="76">
          <cell r="A76">
            <v>40253</v>
          </cell>
          <cell r="B76">
            <v>15.25</v>
          </cell>
          <cell r="C76">
            <v>19.100000000000001</v>
          </cell>
          <cell r="D76">
            <v>69942.210000000006</v>
          </cell>
          <cell r="F76">
            <v>107.03632216178276</v>
          </cell>
          <cell r="G76">
            <v>103.86079390973354</v>
          </cell>
          <cell r="H76">
            <v>101.97380286261193</v>
          </cell>
        </row>
        <row r="77">
          <cell r="A77">
            <v>40254</v>
          </cell>
          <cell r="B77">
            <v>15.05</v>
          </cell>
          <cell r="C77">
            <v>19.53</v>
          </cell>
          <cell r="D77">
            <v>69723.240000000005</v>
          </cell>
          <cell r="F77">
            <v>105.63256711703808</v>
          </cell>
          <cell r="G77">
            <v>106.19902120717781</v>
          </cell>
          <cell r="H77">
            <v>101.6545506740862</v>
          </cell>
        </row>
        <row r="78">
          <cell r="A78">
            <v>40255</v>
          </cell>
          <cell r="B78">
            <v>15</v>
          </cell>
          <cell r="C78">
            <v>19.8</v>
          </cell>
          <cell r="D78">
            <v>69697.33</v>
          </cell>
          <cell r="F78">
            <v>105.28162835585191</v>
          </cell>
          <cell r="G78">
            <v>107.66721044045677</v>
          </cell>
          <cell r="H78">
            <v>101.61677461250378</v>
          </cell>
        </row>
        <row r="79">
          <cell r="A79">
            <v>40256</v>
          </cell>
          <cell r="B79">
            <v>15.3</v>
          </cell>
          <cell r="C79">
            <v>19.649999999999999</v>
          </cell>
          <cell r="D79">
            <v>68828.98</v>
          </cell>
          <cell r="F79">
            <v>107.38726092296895</v>
          </cell>
          <cell r="G79">
            <v>106.85154975530178</v>
          </cell>
          <cell r="H79">
            <v>100.35074438961334</v>
          </cell>
        </row>
        <row r="80">
          <cell r="A80">
            <v>40257</v>
          </cell>
          <cell r="B80">
            <v>15.3</v>
          </cell>
          <cell r="C80">
            <v>19.649999999999999</v>
          </cell>
          <cell r="D80">
            <v>68828.98</v>
          </cell>
          <cell r="F80">
            <v>107.38726092296895</v>
          </cell>
          <cell r="G80">
            <v>106.85154975530178</v>
          </cell>
          <cell r="H80">
            <v>100.35074438961334</v>
          </cell>
        </row>
        <row r="81">
          <cell r="A81">
            <v>40258</v>
          </cell>
          <cell r="B81">
            <v>15.3</v>
          </cell>
          <cell r="C81">
            <v>19.649999999999999</v>
          </cell>
          <cell r="D81">
            <v>68828.98</v>
          </cell>
          <cell r="F81">
            <v>107.38726092296895</v>
          </cell>
          <cell r="G81">
            <v>106.85154975530178</v>
          </cell>
          <cell r="H81">
            <v>100.35074438961334</v>
          </cell>
        </row>
        <row r="82">
          <cell r="A82">
            <v>40259</v>
          </cell>
          <cell r="B82">
            <v>15.25</v>
          </cell>
          <cell r="C82">
            <v>19.7</v>
          </cell>
          <cell r="D82">
            <v>69041.73</v>
          </cell>
          <cell r="F82">
            <v>107.03632216178276</v>
          </cell>
          <cell r="G82">
            <v>107.12343665035344</v>
          </cell>
          <cell r="H82">
            <v>100.66092799060364</v>
          </cell>
        </row>
        <row r="83">
          <cell r="A83">
            <v>40260</v>
          </cell>
          <cell r="B83">
            <v>15.3</v>
          </cell>
          <cell r="C83">
            <v>19.75</v>
          </cell>
          <cell r="D83">
            <v>69386.720000000001</v>
          </cell>
          <cell r="F83">
            <v>107.38726092296895</v>
          </cell>
          <cell r="G83">
            <v>107.39532354540511</v>
          </cell>
          <cell r="H83">
            <v>101.16391384491928</v>
          </cell>
        </row>
        <row r="84">
          <cell r="A84">
            <v>40261</v>
          </cell>
          <cell r="B84">
            <v>15.2</v>
          </cell>
          <cell r="C84">
            <v>19.32</v>
          </cell>
          <cell r="D84">
            <v>68913.399999999994</v>
          </cell>
          <cell r="F84">
            <v>106.68538340059659</v>
          </cell>
          <cell r="G84">
            <v>105.05709624796084</v>
          </cell>
          <cell r="H84">
            <v>100.47382640886411</v>
          </cell>
        </row>
        <row r="85">
          <cell r="A85">
            <v>40262</v>
          </cell>
          <cell r="B85">
            <v>15.2</v>
          </cell>
          <cell r="C85">
            <v>19.55</v>
          </cell>
          <cell r="D85">
            <v>68441.66</v>
          </cell>
          <cell r="F85">
            <v>106.68538340059659</v>
          </cell>
          <cell r="G85">
            <v>106.30777596519847</v>
          </cell>
          <cell r="H85">
            <v>99.786042568999633</v>
          </cell>
        </row>
        <row r="86">
          <cell r="A86">
            <v>40263</v>
          </cell>
          <cell r="B86">
            <v>15.29</v>
          </cell>
          <cell r="C86">
            <v>19.46</v>
          </cell>
          <cell r="D86">
            <v>68682.66</v>
          </cell>
          <cell r="F86">
            <v>107.31707317073169</v>
          </cell>
          <cell r="G86">
            <v>105.81837955410549</v>
          </cell>
          <cell r="H86">
            <v>100.1374138866902</v>
          </cell>
        </row>
        <row r="87">
          <cell r="A87">
            <v>40264</v>
          </cell>
          <cell r="B87">
            <v>15.29</v>
          </cell>
          <cell r="C87">
            <v>19.46</v>
          </cell>
          <cell r="D87">
            <v>68682.66</v>
          </cell>
          <cell r="F87">
            <v>107.31707317073169</v>
          </cell>
          <cell r="G87">
            <v>105.81837955410549</v>
          </cell>
          <cell r="H87">
            <v>100.1374138866902</v>
          </cell>
        </row>
        <row r="88">
          <cell r="A88">
            <v>40265</v>
          </cell>
          <cell r="B88">
            <v>15.29</v>
          </cell>
          <cell r="C88">
            <v>19.46</v>
          </cell>
          <cell r="D88">
            <v>68682.66</v>
          </cell>
          <cell r="F88">
            <v>107.31707317073169</v>
          </cell>
          <cell r="G88">
            <v>105.81837955410549</v>
          </cell>
          <cell r="H88">
            <v>100.1374138866902</v>
          </cell>
        </row>
        <row r="89">
          <cell r="A89">
            <v>40266</v>
          </cell>
          <cell r="B89">
            <v>15.45</v>
          </cell>
          <cell r="C89">
            <v>19.3</v>
          </cell>
          <cell r="D89">
            <v>69939.12</v>
          </cell>
          <cell r="F89">
            <v>108.44007720652746</v>
          </cell>
          <cell r="G89">
            <v>104.94834148994019</v>
          </cell>
          <cell r="H89">
            <v>101.96929772828965</v>
          </cell>
        </row>
        <row r="90">
          <cell r="A90">
            <v>40267</v>
          </cell>
          <cell r="B90">
            <v>15.54</v>
          </cell>
          <cell r="C90">
            <v>19.41</v>
          </cell>
          <cell r="D90">
            <v>69959.58</v>
          </cell>
          <cell r="F90">
            <v>109.07176697666256</v>
          </cell>
          <cell r="G90">
            <v>105.54649265905383</v>
          </cell>
          <cell r="H90">
            <v>101.99912784098655</v>
          </cell>
        </row>
        <row r="91">
          <cell r="A91">
            <v>40268</v>
          </cell>
          <cell r="B91">
            <v>15.6</v>
          </cell>
          <cell r="C91">
            <v>19</v>
          </cell>
          <cell r="D91">
            <v>70371.539999999994</v>
          </cell>
          <cell r="F91">
            <v>109.49289349008598</v>
          </cell>
          <cell r="G91">
            <v>103.31702011963021</v>
          </cell>
          <cell r="H91">
            <v>102.5997540983965</v>
          </cell>
        </row>
        <row r="92">
          <cell r="A92">
            <v>40269</v>
          </cell>
          <cell r="B92">
            <v>15.15</v>
          </cell>
          <cell r="C92">
            <v>18.309999999999999</v>
          </cell>
          <cell r="D92">
            <v>71136.34</v>
          </cell>
          <cell r="F92">
            <v>106.33444463941042</v>
          </cell>
          <cell r="G92">
            <v>99.564980967917336</v>
          </cell>
          <cell r="H92">
            <v>103.71481129246179</v>
          </cell>
        </row>
        <row r="93">
          <cell r="A93">
            <v>40270</v>
          </cell>
          <cell r="B93">
            <v>15.15</v>
          </cell>
          <cell r="C93">
            <v>18.309999999999999</v>
          </cell>
          <cell r="D93">
            <v>71136.34</v>
          </cell>
          <cell r="F93">
            <v>106.33444463941042</v>
          </cell>
          <cell r="G93">
            <v>99.564980967917336</v>
          </cell>
          <cell r="H93">
            <v>103.71481129246179</v>
          </cell>
        </row>
        <row r="94">
          <cell r="A94">
            <v>40271</v>
          </cell>
          <cell r="B94">
            <v>15.15</v>
          </cell>
          <cell r="C94">
            <v>18.309999999999999</v>
          </cell>
          <cell r="D94">
            <v>71136.34</v>
          </cell>
          <cell r="F94">
            <v>106.33444463941042</v>
          </cell>
          <cell r="G94">
            <v>99.564980967917336</v>
          </cell>
          <cell r="H94">
            <v>103.71481129246179</v>
          </cell>
        </row>
        <row r="95">
          <cell r="A95">
            <v>40272</v>
          </cell>
          <cell r="B95">
            <v>15.15</v>
          </cell>
          <cell r="C95">
            <v>18.309999999999999</v>
          </cell>
          <cell r="D95">
            <v>71136.34</v>
          </cell>
          <cell r="F95">
            <v>106.33444463941042</v>
          </cell>
          <cell r="G95">
            <v>99.564980967917336</v>
          </cell>
          <cell r="H95">
            <v>103.71481129246179</v>
          </cell>
        </row>
        <row r="96">
          <cell r="A96">
            <v>40273</v>
          </cell>
          <cell r="B96">
            <v>14.83</v>
          </cell>
          <cell r="C96">
            <v>17.8</v>
          </cell>
          <cell r="D96">
            <v>71289.679999999993</v>
          </cell>
          <cell r="F96">
            <v>104.08843656781892</v>
          </cell>
          <cell r="G96">
            <v>96.791734638390423</v>
          </cell>
          <cell r="H96">
            <v>103.93837676073842</v>
          </cell>
        </row>
        <row r="97">
          <cell r="A97">
            <v>40274</v>
          </cell>
          <cell r="B97">
            <v>14.4</v>
          </cell>
          <cell r="C97">
            <v>17.399999999999999</v>
          </cell>
          <cell r="D97">
            <v>71095.649999999994</v>
          </cell>
          <cell r="F97">
            <v>101.07036322161782</v>
          </cell>
          <cell r="G97">
            <v>94.616639477977145</v>
          </cell>
          <cell r="H97">
            <v>103.65548640069071</v>
          </cell>
        </row>
        <row r="98">
          <cell r="A98">
            <v>40275</v>
          </cell>
          <cell r="B98">
            <v>14.8</v>
          </cell>
          <cell r="C98">
            <v>17.100000000000001</v>
          </cell>
          <cell r="D98">
            <v>70792.94</v>
          </cell>
          <cell r="F98">
            <v>103.87787331110721</v>
          </cell>
          <cell r="G98">
            <v>92.985318107667212</v>
          </cell>
          <cell r="H98">
            <v>103.21414361405958</v>
          </cell>
        </row>
        <row r="99">
          <cell r="A99">
            <v>40276</v>
          </cell>
          <cell r="B99">
            <v>15.15</v>
          </cell>
          <cell r="C99">
            <v>17.62</v>
          </cell>
          <cell r="D99">
            <v>71784.78</v>
          </cell>
          <cell r="F99">
            <v>106.33444463941042</v>
          </cell>
          <cell r="G99">
            <v>95.812941816204471</v>
          </cell>
          <cell r="H99">
            <v>104.66021883289028</v>
          </cell>
        </row>
        <row r="100">
          <cell r="A100">
            <v>40277</v>
          </cell>
          <cell r="B100">
            <v>15.25</v>
          </cell>
          <cell r="C100">
            <v>17.899999999999999</v>
          </cell>
          <cell r="D100">
            <v>71417.27</v>
          </cell>
          <cell r="F100">
            <v>107.03632216178276</v>
          </cell>
          <cell r="G100">
            <v>97.335508428493739</v>
          </cell>
          <cell r="H100">
            <v>104.12439944299628</v>
          </cell>
        </row>
        <row r="101">
          <cell r="A101">
            <v>40278</v>
          </cell>
          <cell r="B101">
            <v>15.25</v>
          </cell>
          <cell r="C101">
            <v>17.899999999999999</v>
          </cell>
          <cell r="D101">
            <v>71417.27</v>
          </cell>
          <cell r="F101">
            <v>107.03632216178276</v>
          </cell>
          <cell r="G101">
            <v>97.335508428493739</v>
          </cell>
          <cell r="H101">
            <v>104.12439944299628</v>
          </cell>
        </row>
        <row r="102">
          <cell r="A102">
            <v>40279</v>
          </cell>
          <cell r="B102">
            <v>15.25</v>
          </cell>
          <cell r="C102">
            <v>17.899999999999999</v>
          </cell>
          <cell r="D102">
            <v>71417.27</v>
          </cell>
          <cell r="F102">
            <v>107.03632216178276</v>
          </cell>
          <cell r="G102">
            <v>97.335508428493739</v>
          </cell>
          <cell r="H102">
            <v>104.12439944299628</v>
          </cell>
        </row>
        <row r="103">
          <cell r="A103">
            <v>40280</v>
          </cell>
          <cell r="B103">
            <v>15.11</v>
          </cell>
          <cell r="C103">
            <v>17.989999999999998</v>
          </cell>
          <cell r="D103">
            <v>70614.36</v>
          </cell>
          <cell r="F103">
            <v>106.05369363046148</v>
          </cell>
          <cell r="G103">
            <v>97.824904839586722</v>
          </cell>
          <cell r="H103">
            <v>102.95377892562314</v>
          </cell>
        </row>
        <row r="104">
          <cell r="A104">
            <v>40281</v>
          </cell>
          <cell r="B104">
            <v>14.8</v>
          </cell>
          <cell r="C104">
            <v>18.02</v>
          </cell>
          <cell r="D104">
            <v>70792.399999999994</v>
          </cell>
          <cell r="F104">
            <v>103.87787331110721</v>
          </cell>
          <cell r="G104">
            <v>97.988036976617721</v>
          </cell>
          <cell r="H104">
            <v>103.21335630903236</v>
          </cell>
        </row>
        <row r="105">
          <cell r="A105">
            <v>40282</v>
          </cell>
          <cell r="B105">
            <v>15.1</v>
          </cell>
          <cell r="C105">
            <v>18</v>
          </cell>
          <cell r="D105">
            <v>71034.850000000006</v>
          </cell>
          <cell r="F105">
            <v>105.98350587822425</v>
          </cell>
          <cell r="G105">
            <v>97.879282218597069</v>
          </cell>
          <cell r="H105">
            <v>103.56684168651817</v>
          </cell>
        </row>
        <row r="106">
          <cell r="A106">
            <v>40283</v>
          </cell>
          <cell r="B106">
            <v>15.33</v>
          </cell>
          <cell r="C106">
            <v>17.8</v>
          </cell>
          <cell r="D106">
            <v>70524.350000000006</v>
          </cell>
          <cell r="F106">
            <v>107.59782417968064</v>
          </cell>
          <cell r="G106">
            <v>96.791734638390423</v>
          </cell>
          <cell r="H106">
            <v>102.82254684136869</v>
          </cell>
        </row>
        <row r="107">
          <cell r="A107">
            <v>40284</v>
          </cell>
          <cell r="B107">
            <v>15.3</v>
          </cell>
          <cell r="C107">
            <v>17.8</v>
          </cell>
          <cell r="D107">
            <v>69421.350000000006</v>
          </cell>
          <cell r="F107">
            <v>107.38726092296895</v>
          </cell>
          <cell r="G107">
            <v>96.791734638390423</v>
          </cell>
          <cell r="H107">
            <v>101.21440342471854</v>
          </cell>
        </row>
        <row r="108">
          <cell r="A108">
            <v>40285</v>
          </cell>
          <cell r="B108">
            <v>15.3</v>
          </cell>
          <cell r="C108">
            <v>17.8</v>
          </cell>
          <cell r="D108">
            <v>69421.350000000006</v>
          </cell>
          <cell r="F108">
            <v>107.38726092296895</v>
          </cell>
          <cell r="G108">
            <v>96.791734638390423</v>
          </cell>
          <cell r="H108">
            <v>101.21440342471854</v>
          </cell>
        </row>
        <row r="109">
          <cell r="A109">
            <v>40286</v>
          </cell>
          <cell r="B109">
            <v>15.3</v>
          </cell>
          <cell r="C109">
            <v>17.8</v>
          </cell>
          <cell r="D109">
            <v>69421.350000000006</v>
          </cell>
          <cell r="F109">
            <v>107.38726092296895</v>
          </cell>
          <cell r="G109">
            <v>96.791734638390423</v>
          </cell>
          <cell r="H109">
            <v>101.21440342471854</v>
          </cell>
        </row>
        <row r="110">
          <cell r="A110">
            <v>40287</v>
          </cell>
          <cell r="B110">
            <v>15.2</v>
          </cell>
          <cell r="C110">
            <v>17.7</v>
          </cell>
          <cell r="D110">
            <v>69097.58</v>
          </cell>
          <cell r="F110">
            <v>106.68538340059659</v>
          </cell>
          <cell r="G110">
            <v>96.247960848287107</v>
          </cell>
          <cell r="H110">
            <v>100.74235574202697</v>
          </cell>
        </row>
        <row r="111">
          <cell r="A111">
            <v>40288</v>
          </cell>
          <cell r="B111">
            <v>15.2</v>
          </cell>
          <cell r="C111">
            <v>18</v>
          </cell>
          <cell r="D111">
            <v>69318.44</v>
          </cell>
          <cell r="F111">
            <v>106.68538340059659</v>
          </cell>
          <cell r="G111">
            <v>97.879282218597069</v>
          </cell>
          <cell r="H111">
            <v>101.06436349814787</v>
          </cell>
        </row>
        <row r="112">
          <cell r="A112">
            <v>40289</v>
          </cell>
          <cell r="B112">
            <v>15.2</v>
          </cell>
          <cell r="C112">
            <v>18</v>
          </cell>
          <cell r="D112">
            <v>69318.44</v>
          </cell>
          <cell r="F112">
            <v>106.68538340059659</v>
          </cell>
          <cell r="G112">
            <v>97.879282218597069</v>
          </cell>
          <cell r="H112">
            <v>101.06436349814787</v>
          </cell>
        </row>
        <row r="113">
          <cell r="A113">
            <v>40290</v>
          </cell>
          <cell r="B113">
            <v>15.05</v>
          </cell>
          <cell r="C113">
            <v>17.899999999999999</v>
          </cell>
          <cell r="D113">
            <v>69386.41</v>
          </cell>
          <cell r="F113">
            <v>105.63256711703808</v>
          </cell>
          <cell r="G113">
            <v>97.335508428493739</v>
          </cell>
          <cell r="H113">
            <v>101.16346187351479</v>
          </cell>
        </row>
        <row r="114">
          <cell r="A114">
            <v>40291</v>
          </cell>
          <cell r="B114">
            <v>15.15</v>
          </cell>
          <cell r="C114">
            <v>18</v>
          </cell>
          <cell r="D114">
            <v>69509.490000000005</v>
          </cell>
          <cell r="F114">
            <v>106.33444463941042</v>
          </cell>
          <cell r="G114">
            <v>97.879282218597069</v>
          </cell>
          <cell r="H114">
            <v>101.34290910082331</v>
          </cell>
        </row>
        <row r="115">
          <cell r="A115">
            <v>40292</v>
          </cell>
          <cell r="B115">
            <v>15.15</v>
          </cell>
          <cell r="C115">
            <v>18</v>
          </cell>
          <cell r="D115">
            <v>69509.490000000005</v>
          </cell>
          <cell r="F115">
            <v>106.33444463941042</v>
          </cell>
          <cell r="G115">
            <v>97.879282218597069</v>
          </cell>
          <cell r="H115">
            <v>101.34290910082331</v>
          </cell>
        </row>
        <row r="116">
          <cell r="A116">
            <v>40293</v>
          </cell>
          <cell r="B116">
            <v>15.15</v>
          </cell>
          <cell r="C116">
            <v>18</v>
          </cell>
          <cell r="D116">
            <v>69509.490000000005</v>
          </cell>
          <cell r="F116">
            <v>106.33444463941042</v>
          </cell>
          <cell r="G116">
            <v>97.879282218597069</v>
          </cell>
          <cell r="H116">
            <v>101.34290910082331</v>
          </cell>
        </row>
        <row r="117">
          <cell r="A117">
            <v>40294</v>
          </cell>
          <cell r="B117">
            <v>14.9</v>
          </cell>
          <cell r="C117">
            <v>18.010000000000002</v>
          </cell>
          <cell r="D117">
            <v>68871.94</v>
          </cell>
          <cell r="F117">
            <v>104.57975083347955</v>
          </cell>
          <cell r="G117">
            <v>97.933659597607402</v>
          </cell>
          <cell r="H117">
            <v>100.41337887844317</v>
          </cell>
        </row>
        <row r="118">
          <cell r="A118">
            <v>40295</v>
          </cell>
          <cell r="B118">
            <v>14.9</v>
          </cell>
          <cell r="C118">
            <v>17.5</v>
          </cell>
          <cell r="D118">
            <v>66511.100000000006</v>
          </cell>
          <cell r="F118">
            <v>104.57975083347955</v>
          </cell>
          <cell r="G118">
            <v>95.160413268080475</v>
          </cell>
          <cell r="H118">
            <v>96.971339618457407</v>
          </cell>
        </row>
        <row r="119">
          <cell r="A119">
            <v>40296</v>
          </cell>
          <cell r="B119">
            <v>14.9</v>
          </cell>
          <cell r="C119">
            <v>17.5</v>
          </cell>
          <cell r="D119">
            <v>66655.710000000006</v>
          </cell>
          <cell r="F119">
            <v>104.57975083347955</v>
          </cell>
          <cell r="G119">
            <v>95.160413268080475</v>
          </cell>
          <cell r="H119">
            <v>97.182176988794467</v>
          </cell>
        </row>
        <row r="120">
          <cell r="A120">
            <v>40297</v>
          </cell>
          <cell r="B120">
            <v>15.02</v>
          </cell>
          <cell r="C120">
            <v>17.7</v>
          </cell>
          <cell r="D120">
            <v>67978.05</v>
          </cell>
          <cell r="F120">
            <v>105.42200386032636</v>
          </cell>
          <cell r="G120">
            <v>96.247960848287107</v>
          </cell>
          <cell r="H120">
            <v>99.110112043711169</v>
          </cell>
        </row>
        <row r="121">
          <cell r="A121">
            <v>40298</v>
          </cell>
          <cell r="B121">
            <v>15.1</v>
          </cell>
          <cell r="C121">
            <v>17.73</v>
          </cell>
          <cell r="D121">
            <v>67529.73</v>
          </cell>
          <cell r="F121">
            <v>105.98350587822425</v>
          </cell>
          <cell r="G121">
            <v>96.411092985318106</v>
          </cell>
          <cell r="H121">
            <v>98.456473914470379</v>
          </cell>
        </row>
        <row r="122">
          <cell r="A122">
            <v>40299</v>
          </cell>
          <cell r="B122">
            <v>15.1</v>
          </cell>
          <cell r="C122">
            <v>17.73</v>
          </cell>
          <cell r="D122">
            <v>67529.73</v>
          </cell>
          <cell r="F122">
            <v>105.98350587822425</v>
          </cell>
          <cell r="G122">
            <v>96.411092985318106</v>
          </cell>
          <cell r="H122">
            <v>98.456473914470379</v>
          </cell>
        </row>
        <row r="123">
          <cell r="A123">
            <v>40300</v>
          </cell>
          <cell r="B123">
            <v>15.1</v>
          </cell>
          <cell r="C123">
            <v>17.73</v>
          </cell>
          <cell r="D123">
            <v>67529.73</v>
          </cell>
          <cell r="F123">
            <v>105.98350587822425</v>
          </cell>
          <cell r="G123">
            <v>96.411092985318106</v>
          </cell>
          <cell r="H123">
            <v>98.456473914470379</v>
          </cell>
        </row>
        <row r="124">
          <cell r="A124">
            <v>40301</v>
          </cell>
          <cell r="B124">
            <v>15.35</v>
          </cell>
          <cell r="C124">
            <v>18.170000000000002</v>
          </cell>
          <cell r="D124">
            <v>67119.41</v>
          </cell>
          <cell r="F124">
            <v>107.73819968415511</v>
          </cell>
          <cell r="G124">
            <v>98.803697661772702</v>
          </cell>
          <cell r="H124">
            <v>97.858238731587448</v>
          </cell>
        </row>
        <row r="125">
          <cell r="A125">
            <v>40302</v>
          </cell>
          <cell r="B125">
            <v>15.2</v>
          </cell>
          <cell r="C125">
            <v>17.8</v>
          </cell>
          <cell r="D125">
            <v>64869.32</v>
          </cell>
          <cell r="F125">
            <v>106.68538340059659</v>
          </cell>
          <cell r="G125">
            <v>96.791734638390423</v>
          </cell>
          <cell r="H125">
            <v>94.577669900789346</v>
          </cell>
        </row>
        <row r="126">
          <cell r="A126">
            <v>40303</v>
          </cell>
          <cell r="B126">
            <v>15.19</v>
          </cell>
          <cell r="C126">
            <v>17.600000000000001</v>
          </cell>
          <cell r="D126">
            <v>64914.17</v>
          </cell>
          <cell r="F126">
            <v>106.61519564835935</v>
          </cell>
          <cell r="G126">
            <v>95.704187058183805</v>
          </cell>
          <cell r="H126">
            <v>94.643059957214334</v>
          </cell>
        </row>
        <row r="127">
          <cell r="A127">
            <v>40304</v>
          </cell>
          <cell r="B127">
            <v>15</v>
          </cell>
          <cell r="C127">
            <v>17.2</v>
          </cell>
          <cell r="D127">
            <v>63414.22</v>
          </cell>
          <cell r="F127">
            <v>105.28162835585191</v>
          </cell>
          <cell r="G127">
            <v>93.529091897770527</v>
          </cell>
          <cell r="H127">
            <v>92.456174446965605</v>
          </cell>
        </row>
        <row r="128">
          <cell r="A128">
            <v>40305</v>
          </cell>
          <cell r="B128">
            <v>14.72</v>
          </cell>
          <cell r="C128">
            <v>16.96</v>
          </cell>
          <cell r="D128">
            <v>62870.879999999997</v>
          </cell>
          <cell r="F128">
            <v>103.31637129320934</v>
          </cell>
          <cell r="G128">
            <v>92.224034801522563</v>
          </cell>
          <cell r="H128">
            <v>91.663999792384743</v>
          </cell>
        </row>
        <row r="129">
          <cell r="A129">
            <v>40306</v>
          </cell>
          <cell r="B129">
            <v>14.72</v>
          </cell>
          <cell r="C129">
            <v>16.96</v>
          </cell>
          <cell r="D129">
            <v>62870.879999999997</v>
          </cell>
          <cell r="F129">
            <v>103.31637129320934</v>
          </cell>
          <cell r="G129">
            <v>92.224034801522563</v>
          </cell>
          <cell r="H129">
            <v>91.663999792384743</v>
          </cell>
        </row>
        <row r="130">
          <cell r="A130">
            <v>40307</v>
          </cell>
          <cell r="B130">
            <v>14.72</v>
          </cell>
          <cell r="C130">
            <v>16.96</v>
          </cell>
          <cell r="D130">
            <v>62870.879999999997</v>
          </cell>
          <cell r="F130">
            <v>103.31637129320934</v>
          </cell>
          <cell r="G130">
            <v>92.224034801522563</v>
          </cell>
          <cell r="H130">
            <v>91.663999792384743</v>
          </cell>
        </row>
        <row r="131">
          <cell r="A131">
            <v>40308</v>
          </cell>
          <cell r="B131">
            <v>15.28</v>
          </cell>
          <cell r="C131">
            <v>16.86</v>
          </cell>
          <cell r="D131">
            <v>65452.68</v>
          </cell>
          <cell r="F131">
            <v>107.24688541849447</v>
          </cell>
          <cell r="G131">
            <v>91.680261011419233</v>
          </cell>
          <cell r="H131">
            <v>95.42819260571865</v>
          </cell>
        </row>
        <row r="132">
          <cell r="A132">
            <v>40309</v>
          </cell>
          <cell r="B132">
            <v>15.29</v>
          </cell>
          <cell r="C132">
            <v>16.95</v>
          </cell>
          <cell r="D132">
            <v>64424.89</v>
          </cell>
          <cell r="F132">
            <v>107.31707317073169</v>
          </cell>
          <cell r="G132">
            <v>92.16965742251223</v>
          </cell>
          <cell r="H132">
            <v>93.92970328368888</v>
          </cell>
        </row>
        <row r="133">
          <cell r="A133">
            <v>40310</v>
          </cell>
          <cell r="B133">
            <v>15.3</v>
          </cell>
          <cell r="C133">
            <v>17.16</v>
          </cell>
          <cell r="D133">
            <v>65223.63</v>
          </cell>
          <cell r="F133">
            <v>107.38726092296895</v>
          </cell>
          <cell r="G133">
            <v>93.311582381729195</v>
          </cell>
          <cell r="H133">
            <v>95.094244056685369</v>
          </cell>
        </row>
        <row r="134">
          <cell r="A134">
            <v>40311</v>
          </cell>
          <cell r="B134">
            <v>15.33</v>
          </cell>
          <cell r="C134">
            <v>17.7</v>
          </cell>
          <cell r="D134">
            <v>64788.22</v>
          </cell>
          <cell r="F134">
            <v>107.59782417968064</v>
          </cell>
          <cell r="G134">
            <v>96.247960848287107</v>
          </cell>
          <cell r="H134">
            <v>94.459428349483531</v>
          </cell>
        </row>
        <row r="135">
          <cell r="A135">
            <v>40312</v>
          </cell>
          <cell r="B135">
            <v>15.2</v>
          </cell>
          <cell r="C135">
            <v>17.5</v>
          </cell>
          <cell r="D135">
            <v>63412.47</v>
          </cell>
          <cell r="F135">
            <v>106.68538340059659</v>
          </cell>
          <cell r="G135">
            <v>95.160413268080475</v>
          </cell>
          <cell r="H135">
            <v>92.453622995488587</v>
          </cell>
        </row>
        <row r="136">
          <cell r="A136">
            <v>40313</v>
          </cell>
          <cell r="B136">
            <v>15.2</v>
          </cell>
          <cell r="C136">
            <v>17.5</v>
          </cell>
          <cell r="D136">
            <v>63412.47</v>
          </cell>
          <cell r="F136">
            <v>106.68538340059659</v>
          </cell>
          <cell r="G136">
            <v>95.160413268080475</v>
          </cell>
          <cell r="H136">
            <v>92.453622995488587</v>
          </cell>
        </row>
        <row r="137">
          <cell r="A137">
            <v>40314</v>
          </cell>
          <cell r="B137">
            <v>15.2</v>
          </cell>
          <cell r="C137">
            <v>17.5</v>
          </cell>
          <cell r="D137">
            <v>63412.47</v>
          </cell>
          <cell r="F137">
            <v>106.68538340059659</v>
          </cell>
          <cell r="G137">
            <v>95.160413268080475</v>
          </cell>
          <cell r="H137">
            <v>92.453622995488587</v>
          </cell>
        </row>
        <row r="138">
          <cell r="A138">
            <v>40315</v>
          </cell>
          <cell r="B138">
            <v>15.29</v>
          </cell>
          <cell r="C138">
            <v>17.25</v>
          </cell>
          <cell r="D138">
            <v>62866.26</v>
          </cell>
          <cell r="F138">
            <v>107.31707317073169</v>
          </cell>
          <cell r="G138">
            <v>93.800978792822193</v>
          </cell>
          <cell r="H138">
            <v>91.657263960485452</v>
          </cell>
        </row>
        <row r="139">
          <cell r="A139">
            <v>40316</v>
          </cell>
          <cell r="B139">
            <v>15.39</v>
          </cell>
          <cell r="C139">
            <v>17.100000000000001</v>
          </cell>
          <cell r="D139">
            <v>60841.08</v>
          </cell>
          <cell r="F139">
            <v>108.01895069310406</v>
          </cell>
          <cell r="G139">
            <v>92.985318107667212</v>
          </cell>
          <cell r="H139">
            <v>88.704607673512186</v>
          </cell>
        </row>
        <row r="140">
          <cell r="A140">
            <v>40317</v>
          </cell>
          <cell r="B140">
            <v>14.8</v>
          </cell>
          <cell r="C140">
            <v>17</v>
          </cell>
          <cell r="D140">
            <v>59689.32</v>
          </cell>
          <cell r="F140">
            <v>103.87787331110721</v>
          </cell>
          <cell r="G140">
            <v>92.441544317563896</v>
          </cell>
          <cell r="H140">
            <v>87.025373528851304</v>
          </cell>
        </row>
        <row r="141">
          <cell r="A141">
            <v>40318</v>
          </cell>
          <cell r="B141">
            <v>14</v>
          </cell>
          <cell r="C141">
            <v>16.7</v>
          </cell>
          <cell r="D141">
            <v>58192.08</v>
          </cell>
          <cell r="F141">
            <v>98.262853132128441</v>
          </cell>
          <cell r="G141">
            <v>90.810222947253934</v>
          </cell>
          <cell r="H141">
            <v>84.842439123461233</v>
          </cell>
        </row>
        <row r="142">
          <cell r="A142">
            <v>40319</v>
          </cell>
          <cell r="B142">
            <v>14.95</v>
          </cell>
          <cell r="C142">
            <v>16.600000000000001</v>
          </cell>
          <cell r="D142">
            <v>60259.33</v>
          </cell>
          <cell r="F142">
            <v>104.93068959466572</v>
          </cell>
          <cell r="G142">
            <v>90.266449157150632</v>
          </cell>
          <cell r="H142">
            <v>87.856432303941716</v>
          </cell>
        </row>
        <row r="143">
          <cell r="A143">
            <v>40320</v>
          </cell>
          <cell r="B143">
            <v>14.95</v>
          </cell>
          <cell r="C143">
            <v>16.600000000000001</v>
          </cell>
          <cell r="D143">
            <v>60259.33</v>
          </cell>
          <cell r="F143">
            <v>104.93068959466572</v>
          </cell>
          <cell r="G143">
            <v>90.266449157150632</v>
          </cell>
          <cell r="H143">
            <v>87.856432303941716</v>
          </cell>
        </row>
        <row r="144">
          <cell r="A144">
            <v>40321</v>
          </cell>
          <cell r="B144">
            <v>14.95</v>
          </cell>
          <cell r="C144">
            <v>16.600000000000001</v>
          </cell>
          <cell r="D144">
            <v>60259.33</v>
          </cell>
          <cell r="F144">
            <v>104.93068959466572</v>
          </cell>
          <cell r="G144">
            <v>90.266449157150632</v>
          </cell>
          <cell r="H144">
            <v>87.856432303941716</v>
          </cell>
        </row>
        <row r="145">
          <cell r="A145">
            <v>40322</v>
          </cell>
          <cell r="B145">
            <v>15.1</v>
          </cell>
          <cell r="C145">
            <v>16.52</v>
          </cell>
          <cell r="D145">
            <v>59915.14</v>
          </cell>
          <cell r="F145">
            <v>105.98350587822425</v>
          </cell>
          <cell r="G145">
            <v>89.831430125067968</v>
          </cell>
          <cell r="H145">
            <v>87.354612827444171</v>
          </cell>
        </row>
        <row r="146">
          <cell r="A146">
            <v>40323</v>
          </cell>
          <cell r="B146">
            <v>14.89</v>
          </cell>
          <cell r="C146">
            <v>16.5</v>
          </cell>
          <cell r="D146">
            <v>59184.08</v>
          </cell>
          <cell r="F146">
            <v>104.50956308124233</v>
          </cell>
          <cell r="G146">
            <v>89.722675367047316</v>
          </cell>
          <cell r="H146">
            <v>86.288747617855549</v>
          </cell>
        </row>
        <row r="147">
          <cell r="A147">
            <v>40324</v>
          </cell>
          <cell r="B147">
            <v>14.86</v>
          </cell>
          <cell r="C147">
            <v>17</v>
          </cell>
          <cell r="D147">
            <v>60190.36</v>
          </cell>
          <cell r="F147">
            <v>104.29899982453061</v>
          </cell>
          <cell r="G147">
            <v>92.441544317563896</v>
          </cell>
          <cell r="H147">
            <v>87.755875956302233</v>
          </cell>
        </row>
        <row r="148">
          <cell r="A148">
            <v>40325</v>
          </cell>
          <cell r="B148">
            <v>15.1</v>
          </cell>
          <cell r="C148">
            <v>17.149999999999999</v>
          </cell>
          <cell r="D148">
            <v>62091.77</v>
          </cell>
          <cell r="F148">
            <v>105.98350587822425</v>
          </cell>
          <cell r="G148">
            <v>93.257205002718862</v>
          </cell>
          <cell r="H148">
            <v>90.528079015098896</v>
          </cell>
        </row>
        <row r="149">
          <cell r="A149">
            <v>40326</v>
          </cell>
          <cell r="B149">
            <v>14.97</v>
          </cell>
          <cell r="C149">
            <v>17.829999999999998</v>
          </cell>
          <cell r="D149">
            <v>61946.99</v>
          </cell>
          <cell r="F149">
            <v>105.0710650991402</v>
          </cell>
          <cell r="G149">
            <v>96.954866775421408</v>
          </cell>
          <cell r="H149">
            <v>90.316993789475504</v>
          </cell>
        </row>
        <row r="150">
          <cell r="A150">
            <v>40327</v>
          </cell>
          <cell r="B150">
            <v>14.97</v>
          </cell>
          <cell r="C150">
            <v>17.829999999999998</v>
          </cell>
          <cell r="D150">
            <v>61946.99</v>
          </cell>
          <cell r="F150">
            <v>105.0710650991402</v>
          </cell>
          <cell r="G150">
            <v>96.954866775421408</v>
          </cell>
          <cell r="H150">
            <v>90.316993789475504</v>
          </cell>
        </row>
        <row r="151">
          <cell r="A151">
            <v>40328</v>
          </cell>
          <cell r="B151">
            <v>14.97</v>
          </cell>
          <cell r="C151">
            <v>17.829999999999998</v>
          </cell>
          <cell r="D151">
            <v>61946.99</v>
          </cell>
          <cell r="F151">
            <v>105.0710650991402</v>
          </cell>
          <cell r="G151">
            <v>96.954866775421408</v>
          </cell>
          <cell r="H151">
            <v>90.316993789475504</v>
          </cell>
        </row>
        <row r="152">
          <cell r="A152">
            <v>40329</v>
          </cell>
          <cell r="B152">
            <v>14.97</v>
          </cell>
          <cell r="C152">
            <v>17.829999999999998</v>
          </cell>
          <cell r="D152">
            <v>61946.99</v>
          </cell>
          <cell r="F152">
            <v>105.0710650991402</v>
          </cell>
          <cell r="G152">
            <v>96.954866775421408</v>
          </cell>
          <cell r="H152">
            <v>90.316993789475504</v>
          </cell>
        </row>
        <row r="153">
          <cell r="A153">
            <v>40330</v>
          </cell>
          <cell r="B153">
            <v>14.8</v>
          </cell>
          <cell r="C153">
            <v>17.510000000000002</v>
          </cell>
          <cell r="D153">
            <v>61840.99</v>
          </cell>
          <cell r="F153">
            <v>103.87787331110721</v>
          </cell>
          <cell r="G153">
            <v>95.214790647090823</v>
          </cell>
          <cell r="H153">
            <v>90.162448728582561</v>
          </cell>
        </row>
        <row r="154">
          <cell r="A154">
            <v>40331</v>
          </cell>
          <cell r="B154">
            <v>15.35</v>
          </cell>
          <cell r="C154">
            <v>17.600000000000001</v>
          </cell>
          <cell r="D154">
            <v>62942.91</v>
          </cell>
          <cell r="F154">
            <v>107.73819968415511</v>
          </cell>
          <cell r="G154">
            <v>95.704187058183805</v>
          </cell>
          <cell r="H154">
            <v>91.769017535178321</v>
          </cell>
        </row>
        <row r="155">
          <cell r="A155">
            <v>40332</v>
          </cell>
          <cell r="B155">
            <v>15.35</v>
          </cell>
          <cell r="C155">
            <v>17.600000000000001</v>
          </cell>
          <cell r="D155">
            <v>62942.91</v>
          </cell>
          <cell r="F155">
            <v>107.73819968415511</v>
          </cell>
          <cell r="G155">
            <v>95.704187058183805</v>
          </cell>
          <cell r="H155">
            <v>91.769017535178321</v>
          </cell>
        </row>
        <row r="156">
          <cell r="A156">
            <v>40333</v>
          </cell>
          <cell r="B156">
            <v>15.4</v>
          </cell>
          <cell r="C156">
            <v>17.95</v>
          </cell>
          <cell r="D156">
            <v>61675.75</v>
          </cell>
          <cell r="F156">
            <v>108.08913844534129</v>
          </cell>
          <cell r="G156">
            <v>97.607395323545404</v>
          </cell>
          <cell r="H156">
            <v>89.921533390262283</v>
          </cell>
        </row>
        <row r="157">
          <cell r="A157">
            <v>40334</v>
          </cell>
          <cell r="B157">
            <v>15.4</v>
          </cell>
          <cell r="C157">
            <v>17.95</v>
          </cell>
          <cell r="D157">
            <v>61675.75</v>
          </cell>
          <cell r="F157">
            <v>108.08913844534129</v>
          </cell>
          <cell r="G157">
            <v>97.607395323545404</v>
          </cell>
          <cell r="H157">
            <v>89.921533390262283</v>
          </cell>
        </row>
        <row r="158">
          <cell r="A158">
            <v>40335</v>
          </cell>
          <cell r="B158">
            <v>15.4</v>
          </cell>
          <cell r="C158">
            <v>17.95</v>
          </cell>
          <cell r="D158">
            <v>61675.75</v>
          </cell>
          <cell r="F158">
            <v>108.08913844534129</v>
          </cell>
          <cell r="G158">
            <v>97.607395323545404</v>
          </cell>
          <cell r="H158">
            <v>89.921533390262283</v>
          </cell>
        </row>
        <row r="159">
          <cell r="A159">
            <v>40336</v>
          </cell>
          <cell r="B159">
            <v>15</v>
          </cell>
          <cell r="C159">
            <v>18.399999999999999</v>
          </cell>
          <cell r="D159">
            <v>61182.92</v>
          </cell>
          <cell r="F159">
            <v>105.28162835585191</v>
          </cell>
          <cell r="G159">
            <v>100.05437737901033</v>
          </cell>
          <cell r="H159">
            <v>89.203000915169184</v>
          </cell>
        </row>
        <row r="160">
          <cell r="A160">
            <v>40337</v>
          </cell>
          <cell r="B160">
            <v>14.56</v>
          </cell>
          <cell r="C160">
            <v>19</v>
          </cell>
          <cell r="D160">
            <v>61793</v>
          </cell>
          <cell r="F160">
            <v>102.1933672574136</v>
          </cell>
          <cell r="G160">
            <v>103.31702011963021</v>
          </cell>
          <cell r="H160">
            <v>90.092480639221691</v>
          </cell>
        </row>
        <row r="161">
          <cell r="A161">
            <v>40338</v>
          </cell>
          <cell r="B161">
            <v>14.48</v>
          </cell>
          <cell r="C161">
            <v>18.25</v>
          </cell>
          <cell r="D161">
            <v>61478.61</v>
          </cell>
          <cell r="F161">
            <v>101.6318652395157</v>
          </cell>
          <cell r="G161">
            <v>99.238716693855352</v>
          </cell>
          <cell r="H161">
            <v>89.634108736446876</v>
          </cell>
        </row>
        <row r="162">
          <cell r="A162">
            <v>40339</v>
          </cell>
          <cell r="B162">
            <v>14.36</v>
          </cell>
          <cell r="C162">
            <v>18.649999999999999</v>
          </cell>
          <cell r="D162">
            <v>63048.800000000003</v>
          </cell>
          <cell r="F162">
            <v>100.78961221266889</v>
          </cell>
          <cell r="G162">
            <v>101.41381185426862</v>
          </cell>
          <cell r="H162">
            <v>91.923402219121272</v>
          </cell>
        </row>
        <row r="163">
          <cell r="A163">
            <v>40340</v>
          </cell>
          <cell r="B163">
            <v>14.6</v>
          </cell>
          <cell r="C163">
            <v>18.5</v>
          </cell>
          <cell r="D163">
            <v>63605.38</v>
          </cell>
          <cell r="F163">
            <v>102.47411826636252</v>
          </cell>
          <cell r="G163">
            <v>100.59815116911363</v>
          </cell>
          <cell r="H163">
            <v>92.734880426591019</v>
          </cell>
        </row>
        <row r="164">
          <cell r="A164">
            <v>40341</v>
          </cell>
          <cell r="B164">
            <v>14.6</v>
          </cell>
          <cell r="C164">
            <v>18.5</v>
          </cell>
          <cell r="D164">
            <v>63605.38</v>
          </cell>
          <cell r="F164">
            <v>102.47411826636252</v>
          </cell>
          <cell r="G164">
            <v>100.59815116911363</v>
          </cell>
          <cell r="H164">
            <v>92.734880426591019</v>
          </cell>
        </row>
        <row r="165">
          <cell r="A165">
            <v>40342</v>
          </cell>
          <cell r="B165">
            <v>14.6</v>
          </cell>
          <cell r="C165">
            <v>18.5</v>
          </cell>
          <cell r="D165">
            <v>63605.38</v>
          </cell>
          <cell r="F165">
            <v>102.47411826636252</v>
          </cell>
          <cell r="G165">
            <v>100.59815116911363</v>
          </cell>
          <cell r="H165">
            <v>92.734880426591019</v>
          </cell>
        </row>
        <row r="166">
          <cell r="A166">
            <v>40343</v>
          </cell>
          <cell r="B166">
            <v>14.7</v>
          </cell>
          <cell r="C166">
            <v>18.2</v>
          </cell>
          <cell r="D166">
            <v>63532.85</v>
          </cell>
          <cell r="F166">
            <v>103.17599578873487</v>
          </cell>
          <cell r="G166">
            <v>98.966829798803687</v>
          </cell>
          <cell r="H166">
            <v>92.62913369766116</v>
          </cell>
        </row>
        <row r="167">
          <cell r="A167">
            <v>40344</v>
          </cell>
          <cell r="B167">
            <v>14.95</v>
          </cell>
          <cell r="C167">
            <v>18.27</v>
          </cell>
          <cell r="D167">
            <v>64442.27</v>
          </cell>
          <cell r="F167">
            <v>104.93068959466572</v>
          </cell>
          <cell r="G167">
            <v>99.347471451876018</v>
          </cell>
          <cell r="H167">
            <v>93.955042841786224</v>
          </cell>
        </row>
        <row r="168">
          <cell r="A168">
            <v>40345</v>
          </cell>
          <cell r="B168">
            <v>15.2</v>
          </cell>
          <cell r="C168">
            <v>18.100000000000001</v>
          </cell>
          <cell r="D168">
            <v>64750.71</v>
          </cell>
          <cell r="F168">
            <v>106.68538340059659</v>
          </cell>
          <cell r="G168">
            <v>98.423056008700385</v>
          </cell>
          <cell r="H168">
            <v>94.404739809539237</v>
          </cell>
        </row>
        <row r="169">
          <cell r="A169">
            <v>40346</v>
          </cell>
          <cell r="B169">
            <v>15.36</v>
          </cell>
          <cell r="C169">
            <v>18.3</v>
          </cell>
          <cell r="D169">
            <v>64540.91</v>
          </cell>
          <cell r="F169">
            <v>107.80838743639234</v>
          </cell>
          <cell r="G169">
            <v>99.510603588907017</v>
          </cell>
          <cell r="H169">
            <v>94.098857226753026</v>
          </cell>
        </row>
        <row r="170">
          <cell r="A170">
            <v>40347</v>
          </cell>
          <cell r="B170">
            <v>15.6</v>
          </cell>
          <cell r="C170">
            <v>18.36</v>
          </cell>
          <cell r="D170">
            <v>64437.58</v>
          </cell>
          <cell r="F170">
            <v>109.49289349008598</v>
          </cell>
          <cell r="G170">
            <v>99.836867862969001</v>
          </cell>
          <cell r="H170">
            <v>93.948204951827861</v>
          </cell>
        </row>
        <row r="171">
          <cell r="A171">
            <v>40348</v>
          </cell>
          <cell r="B171">
            <v>15.6</v>
          </cell>
          <cell r="C171">
            <v>18.36</v>
          </cell>
          <cell r="D171">
            <v>64437.58</v>
          </cell>
          <cell r="F171">
            <v>109.49289349008598</v>
          </cell>
          <cell r="G171">
            <v>99.836867862969001</v>
          </cell>
          <cell r="H171">
            <v>93.948204951827861</v>
          </cell>
        </row>
        <row r="172">
          <cell r="A172">
            <v>40349</v>
          </cell>
          <cell r="B172">
            <v>15.6</v>
          </cell>
          <cell r="C172">
            <v>18.36</v>
          </cell>
          <cell r="D172">
            <v>64437.58</v>
          </cell>
          <cell r="F172">
            <v>109.49289349008598</v>
          </cell>
          <cell r="G172">
            <v>99.836867862969001</v>
          </cell>
          <cell r="H172">
            <v>93.948204951827861</v>
          </cell>
        </row>
        <row r="173">
          <cell r="A173">
            <v>40350</v>
          </cell>
          <cell r="B173">
            <v>15.55</v>
          </cell>
          <cell r="C173">
            <v>18.5</v>
          </cell>
          <cell r="D173">
            <v>64829.03</v>
          </cell>
          <cell r="F173">
            <v>109.1419547288998</v>
          </cell>
          <cell r="G173">
            <v>100.59815116911363</v>
          </cell>
          <cell r="H173">
            <v>94.518928197927309</v>
          </cell>
        </row>
        <row r="174">
          <cell r="A174">
            <v>40351</v>
          </cell>
          <cell r="B174">
            <v>16.04</v>
          </cell>
          <cell r="C174">
            <v>18.8</v>
          </cell>
          <cell r="D174">
            <v>64810.62</v>
          </cell>
          <cell r="F174">
            <v>112.58115458852429</v>
          </cell>
          <cell r="G174">
            <v>102.22947253942361</v>
          </cell>
          <cell r="H174">
            <v>94.492086928389213</v>
          </cell>
        </row>
        <row r="175">
          <cell r="A175">
            <v>40352</v>
          </cell>
          <cell r="B175">
            <v>15.64</v>
          </cell>
          <cell r="C175">
            <v>19.010000000000002</v>
          </cell>
          <cell r="D175">
            <v>65160.33</v>
          </cell>
          <cell r="F175">
            <v>109.77364449903493</v>
          </cell>
          <cell r="G175">
            <v>103.37139749864058</v>
          </cell>
          <cell r="H175">
            <v>95.001954411831377</v>
          </cell>
        </row>
        <row r="176">
          <cell r="A176">
            <v>40353</v>
          </cell>
          <cell r="B176">
            <v>15.9</v>
          </cell>
          <cell r="C176">
            <v>19</v>
          </cell>
          <cell r="D176">
            <v>63936.7</v>
          </cell>
          <cell r="F176">
            <v>111.59852605720302</v>
          </cell>
          <cell r="G176">
            <v>103.31702011963021</v>
          </cell>
          <cell r="H176">
            <v>93.217935799940534</v>
          </cell>
        </row>
        <row r="177">
          <cell r="A177">
            <v>40354</v>
          </cell>
          <cell r="B177">
            <v>16.25</v>
          </cell>
          <cell r="C177">
            <v>19.2</v>
          </cell>
          <cell r="D177">
            <v>64823.83</v>
          </cell>
          <cell r="F177">
            <v>114.05509738550623</v>
          </cell>
          <cell r="G177">
            <v>104.40456769983686</v>
          </cell>
          <cell r="H177">
            <v>94.511346742109922</v>
          </cell>
        </row>
        <row r="178">
          <cell r="A178">
            <v>40355</v>
          </cell>
          <cell r="B178">
            <v>16.25</v>
          </cell>
          <cell r="C178">
            <v>19.2</v>
          </cell>
          <cell r="D178">
            <v>64823.83</v>
          </cell>
          <cell r="F178">
            <v>114.05509738550623</v>
          </cell>
          <cell r="G178">
            <v>104.40456769983686</v>
          </cell>
          <cell r="H178">
            <v>94.511346742109922</v>
          </cell>
        </row>
        <row r="179">
          <cell r="A179">
            <v>40356</v>
          </cell>
          <cell r="B179">
            <v>16.25</v>
          </cell>
          <cell r="C179">
            <v>19.2</v>
          </cell>
          <cell r="D179">
            <v>64823.83</v>
          </cell>
          <cell r="F179">
            <v>114.05509738550623</v>
          </cell>
          <cell r="G179">
            <v>104.40456769983686</v>
          </cell>
          <cell r="H179">
            <v>94.511346742109922</v>
          </cell>
        </row>
        <row r="180">
          <cell r="A180">
            <v>40357</v>
          </cell>
          <cell r="B180">
            <v>17</v>
          </cell>
          <cell r="C180">
            <v>19.5</v>
          </cell>
          <cell r="D180">
            <v>64225.22</v>
          </cell>
          <cell r="F180">
            <v>119.31917880329883</v>
          </cell>
          <cell r="G180">
            <v>106.03588907014681</v>
          </cell>
          <cell r="H180">
            <v>93.63858996002385</v>
          </cell>
        </row>
        <row r="181">
          <cell r="A181">
            <v>40358</v>
          </cell>
          <cell r="B181">
            <v>16.600000000000001</v>
          </cell>
          <cell r="C181">
            <v>19.5</v>
          </cell>
          <cell r="D181">
            <v>61977.91</v>
          </cell>
          <cell r="F181">
            <v>116.51166871380944</v>
          </cell>
          <cell r="G181">
            <v>106.03588907014681</v>
          </cell>
          <cell r="H181">
            <v>90.362074292143518</v>
          </cell>
        </row>
        <row r="182">
          <cell r="A182">
            <v>40359</v>
          </cell>
          <cell r="B182">
            <v>16.989999999999998</v>
          </cell>
          <cell r="C182">
            <v>19.989999999999998</v>
          </cell>
          <cell r="D182">
            <v>60935.9</v>
          </cell>
          <cell r="F182">
            <v>119.24899105106157</v>
          </cell>
          <cell r="G182">
            <v>108.70038064165306</v>
          </cell>
          <cell r="H182">
            <v>88.842852604397734</v>
          </cell>
        </row>
        <row r="183">
          <cell r="A183">
            <v>40360</v>
          </cell>
          <cell r="B183">
            <v>16.850000000000001</v>
          </cell>
          <cell r="C183">
            <v>19.940000000000001</v>
          </cell>
          <cell r="D183">
            <v>61236.2</v>
          </cell>
          <cell r="F183">
            <v>118.26636251974033</v>
          </cell>
          <cell r="G183">
            <v>108.42849374660142</v>
          </cell>
          <cell r="H183">
            <v>89.280681677851987</v>
          </cell>
        </row>
        <row r="184">
          <cell r="A184">
            <v>40361</v>
          </cell>
          <cell r="B184">
            <v>17.21</v>
          </cell>
          <cell r="C184">
            <v>19.920000000000002</v>
          </cell>
          <cell r="D184">
            <v>61429.79</v>
          </cell>
          <cell r="F184">
            <v>120.79312160028076</v>
          </cell>
          <cell r="G184">
            <v>108.31973898858077</v>
          </cell>
          <cell r="H184">
            <v>89.562930530099763</v>
          </cell>
        </row>
        <row r="185">
          <cell r="A185">
            <v>40362</v>
          </cell>
          <cell r="B185">
            <v>17.21</v>
          </cell>
          <cell r="C185">
            <v>19.920000000000002</v>
          </cell>
          <cell r="D185">
            <v>61429.79</v>
          </cell>
          <cell r="F185">
            <v>120.79312160028076</v>
          </cell>
          <cell r="G185">
            <v>108.31973898858077</v>
          </cell>
          <cell r="H185">
            <v>89.562930530099763</v>
          </cell>
        </row>
        <row r="186">
          <cell r="A186">
            <v>40363</v>
          </cell>
          <cell r="B186">
            <v>17.21</v>
          </cell>
          <cell r="C186">
            <v>19.920000000000002</v>
          </cell>
          <cell r="D186">
            <v>61429.79</v>
          </cell>
          <cell r="F186">
            <v>120.79312160028076</v>
          </cell>
          <cell r="G186">
            <v>108.31973898858077</v>
          </cell>
          <cell r="H186">
            <v>89.562930530099763</v>
          </cell>
        </row>
        <row r="187">
          <cell r="A187">
            <v>40364</v>
          </cell>
          <cell r="B187">
            <v>17.21</v>
          </cell>
          <cell r="C187">
            <v>19.920000000000002</v>
          </cell>
          <cell r="D187">
            <v>61429.79</v>
          </cell>
          <cell r="F187">
            <v>120.79312160028076</v>
          </cell>
          <cell r="G187">
            <v>108.31973898858077</v>
          </cell>
          <cell r="H187">
            <v>89.562930530099763</v>
          </cell>
        </row>
        <row r="188">
          <cell r="A188">
            <v>40365</v>
          </cell>
          <cell r="B188">
            <v>17.899999999999999</v>
          </cell>
          <cell r="C188">
            <v>20.2</v>
          </cell>
          <cell r="D188">
            <v>62064.75</v>
          </cell>
          <cell r="F188">
            <v>125.63607650464992</v>
          </cell>
          <cell r="G188">
            <v>109.84230560087002</v>
          </cell>
          <cell r="H188">
            <v>90.488684604293923</v>
          </cell>
        </row>
        <row r="189">
          <cell r="A189">
            <v>40366</v>
          </cell>
          <cell r="B189">
            <v>17.2</v>
          </cell>
          <cell r="C189">
            <v>20.82</v>
          </cell>
          <cell r="D189">
            <v>63283.8</v>
          </cell>
          <cell r="F189">
            <v>120.72293384804351</v>
          </cell>
          <cell r="G189">
            <v>113.2137030995106</v>
          </cell>
          <cell r="H189">
            <v>92.266025703176382</v>
          </cell>
        </row>
        <row r="190">
          <cell r="A190">
            <v>40367</v>
          </cell>
          <cell r="B190">
            <v>17</v>
          </cell>
          <cell r="C190">
            <v>21.4</v>
          </cell>
          <cell r="D190">
            <v>63476.32</v>
          </cell>
          <cell r="F190">
            <v>119.31917880329883</v>
          </cell>
          <cell r="G190">
            <v>116.36759108210984</v>
          </cell>
          <cell r="H190">
            <v>92.546714525092497</v>
          </cell>
        </row>
        <row r="191">
          <cell r="A191">
            <v>40368</v>
          </cell>
          <cell r="B191">
            <v>17</v>
          </cell>
          <cell r="C191">
            <v>21.4</v>
          </cell>
          <cell r="D191">
            <v>63476.32</v>
          </cell>
          <cell r="F191">
            <v>119.31917880329883</v>
          </cell>
          <cell r="G191">
            <v>116.36759108210984</v>
          </cell>
          <cell r="H191">
            <v>92.546714525092497</v>
          </cell>
        </row>
        <row r="192">
          <cell r="A192">
            <v>40369</v>
          </cell>
          <cell r="B192">
            <v>17</v>
          </cell>
          <cell r="C192">
            <v>21.4</v>
          </cell>
          <cell r="D192">
            <v>63476.32</v>
          </cell>
          <cell r="F192">
            <v>119.31917880329883</v>
          </cell>
          <cell r="G192">
            <v>116.36759108210984</v>
          </cell>
          <cell r="H192">
            <v>92.546714525092497</v>
          </cell>
        </row>
        <row r="193">
          <cell r="A193">
            <v>40370</v>
          </cell>
          <cell r="B193">
            <v>17</v>
          </cell>
          <cell r="C193">
            <v>21.4</v>
          </cell>
          <cell r="D193">
            <v>63476.32</v>
          </cell>
          <cell r="F193">
            <v>119.31917880329883</v>
          </cell>
          <cell r="G193">
            <v>116.36759108210984</v>
          </cell>
          <cell r="H193">
            <v>92.546714525092497</v>
          </cell>
        </row>
        <row r="194">
          <cell r="A194">
            <v>40371</v>
          </cell>
          <cell r="B194">
            <v>16.8</v>
          </cell>
          <cell r="C194">
            <v>20.2</v>
          </cell>
          <cell r="D194">
            <v>62960.1</v>
          </cell>
          <cell r="F194">
            <v>117.91542375855413</v>
          </cell>
          <cell r="G194">
            <v>109.84230560087002</v>
          </cell>
          <cell r="H194">
            <v>91.794080078543871</v>
          </cell>
        </row>
        <row r="195">
          <cell r="A195">
            <v>40372</v>
          </cell>
          <cell r="B195">
            <v>16.8</v>
          </cell>
          <cell r="C195">
            <v>20.5</v>
          </cell>
          <cell r="D195">
            <v>63685.56</v>
          </cell>
          <cell r="F195">
            <v>117.91542375855413</v>
          </cell>
          <cell r="G195">
            <v>111.47362697118</v>
          </cell>
          <cell r="H195">
            <v>92.851780643406073</v>
          </cell>
        </row>
        <row r="196">
          <cell r="A196">
            <v>40373</v>
          </cell>
          <cell r="B196">
            <v>16.95</v>
          </cell>
          <cell r="C196">
            <v>20</v>
          </cell>
          <cell r="D196">
            <v>63479.46</v>
          </cell>
          <cell r="F196">
            <v>118.96824004211264</v>
          </cell>
          <cell r="G196">
            <v>108.75475802066342</v>
          </cell>
          <cell r="H196">
            <v>92.551292558028393</v>
          </cell>
        </row>
        <row r="197">
          <cell r="A197">
            <v>40374</v>
          </cell>
          <cell r="B197">
            <v>17.010000000000002</v>
          </cell>
          <cell r="C197">
            <v>20</v>
          </cell>
          <cell r="D197">
            <v>63489.37</v>
          </cell>
          <cell r="F197">
            <v>119.38936655553607</v>
          </cell>
          <cell r="G197">
            <v>108.75475802066342</v>
          </cell>
          <cell r="H197">
            <v>92.565741063249604</v>
          </cell>
        </row>
        <row r="198">
          <cell r="A198">
            <v>40375</v>
          </cell>
          <cell r="B198">
            <v>16.899999999999999</v>
          </cell>
          <cell r="C198">
            <v>20</v>
          </cell>
          <cell r="D198">
            <v>62339.27</v>
          </cell>
          <cell r="F198">
            <v>118.61730128092647</v>
          </cell>
          <cell r="G198">
            <v>108.75475802066342</v>
          </cell>
          <cell r="H198">
            <v>90.888927152561195</v>
          </cell>
        </row>
        <row r="199">
          <cell r="A199">
            <v>40376</v>
          </cell>
          <cell r="B199">
            <v>16.899999999999999</v>
          </cell>
          <cell r="C199">
            <v>20</v>
          </cell>
          <cell r="D199">
            <v>62339.27</v>
          </cell>
          <cell r="F199">
            <v>118.61730128092647</v>
          </cell>
          <cell r="G199">
            <v>108.75475802066342</v>
          </cell>
          <cell r="H199">
            <v>90.888927152561195</v>
          </cell>
        </row>
        <row r="200">
          <cell r="A200">
            <v>40377</v>
          </cell>
          <cell r="B200">
            <v>16.899999999999999</v>
          </cell>
          <cell r="C200">
            <v>20</v>
          </cell>
          <cell r="D200">
            <v>62339.27</v>
          </cell>
          <cell r="F200">
            <v>118.61730128092647</v>
          </cell>
          <cell r="G200">
            <v>108.75475802066342</v>
          </cell>
          <cell r="H200">
            <v>90.888927152561195</v>
          </cell>
        </row>
        <row r="201">
          <cell r="A201">
            <v>40378</v>
          </cell>
          <cell r="B201">
            <v>16.850000000000001</v>
          </cell>
          <cell r="C201">
            <v>20.010000000000002</v>
          </cell>
          <cell r="D201">
            <v>63297.04</v>
          </cell>
          <cell r="F201">
            <v>118.26636251974033</v>
          </cell>
          <cell r="G201">
            <v>108.80913539967374</v>
          </cell>
          <cell r="H201">
            <v>92.285329256065268</v>
          </cell>
        </row>
        <row r="202">
          <cell r="A202">
            <v>40379</v>
          </cell>
          <cell r="B202">
            <v>16.899999999999999</v>
          </cell>
          <cell r="C202">
            <v>20</v>
          </cell>
          <cell r="D202">
            <v>64462.5</v>
          </cell>
          <cell r="F202">
            <v>118.61730128092647</v>
          </cell>
          <cell r="G202">
            <v>108.75475802066342</v>
          </cell>
          <cell r="H202">
            <v>93.984537620860436</v>
          </cell>
        </row>
        <row r="203">
          <cell r="A203">
            <v>40380</v>
          </cell>
          <cell r="B203">
            <v>16.95</v>
          </cell>
          <cell r="C203">
            <v>19.82</v>
          </cell>
          <cell r="D203">
            <v>64476.84</v>
          </cell>
          <cell r="F203">
            <v>118.96824004211264</v>
          </cell>
          <cell r="G203">
            <v>107.77596519847744</v>
          </cell>
          <cell r="H203">
            <v>94.005444943249145</v>
          </cell>
        </row>
        <row r="204">
          <cell r="A204">
            <v>40381</v>
          </cell>
          <cell r="B204">
            <v>17.100000000000001</v>
          </cell>
          <cell r="C204">
            <v>20.190000000000001</v>
          </cell>
          <cell r="D204">
            <v>65748.100000000006</v>
          </cell>
          <cell r="F204">
            <v>120.02105632567117</v>
          </cell>
          <cell r="G204">
            <v>109.78792822185972</v>
          </cell>
          <cell r="H204">
            <v>95.858906774482747</v>
          </cell>
        </row>
        <row r="205">
          <cell r="A205">
            <v>40382</v>
          </cell>
          <cell r="B205">
            <v>16.95</v>
          </cell>
          <cell r="C205">
            <v>20.02</v>
          </cell>
          <cell r="D205">
            <v>66322.990000000005</v>
          </cell>
          <cell r="F205">
            <v>118.96824004211264</v>
          </cell>
          <cell r="G205">
            <v>108.86351277868407</v>
          </cell>
          <cell r="H205">
            <v>96.697080454263343</v>
          </cell>
        </row>
        <row r="206">
          <cell r="A206">
            <v>40383</v>
          </cell>
          <cell r="B206">
            <v>16.95</v>
          </cell>
          <cell r="C206">
            <v>20.02</v>
          </cell>
          <cell r="D206">
            <v>66322.990000000005</v>
          </cell>
          <cell r="F206">
            <v>118.96824004211264</v>
          </cell>
          <cell r="G206">
            <v>108.86351277868407</v>
          </cell>
          <cell r="H206">
            <v>96.697080454263343</v>
          </cell>
        </row>
        <row r="207">
          <cell r="A207">
            <v>40384</v>
          </cell>
          <cell r="B207">
            <v>16.95</v>
          </cell>
          <cell r="C207">
            <v>20.02</v>
          </cell>
          <cell r="D207">
            <v>66322.990000000005</v>
          </cell>
          <cell r="F207">
            <v>118.96824004211264</v>
          </cell>
          <cell r="G207">
            <v>108.86351277868407</v>
          </cell>
          <cell r="H207">
            <v>96.697080454263343</v>
          </cell>
        </row>
        <row r="208">
          <cell r="A208">
            <v>40385</v>
          </cell>
          <cell r="B208">
            <v>16.75</v>
          </cell>
          <cell r="C208">
            <v>20.05</v>
          </cell>
          <cell r="D208">
            <v>66443.259999999995</v>
          </cell>
          <cell r="F208">
            <v>117.56448499736796</v>
          </cell>
          <cell r="G208">
            <v>109.02664491571505</v>
          </cell>
          <cell r="H208">
            <v>96.87243077948591</v>
          </cell>
        </row>
        <row r="209">
          <cell r="A209">
            <v>40386</v>
          </cell>
          <cell r="B209">
            <v>16.8</v>
          </cell>
          <cell r="C209">
            <v>20.14</v>
          </cell>
          <cell r="D209">
            <v>66674.44</v>
          </cell>
          <cell r="F209">
            <v>117.91542375855413</v>
          </cell>
          <cell r="G209">
            <v>109.51604132680805</v>
          </cell>
          <cell r="H209">
            <v>97.209484809459795</v>
          </cell>
        </row>
        <row r="210">
          <cell r="A210">
            <v>40387</v>
          </cell>
          <cell r="B210">
            <v>16.45</v>
          </cell>
          <cell r="C210">
            <v>19.850000000000001</v>
          </cell>
          <cell r="D210">
            <v>66808.25</v>
          </cell>
          <cell r="F210">
            <v>115.45885243025091</v>
          </cell>
          <cell r="G210">
            <v>107.93909733550844</v>
          </cell>
          <cell r="H210">
            <v>97.404576079253033</v>
          </cell>
        </row>
        <row r="211">
          <cell r="A211">
            <v>40388</v>
          </cell>
          <cell r="B211">
            <v>16.45</v>
          </cell>
          <cell r="C211">
            <v>20.04</v>
          </cell>
          <cell r="D211">
            <v>66953.83</v>
          </cell>
          <cell r="F211">
            <v>115.45885243025091</v>
          </cell>
          <cell r="G211">
            <v>108.97226753670472</v>
          </cell>
          <cell r="H211">
            <v>97.616827682694492</v>
          </cell>
        </row>
        <row r="212">
          <cell r="A212">
            <v>40389</v>
          </cell>
          <cell r="B212">
            <v>16.91</v>
          </cell>
          <cell r="C212">
            <v>20.399999999999999</v>
          </cell>
          <cell r="D212">
            <v>67515.399999999994</v>
          </cell>
          <cell r="F212">
            <v>118.6874890331637</v>
          </cell>
          <cell r="G212">
            <v>110.92985318107667</v>
          </cell>
          <cell r="H212">
            <v>98.435581171804373</v>
          </cell>
        </row>
        <row r="213">
          <cell r="A213">
            <v>40390</v>
          </cell>
          <cell r="B213">
            <v>16.91</v>
          </cell>
          <cell r="C213">
            <v>20.399999999999999</v>
          </cell>
          <cell r="D213">
            <v>67515.399999999994</v>
          </cell>
          <cell r="F213">
            <v>118.6874890331637</v>
          </cell>
          <cell r="G213">
            <v>110.92985318107667</v>
          </cell>
          <cell r="H213">
            <v>98.435581171804373</v>
          </cell>
        </row>
        <row r="214">
          <cell r="A214">
            <v>40391</v>
          </cell>
          <cell r="B214">
            <v>16.91</v>
          </cell>
          <cell r="C214">
            <v>20.399999999999999</v>
          </cell>
          <cell r="D214">
            <v>67515.399999999994</v>
          </cell>
          <cell r="F214">
            <v>118.6874890331637</v>
          </cell>
          <cell r="G214">
            <v>110.92985318107667</v>
          </cell>
          <cell r="H214">
            <v>98.435581171804373</v>
          </cell>
        </row>
        <row r="215">
          <cell r="A215">
            <v>40392</v>
          </cell>
          <cell r="B215">
            <v>16.95</v>
          </cell>
          <cell r="C215">
            <v>20.149999999999999</v>
          </cell>
          <cell r="D215">
            <v>68517.460000000006</v>
          </cell>
          <cell r="F215">
            <v>118.96824004211264</v>
          </cell>
          <cell r="G215">
            <v>109.57041870581835</v>
          </cell>
          <cell r="H215">
            <v>99.896556867260813</v>
          </cell>
        </row>
        <row r="216">
          <cell r="A216">
            <v>40393</v>
          </cell>
          <cell r="B216">
            <v>16.8</v>
          </cell>
          <cell r="C216">
            <v>20.2</v>
          </cell>
          <cell r="D216">
            <v>67997.36</v>
          </cell>
          <cell r="F216">
            <v>117.91542375855413</v>
          </cell>
          <cell r="G216">
            <v>109.84230560087002</v>
          </cell>
          <cell r="H216">
            <v>99.138265488294593</v>
          </cell>
        </row>
        <row r="217">
          <cell r="A217">
            <v>40394</v>
          </cell>
          <cell r="B217">
            <v>17.079999999999998</v>
          </cell>
          <cell r="C217">
            <v>19.899999999999999</v>
          </cell>
          <cell r="D217">
            <v>68272</v>
          </cell>
          <cell r="F217">
            <v>119.88068082119669</v>
          </cell>
          <cell r="G217">
            <v>108.21098423056009</v>
          </cell>
          <cell r="H217">
            <v>99.538682993234559</v>
          </cell>
        </row>
        <row r="218">
          <cell r="A218">
            <v>40395</v>
          </cell>
          <cell r="B218">
            <v>16.95</v>
          </cell>
          <cell r="C218">
            <v>20.25</v>
          </cell>
          <cell r="D218">
            <v>68411.72</v>
          </cell>
          <cell r="F218">
            <v>118.96824004211264</v>
          </cell>
          <cell r="G218">
            <v>110.11419249592169</v>
          </cell>
          <cell r="H218">
            <v>99.742390879158734</v>
          </cell>
        </row>
        <row r="219">
          <cell r="A219">
            <v>40396</v>
          </cell>
          <cell r="B219">
            <v>16.78</v>
          </cell>
          <cell r="C219">
            <v>20.02</v>
          </cell>
          <cell r="D219">
            <v>68094.759999999995</v>
          </cell>
          <cell r="F219">
            <v>117.77504825407968</v>
          </cell>
          <cell r="G219">
            <v>108.86351277868407</v>
          </cell>
          <cell r="H219">
            <v>99.280271987643374</v>
          </cell>
        </row>
        <row r="220">
          <cell r="A220">
            <v>40397</v>
          </cell>
          <cell r="B220">
            <v>16.78</v>
          </cell>
          <cell r="C220">
            <v>20.02</v>
          </cell>
          <cell r="D220">
            <v>68094.759999999995</v>
          </cell>
          <cell r="F220">
            <v>117.77504825407968</v>
          </cell>
          <cell r="G220">
            <v>108.86351277868407</v>
          </cell>
          <cell r="H220">
            <v>99.280271987643374</v>
          </cell>
        </row>
        <row r="221">
          <cell r="A221">
            <v>40398</v>
          </cell>
          <cell r="B221">
            <v>16.78</v>
          </cell>
          <cell r="C221">
            <v>20.02</v>
          </cell>
          <cell r="D221">
            <v>68094.759999999995</v>
          </cell>
          <cell r="F221">
            <v>117.77504825407968</v>
          </cell>
          <cell r="G221">
            <v>108.86351277868407</v>
          </cell>
          <cell r="H221">
            <v>99.280271987643374</v>
          </cell>
        </row>
        <row r="222">
          <cell r="A222">
            <v>40399</v>
          </cell>
          <cell r="B222">
            <v>16.52</v>
          </cell>
          <cell r="C222">
            <v>20.399999999999999</v>
          </cell>
          <cell r="D222">
            <v>67862.28</v>
          </cell>
          <cell r="F222">
            <v>115.95016669591156</v>
          </cell>
          <cell r="G222">
            <v>110.92985318107667</v>
          </cell>
          <cell r="H222">
            <v>98.941322593715171</v>
          </cell>
        </row>
        <row r="223">
          <cell r="A223">
            <v>40400</v>
          </cell>
          <cell r="B223">
            <v>16.5</v>
          </cell>
          <cell r="C223">
            <v>20.22</v>
          </cell>
          <cell r="D223">
            <v>67223.23</v>
          </cell>
          <cell r="F223">
            <v>115.80979119143709</v>
          </cell>
          <cell r="G223">
            <v>109.95106035889069</v>
          </cell>
          <cell r="H223">
            <v>98.009605412926177</v>
          </cell>
        </row>
        <row r="224">
          <cell r="A224">
            <v>40401</v>
          </cell>
          <cell r="B224">
            <v>16</v>
          </cell>
          <cell r="C224">
            <v>20.13</v>
          </cell>
          <cell r="D224">
            <v>65790.289999999994</v>
          </cell>
          <cell r="F224">
            <v>112.30040357957536</v>
          </cell>
          <cell r="G224">
            <v>109.4616639477977</v>
          </cell>
          <cell r="H224">
            <v>95.920418624662659</v>
          </cell>
        </row>
        <row r="225">
          <cell r="A225">
            <v>40402</v>
          </cell>
          <cell r="B225">
            <v>16.34</v>
          </cell>
          <cell r="C225">
            <v>20.39</v>
          </cell>
          <cell r="D225">
            <v>65966.17</v>
          </cell>
          <cell r="F225">
            <v>114.68678715564134</v>
          </cell>
          <cell r="G225">
            <v>110.87547580206633</v>
          </cell>
          <cell r="H225">
            <v>96.176846787963143</v>
          </cell>
        </row>
        <row r="226">
          <cell r="A226">
            <v>40403</v>
          </cell>
          <cell r="B226">
            <v>15.8</v>
          </cell>
          <cell r="C226">
            <v>20.45</v>
          </cell>
          <cell r="D226">
            <v>66264.429999999993</v>
          </cell>
          <cell r="F226">
            <v>110.89664853483067</v>
          </cell>
          <cell r="G226">
            <v>111.20174007612833</v>
          </cell>
          <cell r="H226">
            <v>96.611701597981337</v>
          </cell>
        </row>
        <row r="227">
          <cell r="A227">
            <v>40404</v>
          </cell>
          <cell r="B227">
            <v>15.8</v>
          </cell>
          <cell r="C227">
            <v>20.45</v>
          </cell>
          <cell r="D227">
            <v>66264.429999999993</v>
          </cell>
          <cell r="F227">
            <v>110.89664853483067</v>
          </cell>
          <cell r="G227">
            <v>111.20174007612833</v>
          </cell>
          <cell r="H227">
            <v>96.611701597981337</v>
          </cell>
        </row>
        <row r="228">
          <cell r="A228">
            <v>40405</v>
          </cell>
          <cell r="B228">
            <v>15.8</v>
          </cell>
          <cell r="C228">
            <v>20.45</v>
          </cell>
          <cell r="D228">
            <v>66264.429999999993</v>
          </cell>
          <cell r="F228">
            <v>110.89664853483067</v>
          </cell>
          <cell r="G228">
            <v>111.20174007612833</v>
          </cell>
          <cell r="H228">
            <v>96.611701597981337</v>
          </cell>
        </row>
        <row r="229">
          <cell r="A229">
            <v>40406</v>
          </cell>
          <cell r="B229">
            <v>15.77</v>
          </cell>
          <cell r="C229">
            <v>20.11</v>
          </cell>
          <cell r="D229">
            <v>66701.89</v>
          </cell>
          <cell r="F229">
            <v>110.68608527811897</v>
          </cell>
          <cell r="G229">
            <v>109.35290918977705</v>
          </cell>
          <cell r="H229">
            <v>97.249506148341965</v>
          </cell>
        </row>
        <row r="230">
          <cell r="A230">
            <v>40407</v>
          </cell>
          <cell r="B230">
            <v>16.3</v>
          </cell>
          <cell r="C230">
            <v>20.350000000000001</v>
          </cell>
          <cell r="D230">
            <v>67583.77</v>
          </cell>
          <cell r="F230">
            <v>114.4060361466924</v>
          </cell>
          <cell r="G230">
            <v>110.65796628602502</v>
          </cell>
          <cell r="H230">
            <v>98.535262736080341</v>
          </cell>
        </row>
        <row r="231">
          <cell r="A231">
            <v>40408</v>
          </cell>
          <cell r="B231">
            <v>16.8</v>
          </cell>
          <cell r="C231">
            <v>21.08</v>
          </cell>
          <cell r="D231">
            <v>67638.38</v>
          </cell>
          <cell r="F231">
            <v>117.91542375855413</v>
          </cell>
          <cell r="G231">
            <v>114.62751495377921</v>
          </cell>
          <cell r="H231">
            <v>98.614882601885654</v>
          </cell>
        </row>
        <row r="232">
          <cell r="A232">
            <v>40409</v>
          </cell>
          <cell r="B232">
            <v>17.899999999999999</v>
          </cell>
          <cell r="C232">
            <v>23.17</v>
          </cell>
          <cell r="D232">
            <v>66887.13</v>
          </cell>
          <cell r="F232">
            <v>125.63607650464992</v>
          </cell>
          <cell r="G232">
            <v>125.99238716693857</v>
          </cell>
          <cell r="H232">
            <v>97.51958093211374</v>
          </cell>
        </row>
        <row r="233">
          <cell r="A233">
            <v>40410</v>
          </cell>
          <cell r="B233">
            <v>18.350000000000001</v>
          </cell>
          <cell r="C233">
            <v>22.3</v>
          </cell>
          <cell r="D233">
            <v>66677.16</v>
          </cell>
          <cell r="F233">
            <v>128.7945253553255</v>
          </cell>
          <cell r="G233">
            <v>121.2615551930397</v>
          </cell>
          <cell r="H233">
            <v>97.213450494041197</v>
          </cell>
        </row>
        <row r="234">
          <cell r="A234">
            <v>40411</v>
          </cell>
          <cell r="B234">
            <v>18.350000000000001</v>
          </cell>
          <cell r="C234">
            <v>22.3</v>
          </cell>
          <cell r="D234">
            <v>66677.16</v>
          </cell>
          <cell r="F234">
            <v>128.7945253553255</v>
          </cell>
          <cell r="G234">
            <v>121.2615551930397</v>
          </cell>
          <cell r="H234">
            <v>97.213450494041197</v>
          </cell>
        </row>
        <row r="235">
          <cell r="A235">
            <v>40412</v>
          </cell>
          <cell r="B235">
            <v>18.350000000000001</v>
          </cell>
          <cell r="C235">
            <v>22.3</v>
          </cell>
          <cell r="D235">
            <v>66677.16</v>
          </cell>
          <cell r="F235">
            <v>128.7945253553255</v>
          </cell>
          <cell r="G235">
            <v>121.2615551930397</v>
          </cell>
          <cell r="H235">
            <v>97.213450494041197</v>
          </cell>
        </row>
        <row r="236">
          <cell r="A236">
            <v>40413</v>
          </cell>
          <cell r="B236">
            <v>18.399999999999999</v>
          </cell>
          <cell r="C236">
            <v>21.8</v>
          </cell>
          <cell r="D236">
            <v>65981.86</v>
          </cell>
          <cell r="F236">
            <v>129.14546411651165</v>
          </cell>
          <cell r="G236">
            <v>118.5426862425231</v>
          </cell>
          <cell r="H236">
            <v>96.199722372919851</v>
          </cell>
        </row>
        <row r="237">
          <cell r="A237">
            <v>40414</v>
          </cell>
          <cell r="B237">
            <v>18.25</v>
          </cell>
          <cell r="C237">
            <v>20.75</v>
          </cell>
          <cell r="D237">
            <v>65156.36</v>
          </cell>
          <cell r="F237">
            <v>128.09264783295316</v>
          </cell>
          <cell r="G237">
            <v>112.83306144643828</v>
          </cell>
          <cell r="H237">
            <v>94.996166261909266</v>
          </cell>
        </row>
        <row r="238">
          <cell r="A238">
            <v>40415</v>
          </cell>
          <cell r="B238">
            <v>18.45</v>
          </cell>
          <cell r="C238">
            <v>21.6</v>
          </cell>
          <cell r="D238">
            <v>64803.43</v>
          </cell>
          <cell r="F238">
            <v>129.49640287769785</v>
          </cell>
          <cell r="G238">
            <v>117.45513866231647</v>
          </cell>
          <cell r="H238">
            <v>94.481604107749391</v>
          </cell>
        </row>
        <row r="239">
          <cell r="A239">
            <v>40416</v>
          </cell>
          <cell r="B239">
            <v>18.21</v>
          </cell>
          <cell r="C239">
            <v>21.7</v>
          </cell>
          <cell r="D239">
            <v>63867.48</v>
          </cell>
          <cell r="F239">
            <v>127.81189682400422</v>
          </cell>
          <cell r="G239">
            <v>117.99891245241977</v>
          </cell>
          <cell r="H239">
            <v>93.117014959232918</v>
          </cell>
        </row>
        <row r="240">
          <cell r="A240">
            <v>40417</v>
          </cell>
          <cell r="B240">
            <v>18</v>
          </cell>
          <cell r="C240">
            <v>21.7</v>
          </cell>
          <cell r="D240">
            <v>65585.14</v>
          </cell>
          <cell r="F240">
            <v>126.33795402702228</v>
          </cell>
          <cell r="G240">
            <v>117.99891245241977</v>
          </cell>
          <cell r="H240">
            <v>95.621315612943931</v>
          </cell>
        </row>
        <row r="241">
          <cell r="A241">
            <v>40418</v>
          </cell>
          <cell r="B241">
            <v>18</v>
          </cell>
          <cell r="C241">
            <v>21.7</v>
          </cell>
          <cell r="D241">
            <v>65585.14</v>
          </cell>
          <cell r="F241">
            <v>126.33795402702228</v>
          </cell>
          <cell r="G241">
            <v>117.99891245241977</v>
          </cell>
          <cell r="H241">
            <v>95.621315612943931</v>
          </cell>
        </row>
        <row r="242">
          <cell r="A242">
            <v>40419</v>
          </cell>
          <cell r="B242">
            <v>18</v>
          </cell>
          <cell r="C242">
            <v>21.7</v>
          </cell>
          <cell r="D242">
            <v>65585.14</v>
          </cell>
          <cell r="F242">
            <v>126.33795402702228</v>
          </cell>
          <cell r="G242">
            <v>117.99891245241977</v>
          </cell>
          <cell r="H242">
            <v>95.621315612943931</v>
          </cell>
        </row>
        <row r="243">
          <cell r="A243">
            <v>40420</v>
          </cell>
          <cell r="B243">
            <v>19.2</v>
          </cell>
          <cell r="C243">
            <v>21.1</v>
          </cell>
          <cell r="D243">
            <v>64260.79</v>
          </cell>
          <cell r="F243">
            <v>134.76048429549044</v>
          </cell>
          <cell r="G243">
            <v>114.73626971179989</v>
          </cell>
          <cell r="H243">
            <v>93.690450033759348</v>
          </cell>
        </row>
        <row r="244">
          <cell r="A244">
            <v>40421</v>
          </cell>
          <cell r="B244">
            <v>18.399999999999999</v>
          </cell>
          <cell r="C244">
            <v>21.6</v>
          </cell>
          <cell r="D244">
            <v>65145.45</v>
          </cell>
          <cell r="F244">
            <v>129.14546411651165</v>
          </cell>
          <cell r="G244">
            <v>117.45513866231647</v>
          </cell>
          <cell r="H244">
            <v>94.980259784415466</v>
          </cell>
        </row>
        <row r="245">
          <cell r="A245">
            <v>40422</v>
          </cell>
          <cell r="B245">
            <v>18</v>
          </cell>
          <cell r="C245">
            <v>21.65</v>
          </cell>
          <cell r="D245">
            <v>67072.53</v>
          </cell>
          <cell r="F245">
            <v>126.33795402702228</v>
          </cell>
          <cell r="G245">
            <v>117.72702555736811</v>
          </cell>
          <cell r="H245">
            <v>97.789888991449132</v>
          </cell>
        </row>
        <row r="246">
          <cell r="A246">
            <v>40423</v>
          </cell>
          <cell r="B246">
            <v>18.399999999999999</v>
          </cell>
          <cell r="C246">
            <v>22</v>
          </cell>
          <cell r="D246">
            <v>66808.08</v>
          </cell>
          <cell r="F246">
            <v>129.14546411651165</v>
          </cell>
          <cell r="G246">
            <v>119.63023382272975</v>
          </cell>
          <cell r="H246">
            <v>97.404328223966701</v>
          </cell>
        </row>
        <row r="247">
          <cell r="A247">
            <v>40424</v>
          </cell>
          <cell r="B247">
            <v>19.2</v>
          </cell>
          <cell r="C247">
            <v>21.4</v>
          </cell>
          <cell r="D247">
            <v>66678.62</v>
          </cell>
          <cell r="F247">
            <v>134.76048429549044</v>
          </cell>
          <cell r="G247">
            <v>116.36759108210984</v>
          </cell>
          <cell r="H247">
            <v>97.215579133559132</v>
          </cell>
        </row>
        <row r="248">
          <cell r="A248">
            <v>40425</v>
          </cell>
          <cell r="B248">
            <v>19.2</v>
          </cell>
          <cell r="C248">
            <v>21.4</v>
          </cell>
          <cell r="D248">
            <v>66678.62</v>
          </cell>
          <cell r="F248">
            <v>134.76048429549044</v>
          </cell>
          <cell r="G248">
            <v>116.36759108210984</v>
          </cell>
          <cell r="H248">
            <v>97.215579133559132</v>
          </cell>
        </row>
        <row r="249">
          <cell r="A249">
            <v>40426</v>
          </cell>
          <cell r="B249">
            <v>19.2</v>
          </cell>
          <cell r="C249">
            <v>21.4</v>
          </cell>
          <cell r="D249">
            <v>66678.62</v>
          </cell>
          <cell r="F249">
            <v>134.76048429549044</v>
          </cell>
          <cell r="G249">
            <v>116.36759108210984</v>
          </cell>
          <cell r="H249">
            <v>97.215579133559132</v>
          </cell>
        </row>
        <row r="250">
          <cell r="A250">
            <v>40427</v>
          </cell>
          <cell r="B250">
            <v>19.2</v>
          </cell>
          <cell r="C250">
            <v>21.4</v>
          </cell>
          <cell r="D250">
            <v>66678.62</v>
          </cell>
          <cell r="F250">
            <v>134.76048429549044</v>
          </cell>
          <cell r="G250">
            <v>116.36759108210984</v>
          </cell>
          <cell r="H250">
            <v>97.215579133559132</v>
          </cell>
        </row>
        <row r="251">
          <cell r="A251">
            <v>40428</v>
          </cell>
          <cell r="B251">
            <v>19.2</v>
          </cell>
          <cell r="C251">
            <v>21.9</v>
          </cell>
          <cell r="D251">
            <v>66747.3</v>
          </cell>
          <cell r="F251">
            <v>134.76048429549044</v>
          </cell>
          <cell r="G251">
            <v>119.08646003262642</v>
          </cell>
          <cell r="H251">
            <v>97.315712669239602</v>
          </cell>
        </row>
        <row r="252">
          <cell r="A252">
            <v>40429</v>
          </cell>
          <cell r="B252">
            <v>19.79</v>
          </cell>
          <cell r="C252">
            <v>21.85</v>
          </cell>
          <cell r="D252">
            <v>66407.28</v>
          </cell>
          <cell r="F252">
            <v>138.90156167748725</v>
          </cell>
          <cell r="G252">
            <v>118.81457313757477</v>
          </cell>
          <cell r="H252">
            <v>96.819972937118663</v>
          </cell>
        </row>
        <row r="253">
          <cell r="A253">
            <v>40430</v>
          </cell>
          <cell r="B253">
            <v>20.149999999999999</v>
          </cell>
          <cell r="C253">
            <v>21.8</v>
          </cell>
          <cell r="D253">
            <v>66624.100000000006</v>
          </cell>
          <cell r="F253">
            <v>141.42832075802772</v>
          </cell>
          <cell r="G253">
            <v>118.5426862425231</v>
          </cell>
          <cell r="H253">
            <v>97.136090485258379</v>
          </cell>
        </row>
        <row r="254">
          <cell r="A254">
            <v>40431</v>
          </cell>
          <cell r="B254">
            <v>20.3</v>
          </cell>
          <cell r="C254">
            <v>21.79</v>
          </cell>
          <cell r="D254">
            <v>66806.789999999994</v>
          </cell>
          <cell r="F254">
            <v>142.48113704158624</v>
          </cell>
          <cell r="G254">
            <v>118.48830886351278</v>
          </cell>
          <cell r="H254">
            <v>97.402447439735056</v>
          </cell>
        </row>
        <row r="255">
          <cell r="A255">
            <v>40432</v>
          </cell>
          <cell r="B255">
            <v>20.3</v>
          </cell>
          <cell r="C255">
            <v>21.79</v>
          </cell>
          <cell r="D255">
            <v>66806.789999999994</v>
          </cell>
          <cell r="F255">
            <v>142.48113704158624</v>
          </cell>
          <cell r="G255">
            <v>118.48830886351278</v>
          </cell>
          <cell r="H255">
            <v>97.402447439735056</v>
          </cell>
        </row>
        <row r="256">
          <cell r="A256">
            <v>40433</v>
          </cell>
          <cell r="B256">
            <v>20.3</v>
          </cell>
          <cell r="C256">
            <v>21.79</v>
          </cell>
          <cell r="D256">
            <v>66806.789999999994</v>
          </cell>
          <cell r="F256">
            <v>142.48113704158624</v>
          </cell>
          <cell r="G256">
            <v>118.48830886351278</v>
          </cell>
          <cell r="H256">
            <v>97.402447439735056</v>
          </cell>
        </row>
        <row r="257">
          <cell r="A257">
            <v>40434</v>
          </cell>
          <cell r="B257">
            <v>20.48</v>
          </cell>
          <cell r="C257">
            <v>21.82</v>
          </cell>
          <cell r="D257">
            <v>68030.58</v>
          </cell>
          <cell r="F257">
            <v>143.74451658185649</v>
          </cell>
          <cell r="G257">
            <v>118.65144100054377</v>
          </cell>
          <cell r="H257">
            <v>99.18669932718953</v>
          </cell>
        </row>
        <row r="258">
          <cell r="A258">
            <v>40435</v>
          </cell>
          <cell r="B258">
            <v>20.3</v>
          </cell>
          <cell r="C258">
            <v>21.81</v>
          </cell>
          <cell r="D258">
            <v>67691.850000000006</v>
          </cell>
          <cell r="F258">
            <v>142.48113704158624</v>
          </cell>
          <cell r="G258">
            <v>118.59706362153344</v>
          </cell>
          <cell r="H258">
            <v>98.692840379300236</v>
          </cell>
        </row>
        <row r="259">
          <cell r="A259">
            <v>40436</v>
          </cell>
          <cell r="B259">
            <v>20.5</v>
          </cell>
          <cell r="C259">
            <v>21.95</v>
          </cell>
          <cell r="D259">
            <v>68106.850000000006</v>
          </cell>
          <cell r="F259">
            <v>143.88489208633092</v>
          </cell>
          <cell r="G259">
            <v>119.35834692767808</v>
          </cell>
          <cell r="H259">
            <v>99.297898872418827</v>
          </cell>
        </row>
        <row r="260">
          <cell r="A260">
            <v>40437</v>
          </cell>
          <cell r="B260">
            <v>20.7</v>
          </cell>
          <cell r="C260">
            <v>22</v>
          </cell>
          <cell r="D260">
            <v>67662.990000000005</v>
          </cell>
          <cell r="F260">
            <v>145.28864713107561</v>
          </cell>
          <cell r="G260">
            <v>119.63023382272975</v>
          </cell>
          <cell r="H260">
            <v>98.650763299513727</v>
          </cell>
        </row>
        <row r="261">
          <cell r="A261">
            <v>40438</v>
          </cell>
          <cell r="B261">
            <v>20.96</v>
          </cell>
          <cell r="C261">
            <v>22.4</v>
          </cell>
          <cell r="D261">
            <v>67089.119999999995</v>
          </cell>
          <cell r="F261">
            <v>147.11352868924371</v>
          </cell>
          <cell r="G261">
            <v>121.805328983143</v>
          </cell>
          <cell r="H261">
            <v>97.81407675145114</v>
          </cell>
        </row>
        <row r="262">
          <cell r="A262">
            <v>40439</v>
          </cell>
          <cell r="B262">
            <v>20.96</v>
          </cell>
          <cell r="C262">
            <v>22.4</v>
          </cell>
          <cell r="D262">
            <v>67089.119999999995</v>
          </cell>
          <cell r="F262">
            <v>147.11352868924371</v>
          </cell>
          <cell r="G262">
            <v>121.805328983143</v>
          </cell>
          <cell r="H262">
            <v>97.81407675145114</v>
          </cell>
        </row>
        <row r="263">
          <cell r="A263">
            <v>40440</v>
          </cell>
          <cell r="B263">
            <v>20.96</v>
          </cell>
          <cell r="C263">
            <v>22.4</v>
          </cell>
          <cell r="D263">
            <v>67089.119999999995</v>
          </cell>
          <cell r="F263">
            <v>147.11352868924371</v>
          </cell>
          <cell r="G263">
            <v>121.805328983143</v>
          </cell>
          <cell r="H263">
            <v>97.81407675145114</v>
          </cell>
        </row>
        <row r="264">
          <cell r="A264">
            <v>40441</v>
          </cell>
          <cell r="B264">
            <v>20.87</v>
          </cell>
          <cell r="C264">
            <v>22.69</v>
          </cell>
          <cell r="D264">
            <v>68190.460000000006</v>
          </cell>
          <cell r="F264">
            <v>146.48183891910861</v>
          </cell>
          <cell r="G264">
            <v>123.38227297444264</v>
          </cell>
          <cell r="H264">
            <v>99.419799934128818</v>
          </cell>
        </row>
        <row r="265">
          <cell r="A265">
            <v>40442</v>
          </cell>
          <cell r="B265">
            <v>20.2</v>
          </cell>
          <cell r="C265">
            <v>22.05</v>
          </cell>
          <cell r="D265">
            <v>67719.13</v>
          </cell>
          <cell r="F265">
            <v>141.77925951921389</v>
          </cell>
          <cell r="G265">
            <v>119.90212071778141</v>
          </cell>
          <cell r="H265">
            <v>98.732613862896073</v>
          </cell>
        </row>
        <row r="266">
          <cell r="A266">
            <v>40443</v>
          </cell>
          <cell r="B266">
            <v>19.7</v>
          </cell>
          <cell r="C266">
            <v>21.8</v>
          </cell>
          <cell r="D266">
            <v>68325.179999999993</v>
          </cell>
          <cell r="F266">
            <v>138.26987190735215</v>
          </cell>
          <cell r="G266">
            <v>118.5426862425231</v>
          </cell>
          <cell r="H266">
            <v>99.616217958690086</v>
          </cell>
        </row>
        <row r="267">
          <cell r="A267">
            <v>40444</v>
          </cell>
          <cell r="B267">
            <v>19.7</v>
          </cell>
          <cell r="C267">
            <v>21.77</v>
          </cell>
          <cell r="D267">
            <v>68794.320000000007</v>
          </cell>
          <cell r="F267">
            <v>138.26987190735215</v>
          </cell>
          <cell r="G267">
            <v>118.3795541054921</v>
          </cell>
          <cell r="H267">
            <v>100.3002110706459</v>
          </cell>
        </row>
        <row r="268">
          <cell r="A268">
            <v>40445</v>
          </cell>
          <cell r="B268">
            <v>19.5</v>
          </cell>
          <cell r="C268">
            <v>21.2</v>
          </cell>
          <cell r="D268">
            <v>68196.479999999996</v>
          </cell>
          <cell r="F268">
            <v>136.86611686260747</v>
          </cell>
          <cell r="G268">
            <v>115.28004350190319</v>
          </cell>
          <cell r="H268">
            <v>99.428576927209704</v>
          </cell>
        </row>
        <row r="269">
          <cell r="A269">
            <v>40446</v>
          </cell>
          <cell r="B269">
            <v>19.5</v>
          </cell>
          <cell r="C269">
            <v>21.2</v>
          </cell>
          <cell r="D269">
            <v>68196.479999999996</v>
          </cell>
          <cell r="F269">
            <v>136.86611686260747</v>
          </cell>
          <cell r="G269">
            <v>115.28004350190319</v>
          </cell>
          <cell r="H269">
            <v>99.428576927209704</v>
          </cell>
        </row>
        <row r="270">
          <cell r="A270">
            <v>40447</v>
          </cell>
          <cell r="B270">
            <v>19.5</v>
          </cell>
          <cell r="C270">
            <v>21.2</v>
          </cell>
          <cell r="D270">
            <v>68196.479999999996</v>
          </cell>
          <cell r="F270">
            <v>136.86611686260747</v>
          </cell>
          <cell r="G270">
            <v>115.28004350190319</v>
          </cell>
          <cell r="H270">
            <v>99.428576927209704</v>
          </cell>
        </row>
        <row r="271">
          <cell r="A271">
            <v>40448</v>
          </cell>
          <cell r="B271">
            <v>20.29</v>
          </cell>
          <cell r="C271">
            <v>21.35</v>
          </cell>
          <cell r="D271">
            <v>68815.97</v>
          </cell>
          <cell r="F271">
            <v>142.41094928934899</v>
          </cell>
          <cell r="G271">
            <v>116.09570418705819</v>
          </cell>
          <cell r="H271">
            <v>100.33177617034714</v>
          </cell>
        </row>
        <row r="272">
          <cell r="A272">
            <v>40449</v>
          </cell>
          <cell r="B272">
            <v>20.3</v>
          </cell>
          <cell r="C272">
            <v>21.14</v>
          </cell>
          <cell r="D272">
            <v>69227.63</v>
          </cell>
          <cell r="F272">
            <v>142.48113704158624</v>
          </cell>
          <cell r="G272">
            <v>114.95377922784122</v>
          </cell>
          <cell r="H272">
            <v>100.93196503607533</v>
          </cell>
        </row>
        <row r="273">
          <cell r="A273">
            <v>40450</v>
          </cell>
          <cell r="B273">
            <v>20.399999999999999</v>
          </cell>
          <cell r="C273">
            <v>21.3</v>
          </cell>
          <cell r="D273">
            <v>69228.240000000005</v>
          </cell>
          <cell r="F273">
            <v>143.18301456395858</v>
          </cell>
          <cell r="G273">
            <v>115.82381729200652</v>
          </cell>
          <cell r="H273">
            <v>100.93285439916161</v>
          </cell>
        </row>
        <row r="274">
          <cell r="A274">
            <v>40451</v>
          </cell>
          <cell r="B274">
            <v>20.399999999999999</v>
          </cell>
          <cell r="C274">
            <v>21</v>
          </cell>
          <cell r="D274">
            <v>69429.78</v>
          </cell>
          <cell r="F274">
            <v>143.18301456395858</v>
          </cell>
          <cell r="G274">
            <v>114.19249592169658</v>
          </cell>
          <cell r="H274">
            <v>101.22669413097636</v>
          </cell>
        </row>
        <row r="275">
          <cell r="A275">
            <v>40452</v>
          </cell>
          <cell r="B275">
            <v>20.6</v>
          </cell>
          <cell r="C275">
            <v>21.15</v>
          </cell>
          <cell r="D275">
            <v>70229.350000000006</v>
          </cell>
          <cell r="F275">
            <v>144.58676960870329</v>
          </cell>
          <cell r="G275">
            <v>115.00815660685153</v>
          </cell>
          <cell r="H275">
            <v>102.39244502095907</v>
          </cell>
        </row>
        <row r="276">
          <cell r="A276">
            <v>40453</v>
          </cell>
          <cell r="B276">
            <v>20.6</v>
          </cell>
          <cell r="C276">
            <v>21.15</v>
          </cell>
          <cell r="D276">
            <v>70229.350000000006</v>
          </cell>
          <cell r="F276">
            <v>144.58676960870329</v>
          </cell>
          <cell r="G276">
            <v>115.00815660685153</v>
          </cell>
          <cell r="H276">
            <v>102.39244502095907</v>
          </cell>
        </row>
        <row r="277">
          <cell r="A277">
            <v>40454</v>
          </cell>
          <cell r="B277">
            <v>20.6</v>
          </cell>
          <cell r="C277">
            <v>21.15</v>
          </cell>
          <cell r="D277">
            <v>70229.350000000006</v>
          </cell>
          <cell r="F277">
            <v>144.58676960870329</v>
          </cell>
          <cell r="G277">
            <v>115.00815660685153</v>
          </cell>
          <cell r="H277">
            <v>102.39244502095907</v>
          </cell>
        </row>
        <row r="278">
          <cell r="A278">
            <v>40455</v>
          </cell>
          <cell r="B278">
            <v>20.14</v>
          </cell>
          <cell r="C278">
            <v>21.1</v>
          </cell>
          <cell r="D278">
            <v>70384.92</v>
          </cell>
          <cell r="F278">
            <v>141.35813300579051</v>
          </cell>
          <cell r="G278">
            <v>114.73626971179989</v>
          </cell>
          <cell r="H278">
            <v>102.61926176740354</v>
          </cell>
        </row>
        <row r="279">
          <cell r="A279">
            <v>40456</v>
          </cell>
          <cell r="B279">
            <v>19.8</v>
          </cell>
          <cell r="C279">
            <v>21</v>
          </cell>
          <cell r="D279">
            <v>71283.11</v>
          </cell>
          <cell r="F279">
            <v>138.97174942972453</v>
          </cell>
          <cell r="G279">
            <v>114.19249592169658</v>
          </cell>
          <cell r="H279">
            <v>103.9287978829076</v>
          </cell>
        </row>
        <row r="280">
          <cell r="A280">
            <v>40457</v>
          </cell>
          <cell r="B280">
            <v>19.579999999999998</v>
          </cell>
          <cell r="C280">
            <v>21</v>
          </cell>
          <cell r="D280">
            <v>70541.37</v>
          </cell>
          <cell r="F280">
            <v>137.42761888050535</v>
          </cell>
          <cell r="G280">
            <v>114.19249592169658</v>
          </cell>
          <cell r="H280">
            <v>102.84736152944789</v>
          </cell>
        </row>
        <row r="281">
          <cell r="A281">
            <v>40458</v>
          </cell>
          <cell r="B281">
            <v>19.75</v>
          </cell>
          <cell r="C281">
            <v>21</v>
          </cell>
          <cell r="D281">
            <v>69918.399999999994</v>
          </cell>
          <cell r="F281">
            <v>138.62081066853833</v>
          </cell>
          <cell r="G281">
            <v>114.19249592169658</v>
          </cell>
          <cell r="H281">
            <v>101.9390885428019</v>
          </cell>
        </row>
        <row r="282">
          <cell r="A282">
            <v>40459</v>
          </cell>
          <cell r="B282">
            <v>20.46</v>
          </cell>
          <cell r="C282">
            <v>21.01</v>
          </cell>
          <cell r="D282">
            <v>70808.800000000003</v>
          </cell>
          <cell r="F282">
            <v>143.604141077382</v>
          </cell>
          <cell r="G282">
            <v>114.24687330070691</v>
          </cell>
          <cell r="H282">
            <v>103.23726705430261</v>
          </cell>
        </row>
        <row r="283">
          <cell r="A283">
            <v>40460</v>
          </cell>
          <cell r="B283">
            <v>20.46</v>
          </cell>
          <cell r="C283">
            <v>21.01</v>
          </cell>
          <cell r="D283">
            <v>70808.800000000003</v>
          </cell>
          <cell r="F283">
            <v>143.604141077382</v>
          </cell>
          <cell r="G283">
            <v>114.24687330070691</v>
          </cell>
          <cell r="H283">
            <v>103.23726705430261</v>
          </cell>
        </row>
        <row r="284">
          <cell r="A284">
            <v>40461</v>
          </cell>
          <cell r="B284">
            <v>20.46</v>
          </cell>
          <cell r="C284">
            <v>21.01</v>
          </cell>
          <cell r="D284">
            <v>70808.800000000003</v>
          </cell>
          <cell r="F284">
            <v>143.604141077382</v>
          </cell>
          <cell r="G284">
            <v>114.24687330070691</v>
          </cell>
          <cell r="H284">
            <v>103.23726705430261</v>
          </cell>
        </row>
        <row r="285">
          <cell r="A285">
            <v>40462</v>
          </cell>
          <cell r="B285">
            <v>20.49</v>
          </cell>
          <cell r="C285">
            <v>21.53</v>
          </cell>
          <cell r="D285">
            <v>70946.490000000005</v>
          </cell>
          <cell r="F285">
            <v>143.81470433409368</v>
          </cell>
          <cell r="G285">
            <v>117.07449700924415</v>
          </cell>
          <cell r="H285">
            <v>103.43801525651347</v>
          </cell>
        </row>
        <row r="286">
          <cell r="A286">
            <v>40463</v>
          </cell>
          <cell r="B286">
            <v>20.49</v>
          </cell>
          <cell r="C286">
            <v>21.53</v>
          </cell>
          <cell r="D286">
            <v>70946.490000000005</v>
          </cell>
          <cell r="F286">
            <v>143.81470433409368</v>
          </cell>
          <cell r="G286">
            <v>117.07449700924415</v>
          </cell>
          <cell r="H286">
            <v>103.43801525651347</v>
          </cell>
        </row>
        <row r="287">
          <cell r="A287">
            <v>40464</v>
          </cell>
          <cell r="B287">
            <v>20.6</v>
          </cell>
          <cell r="C287">
            <v>21.25</v>
          </cell>
          <cell r="D287">
            <v>71674.899999999994</v>
          </cell>
          <cell r="F287">
            <v>144.58676960870329</v>
          </cell>
          <cell r="G287">
            <v>115.55193039695486</v>
          </cell>
          <cell r="H287">
            <v>104.50001683957973</v>
          </cell>
        </row>
        <row r="288">
          <cell r="A288">
            <v>40465</v>
          </cell>
          <cell r="B288">
            <v>20.079999999999998</v>
          </cell>
          <cell r="C288">
            <v>21</v>
          </cell>
          <cell r="D288">
            <v>71692.289999999994</v>
          </cell>
          <cell r="F288">
            <v>140.93700649236706</v>
          </cell>
          <cell r="G288">
            <v>114.19249592169658</v>
          </cell>
          <cell r="H288">
            <v>104.5253709773998</v>
          </cell>
        </row>
        <row r="289">
          <cell r="A289">
            <v>40466</v>
          </cell>
          <cell r="B289">
            <v>20.350000000000001</v>
          </cell>
          <cell r="C289">
            <v>21</v>
          </cell>
          <cell r="D289">
            <v>71830.179999999993</v>
          </cell>
          <cell r="F289">
            <v>142.83207580277241</v>
          </cell>
          <cell r="G289">
            <v>114.19249592169658</v>
          </cell>
          <cell r="H289">
            <v>104.72641077406517</v>
          </cell>
        </row>
        <row r="290">
          <cell r="A290">
            <v>40467</v>
          </cell>
          <cell r="B290">
            <v>20.350000000000001</v>
          </cell>
          <cell r="C290">
            <v>21</v>
          </cell>
          <cell r="D290">
            <v>71830.179999999993</v>
          </cell>
          <cell r="F290">
            <v>142.83207580277241</v>
          </cell>
          <cell r="G290">
            <v>114.19249592169658</v>
          </cell>
          <cell r="H290">
            <v>104.72641077406517</v>
          </cell>
        </row>
        <row r="291">
          <cell r="A291">
            <v>40468</v>
          </cell>
          <cell r="B291">
            <v>20.350000000000001</v>
          </cell>
          <cell r="C291">
            <v>21</v>
          </cell>
          <cell r="D291">
            <v>71830.179999999993</v>
          </cell>
          <cell r="F291">
            <v>142.83207580277241</v>
          </cell>
          <cell r="G291">
            <v>114.19249592169658</v>
          </cell>
          <cell r="H291">
            <v>104.72641077406517</v>
          </cell>
        </row>
        <row r="292">
          <cell r="A292">
            <v>40469</v>
          </cell>
          <cell r="B292">
            <v>19.87</v>
          </cell>
          <cell r="C292">
            <v>20.99</v>
          </cell>
          <cell r="D292">
            <v>71735.53</v>
          </cell>
          <cell r="F292">
            <v>139.46306369538516</v>
          </cell>
          <cell r="G292">
            <v>114.13811854268623</v>
          </cell>
          <cell r="H292">
            <v>104.58841369846597</v>
          </cell>
        </row>
        <row r="293">
          <cell r="A293">
            <v>40470</v>
          </cell>
          <cell r="B293">
            <v>19.899999999999999</v>
          </cell>
          <cell r="C293">
            <v>21</v>
          </cell>
          <cell r="D293">
            <v>69863.58</v>
          </cell>
          <cell r="F293">
            <v>139.67362695209684</v>
          </cell>
          <cell r="G293">
            <v>114.19249592169658</v>
          </cell>
          <cell r="H293">
            <v>101.85916250281934</v>
          </cell>
        </row>
        <row r="294">
          <cell r="A294">
            <v>40471</v>
          </cell>
          <cell r="B294">
            <v>20.03</v>
          </cell>
          <cell r="C294">
            <v>20.92</v>
          </cell>
          <cell r="D294">
            <v>70404.679999999993</v>
          </cell>
          <cell r="F294">
            <v>140.58606773118092</v>
          </cell>
          <cell r="G294">
            <v>113.75747688961393</v>
          </cell>
          <cell r="H294">
            <v>102.64807129950964</v>
          </cell>
          <cell r="I294">
            <v>0.3695928813019258</v>
          </cell>
          <cell r="J294">
            <v>0.10822809868184402</v>
          </cell>
        </row>
        <row r="295">
          <cell r="I295">
            <v>0.23584024167132744</v>
          </cell>
        </row>
      </sheetData>
      <sheetData sheetId="2">
        <row r="2">
          <cell r="B2" t="str">
            <v>SHL-AU</v>
          </cell>
          <cell r="C2" t="str">
            <v>DGX-US</v>
          </cell>
          <cell r="D2">
            <v>6869</v>
          </cell>
          <cell r="E2">
            <v>4544</v>
          </cell>
          <cell r="F2" t="str">
            <v>LH-US</v>
          </cell>
          <cell r="G2" t="str">
            <v>R01-SG</v>
          </cell>
          <cell r="H2" t="str">
            <v>BRLI-US</v>
          </cell>
          <cell r="I2" t="str">
            <v>GXDX-US</v>
          </cell>
          <cell r="J2" t="str">
            <v>RMD-US</v>
          </cell>
          <cell r="K2" t="str">
            <v>HSP-AU</v>
          </cell>
          <cell r="L2" t="str">
            <v>RDNT-US</v>
          </cell>
          <cell r="M2" t="str">
            <v>HWAY-US</v>
          </cell>
          <cell r="N2" t="str">
            <v>DASA3-BR</v>
          </cell>
          <cell r="O2" t="str">
            <v>FLRY3-BR</v>
          </cell>
          <cell r="Q2" t="str">
            <v>SHL-AU</v>
          </cell>
          <cell r="R2" t="str">
            <v>DGX-US</v>
          </cell>
          <cell r="S2">
            <v>6869</v>
          </cell>
          <cell r="T2">
            <v>4544</v>
          </cell>
          <cell r="U2" t="str">
            <v>LH-US</v>
          </cell>
          <cell r="V2" t="str">
            <v>R01-SG</v>
          </cell>
          <cell r="W2" t="str">
            <v>BRLI-US</v>
          </cell>
          <cell r="X2" t="str">
            <v>GXDX-US</v>
          </cell>
          <cell r="Y2" t="str">
            <v>RMD-US</v>
          </cell>
          <cell r="Z2" t="str">
            <v>HSP-AU</v>
          </cell>
          <cell r="AA2" t="str">
            <v>RDNT-US</v>
          </cell>
          <cell r="AB2" t="str">
            <v>HWAY-US</v>
          </cell>
          <cell r="AC2" t="str">
            <v>DASA3-BR</v>
          </cell>
          <cell r="AD2" t="str">
            <v>FLRY3-BR</v>
          </cell>
          <cell r="AF2" t="str">
            <v xml:space="preserve">Global </v>
          </cell>
          <cell r="AG2" t="str">
            <v xml:space="preserve">Brazilian </v>
          </cell>
        </row>
        <row r="3">
          <cell r="A3">
            <v>40179</v>
          </cell>
          <cell r="B3">
            <v>13.8230095</v>
          </cell>
          <cell r="C3">
            <v>60.38</v>
          </cell>
          <cell r="D3">
            <v>52.097320000000003</v>
          </cell>
          <cell r="E3">
            <v>27.337665999999999</v>
          </cell>
          <cell r="F3">
            <v>74.84</v>
          </cell>
          <cell r="G3">
            <v>1.0328004</v>
          </cell>
          <cell r="H3">
            <v>19.559999999999999</v>
          </cell>
          <cell r="I3">
            <v>35.53</v>
          </cell>
          <cell r="J3">
            <v>26.135000000000002</v>
          </cell>
          <cell r="K3">
            <v>4.5597050000000001</v>
          </cell>
          <cell r="L3">
            <v>2.04</v>
          </cell>
          <cell r="M3">
            <v>18.34</v>
          </cell>
          <cell r="N3">
            <v>8.1731870000000004</v>
          </cell>
          <cell r="O3">
            <v>10.549562999999999</v>
          </cell>
          <cell r="Q3">
            <v>100</v>
          </cell>
          <cell r="R3">
            <v>100</v>
          </cell>
          <cell r="S3">
            <v>100</v>
          </cell>
          <cell r="T3">
            <v>100</v>
          </cell>
          <cell r="U3">
            <v>100</v>
          </cell>
          <cell r="V3">
            <v>100</v>
          </cell>
          <cell r="W3">
            <v>100</v>
          </cell>
          <cell r="X3">
            <v>100</v>
          </cell>
          <cell r="Y3">
            <v>100</v>
          </cell>
          <cell r="Z3">
            <v>100</v>
          </cell>
          <cell r="AA3">
            <v>100</v>
          </cell>
          <cell r="AB3">
            <v>100</v>
          </cell>
          <cell r="AC3">
            <v>100</v>
          </cell>
          <cell r="AD3">
            <v>100</v>
          </cell>
          <cell r="AF3">
            <v>100</v>
          </cell>
          <cell r="AG3">
            <v>100</v>
          </cell>
        </row>
        <row r="4">
          <cell r="A4">
            <v>40180</v>
          </cell>
          <cell r="B4">
            <v>13.8230095</v>
          </cell>
          <cell r="C4">
            <v>60.38</v>
          </cell>
          <cell r="D4">
            <v>52.097320000000003</v>
          </cell>
          <cell r="E4">
            <v>27.337665999999999</v>
          </cell>
          <cell r="F4">
            <v>74.84</v>
          </cell>
          <cell r="G4">
            <v>1.0328004</v>
          </cell>
          <cell r="H4">
            <v>19.559999999999999</v>
          </cell>
          <cell r="I4">
            <v>35.53</v>
          </cell>
          <cell r="J4">
            <v>26.135000000000002</v>
          </cell>
          <cell r="K4">
            <v>4.5597050000000001</v>
          </cell>
          <cell r="L4">
            <v>2.04</v>
          </cell>
          <cell r="M4">
            <v>18.34</v>
          </cell>
          <cell r="N4">
            <v>8.1731870000000004</v>
          </cell>
          <cell r="O4">
            <v>10.549562999999999</v>
          </cell>
          <cell r="Q4">
            <v>100</v>
          </cell>
          <cell r="R4">
            <v>100</v>
          </cell>
          <cell r="S4">
            <v>100</v>
          </cell>
          <cell r="T4">
            <v>100</v>
          </cell>
          <cell r="U4">
            <v>100</v>
          </cell>
          <cell r="V4">
            <v>100</v>
          </cell>
          <cell r="W4">
            <v>100</v>
          </cell>
          <cell r="X4">
            <v>100</v>
          </cell>
          <cell r="Y4">
            <v>100</v>
          </cell>
          <cell r="Z4">
            <v>100</v>
          </cell>
          <cell r="AA4">
            <v>100</v>
          </cell>
          <cell r="AB4">
            <v>100</v>
          </cell>
          <cell r="AC4">
            <v>100</v>
          </cell>
          <cell r="AD4">
            <v>100</v>
          </cell>
          <cell r="AF4">
            <v>100</v>
          </cell>
          <cell r="AG4">
            <v>100</v>
          </cell>
        </row>
        <row r="5">
          <cell r="A5">
            <v>40181</v>
          </cell>
          <cell r="B5">
            <v>13.8230095</v>
          </cell>
          <cell r="C5">
            <v>60.38</v>
          </cell>
          <cell r="D5">
            <v>52.097320000000003</v>
          </cell>
          <cell r="E5">
            <v>27.337665999999999</v>
          </cell>
          <cell r="F5">
            <v>74.84</v>
          </cell>
          <cell r="G5">
            <v>1.0328004</v>
          </cell>
          <cell r="H5">
            <v>19.559999999999999</v>
          </cell>
          <cell r="I5">
            <v>35.53</v>
          </cell>
          <cell r="J5">
            <v>26.135000000000002</v>
          </cell>
          <cell r="K5">
            <v>4.5597050000000001</v>
          </cell>
          <cell r="L5">
            <v>2.04</v>
          </cell>
          <cell r="M5">
            <v>18.34</v>
          </cell>
          <cell r="N5">
            <v>8.1731870000000004</v>
          </cell>
          <cell r="O5">
            <v>10.549562999999999</v>
          </cell>
          <cell r="Q5">
            <v>100</v>
          </cell>
          <cell r="R5">
            <v>100</v>
          </cell>
          <cell r="S5">
            <v>100</v>
          </cell>
          <cell r="T5">
            <v>100</v>
          </cell>
          <cell r="U5">
            <v>100</v>
          </cell>
          <cell r="V5">
            <v>100</v>
          </cell>
          <cell r="W5">
            <v>100</v>
          </cell>
          <cell r="X5">
            <v>100</v>
          </cell>
          <cell r="Y5">
            <v>100</v>
          </cell>
          <cell r="Z5">
            <v>100</v>
          </cell>
          <cell r="AA5">
            <v>100</v>
          </cell>
          <cell r="AB5">
            <v>100</v>
          </cell>
          <cell r="AC5">
            <v>100</v>
          </cell>
          <cell r="AD5">
            <v>100</v>
          </cell>
          <cell r="AF5">
            <v>100</v>
          </cell>
          <cell r="AG5">
            <v>100</v>
          </cell>
        </row>
        <row r="6">
          <cell r="A6">
            <v>40182</v>
          </cell>
          <cell r="B6">
            <v>13.895096000000001</v>
          </cell>
          <cell r="C6">
            <v>61.16</v>
          </cell>
          <cell r="D6">
            <v>52.680019999999999</v>
          </cell>
          <cell r="E6">
            <v>27.937194999999999</v>
          </cell>
          <cell r="F6">
            <v>76.37</v>
          </cell>
          <cell r="G6">
            <v>1.0373072999999999</v>
          </cell>
          <cell r="H6">
            <v>19.885000000000002</v>
          </cell>
          <cell r="I6">
            <v>35.74</v>
          </cell>
          <cell r="J6">
            <v>26.395</v>
          </cell>
          <cell r="K6">
            <v>4.6773759999999998</v>
          </cell>
          <cell r="L6">
            <v>2.12</v>
          </cell>
          <cell r="M6">
            <v>18.899999999999999</v>
          </cell>
          <cell r="N6">
            <v>8.3463879999999993</v>
          </cell>
          <cell r="O6">
            <v>10.501886000000001</v>
          </cell>
          <cell r="Q6">
            <v>100.52149642232395</v>
          </cell>
          <cell r="R6">
            <v>101.29181848294135</v>
          </cell>
          <cell r="S6">
            <v>101.11848363792993</v>
          </cell>
          <cell r="T6">
            <v>102.19305115513519</v>
          </cell>
          <cell r="U6">
            <v>102.04436130411545</v>
          </cell>
          <cell r="V6">
            <v>100.43637667065195</v>
          </cell>
          <cell r="W6">
            <v>101.66155419222906</v>
          </cell>
          <cell r="X6">
            <v>100.59104981705602</v>
          </cell>
          <cell r="Y6">
            <v>100.99483451310502</v>
          </cell>
          <cell r="Z6">
            <v>102.58067133729045</v>
          </cell>
          <cell r="AA6">
            <v>103.92156862745099</v>
          </cell>
          <cell r="AB6">
            <v>103.0534351145038</v>
          </cell>
          <cell r="AC6">
            <v>102.11913663543974</v>
          </cell>
          <cell r="AD6">
            <v>99.548066588161049</v>
          </cell>
          <cell r="AF6">
            <v>101.70072510622778</v>
          </cell>
          <cell r="AG6">
            <v>100.83360161180039</v>
          </cell>
        </row>
        <row r="7">
          <cell r="A7">
            <v>40183</v>
          </cell>
          <cell r="B7">
            <v>13.945361999999999</v>
          </cell>
          <cell r="C7">
            <v>59.79</v>
          </cell>
          <cell r="D7">
            <v>52.545333999999997</v>
          </cell>
          <cell r="E7">
            <v>28.097006</v>
          </cell>
          <cell r="F7">
            <v>75.44</v>
          </cell>
          <cell r="G7">
            <v>1.0318513</v>
          </cell>
          <cell r="H7">
            <v>19.975000000000001</v>
          </cell>
          <cell r="I7">
            <v>35.58</v>
          </cell>
          <cell r="J7">
            <v>25.274999999999999</v>
          </cell>
          <cell r="K7">
            <v>4.5905389999999997</v>
          </cell>
          <cell r="L7">
            <v>2.1</v>
          </cell>
          <cell r="M7">
            <v>18.27</v>
          </cell>
          <cell r="N7">
            <v>8.4140890000000006</v>
          </cell>
          <cell r="O7">
            <v>10.445077</v>
          </cell>
          <cell r="Q7">
            <v>100.88513648203742</v>
          </cell>
          <cell r="R7">
            <v>99.022855250082813</v>
          </cell>
          <cell r="S7">
            <v>100.85995594399095</v>
          </cell>
          <cell r="T7">
            <v>102.77763288204633</v>
          </cell>
          <cell r="U7">
            <v>100.80171031533938</v>
          </cell>
          <cell r="V7">
            <v>99.908104218394968</v>
          </cell>
          <cell r="W7">
            <v>102.12167689161555</v>
          </cell>
          <cell r="X7">
            <v>100.1407261469181</v>
          </cell>
          <cell r="Y7">
            <v>96.70939353357565</v>
          </cell>
          <cell r="Z7">
            <v>100.67622795772971</v>
          </cell>
          <cell r="AA7">
            <v>102.94117647058825</v>
          </cell>
          <cell r="AB7">
            <v>99.618320610687022</v>
          </cell>
          <cell r="AC7">
            <v>102.94746712634864</v>
          </cell>
          <cell r="AD7">
            <v>99.009570349027726</v>
          </cell>
          <cell r="AF7">
            <v>100.53857639191718</v>
          </cell>
          <cell r="AG7">
            <v>100.97851873768818</v>
          </cell>
        </row>
        <row r="8">
          <cell r="A8">
            <v>40184</v>
          </cell>
          <cell r="B8">
            <v>13.78792</v>
          </cell>
          <cell r="C8">
            <v>58.87</v>
          </cell>
          <cell r="D8">
            <v>51.481299999999997</v>
          </cell>
          <cell r="E8">
            <v>27.553830000000001</v>
          </cell>
          <cell r="F8">
            <v>74.19</v>
          </cell>
          <cell r="G8">
            <v>1.0319992</v>
          </cell>
          <cell r="H8">
            <v>19.600000000000001</v>
          </cell>
          <cell r="I8">
            <v>34.86</v>
          </cell>
          <cell r="J8">
            <v>26.085000000000001</v>
          </cell>
          <cell r="K8">
            <v>4.6204200000000002</v>
          </cell>
          <cell r="L8">
            <v>2.04</v>
          </cell>
          <cell r="M8">
            <v>18.260000000000002</v>
          </cell>
          <cell r="N8">
            <v>8.1852330000000002</v>
          </cell>
          <cell r="O8">
            <v>10.778789</v>
          </cell>
          <cell r="Q8">
            <v>99.746151516426295</v>
          </cell>
          <cell r="R8">
            <v>97.499171911228871</v>
          </cell>
          <cell r="S8">
            <v>98.817559137398987</v>
          </cell>
          <cell r="T8">
            <v>100.79071856390374</v>
          </cell>
          <cell r="U8">
            <v>99.131480491715649</v>
          </cell>
          <cell r="V8">
            <v>99.922424507194236</v>
          </cell>
          <cell r="W8">
            <v>100.20449897750512</v>
          </cell>
          <cell r="X8">
            <v>98.114269631297489</v>
          </cell>
          <cell r="Y8">
            <v>99.808685670556713</v>
          </cell>
          <cell r="Z8">
            <v>101.33155544053838</v>
          </cell>
          <cell r="AA8">
            <v>100</v>
          </cell>
          <cell r="AB8">
            <v>99.56379498364231</v>
          </cell>
          <cell r="AC8">
            <v>100.14738436793382</v>
          </cell>
          <cell r="AD8">
            <v>102.17284829712851</v>
          </cell>
          <cell r="AF8">
            <v>99.577525902617325</v>
          </cell>
          <cell r="AG8">
            <v>101.16011633253117</v>
          </cell>
        </row>
        <row r="9">
          <cell r="A9">
            <v>40185</v>
          </cell>
          <cell r="B9">
            <v>13.644923</v>
          </cell>
          <cell r="C9">
            <v>59.44</v>
          </cell>
          <cell r="D9">
            <v>51.183002000000002</v>
          </cell>
          <cell r="E9">
            <v>27.297602000000001</v>
          </cell>
          <cell r="F9">
            <v>74.17</v>
          </cell>
          <cell r="G9">
            <v>1.0238419999999999</v>
          </cell>
          <cell r="H9">
            <v>19.36</v>
          </cell>
          <cell r="I9">
            <v>34.92</v>
          </cell>
          <cell r="J9">
            <v>26.13</v>
          </cell>
          <cell r="K9">
            <v>4.5483073999999997</v>
          </cell>
          <cell r="L9">
            <v>2.08</v>
          </cell>
          <cell r="M9">
            <v>18.309999999999999</v>
          </cell>
          <cell r="N9">
            <v>8.1931550000000009</v>
          </cell>
          <cell r="O9">
            <v>10.778269999999999</v>
          </cell>
          <cell r="Q9">
            <v>98.711666225795483</v>
          </cell>
          <cell r="R9">
            <v>98.443193110301422</v>
          </cell>
          <cell r="S9">
            <v>98.244980739892185</v>
          </cell>
          <cell r="T9">
            <v>99.853447620583268</v>
          </cell>
          <cell r="U9">
            <v>99.10475681453768</v>
          </cell>
          <cell r="V9">
            <v>99.132610715487715</v>
          </cell>
          <cell r="W9">
            <v>98.977505112474446</v>
          </cell>
          <cell r="X9">
            <v>98.283141007599212</v>
          </cell>
          <cell r="Y9">
            <v>99.980868567055666</v>
          </cell>
          <cell r="Z9">
            <v>99.750036460692073</v>
          </cell>
          <cell r="AA9">
            <v>101.96078431372548</v>
          </cell>
          <cell r="AB9">
            <v>99.836423118865852</v>
          </cell>
          <cell r="AC9">
            <v>100.24431106250231</v>
          </cell>
          <cell r="AD9">
            <v>102.16792866206875</v>
          </cell>
          <cell r="AF9">
            <v>99.356617817250864</v>
          </cell>
          <cell r="AG9">
            <v>101.20611986228553</v>
          </cell>
        </row>
        <row r="10">
          <cell r="A10">
            <v>40186</v>
          </cell>
          <cell r="B10">
            <v>13.581754</v>
          </cell>
          <cell r="C10">
            <v>59.44</v>
          </cell>
          <cell r="D10">
            <v>52.286180000000002</v>
          </cell>
          <cell r="E10">
            <v>27.380312</v>
          </cell>
          <cell r="F10">
            <v>74.06</v>
          </cell>
          <cell r="G10">
            <v>1.0245021999999999</v>
          </cell>
          <cell r="H10">
            <v>19.614999999999998</v>
          </cell>
          <cell r="I10">
            <v>34.19</v>
          </cell>
          <cell r="J10">
            <v>26.114999999999998</v>
          </cell>
          <cell r="K10">
            <v>4.6161409999999998</v>
          </cell>
          <cell r="L10">
            <v>2.11</v>
          </cell>
          <cell r="M10">
            <v>18.18</v>
          </cell>
          <cell r="N10">
            <v>8.2349549999999994</v>
          </cell>
          <cell r="O10">
            <v>10.993378</v>
          </cell>
          <cell r="Q10">
            <v>98.254681804277141</v>
          </cell>
          <cell r="R10">
            <v>98.443193110301422</v>
          </cell>
          <cell r="S10">
            <v>100.3625138490809</v>
          </cell>
          <cell r="T10">
            <v>100.15599722375714</v>
          </cell>
          <cell r="U10">
            <v>98.957776590058785</v>
          </cell>
          <cell r="V10">
            <v>99.196534005989918</v>
          </cell>
          <cell r="W10">
            <v>100.28118609406953</v>
          </cell>
          <cell r="X10">
            <v>96.228539262594978</v>
          </cell>
          <cell r="Y10">
            <v>99.923474268222677</v>
          </cell>
          <cell r="Z10">
            <v>101.23771165020543</v>
          </cell>
          <cell r="AA10">
            <v>103.4313725490196</v>
          </cell>
          <cell r="AB10">
            <v>99.127589967284621</v>
          </cell>
          <cell r="AC10">
            <v>100.75573946858182</v>
          </cell>
          <cell r="AD10">
            <v>104.20695151069293</v>
          </cell>
          <cell r="AF10">
            <v>99.633380864571848</v>
          </cell>
          <cell r="AG10">
            <v>102.48134548963738</v>
          </cell>
        </row>
        <row r="11">
          <cell r="A11">
            <v>40187</v>
          </cell>
          <cell r="B11">
            <v>13.581754</v>
          </cell>
          <cell r="C11">
            <v>59.44</v>
          </cell>
          <cell r="D11">
            <v>52.286180000000002</v>
          </cell>
          <cell r="E11">
            <v>27.380312</v>
          </cell>
          <cell r="F11">
            <v>74.06</v>
          </cell>
          <cell r="G11">
            <v>1.0245021999999999</v>
          </cell>
          <cell r="H11">
            <v>19.614999999999998</v>
          </cell>
          <cell r="I11">
            <v>34.19</v>
          </cell>
          <cell r="J11">
            <v>26.114999999999998</v>
          </cell>
          <cell r="K11">
            <v>4.6161409999999998</v>
          </cell>
          <cell r="L11">
            <v>2.11</v>
          </cell>
          <cell r="M11">
            <v>18.18</v>
          </cell>
          <cell r="N11">
            <v>8.2349549999999994</v>
          </cell>
          <cell r="O11">
            <v>10.993378</v>
          </cell>
          <cell r="Q11">
            <v>98.254681804277141</v>
          </cell>
          <cell r="R11">
            <v>98.443193110301422</v>
          </cell>
          <cell r="S11">
            <v>100.3625138490809</v>
          </cell>
          <cell r="T11">
            <v>100.15599722375714</v>
          </cell>
          <cell r="U11">
            <v>98.957776590058785</v>
          </cell>
          <cell r="V11">
            <v>99.196534005989918</v>
          </cell>
          <cell r="W11">
            <v>100.28118609406953</v>
          </cell>
          <cell r="X11">
            <v>96.228539262594978</v>
          </cell>
          <cell r="Y11">
            <v>99.923474268222677</v>
          </cell>
          <cell r="Z11">
            <v>101.23771165020543</v>
          </cell>
          <cell r="AA11">
            <v>103.4313725490196</v>
          </cell>
          <cell r="AB11">
            <v>99.127589967284621</v>
          </cell>
          <cell r="AC11">
            <v>100.75573946858182</v>
          </cell>
          <cell r="AD11">
            <v>104.20695151069293</v>
          </cell>
          <cell r="AF11">
            <v>99.633380864571848</v>
          </cell>
          <cell r="AG11">
            <v>102.48134548963738</v>
          </cell>
        </row>
        <row r="12">
          <cell r="A12">
            <v>40188</v>
          </cell>
          <cell r="B12">
            <v>13.581754</v>
          </cell>
          <cell r="C12">
            <v>59.44</v>
          </cell>
          <cell r="D12">
            <v>52.286180000000002</v>
          </cell>
          <cell r="E12">
            <v>27.380312</v>
          </cell>
          <cell r="F12">
            <v>74.06</v>
          </cell>
          <cell r="G12">
            <v>1.0245021999999999</v>
          </cell>
          <cell r="H12">
            <v>19.614999999999998</v>
          </cell>
          <cell r="I12">
            <v>34.19</v>
          </cell>
          <cell r="J12">
            <v>26.114999999999998</v>
          </cell>
          <cell r="K12">
            <v>4.6161409999999998</v>
          </cell>
          <cell r="L12">
            <v>2.11</v>
          </cell>
          <cell r="M12">
            <v>18.18</v>
          </cell>
          <cell r="N12">
            <v>8.2349549999999994</v>
          </cell>
          <cell r="O12">
            <v>10.993378</v>
          </cell>
          <cell r="Q12">
            <v>98.254681804277141</v>
          </cell>
          <cell r="R12">
            <v>98.443193110301422</v>
          </cell>
          <cell r="S12">
            <v>100.3625138490809</v>
          </cell>
          <cell r="T12">
            <v>100.15599722375714</v>
          </cell>
          <cell r="U12">
            <v>98.957776590058785</v>
          </cell>
          <cell r="V12">
            <v>99.196534005989918</v>
          </cell>
          <cell r="W12">
            <v>100.28118609406953</v>
          </cell>
          <cell r="X12">
            <v>96.228539262594978</v>
          </cell>
          <cell r="Y12">
            <v>99.923474268222677</v>
          </cell>
          <cell r="Z12">
            <v>101.23771165020543</v>
          </cell>
          <cell r="AA12">
            <v>103.4313725490196</v>
          </cell>
          <cell r="AB12">
            <v>99.127589967284621</v>
          </cell>
          <cell r="AC12">
            <v>100.75573946858182</v>
          </cell>
          <cell r="AD12">
            <v>104.20695151069293</v>
          </cell>
          <cell r="AF12">
            <v>99.633380864571848</v>
          </cell>
          <cell r="AG12">
            <v>102.48134548963738</v>
          </cell>
        </row>
        <row r="13">
          <cell r="A13">
            <v>40189</v>
          </cell>
          <cell r="B13">
            <v>14.038726</v>
          </cell>
          <cell r="C13">
            <v>59.59</v>
          </cell>
          <cell r="D13">
            <v>52.866314000000003</v>
          </cell>
          <cell r="E13">
            <v>27.684108999999999</v>
          </cell>
          <cell r="F13">
            <v>74.89</v>
          </cell>
          <cell r="G13">
            <v>1.038025</v>
          </cell>
          <cell r="H13">
            <v>19.68</v>
          </cell>
          <cell r="I13">
            <v>34.369999999999997</v>
          </cell>
          <cell r="J13">
            <v>26.42</v>
          </cell>
          <cell r="K13">
            <v>4.7199169999999997</v>
          </cell>
          <cell r="L13">
            <v>2.11</v>
          </cell>
          <cell r="M13">
            <v>17.97</v>
          </cell>
          <cell r="N13">
            <v>8.5223169999999993</v>
          </cell>
          <cell r="O13">
            <v>11.122346</v>
          </cell>
          <cell r="Q13">
            <v>101.56056103412214</v>
          </cell>
          <cell r="R13">
            <v>98.691619741636302</v>
          </cell>
          <cell r="S13">
            <v>101.47607208969673</v>
          </cell>
          <cell r="T13">
            <v>101.26727351193772</v>
          </cell>
          <cell r="U13">
            <v>100.06680919294494</v>
          </cell>
          <cell r="V13">
            <v>100.50586734861837</v>
          </cell>
          <cell r="W13">
            <v>100.61349693251533</v>
          </cell>
          <cell r="X13">
            <v>96.735153391500134</v>
          </cell>
          <cell r="Y13">
            <v>101.09049167782666</v>
          </cell>
          <cell r="Z13">
            <v>103.51364836102334</v>
          </cell>
          <cell r="AA13">
            <v>103.4313725490196</v>
          </cell>
          <cell r="AB13">
            <v>97.982551799345686</v>
          </cell>
          <cell r="AC13">
            <v>104.27165070369733</v>
          </cell>
          <cell r="AD13">
            <v>105.42944764631483</v>
          </cell>
          <cell r="AF13">
            <v>100.57790980251558</v>
          </cell>
          <cell r="AG13">
            <v>104.85054917500608</v>
          </cell>
        </row>
        <row r="14">
          <cell r="A14">
            <v>40190</v>
          </cell>
          <cell r="B14">
            <v>13.587075</v>
          </cell>
          <cell r="C14">
            <v>59.21</v>
          </cell>
          <cell r="D14">
            <v>56.197074999999998</v>
          </cell>
          <cell r="E14">
            <v>28.417463000000001</v>
          </cell>
          <cell r="F14">
            <v>73.81</v>
          </cell>
          <cell r="G14">
            <v>1.030111</v>
          </cell>
          <cell r="H14">
            <v>19.535</v>
          </cell>
          <cell r="I14">
            <v>34.79</v>
          </cell>
          <cell r="J14">
            <v>25.72</v>
          </cell>
          <cell r="K14">
            <v>4.6370060000000004</v>
          </cell>
          <cell r="L14">
            <v>2.06</v>
          </cell>
          <cell r="M14">
            <v>18.079999999999998</v>
          </cell>
          <cell r="N14">
            <v>8.3573269999999997</v>
          </cell>
          <cell r="O14">
            <v>11.287070999999999</v>
          </cell>
          <cell r="Q14">
            <v>98.293175592478619</v>
          </cell>
          <cell r="R14">
            <v>98.062272275587929</v>
          </cell>
          <cell r="S14">
            <v>107.86941631546496</v>
          </cell>
          <cell r="T14">
            <v>103.94985072975874</v>
          </cell>
          <cell r="U14">
            <v>98.623730625334048</v>
          </cell>
          <cell r="V14">
            <v>99.739601185282268</v>
          </cell>
          <cell r="W14">
            <v>99.872188139059318</v>
          </cell>
          <cell r="X14">
            <v>97.917253025612155</v>
          </cell>
          <cell r="Y14">
            <v>98.4120910656208</v>
          </cell>
          <cell r="Z14">
            <v>101.69530704288985</v>
          </cell>
          <cell r="AA14">
            <v>100.98039215686273</v>
          </cell>
          <cell r="AB14">
            <v>98.582333696837509</v>
          </cell>
          <cell r="AC14">
            <v>102.25297671520302</v>
          </cell>
          <cell r="AD14">
            <v>106.99088673151675</v>
          </cell>
          <cell r="AF14">
            <v>100.33313432089908</v>
          </cell>
          <cell r="AG14">
            <v>104.62193172335989</v>
          </cell>
        </row>
        <row r="15">
          <cell r="A15">
            <v>40191</v>
          </cell>
          <cell r="B15">
            <v>13.675155999999999</v>
          </cell>
          <cell r="C15">
            <v>59.94</v>
          </cell>
          <cell r="D15">
            <v>56.109589999999997</v>
          </cell>
          <cell r="E15">
            <v>28.120547999999999</v>
          </cell>
          <cell r="F15">
            <v>75.36</v>
          </cell>
          <cell r="G15">
            <v>1.0223549999999999</v>
          </cell>
          <cell r="H15">
            <v>19.87</v>
          </cell>
          <cell r="I15">
            <v>35.799999999999997</v>
          </cell>
          <cell r="J15">
            <v>26.1</v>
          </cell>
          <cell r="K15">
            <v>4.6045227000000004</v>
          </cell>
          <cell r="L15">
            <v>2.06</v>
          </cell>
          <cell r="M15">
            <v>18.07</v>
          </cell>
          <cell r="N15">
            <v>8.3335720000000002</v>
          </cell>
          <cell r="O15">
            <v>11.244956999999999</v>
          </cell>
          <cell r="Q15">
            <v>98.930381260318171</v>
          </cell>
          <cell r="R15">
            <v>99.271281881417679</v>
          </cell>
          <cell r="S15">
            <v>107.70149021101277</v>
          </cell>
          <cell r="T15">
            <v>102.86374849996338</v>
          </cell>
          <cell r="U15">
            <v>100.69481560662747</v>
          </cell>
          <cell r="V15">
            <v>98.988633234456529</v>
          </cell>
          <cell r="W15">
            <v>101.58486707566463</v>
          </cell>
          <cell r="X15">
            <v>100.7599211933577</v>
          </cell>
          <cell r="Y15">
            <v>99.866079969389716</v>
          </cell>
          <cell r="Z15">
            <v>100.9829078854882</v>
          </cell>
          <cell r="AA15">
            <v>100.98039215686273</v>
          </cell>
          <cell r="AB15">
            <v>98.527808069792812</v>
          </cell>
          <cell r="AC15">
            <v>101.96233121792024</v>
          </cell>
          <cell r="AD15">
            <v>106.59168536175385</v>
          </cell>
          <cell r="AF15">
            <v>100.92936058702934</v>
          </cell>
          <cell r="AG15">
            <v>104.27700828983704</v>
          </cell>
        </row>
        <row r="16">
          <cell r="A16">
            <v>40192</v>
          </cell>
          <cell r="B16">
            <v>13.681035</v>
          </cell>
          <cell r="C16">
            <v>60.9</v>
          </cell>
          <cell r="D16">
            <v>58.390957</v>
          </cell>
          <cell r="E16">
            <v>27.87839</v>
          </cell>
          <cell r="F16">
            <v>76.92</v>
          </cell>
          <cell r="G16">
            <v>1.0079193</v>
          </cell>
          <cell r="H16">
            <v>19.905000000000001</v>
          </cell>
          <cell r="I16">
            <v>35.72</v>
          </cell>
          <cell r="J16">
            <v>26.28</v>
          </cell>
          <cell r="K16">
            <v>4.5851459999999999</v>
          </cell>
          <cell r="L16">
            <v>2.04</v>
          </cell>
          <cell r="M16">
            <v>17.96</v>
          </cell>
          <cell r="N16">
            <v>8.159084</v>
          </cell>
          <cell r="O16">
            <v>11.302628</v>
          </cell>
          <cell r="Q16">
            <v>98.972911796088979</v>
          </cell>
          <cell r="R16">
            <v>100.86121232196091</v>
          </cell>
          <cell r="S16">
            <v>112.080538883766</v>
          </cell>
          <cell r="T16">
            <v>101.9779450081803</v>
          </cell>
          <cell r="U16">
            <v>102.77926242650987</v>
          </cell>
          <cell r="V16">
            <v>97.590909143722243</v>
          </cell>
          <cell r="W16">
            <v>101.76380368098161</v>
          </cell>
          <cell r="X16">
            <v>100.53475935828877</v>
          </cell>
          <cell r="Y16">
            <v>100.5548115553855</v>
          </cell>
          <cell r="Z16">
            <v>100.55795276229493</v>
          </cell>
          <cell r="AA16">
            <v>100</v>
          </cell>
          <cell r="AB16">
            <v>97.928026172300989</v>
          </cell>
          <cell r="AC16">
            <v>99.827447971030153</v>
          </cell>
          <cell r="AD16">
            <v>107.13835255545658</v>
          </cell>
          <cell r="AF16">
            <v>101.30017775912336</v>
          </cell>
          <cell r="AG16">
            <v>103.48290026324337</v>
          </cell>
        </row>
        <row r="17">
          <cell r="A17">
            <v>40193</v>
          </cell>
          <cell r="B17">
            <v>13.836277000000001</v>
          </cell>
          <cell r="C17">
            <v>60.25</v>
          </cell>
          <cell r="D17">
            <v>57.891260000000003</v>
          </cell>
          <cell r="E17">
            <v>28.516397000000001</v>
          </cell>
          <cell r="F17">
            <v>75.75</v>
          </cell>
          <cell r="G17">
            <v>1.0062169000000001</v>
          </cell>
          <cell r="H17">
            <v>19.850000000000001</v>
          </cell>
          <cell r="I17">
            <v>35.25</v>
          </cell>
          <cell r="J17">
            <v>26.08</v>
          </cell>
          <cell r="K17">
            <v>4.5813040000000003</v>
          </cell>
          <cell r="L17">
            <v>2.0499999999999998</v>
          </cell>
          <cell r="M17">
            <v>17.98</v>
          </cell>
          <cell r="N17">
            <v>8.0583589999999994</v>
          </cell>
          <cell r="O17">
            <v>11.145982999999999</v>
          </cell>
          <cell r="Q17">
            <v>100.09598126949129</v>
          </cell>
          <cell r="R17">
            <v>99.78469691950977</v>
          </cell>
          <cell r="S17">
            <v>111.12137822060713</v>
          </cell>
          <cell r="T17">
            <v>104.3117470233194</v>
          </cell>
          <cell r="U17">
            <v>101.21592731159808</v>
          </cell>
          <cell r="V17">
            <v>97.426075745129467</v>
          </cell>
          <cell r="W17">
            <v>101.48261758691208</v>
          </cell>
          <cell r="X17">
            <v>99.211933577258648</v>
          </cell>
          <cell r="Y17">
            <v>99.789554237612393</v>
          </cell>
          <cell r="Z17">
            <v>100.47369292530985</v>
          </cell>
          <cell r="AA17">
            <v>100.49019607843137</v>
          </cell>
          <cell r="AB17">
            <v>98.037077426390411</v>
          </cell>
          <cell r="AC17">
            <v>98.595064569059758</v>
          </cell>
          <cell r="AD17">
            <v>105.65350432051073</v>
          </cell>
          <cell r="AF17">
            <v>101.12007319346414</v>
          </cell>
          <cell r="AG17">
            <v>102.12428444478525</v>
          </cell>
        </row>
        <row r="18">
          <cell r="A18">
            <v>40194</v>
          </cell>
          <cell r="B18">
            <v>13.836277000000001</v>
          </cell>
          <cell r="C18">
            <v>60.25</v>
          </cell>
          <cell r="D18">
            <v>57.891260000000003</v>
          </cell>
          <cell r="E18">
            <v>28.516397000000001</v>
          </cell>
          <cell r="F18">
            <v>75.75</v>
          </cell>
          <cell r="G18">
            <v>1.0062169000000001</v>
          </cell>
          <cell r="H18">
            <v>19.850000000000001</v>
          </cell>
          <cell r="I18">
            <v>35.25</v>
          </cell>
          <cell r="J18">
            <v>26.08</v>
          </cell>
          <cell r="K18">
            <v>4.5813040000000003</v>
          </cell>
          <cell r="L18">
            <v>2.0499999999999998</v>
          </cell>
          <cell r="M18">
            <v>17.98</v>
          </cell>
          <cell r="N18">
            <v>8.0583589999999994</v>
          </cell>
          <cell r="O18">
            <v>11.145982999999999</v>
          </cell>
          <cell r="Q18">
            <v>100.09598126949129</v>
          </cell>
          <cell r="R18">
            <v>99.78469691950977</v>
          </cell>
          <cell r="S18">
            <v>111.12137822060713</v>
          </cell>
          <cell r="T18">
            <v>104.3117470233194</v>
          </cell>
          <cell r="U18">
            <v>101.21592731159808</v>
          </cell>
          <cell r="V18">
            <v>97.426075745129467</v>
          </cell>
          <cell r="W18">
            <v>101.48261758691208</v>
          </cell>
          <cell r="X18">
            <v>99.211933577258648</v>
          </cell>
          <cell r="Y18">
            <v>99.789554237612393</v>
          </cell>
          <cell r="Z18">
            <v>100.47369292530985</v>
          </cell>
          <cell r="AA18">
            <v>100.49019607843137</v>
          </cell>
          <cell r="AB18">
            <v>98.037077426390411</v>
          </cell>
          <cell r="AC18">
            <v>98.595064569059758</v>
          </cell>
          <cell r="AD18">
            <v>105.65350432051073</v>
          </cell>
          <cell r="AF18">
            <v>101.12007319346414</v>
          </cell>
          <cell r="AG18">
            <v>102.12428444478525</v>
          </cell>
        </row>
        <row r="19">
          <cell r="A19">
            <v>40195</v>
          </cell>
          <cell r="B19">
            <v>13.836277000000001</v>
          </cell>
          <cell r="C19">
            <v>60.25</v>
          </cell>
          <cell r="D19">
            <v>57.891260000000003</v>
          </cell>
          <cell r="E19">
            <v>28.516397000000001</v>
          </cell>
          <cell r="F19">
            <v>75.75</v>
          </cell>
          <cell r="G19">
            <v>1.0062169000000001</v>
          </cell>
          <cell r="H19">
            <v>19.850000000000001</v>
          </cell>
          <cell r="I19">
            <v>35.25</v>
          </cell>
          <cell r="J19">
            <v>26.08</v>
          </cell>
          <cell r="K19">
            <v>4.5813040000000003</v>
          </cell>
          <cell r="L19">
            <v>2.0499999999999998</v>
          </cell>
          <cell r="M19">
            <v>17.98</v>
          </cell>
          <cell r="N19">
            <v>8.0583589999999994</v>
          </cell>
          <cell r="O19">
            <v>11.145982999999999</v>
          </cell>
          <cell r="Q19">
            <v>100.09598126949129</v>
          </cell>
          <cell r="R19">
            <v>99.78469691950977</v>
          </cell>
          <cell r="S19">
            <v>111.12137822060713</v>
          </cell>
          <cell r="T19">
            <v>104.3117470233194</v>
          </cell>
          <cell r="U19">
            <v>101.21592731159808</v>
          </cell>
          <cell r="V19">
            <v>97.426075745129467</v>
          </cell>
          <cell r="W19">
            <v>101.48261758691208</v>
          </cell>
          <cell r="X19">
            <v>99.211933577258648</v>
          </cell>
          <cell r="Y19">
            <v>99.789554237612393</v>
          </cell>
          <cell r="Z19">
            <v>100.47369292530985</v>
          </cell>
          <cell r="AA19">
            <v>100.49019607843137</v>
          </cell>
          <cell r="AB19">
            <v>98.037077426390411</v>
          </cell>
          <cell r="AC19">
            <v>98.595064569059758</v>
          </cell>
          <cell r="AD19">
            <v>105.65350432051073</v>
          </cell>
          <cell r="AF19">
            <v>101.12007319346414</v>
          </cell>
          <cell r="AG19">
            <v>102.12428444478525</v>
          </cell>
        </row>
        <row r="20">
          <cell r="A20">
            <v>40196</v>
          </cell>
          <cell r="B20">
            <v>13.836277000000001</v>
          </cell>
          <cell r="C20">
            <v>60.25</v>
          </cell>
          <cell r="D20">
            <v>57.891260000000003</v>
          </cell>
          <cell r="E20">
            <v>28.516397000000001</v>
          </cell>
          <cell r="F20">
            <v>75.75</v>
          </cell>
          <cell r="G20">
            <v>1.0062169000000001</v>
          </cell>
          <cell r="H20">
            <v>19.850000000000001</v>
          </cell>
          <cell r="I20">
            <v>35.25</v>
          </cell>
          <cell r="J20">
            <v>26.08</v>
          </cell>
          <cell r="K20">
            <v>4.5813040000000003</v>
          </cell>
          <cell r="L20">
            <v>2.0499999999999998</v>
          </cell>
          <cell r="M20">
            <v>17.98</v>
          </cell>
          <cell r="N20">
            <v>8.0583589999999994</v>
          </cell>
          <cell r="O20">
            <v>11.145982999999999</v>
          </cell>
          <cell r="Q20">
            <v>100.09598126949129</v>
          </cell>
          <cell r="R20">
            <v>99.78469691950977</v>
          </cell>
          <cell r="S20">
            <v>111.12137822060713</v>
          </cell>
          <cell r="T20">
            <v>104.3117470233194</v>
          </cell>
          <cell r="U20">
            <v>101.21592731159808</v>
          </cell>
          <cell r="V20">
            <v>97.426075745129467</v>
          </cell>
          <cell r="W20">
            <v>101.48261758691208</v>
          </cell>
          <cell r="X20">
            <v>99.211933577258648</v>
          </cell>
          <cell r="Y20">
            <v>99.789554237612393</v>
          </cell>
          <cell r="Z20">
            <v>100.47369292530985</v>
          </cell>
          <cell r="AA20">
            <v>100.49019607843137</v>
          </cell>
          <cell r="AB20">
            <v>98.037077426390411</v>
          </cell>
          <cell r="AC20">
            <v>98.595064569059758</v>
          </cell>
          <cell r="AD20">
            <v>105.65350432051073</v>
          </cell>
          <cell r="AF20">
            <v>101.12007319346414</v>
          </cell>
          <cell r="AG20">
            <v>102.12428444478525</v>
          </cell>
        </row>
        <row r="21">
          <cell r="A21">
            <v>40197</v>
          </cell>
          <cell r="B21">
            <v>13.106593</v>
          </cell>
          <cell r="C21">
            <v>61.61</v>
          </cell>
          <cell r="D21">
            <v>56.256169999999997</v>
          </cell>
          <cell r="E21">
            <v>29.718170000000001</v>
          </cell>
          <cell r="F21">
            <v>76.569999999999993</v>
          </cell>
          <cell r="G21">
            <v>0.97799515999999997</v>
          </cell>
          <cell r="H21">
            <v>20.2</v>
          </cell>
          <cell r="I21">
            <v>35.06</v>
          </cell>
          <cell r="J21">
            <v>26.46</v>
          </cell>
          <cell r="K21">
            <v>4.5166482999999999</v>
          </cell>
          <cell r="L21">
            <v>2.2000000000000002</v>
          </cell>
          <cell r="M21">
            <v>18.440000000000001</v>
          </cell>
          <cell r="N21">
            <v>8.1828439999999993</v>
          </cell>
          <cell r="O21">
            <v>11.292325</v>
          </cell>
          <cell r="Q21">
            <v>94.817217625438232</v>
          </cell>
          <cell r="R21">
            <v>102.03709837694601</v>
          </cell>
          <cell r="S21">
            <v>107.98284825399847</v>
          </cell>
          <cell r="T21">
            <v>108.70778068617857</v>
          </cell>
          <cell r="U21">
            <v>102.31159807589523</v>
          </cell>
          <cell r="V21">
            <v>94.693530327834878</v>
          </cell>
          <cell r="W21">
            <v>103.27198364008181</v>
          </cell>
          <cell r="X21">
            <v>98.677174218969881</v>
          </cell>
          <cell r="Y21">
            <v>101.24354314138128</v>
          </cell>
          <cell r="Z21">
            <v>99.055713034066898</v>
          </cell>
          <cell r="AA21">
            <v>107.84313725490198</v>
          </cell>
          <cell r="AB21">
            <v>100.54525627044713</v>
          </cell>
          <cell r="AC21">
            <v>100.11815464395957</v>
          </cell>
          <cell r="AD21">
            <v>107.04068974231444</v>
          </cell>
          <cell r="AF21">
            <v>101.76557340884501</v>
          </cell>
          <cell r="AG21">
            <v>103.57942219313701</v>
          </cell>
        </row>
        <row r="22">
          <cell r="A22">
            <v>40198</v>
          </cell>
          <cell r="B22">
            <v>12.931940000000001</v>
          </cell>
          <cell r="C22">
            <v>60.64</v>
          </cell>
          <cell r="D22">
            <v>56.463107999999998</v>
          </cell>
          <cell r="E22">
            <v>30.259840000000001</v>
          </cell>
          <cell r="F22">
            <v>75.78</v>
          </cell>
          <cell r="G22">
            <v>0.97892106000000001</v>
          </cell>
          <cell r="H22">
            <v>19.96</v>
          </cell>
          <cell r="I22">
            <v>34.9</v>
          </cell>
          <cell r="J22">
            <v>26.465</v>
          </cell>
          <cell r="K22">
            <v>4.4533230000000001</v>
          </cell>
          <cell r="L22">
            <v>2.25</v>
          </cell>
          <cell r="M22">
            <v>19.12</v>
          </cell>
          <cell r="N22">
            <v>8.2244189999999993</v>
          </cell>
          <cell r="O22">
            <v>11.0310545</v>
          </cell>
          <cell r="Q22">
            <v>93.553722870551454</v>
          </cell>
          <cell r="R22">
            <v>100.43060616098045</v>
          </cell>
          <cell r="S22">
            <v>108.38006254448405</v>
          </cell>
          <cell r="T22">
            <v>110.68918612144871</v>
          </cell>
          <cell r="U22">
            <v>101.25601282736505</v>
          </cell>
          <cell r="V22">
            <v>94.783179789628278</v>
          </cell>
          <cell r="W22">
            <v>102.04498977505114</v>
          </cell>
          <cell r="X22">
            <v>98.226850548831962</v>
          </cell>
          <cell r="Y22">
            <v>101.2626745743256</v>
          </cell>
          <cell r="Z22">
            <v>97.666910468988675</v>
          </cell>
          <cell r="AA22">
            <v>110.29411764705883</v>
          </cell>
          <cell r="AB22">
            <v>104.25299890948747</v>
          </cell>
          <cell r="AC22">
            <v>100.62683014593938</v>
          </cell>
          <cell r="AD22">
            <v>104.56408952674154</v>
          </cell>
          <cell r="AF22">
            <v>101.90344268651681</v>
          </cell>
          <cell r="AG22">
            <v>102.59545983634047</v>
          </cell>
        </row>
        <row r="23">
          <cell r="A23">
            <v>40199</v>
          </cell>
          <cell r="B23">
            <v>13.159095000000001</v>
          </cell>
          <cell r="C23">
            <v>59.77</v>
          </cell>
          <cell r="D23">
            <v>55.592106000000001</v>
          </cell>
          <cell r="E23">
            <v>31.524121999999998</v>
          </cell>
          <cell r="F23">
            <v>74.599999999999994</v>
          </cell>
          <cell r="G23">
            <v>0.97606159999999997</v>
          </cell>
          <cell r="H23">
            <v>19.68</v>
          </cell>
          <cell r="I23">
            <v>34.159999999999997</v>
          </cell>
          <cell r="J23">
            <v>25.97</v>
          </cell>
          <cell r="K23">
            <v>4.3924025999999996</v>
          </cell>
          <cell r="L23">
            <v>2.14</v>
          </cell>
          <cell r="M23">
            <v>18.07</v>
          </cell>
          <cell r="N23">
            <v>8.1387269999999994</v>
          </cell>
          <cell r="O23">
            <v>10.909091999999999</v>
          </cell>
          <cell r="Q23">
            <v>95.197033612687605</v>
          </cell>
          <cell r="R23">
            <v>98.989731699238163</v>
          </cell>
          <cell r="S23">
            <v>106.7081876764486</v>
          </cell>
          <cell r="T23">
            <v>115.31387500308183</v>
          </cell>
          <cell r="U23">
            <v>99.679315873864226</v>
          </cell>
          <cell r="V23">
            <v>94.506315063394624</v>
          </cell>
          <cell r="W23">
            <v>100.61349693251533</v>
          </cell>
          <cell r="X23">
            <v>96.144103574444117</v>
          </cell>
          <cell r="Y23">
            <v>99.368662712837192</v>
          </cell>
          <cell r="Z23">
            <v>96.33085035106437</v>
          </cell>
          <cell r="AA23">
            <v>104.90196078431373</v>
          </cell>
          <cell r="AB23">
            <v>98.527808069792812</v>
          </cell>
          <cell r="AC23">
            <v>99.578377443217676</v>
          </cell>
          <cell r="AD23">
            <v>103.40799898536082</v>
          </cell>
          <cell r="AF23">
            <v>100.52344511280688</v>
          </cell>
          <cell r="AG23">
            <v>101.49318821428925</v>
          </cell>
        </row>
        <row r="24">
          <cell r="A24">
            <v>40200</v>
          </cell>
          <cell r="B24">
            <v>12.869811</v>
          </cell>
          <cell r="C24">
            <v>58.8</v>
          </cell>
          <cell r="D24">
            <v>55.614142999999999</v>
          </cell>
          <cell r="E24">
            <v>31.281569000000001</v>
          </cell>
          <cell r="F24">
            <v>72.27</v>
          </cell>
          <cell r="G24">
            <v>0.95502819999999999</v>
          </cell>
          <cell r="H24">
            <v>19.585000000000001</v>
          </cell>
          <cell r="I24">
            <v>33.56</v>
          </cell>
          <cell r="J24">
            <v>25.984999999999999</v>
          </cell>
          <cell r="K24">
            <v>4.3623409999999998</v>
          </cell>
          <cell r="L24">
            <v>2.14</v>
          </cell>
          <cell r="M24">
            <v>17.53</v>
          </cell>
          <cell r="N24">
            <v>7.9255877000000003</v>
          </cell>
          <cell r="O24">
            <v>10.732567</v>
          </cell>
          <cell r="Q24">
            <v>93.104262136259123</v>
          </cell>
          <cell r="R24">
            <v>97.383239483272604</v>
          </cell>
          <cell r="S24">
            <v>106.75048735712316</v>
          </cell>
          <cell r="T24">
            <v>114.42662661838068</v>
          </cell>
          <cell r="U24">
            <v>96.566007482629601</v>
          </cell>
          <cell r="V24">
            <v>92.469774411396429</v>
          </cell>
          <cell r="W24">
            <v>100.12781186094071</v>
          </cell>
          <cell r="X24">
            <v>94.455389811426969</v>
          </cell>
          <cell r="Y24">
            <v>99.426057011670167</v>
          </cell>
          <cell r="Z24">
            <v>95.671562085705091</v>
          </cell>
          <cell r="AA24">
            <v>104.90196078431373</v>
          </cell>
          <cell r="AB24">
            <v>95.583424209378421</v>
          </cell>
          <cell r="AC24">
            <v>96.970590541975852</v>
          </cell>
          <cell r="AD24">
            <v>101.73470692577504</v>
          </cell>
          <cell r="AF24">
            <v>99.23888360437472</v>
          </cell>
          <cell r="AG24">
            <v>99.352648733875441</v>
          </cell>
        </row>
        <row r="25">
          <cell r="A25">
            <v>40201</v>
          </cell>
          <cell r="B25">
            <v>12.869811</v>
          </cell>
          <cell r="C25">
            <v>58.8</v>
          </cell>
          <cell r="D25">
            <v>55.614142999999999</v>
          </cell>
          <cell r="E25">
            <v>31.281569000000001</v>
          </cell>
          <cell r="F25">
            <v>72.27</v>
          </cell>
          <cell r="G25">
            <v>0.95502819999999999</v>
          </cell>
          <cell r="H25">
            <v>19.585000000000001</v>
          </cell>
          <cell r="I25">
            <v>33.56</v>
          </cell>
          <cell r="J25">
            <v>25.984999999999999</v>
          </cell>
          <cell r="K25">
            <v>4.3623409999999998</v>
          </cell>
          <cell r="L25">
            <v>2.14</v>
          </cell>
          <cell r="M25">
            <v>17.53</v>
          </cell>
          <cell r="N25">
            <v>7.9255877000000003</v>
          </cell>
          <cell r="O25">
            <v>10.732567</v>
          </cell>
          <cell r="Q25">
            <v>93.104262136259123</v>
          </cell>
          <cell r="R25">
            <v>97.383239483272604</v>
          </cell>
          <cell r="S25">
            <v>106.75048735712316</v>
          </cell>
          <cell r="T25">
            <v>114.42662661838068</v>
          </cell>
          <cell r="U25">
            <v>96.566007482629601</v>
          </cell>
          <cell r="V25">
            <v>92.469774411396429</v>
          </cell>
          <cell r="W25">
            <v>100.12781186094071</v>
          </cell>
          <cell r="X25">
            <v>94.455389811426969</v>
          </cell>
          <cell r="Y25">
            <v>99.426057011670167</v>
          </cell>
          <cell r="Z25">
            <v>95.671562085705091</v>
          </cell>
          <cell r="AA25">
            <v>104.90196078431373</v>
          </cell>
          <cell r="AB25">
            <v>95.583424209378421</v>
          </cell>
          <cell r="AC25">
            <v>96.970590541975852</v>
          </cell>
          <cell r="AD25">
            <v>101.73470692577504</v>
          </cell>
          <cell r="AF25">
            <v>99.23888360437472</v>
          </cell>
          <cell r="AG25">
            <v>99.352648733875441</v>
          </cell>
        </row>
        <row r="26">
          <cell r="A26">
            <v>40202</v>
          </cell>
          <cell r="B26">
            <v>12.869811</v>
          </cell>
          <cell r="C26">
            <v>58.8</v>
          </cell>
          <cell r="D26">
            <v>55.614142999999999</v>
          </cell>
          <cell r="E26">
            <v>31.281569000000001</v>
          </cell>
          <cell r="F26">
            <v>72.27</v>
          </cell>
          <cell r="G26">
            <v>0.95502819999999999</v>
          </cell>
          <cell r="H26">
            <v>19.585000000000001</v>
          </cell>
          <cell r="I26">
            <v>33.56</v>
          </cell>
          <cell r="J26">
            <v>25.984999999999999</v>
          </cell>
          <cell r="K26">
            <v>4.3623409999999998</v>
          </cell>
          <cell r="L26">
            <v>2.14</v>
          </cell>
          <cell r="M26">
            <v>17.53</v>
          </cell>
          <cell r="N26">
            <v>7.9255877000000003</v>
          </cell>
          <cell r="O26">
            <v>10.732567</v>
          </cell>
          <cell r="Q26">
            <v>93.104262136259123</v>
          </cell>
          <cell r="R26">
            <v>97.383239483272604</v>
          </cell>
          <cell r="S26">
            <v>106.75048735712316</v>
          </cell>
          <cell r="T26">
            <v>114.42662661838068</v>
          </cell>
          <cell r="U26">
            <v>96.566007482629601</v>
          </cell>
          <cell r="V26">
            <v>92.469774411396429</v>
          </cell>
          <cell r="W26">
            <v>100.12781186094071</v>
          </cell>
          <cell r="X26">
            <v>94.455389811426969</v>
          </cell>
          <cell r="Y26">
            <v>99.426057011670167</v>
          </cell>
          <cell r="Z26">
            <v>95.671562085705091</v>
          </cell>
          <cell r="AA26">
            <v>104.90196078431373</v>
          </cell>
          <cell r="AB26">
            <v>95.583424209378421</v>
          </cell>
          <cell r="AC26">
            <v>96.970590541975852</v>
          </cell>
          <cell r="AD26">
            <v>101.73470692577504</v>
          </cell>
          <cell r="AF26">
            <v>99.23888360437472</v>
          </cell>
          <cell r="AG26">
            <v>99.352648733875441</v>
          </cell>
        </row>
        <row r="27">
          <cell r="A27">
            <v>40203</v>
          </cell>
          <cell r="B27">
            <v>13.01112</v>
          </cell>
          <cell r="C27">
            <v>57.44</v>
          </cell>
          <cell r="D27">
            <v>54.812762999999997</v>
          </cell>
          <cell r="E27">
            <v>30.34674</v>
          </cell>
          <cell r="F27">
            <v>73.05</v>
          </cell>
          <cell r="G27">
            <v>0.95724547000000004</v>
          </cell>
          <cell r="H27">
            <v>19.094999999999999</v>
          </cell>
          <cell r="I27">
            <v>32.6</v>
          </cell>
          <cell r="J27">
            <v>26.515000000000001</v>
          </cell>
          <cell r="K27">
            <v>4.3008986</v>
          </cell>
          <cell r="L27">
            <v>2.2200000000000002</v>
          </cell>
          <cell r="M27">
            <v>17.39</v>
          </cell>
          <cell r="N27">
            <v>7.8947370000000001</v>
          </cell>
          <cell r="O27">
            <v>10.690789000000001</v>
          </cell>
          <cell r="Q27">
            <v>94.126535903776968</v>
          </cell>
          <cell r="R27">
            <v>95.130838025836368</v>
          </cell>
          <cell r="S27">
            <v>105.21225084131005</v>
          </cell>
          <cell r="T27">
            <v>111.00706256342441</v>
          </cell>
          <cell r="U27">
            <v>97.608230892570816</v>
          </cell>
          <cell r="V27">
            <v>92.684459649705801</v>
          </cell>
          <cell r="W27">
            <v>97.622699386503058</v>
          </cell>
          <cell r="X27">
            <v>91.753447790599495</v>
          </cell>
          <cell r="Y27">
            <v>101.45398890376889</v>
          </cell>
          <cell r="Z27">
            <v>94.324053858747433</v>
          </cell>
          <cell r="AA27">
            <v>108.82352941176472</v>
          </cell>
          <cell r="AB27">
            <v>94.82006543075245</v>
          </cell>
          <cell r="AC27">
            <v>96.593128237491683</v>
          </cell>
          <cell r="AD27">
            <v>101.33869052206239</v>
          </cell>
          <cell r="AF27">
            <v>98.713930221563373</v>
          </cell>
          <cell r="AG27">
            <v>98.965909379777031</v>
          </cell>
        </row>
        <row r="28">
          <cell r="A28">
            <v>40204</v>
          </cell>
          <cell r="B28">
            <v>12.941998999999999</v>
          </cell>
          <cell r="C28">
            <v>57.52</v>
          </cell>
          <cell r="D28">
            <v>54.354506999999998</v>
          </cell>
          <cell r="E28">
            <v>31.070892000000001</v>
          </cell>
          <cell r="F28">
            <v>73.180000000000007</v>
          </cell>
          <cell r="G28">
            <v>0.96184676999999996</v>
          </cell>
          <cell r="H28">
            <v>18.91</v>
          </cell>
          <cell r="I28">
            <v>30.41</v>
          </cell>
          <cell r="J28">
            <v>26.734999999999999</v>
          </cell>
          <cell r="K28">
            <v>4.2780503999999997</v>
          </cell>
          <cell r="L28">
            <v>2.2200000000000002</v>
          </cell>
          <cell r="M28">
            <v>16.98</v>
          </cell>
          <cell r="N28">
            <v>7.8652595999999999</v>
          </cell>
          <cell r="O28">
            <v>10.517751000000001</v>
          </cell>
          <cell r="Q28">
            <v>93.626492841519067</v>
          </cell>
          <cell r="R28">
            <v>95.263332229214967</v>
          </cell>
          <cell r="S28">
            <v>104.33263553672241</v>
          </cell>
          <cell r="T28">
            <v>113.65597926318949</v>
          </cell>
          <cell r="U28">
            <v>97.781934794227681</v>
          </cell>
          <cell r="V28">
            <v>93.129976518212047</v>
          </cell>
          <cell r="W28">
            <v>96.676891615541933</v>
          </cell>
          <cell r="X28">
            <v>85.589642555586835</v>
          </cell>
          <cell r="Y28">
            <v>102.29577195331929</v>
          </cell>
          <cell r="Z28">
            <v>93.822964424233575</v>
          </cell>
          <cell r="AA28">
            <v>108.82352941176472</v>
          </cell>
          <cell r="AB28">
            <v>92.584514721919305</v>
          </cell>
          <cell r="AC28">
            <v>96.23246843611922</v>
          </cell>
          <cell r="AD28">
            <v>99.698451964313605</v>
          </cell>
          <cell r="AF28">
            <v>98.131972155454278</v>
          </cell>
          <cell r="AG28">
            <v>97.965460200216413</v>
          </cell>
        </row>
        <row r="29">
          <cell r="A29">
            <v>40205</v>
          </cell>
          <cell r="B29">
            <v>12.993907</v>
          </cell>
          <cell r="C29">
            <v>56.63</v>
          </cell>
          <cell r="D29">
            <v>53.840992</v>
          </cell>
          <cell r="E29">
            <v>31.029855999999999</v>
          </cell>
          <cell r="F29">
            <v>72.19</v>
          </cell>
          <cell r="G29">
            <v>0.97529719999999998</v>
          </cell>
          <cell r="H29">
            <v>19.18</v>
          </cell>
          <cell r="I29">
            <v>30.175000000000001</v>
          </cell>
          <cell r="J29">
            <v>26.335000000000001</v>
          </cell>
          <cell r="K29">
            <v>4.1788550000000004</v>
          </cell>
          <cell r="L29">
            <v>2.2200000000000002</v>
          </cell>
          <cell r="M29">
            <v>16.809999999999999</v>
          </cell>
          <cell r="N29">
            <v>7.7734813999999997</v>
          </cell>
          <cell r="O29">
            <v>10.407603</v>
          </cell>
          <cell r="Q29">
            <v>94.002011645872045</v>
          </cell>
          <cell r="R29">
            <v>93.789334216628021</v>
          </cell>
          <cell r="S29">
            <v>103.34695143627349</v>
          </cell>
          <cell r="T29">
            <v>113.50587134980725</v>
          </cell>
          <cell r="U29">
            <v>96.459112773917681</v>
          </cell>
          <cell r="V29">
            <v>94.432302698565962</v>
          </cell>
          <cell r="W29">
            <v>98.057259713701441</v>
          </cell>
          <cell r="X29">
            <v>84.928229665071768</v>
          </cell>
          <cell r="Y29">
            <v>100.76525731777311</v>
          </cell>
          <cell r="Z29">
            <v>91.647485966745663</v>
          </cell>
          <cell r="AA29">
            <v>108.82352941176472</v>
          </cell>
          <cell r="AB29">
            <v>91.657579062159215</v>
          </cell>
          <cell r="AC29">
            <v>95.109550289256802</v>
          </cell>
          <cell r="AD29">
            <v>98.654351843768325</v>
          </cell>
          <cell r="AF29">
            <v>97.617910438190009</v>
          </cell>
          <cell r="AG29">
            <v>96.881951066512556</v>
          </cell>
        </row>
        <row r="30">
          <cell r="A30">
            <v>40206</v>
          </cell>
          <cell r="B30">
            <v>12.947317999999999</v>
          </cell>
          <cell r="C30">
            <v>56.05</v>
          </cell>
          <cell r="D30">
            <v>56.154784999999997</v>
          </cell>
          <cell r="E30">
            <v>31.135325999999999</v>
          </cell>
          <cell r="F30">
            <v>71.040000000000006</v>
          </cell>
          <cell r="G30">
            <v>0.99048703999999999</v>
          </cell>
          <cell r="H30">
            <v>18.57</v>
          </cell>
          <cell r="I30">
            <v>30.95</v>
          </cell>
          <cell r="J30">
            <v>26.05</v>
          </cell>
          <cell r="K30">
            <v>4.2798824</v>
          </cell>
          <cell r="L30">
            <v>2.21</v>
          </cell>
          <cell r="M30">
            <v>16.7</v>
          </cell>
          <cell r="N30">
            <v>7.6540889999999999</v>
          </cell>
          <cell r="O30">
            <v>10.474016000000001</v>
          </cell>
          <cell r="Q30">
            <v>93.664972161091256</v>
          </cell>
          <cell r="R30">
            <v>92.828751242133151</v>
          </cell>
          <cell r="S30">
            <v>107.78824131452443</v>
          </cell>
          <cell r="T30">
            <v>113.89167604871608</v>
          </cell>
          <cell r="U30">
            <v>94.922501336183856</v>
          </cell>
          <cell r="V30">
            <v>95.90304573855704</v>
          </cell>
          <cell r="W30">
            <v>94.938650306748471</v>
          </cell>
          <cell r="X30">
            <v>87.109484942302274</v>
          </cell>
          <cell r="Y30">
            <v>99.674765639946429</v>
          </cell>
          <cell r="Z30">
            <v>93.863142462067174</v>
          </cell>
          <cell r="AA30">
            <v>108.33333333333333</v>
          </cell>
          <cell r="AB30">
            <v>91.057797164667392</v>
          </cell>
          <cell r="AC30">
            <v>93.648768833993387</v>
          </cell>
          <cell r="AD30">
            <v>99.283885029171373</v>
          </cell>
          <cell r="AF30">
            <v>97.831363474189232</v>
          </cell>
          <cell r="AG30">
            <v>96.466326931582387</v>
          </cell>
        </row>
        <row r="31">
          <cell r="A31">
            <v>40207</v>
          </cell>
          <cell r="B31">
            <v>12.612781</v>
          </cell>
          <cell r="C31">
            <v>55.67</v>
          </cell>
          <cell r="D31">
            <v>55.816006000000002</v>
          </cell>
          <cell r="E31">
            <v>29.893553000000001</v>
          </cell>
          <cell r="F31">
            <v>71.099999999999994</v>
          </cell>
          <cell r="G31">
            <v>0.98308110000000004</v>
          </cell>
          <cell r="H31">
            <v>18.899999999999999</v>
          </cell>
          <cell r="I31">
            <v>32.56</v>
          </cell>
          <cell r="J31">
            <v>25.57</v>
          </cell>
          <cell r="K31">
            <v>4.1598176999999996</v>
          </cell>
          <cell r="L31">
            <v>2.2000000000000002</v>
          </cell>
          <cell r="M31">
            <v>17.059999999999999</v>
          </cell>
          <cell r="N31">
            <v>7.7241635000000004</v>
          </cell>
          <cell r="O31">
            <v>10.414662</v>
          </cell>
          <cell r="Q31">
            <v>91.244826244241537</v>
          </cell>
          <cell r="R31">
            <v>92.199403776084793</v>
          </cell>
          <cell r="S31">
            <v>107.13796026359897</v>
          </cell>
          <cell r="T31">
            <v>109.3493241156725</v>
          </cell>
          <cell r="U31">
            <v>95.002672367717793</v>
          </cell>
          <cell r="V31">
            <v>95.185972042613471</v>
          </cell>
          <cell r="W31">
            <v>96.625766871165638</v>
          </cell>
          <cell r="X31">
            <v>91.640866873065022</v>
          </cell>
          <cell r="Y31">
            <v>97.838148077290981</v>
          </cell>
          <cell r="Z31">
            <v>91.229974307548389</v>
          </cell>
          <cell r="AA31">
            <v>107.84313725490198</v>
          </cell>
          <cell r="AB31">
            <v>93.020719738276981</v>
          </cell>
          <cell r="AC31">
            <v>94.506139404371879</v>
          </cell>
          <cell r="AD31">
            <v>98.721264568020501</v>
          </cell>
          <cell r="AF31">
            <v>97.359897661014827</v>
          </cell>
          <cell r="AG31">
            <v>96.61370198619619</v>
          </cell>
        </row>
        <row r="32">
          <cell r="A32">
            <v>40208</v>
          </cell>
          <cell r="B32">
            <v>12.612781</v>
          </cell>
          <cell r="C32">
            <v>55.67</v>
          </cell>
          <cell r="D32">
            <v>55.816006000000002</v>
          </cell>
          <cell r="E32">
            <v>29.893553000000001</v>
          </cell>
          <cell r="F32">
            <v>71.099999999999994</v>
          </cell>
          <cell r="G32">
            <v>0.98308110000000004</v>
          </cell>
          <cell r="H32">
            <v>18.899999999999999</v>
          </cell>
          <cell r="I32">
            <v>32.56</v>
          </cell>
          <cell r="J32">
            <v>25.57</v>
          </cell>
          <cell r="K32">
            <v>4.1598176999999996</v>
          </cell>
          <cell r="L32">
            <v>2.2000000000000002</v>
          </cell>
          <cell r="M32">
            <v>17.059999999999999</v>
          </cell>
          <cell r="N32">
            <v>7.7241635000000004</v>
          </cell>
          <cell r="O32">
            <v>10.414662</v>
          </cell>
          <cell r="Q32">
            <v>91.244826244241537</v>
          </cell>
          <cell r="R32">
            <v>92.199403776084793</v>
          </cell>
          <cell r="S32">
            <v>107.13796026359897</v>
          </cell>
          <cell r="T32">
            <v>109.3493241156725</v>
          </cell>
          <cell r="U32">
            <v>95.002672367717793</v>
          </cell>
          <cell r="V32">
            <v>95.185972042613471</v>
          </cell>
          <cell r="W32">
            <v>96.625766871165638</v>
          </cell>
          <cell r="X32">
            <v>91.640866873065022</v>
          </cell>
          <cell r="Y32">
            <v>97.838148077290981</v>
          </cell>
          <cell r="Z32">
            <v>91.229974307548389</v>
          </cell>
          <cell r="AA32">
            <v>107.84313725490198</v>
          </cell>
          <cell r="AB32">
            <v>93.020719738276981</v>
          </cell>
          <cell r="AC32">
            <v>94.506139404371879</v>
          </cell>
          <cell r="AD32">
            <v>98.721264568020501</v>
          </cell>
          <cell r="AF32">
            <v>97.359897661014827</v>
          </cell>
          <cell r="AG32">
            <v>96.61370198619619</v>
          </cell>
        </row>
        <row r="33">
          <cell r="A33">
            <v>40209</v>
          </cell>
          <cell r="B33">
            <v>12.612781</v>
          </cell>
          <cell r="C33">
            <v>55.67</v>
          </cell>
          <cell r="D33">
            <v>55.816006000000002</v>
          </cell>
          <cell r="E33">
            <v>29.893553000000001</v>
          </cell>
          <cell r="F33">
            <v>71.099999999999994</v>
          </cell>
          <cell r="G33">
            <v>0.98308110000000004</v>
          </cell>
          <cell r="H33">
            <v>18.899999999999999</v>
          </cell>
          <cell r="I33">
            <v>32.56</v>
          </cell>
          <cell r="J33">
            <v>25.57</v>
          </cell>
          <cell r="K33">
            <v>4.1598176999999996</v>
          </cell>
          <cell r="L33">
            <v>2.2000000000000002</v>
          </cell>
          <cell r="M33">
            <v>17.059999999999999</v>
          </cell>
          <cell r="N33">
            <v>7.7241635000000004</v>
          </cell>
          <cell r="O33">
            <v>10.414662</v>
          </cell>
          <cell r="Q33">
            <v>91.244826244241537</v>
          </cell>
          <cell r="R33">
            <v>92.199403776084793</v>
          </cell>
          <cell r="S33">
            <v>107.13796026359897</v>
          </cell>
          <cell r="T33">
            <v>109.3493241156725</v>
          </cell>
          <cell r="U33">
            <v>95.002672367717793</v>
          </cell>
          <cell r="V33">
            <v>95.185972042613471</v>
          </cell>
          <cell r="W33">
            <v>96.625766871165638</v>
          </cell>
          <cell r="X33">
            <v>91.640866873065022</v>
          </cell>
          <cell r="Y33">
            <v>97.838148077290981</v>
          </cell>
          <cell r="Z33">
            <v>91.229974307548389</v>
          </cell>
          <cell r="AA33">
            <v>107.84313725490198</v>
          </cell>
          <cell r="AB33">
            <v>93.020719738276981</v>
          </cell>
          <cell r="AC33">
            <v>94.506139404371879</v>
          </cell>
          <cell r="AD33">
            <v>98.721264568020501</v>
          </cell>
          <cell r="AF33">
            <v>97.359897661014827</v>
          </cell>
          <cell r="AG33">
            <v>96.61370198619619</v>
          </cell>
        </row>
        <row r="34">
          <cell r="A34">
            <v>40210</v>
          </cell>
          <cell r="B34">
            <v>12.746661</v>
          </cell>
          <cell r="C34">
            <v>56.44</v>
          </cell>
          <cell r="D34">
            <v>55.962542999999997</v>
          </cell>
          <cell r="E34">
            <v>30.492977</v>
          </cell>
          <cell r="F34">
            <v>71.599999999999994</v>
          </cell>
          <cell r="G34">
            <v>0.98379225000000003</v>
          </cell>
          <cell r="H34">
            <v>18.809999999999999</v>
          </cell>
          <cell r="I34">
            <v>31.67</v>
          </cell>
          <cell r="J34">
            <v>25.734999999999999</v>
          </cell>
          <cell r="K34">
            <v>4.2518399999999996</v>
          </cell>
          <cell r="L34">
            <v>2.27</v>
          </cell>
          <cell r="M34">
            <v>17.13</v>
          </cell>
          <cell r="N34">
            <v>7.8474139999999997</v>
          </cell>
          <cell r="O34">
            <v>10.270545</v>
          </cell>
          <cell r="Q34">
            <v>92.213356288295984</v>
          </cell>
          <cell r="R34">
            <v>93.474660483603827</v>
          </cell>
          <cell r="S34">
            <v>107.4192357687497</v>
          </cell>
          <cell r="T34">
            <v>111.54199118534845</v>
          </cell>
          <cell r="U34">
            <v>95.670764297167281</v>
          </cell>
          <cell r="V34">
            <v>95.254828522529621</v>
          </cell>
          <cell r="W34">
            <v>96.165644171779135</v>
          </cell>
          <cell r="X34">
            <v>89.135941457922883</v>
          </cell>
          <cell r="Y34">
            <v>98.469485364453789</v>
          </cell>
          <cell r="Z34">
            <v>93.248137763298274</v>
          </cell>
          <cell r="AA34">
            <v>111.27450980392157</v>
          </cell>
          <cell r="AB34">
            <v>93.402399127589959</v>
          </cell>
          <cell r="AC34">
            <v>96.014125212111253</v>
          </cell>
          <cell r="AD34">
            <v>97.35517006723407</v>
          </cell>
          <cell r="AF34">
            <v>98.105912852888366</v>
          </cell>
          <cell r="AG34">
            <v>96.684647639672662</v>
          </cell>
        </row>
        <row r="35">
          <cell r="A35">
            <v>40211</v>
          </cell>
          <cell r="B35">
            <v>12.6595955</v>
          </cell>
          <cell r="C35">
            <v>57</v>
          </cell>
          <cell r="D35">
            <v>57.221912000000003</v>
          </cell>
          <cell r="E35">
            <v>30.160485999999999</v>
          </cell>
          <cell r="F35">
            <v>72.599999999999994</v>
          </cell>
          <cell r="G35">
            <v>0.99318949999999995</v>
          </cell>
          <cell r="H35">
            <v>19.024999999999999</v>
          </cell>
          <cell r="I35">
            <v>31.42</v>
          </cell>
          <cell r="J35">
            <v>26.105</v>
          </cell>
          <cell r="K35">
            <v>4.1550349999999998</v>
          </cell>
          <cell r="L35">
            <v>2.5</v>
          </cell>
          <cell r="M35">
            <v>17.149999999999999</v>
          </cell>
          <cell r="N35">
            <v>8.2925500000000003</v>
          </cell>
          <cell r="O35">
            <v>10.277324</v>
          </cell>
          <cell r="Q35">
            <v>91.583497066973734</v>
          </cell>
          <cell r="R35">
            <v>94.402119907254061</v>
          </cell>
          <cell r="S35">
            <v>109.83657508677989</v>
          </cell>
          <cell r="T35">
            <v>110.32575348605107</v>
          </cell>
          <cell r="U35">
            <v>97.006948156066258</v>
          </cell>
          <cell r="V35">
            <v>96.164709076410119</v>
          </cell>
          <cell r="W35">
            <v>97.264826175869118</v>
          </cell>
          <cell r="X35">
            <v>88.432310723332392</v>
          </cell>
          <cell r="Y35">
            <v>99.885211402334022</v>
          </cell>
          <cell r="Z35">
            <v>91.12508374993557</v>
          </cell>
          <cell r="AA35">
            <v>122.54901960784315</v>
          </cell>
          <cell r="AB35">
            <v>93.511450381679381</v>
          </cell>
          <cell r="AC35">
            <v>101.46042174246104</v>
          </cell>
          <cell r="AD35">
            <v>97.419428653111041</v>
          </cell>
          <cell r="AF35">
            <v>99.340625401710724</v>
          </cell>
          <cell r="AG35">
            <v>99.439925197786039</v>
          </cell>
        </row>
        <row r="36">
          <cell r="A36">
            <v>40212</v>
          </cell>
          <cell r="B36">
            <v>12.736465000000001</v>
          </cell>
          <cell r="C36">
            <v>56.48</v>
          </cell>
          <cell r="D36">
            <v>56.831924000000001</v>
          </cell>
          <cell r="E36">
            <v>30.570518</v>
          </cell>
          <cell r="F36">
            <v>71.8</v>
          </cell>
          <cell r="G36">
            <v>0.99164180000000002</v>
          </cell>
          <cell r="H36">
            <v>19.18</v>
          </cell>
          <cell r="I36">
            <v>31.05</v>
          </cell>
          <cell r="J36">
            <v>26.08</v>
          </cell>
          <cell r="K36">
            <v>4.1159452999999999</v>
          </cell>
          <cell r="L36">
            <v>2.46</v>
          </cell>
          <cell r="M36">
            <v>17.059999999999999</v>
          </cell>
          <cell r="N36">
            <v>8.3428135000000001</v>
          </cell>
          <cell r="O36">
            <v>10.23349</v>
          </cell>
          <cell r="Q36">
            <v>92.139595216222631</v>
          </cell>
          <cell r="R36">
            <v>93.540907585293127</v>
          </cell>
          <cell r="S36">
            <v>109.08799915235564</v>
          </cell>
          <cell r="T36">
            <v>111.82563281005775</v>
          </cell>
          <cell r="U36">
            <v>95.938001068947074</v>
          </cell>
          <cell r="V36">
            <v>96.014854370699325</v>
          </cell>
          <cell r="W36">
            <v>98.057259713701441</v>
          </cell>
          <cell r="X36">
            <v>87.390937236138484</v>
          </cell>
          <cell r="Y36">
            <v>99.789554237612393</v>
          </cell>
          <cell r="Z36">
            <v>90.267798026407405</v>
          </cell>
          <cell r="AA36">
            <v>120.58823529411764</v>
          </cell>
          <cell r="AB36">
            <v>93.020719738276981</v>
          </cell>
          <cell r="AC36">
            <v>102.07540216564234</v>
          </cell>
          <cell r="AD36">
            <v>97.003923290471846</v>
          </cell>
          <cell r="AF36">
            <v>98.971791204152495</v>
          </cell>
          <cell r="AG36">
            <v>99.539662728057095</v>
          </cell>
        </row>
        <row r="37">
          <cell r="A37">
            <v>40213</v>
          </cell>
          <cell r="B37">
            <v>12.443592000000001</v>
          </cell>
          <cell r="C37">
            <v>55.43</v>
          </cell>
          <cell r="D37">
            <v>60.780518000000001</v>
          </cell>
          <cell r="E37">
            <v>30.877388</v>
          </cell>
          <cell r="F37">
            <v>70.540000000000006</v>
          </cell>
          <cell r="G37">
            <v>0.97306440000000005</v>
          </cell>
          <cell r="H37">
            <v>18.920000000000002</v>
          </cell>
          <cell r="I37">
            <v>32.6</v>
          </cell>
          <cell r="J37">
            <v>25.465</v>
          </cell>
          <cell r="K37">
            <v>4.0868659999999997</v>
          </cell>
          <cell r="L37">
            <v>2.19</v>
          </cell>
          <cell r="M37">
            <v>16.149999999999999</v>
          </cell>
          <cell r="N37">
            <v>7.7420726000000002</v>
          </cell>
          <cell r="O37">
            <v>9.5079010000000004</v>
          </cell>
          <cell r="Q37">
            <v>90.020859784549828</v>
          </cell>
          <cell r="R37">
            <v>91.801921165948983</v>
          </cell>
          <cell r="S37">
            <v>116.6672642661849</v>
          </cell>
          <cell r="T37">
            <v>112.94814999934523</v>
          </cell>
          <cell r="U37">
            <v>94.254409406734368</v>
          </cell>
          <cell r="V37">
            <v>94.216113781520619</v>
          </cell>
          <cell r="W37">
            <v>96.728016359918215</v>
          </cell>
          <cell r="X37">
            <v>91.753447790599495</v>
          </cell>
          <cell r="Y37">
            <v>97.436387985460101</v>
          </cell>
          <cell r="Z37">
            <v>89.630052821399616</v>
          </cell>
          <cell r="AA37">
            <v>107.35294117647058</v>
          </cell>
          <cell r="AB37">
            <v>88.05888767720829</v>
          </cell>
          <cell r="AC37">
            <v>94.725259559092436</v>
          </cell>
          <cell r="AD37">
            <v>90.126017542148446</v>
          </cell>
          <cell r="AF37">
            <v>97.572371017945031</v>
          </cell>
          <cell r="AG37">
            <v>92.425638550620448</v>
          </cell>
        </row>
        <row r="38">
          <cell r="A38">
            <v>40214</v>
          </cell>
          <cell r="B38">
            <v>12.478343000000001</v>
          </cell>
          <cell r="C38">
            <v>55.6</v>
          </cell>
          <cell r="D38">
            <v>61.548789999999997</v>
          </cell>
          <cell r="E38">
            <v>30.528199999999998</v>
          </cell>
          <cell r="F38">
            <v>70.64</v>
          </cell>
          <cell r="G38">
            <v>0.93549979999999999</v>
          </cell>
          <cell r="H38">
            <v>19</v>
          </cell>
          <cell r="I38">
            <v>32.39</v>
          </cell>
          <cell r="J38">
            <v>27.45</v>
          </cell>
          <cell r="K38">
            <v>4.0037929999999999</v>
          </cell>
          <cell r="L38">
            <v>2.2000000000000002</v>
          </cell>
          <cell r="M38">
            <v>15.93</v>
          </cell>
          <cell r="N38">
            <v>7.6853337000000002</v>
          </cell>
          <cell r="O38">
            <v>9.4346680000000003</v>
          </cell>
          <cell r="Q38">
            <v>90.27225945261776</v>
          </cell>
          <cell r="R38">
            <v>92.083471348128526</v>
          </cell>
          <cell r="S38">
            <v>118.14195048804812</v>
          </cell>
          <cell r="T38">
            <v>111.6708353961161</v>
          </cell>
          <cell r="U38">
            <v>94.388027792624257</v>
          </cell>
          <cell r="V38">
            <v>90.578954074766045</v>
          </cell>
          <cell r="W38">
            <v>97.137014314928422</v>
          </cell>
          <cell r="X38">
            <v>91.162397973543492</v>
          </cell>
          <cell r="Y38">
            <v>105.03156686435813</v>
          </cell>
          <cell r="Z38">
            <v>87.808158641841956</v>
          </cell>
          <cell r="AA38">
            <v>107.84313725490198</v>
          </cell>
          <cell r="AB38">
            <v>86.859323882224643</v>
          </cell>
          <cell r="AC38">
            <v>94.031051779434378</v>
          </cell>
          <cell r="AD38">
            <v>89.431837129177779</v>
          </cell>
          <cell r="AF38">
            <v>97.748091457008272</v>
          </cell>
          <cell r="AG38">
            <v>91.731444454306086</v>
          </cell>
        </row>
        <row r="39">
          <cell r="A39">
            <v>40215</v>
          </cell>
          <cell r="B39">
            <v>12.478343000000001</v>
          </cell>
          <cell r="C39">
            <v>55.6</v>
          </cell>
          <cell r="D39">
            <v>61.548789999999997</v>
          </cell>
          <cell r="E39">
            <v>30.528199999999998</v>
          </cell>
          <cell r="F39">
            <v>70.64</v>
          </cell>
          <cell r="G39">
            <v>0.93549979999999999</v>
          </cell>
          <cell r="H39">
            <v>19</v>
          </cell>
          <cell r="I39">
            <v>32.39</v>
          </cell>
          <cell r="J39">
            <v>27.45</v>
          </cell>
          <cell r="K39">
            <v>4.0037929999999999</v>
          </cell>
          <cell r="L39">
            <v>2.2000000000000002</v>
          </cell>
          <cell r="M39">
            <v>15.93</v>
          </cell>
          <cell r="N39">
            <v>7.6853337000000002</v>
          </cell>
          <cell r="O39">
            <v>9.4346680000000003</v>
          </cell>
          <cell r="Q39">
            <v>90.27225945261776</v>
          </cell>
          <cell r="R39">
            <v>92.083471348128526</v>
          </cell>
          <cell r="S39">
            <v>118.14195048804812</v>
          </cell>
          <cell r="T39">
            <v>111.6708353961161</v>
          </cell>
          <cell r="U39">
            <v>94.388027792624257</v>
          </cell>
          <cell r="V39">
            <v>90.578954074766045</v>
          </cell>
          <cell r="W39">
            <v>97.137014314928422</v>
          </cell>
          <cell r="X39">
            <v>91.162397973543492</v>
          </cell>
          <cell r="Y39">
            <v>105.03156686435813</v>
          </cell>
          <cell r="Z39">
            <v>87.808158641841956</v>
          </cell>
          <cell r="AA39">
            <v>107.84313725490198</v>
          </cell>
          <cell r="AB39">
            <v>86.859323882224643</v>
          </cell>
          <cell r="AC39">
            <v>94.031051779434378</v>
          </cell>
          <cell r="AD39">
            <v>89.431837129177779</v>
          </cell>
          <cell r="AF39">
            <v>97.748091457008272</v>
          </cell>
          <cell r="AG39">
            <v>91.731444454306086</v>
          </cell>
        </row>
        <row r="40">
          <cell r="A40">
            <v>40216</v>
          </cell>
          <cell r="B40">
            <v>12.478343000000001</v>
          </cell>
          <cell r="C40">
            <v>55.6</v>
          </cell>
          <cell r="D40">
            <v>61.548789999999997</v>
          </cell>
          <cell r="E40">
            <v>30.528199999999998</v>
          </cell>
          <cell r="F40">
            <v>70.64</v>
          </cell>
          <cell r="G40">
            <v>0.93549979999999999</v>
          </cell>
          <cell r="H40">
            <v>19</v>
          </cell>
          <cell r="I40">
            <v>32.39</v>
          </cell>
          <cell r="J40">
            <v>27.45</v>
          </cell>
          <cell r="K40">
            <v>4.0037929999999999</v>
          </cell>
          <cell r="L40">
            <v>2.2000000000000002</v>
          </cell>
          <cell r="M40">
            <v>15.93</v>
          </cell>
          <cell r="N40">
            <v>7.6853337000000002</v>
          </cell>
          <cell r="O40">
            <v>9.4346680000000003</v>
          </cell>
          <cell r="Q40">
            <v>90.27225945261776</v>
          </cell>
          <cell r="R40">
            <v>92.083471348128526</v>
          </cell>
          <cell r="S40">
            <v>118.14195048804812</v>
          </cell>
          <cell r="T40">
            <v>111.6708353961161</v>
          </cell>
          <cell r="U40">
            <v>94.388027792624257</v>
          </cell>
          <cell r="V40">
            <v>90.578954074766045</v>
          </cell>
          <cell r="W40">
            <v>97.137014314928422</v>
          </cell>
          <cell r="X40">
            <v>91.162397973543492</v>
          </cell>
          <cell r="Y40">
            <v>105.03156686435813</v>
          </cell>
          <cell r="Z40">
            <v>87.808158641841956</v>
          </cell>
          <cell r="AA40">
            <v>107.84313725490198</v>
          </cell>
          <cell r="AB40">
            <v>86.859323882224643</v>
          </cell>
          <cell r="AC40">
            <v>94.031051779434378</v>
          </cell>
          <cell r="AD40">
            <v>89.431837129177779</v>
          </cell>
          <cell r="AF40">
            <v>97.748091457008272</v>
          </cell>
          <cell r="AG40">
            <v>91.731444454306086</v>
          </cell>
        </row>
        <row r="41">
          <cell r="A41">
            <v>40217</v>
          </cell>
          <cell r="B41">
            <v>12.69403</v>
          </cell>
          <cell r="C41">
            <v>55</v>
          </cell>
          <cell r="D41">
            <v>60.395539999999997</v>
          </cell>
          <cell r="E41">
            <v>29.077256999999999</v>
          </cell>
          <cell r="F41">
            <v>70.14</v>
          </cell>
          <cell r="G41">
            <v>0.94916690000000004</v>
          </cell>
          <cell r="H41">
            <v>18.975000000000001</v>
          </cell>
          <cell r="I41">
            <v>31.25</v>
          </cell>
          <cell r="J41">
            <v>27.42</v>
          </cell>
          <cell r="K41">
            <v>4.071834</v>
          </cell>
          <cell r="L41">
            <v>2.25</v>
          </cell>
          <cell r="M41">
            <v>15.52</v>
          </cell>
          <cell r="N41">
            <v>7.9067273</v>
          </cell>
          <cell r="O41">
            <v>9.5845610000000008</v>
          </cell>
          <cell r="Q41">
            <v>91.832607074457997</v>
          </cell>
          <cell r="R41">
            <v>91.089764822788993</v>
          </cell>
          <cell r="S41">
            <v>115.92830494927568</v>
          </cell>
          <cell r="T41">
            <v>106.36334864871053</v>
          </cell>
          <cell r="U41">
            <v>93.719935863174769</v>
          </cell>
          <cell r="V41">
            <v>91.902259139326446</v>
          </cell>
          <cell r="W41">
            <v>97.00920245398774</v>
          </cell>
          <cell r="X41">
            <v>87.953841823810862</v>
          </cell>
          <cell r="Y41">
            <v>104.91677826669216</v>
          </cell>
          <cell r="Z41">
            <v>89.300382371227954</v>
          </cell>
          <cell r="AA41">
            <v>110.29411764705883</v>
          </cell>
          <cell r="AB41">
            <v>84.623773173391498</v>
          </cell>
          <cell r="AC41">
            <v>96.739831108721717</v>
          </cell>
          <cell r="AD41">
            <v>90.852682713018552</v>
          </cell>
          <cell r="AF41">
            <v>97.077859686158618</v>
          </cell>
          <cell r="AG41">
            <v>93.796256910870142</v>
          </cell>
        </row>
        <row r="42">
          <cell r="A42">
            <v>40218</v>
          </cell>
          <cell r="B42">
            <v>12.830894000000001</v>
          </cell>
          <cell r="C42">
            <v>55.68</v>
          </cell>
          <cell r="D42">
            <v>60.409443000000003</v>
          </cell>
          <cell r="E42">
            <v>28.783981000000001</v>
          </cell>
          <cell r="F42">
            <v>70.150000000000006</v>
          </cell>
          <cell r="G42">
            <v>0.95191084999999998</v>
          </cell>
          <cell r="H42">
            <v>19.175000000000001</v>
          </cell>
          <cell r="I42">
            <v>31.34</v>
          </cell>
          <cell r="J42">
            <v>27.135000000000002</v>
          </cell>
          <cell r="K42">
            <v>4.0412955000000004</v>
          </cell>
          <cell r="L42">
            <v>2.35</v>
          </cell>
          <cell r="M42">
            <v>15.97</v>
          </cell>
          <cell r="N42">
            <v>8.0086300000000001</v>
          </cell>
          <cell r="O42">
            <v>9.9770800000000008</v>
          </cell>
          <cell r="Q42">
            <v>92.822724313399334</v>
          </cell>
          <cell r="R42">
            <v>92.215965551507111</v>
          </cell>
          <cell r="S42">
            <v>115.95499154275115</v>
          </cell>
          <cell r="T42">
            <v>105.29055772354525</v>
          </cell>
          <cell r="U42">
            <v>93.73329770176376</v>
          </cell>
          <cell r="V42">
            <v>92.167939710325442</v>
          </cell>
          <cell r="W42">
            <v>98.031697341513308</v>
          </cell>
          <cell r="X42">
            <v>88.207148888263433</v>
          </cell>
          <cell r="Y42">
            <v>103.8262865888655</v>
          </cell>
          <cell r="Z42">
            <v>88.630635095910819</v>
          </cell>
          <cell r="AA42">
            <v>115.19607843137256</v>
          </cell>
          <cell r="AB42">
            <v>87.077426390403488</v>
          </cell>
          <cell r="AC42">
            <v>97.986623822506445</v>
          </cell>
          <cell r="AD42">
            <v>94.573396073372919</v>
          </cell>
          <cell r="AF42">
            <v>97.762895773301764</v>
          </cell>
          <cell r="AG42">
            <v>96.280009947939675</v>
          </cell>
        </row>
        <row r="43">
          <cell r="A43">
            <v>40219</v>
          </cell>
          <cell r="B43">
            <v>12.854134</v>
          </cell>
          <cell r="C43">
            <v>55.76</v>
          </cell>
          <cell r="D43">
            <v>60.218170000000001</v>
          </cell>
          <cell r="E43">
            <v>28.495104000000001</v>
          </cell>
          <cell r="F43">
            <v>70.97</v>
          </cell>
          <cell r="G43">
            <v>0.95862406</v>
          </cell>
          <cell r="H43">
            <v>19.350000000000001</v>
          </cell>
          <cell r="I43">
            <v>31.29</v>
          </cell>
          <cell r="J43">
            <v>27.14</v>
          </cell>
          <cell r="K43">
            <v>4.0403694999999997</v>
          </cell>
          <cell r="L43">
            <v>2.39</v>
          </cell>
          <cell r="M43">
            <v>15.74</v>
          </cell>
          <cell r="N43">
            <v>8.3191900000000008</v>
          </cell>
          <cell r="O43">
            <v>10.205017</v>
          </cell>
          <cell r="Q43">
            <v>92.990849785641842</v>
          </cell>
          <cell r="R43">
            <v>92.34845975488571</v>
          </cell>
          <cell r="S43">
            <v>115.58784597748981</v>
          </cell>
          <cell r="T43">
            <v>104.23385815014348</v>
          </cell>
          <cell r="U43">
            <v>94.828968466060928</v>
          </cell>
          <cell r="V43">
            <v>92.817940426824009</v>
          </cell>
          <cell r="W43">
            <v>98.926380368098179</v>
          </cell>
          <cell r="X43">
            <v>88.066422741345335</v>
          </cell>
          <cell r="Y43">
            <v>103.84541802180982</v>
          </cell>
          <cell r="Z43">
            <v>88.610326764560426</v>
          </cell>
          <cell r="AA43">
            <v>117.15686274509804</v>
          </cell>
          <cell r="AB43">
            <v>85.823336968375145</v>
          </cell>
          <cell r="AC43">
            <v>101.78636558786678</v>
          </cell>
          <cell r="AD43">
            <v>96.734025854909817</v>
          </cell>
          <cell r="AF43">
            <v>97.936389180861056</v>
          </cell>
          <cell r="AG43">
            <v>99.2601957213883</v>
          </cell>
        </row>
        <row r="44">
          <cell r="A44">
            <v>40220</v>
          </cell>
          <cell r="B44">
            <v>13.052269000000001</v>
          </cell>
          <cell r="C44">
            <v>55.9</v>
          </cell>
          <cell r="D44">
            <v>60.258409999999998</v>
          </cell>
          <cell r="E44">
            <v>28.514147000000001</v>
          </cell>
          <cell r="F44">
            <v>71.56</v>
          </cell>
          <cell r="G44">
            <v>0.94039459999999997</v>
          </cell>
          <cell r="H44">
            <v>19.71</v>
          </cell>
          <cell r="I44">
            <v>31.41</v>
          </cell>
          <cell r="J44">
            <v>27.75</v>
          </cell>
          <cell r="K44">
            <v>4.0943092999999999</v>
          </cell>
          <cell r="L44">
            <v>2.31</v>
          </cell>
          <cell r="M44">
            <v>16.07</v>
          </cell>
          <cell r="N44">
            <v>8.2261659999999992</v>
          </cell>
          <cell r="O44">
            <v>10.078665000000001</v>
          </cell>
          <cell r="Q44">
            <v>94.424220716914078</v>
          </cell>
          <cell r="R44">
            <v>92.580324610798272</v>
          </cell>
          <cell r="S44">
            <v>115.66508603513577</v>
          </cell>
          <cell r="T44">
            <v>104.30351662062154</v>
          </cell>
          <cell r="U44">
            <v>95.617316942811328</v>
          </cell>
          <cell r="V44">
            <v>91.052888825372264</v>
          </cell>
          <cell r="W44">
            <v>100.76687116564418</v>
          </cell>
          <cell r="X44">
            <v>88.404165493948767</v>
          </cell>
          <cell r="Y44">
            <v>106.17945284101779</v>
          </cell>
          <cell r="Z44">
            <v>89.793293645093257</v>
          </cell>
          <cell r="AA44">
            <v>113.23529411764706</v>
          </cell>
          <cell r="AB44">
            <v>87.6226826608506</v>
          </cell>
          <cell r="AC44">
            <v>100.64820491688246</v>
          </cell>
          <cell r="AD44">
            <v>95.536326954964878</v>
          </cell>
          <cell r="AF44">
            <v>98.303759472987906</v>
          </cell>
          <cell r="AG44">
            <v>98.092265935923677</v>
          </cell>
        </row>
        <row r="45">
          <cell r="A45">
            <v>40221</v>
          </cell>
          <cell r="B45">
            <v>13.139564500000001</v>
          </cell>
          <cell r="C45">
            <v>56.07</v>
          </cell>
          <cell r="D45">
            <v>60.222225000000002</v>
          </cell>
          <cell r="E45">
            <v>29.477779999999999</v>
          </cell>
          <cell r="F45">
            <v>71.760000000000005</v>
          </cell>
          <cell r="G45">
            <v>0.99002889999999999</v>
          </cell>
          <cell r="H45">
            <v>19.715</v>
          </cell>
          <cell r="I45">
            <v>31.69</v>
          </cell>
          <cell r="J45">
            <v>27.99</v>
          </cell>
          <cell r="K45">
            <v>4.0829659999999999</v>
          </cell>
          <cell r="L45">
            <v>2.2999999999999998</v>
          </cell>
          <cell r="M45">
            <v>16.29</v>
          </cell>
          <cell r="N45">
            <v>8.2613129999999995</v>
          </cell>
          <cell r="O45">
            <v>9.9307529999999993</v>
          </cell>
          <cell r="Q45">
            <v>95.055743830603618</v>
          </cell>
          <cell r="R45">
            <v>92.861874792977801</v>
          </cell>
          <cell r="S45">
            <v>115.59562948727498</v>
          </cell>
          <cell r="T45">
            <v>107.82844446193761</v>
          </cell>
          <cell r="U45">
            <v>95.884553714591121</v>
          </cell>
          <cell r="V45">
            <v>95.858686731724745</v>
          </cell>
          <cell r="W45">
            <v>100.79243353783231</v>
          </cell>
          <cell r="X45">
            <v>89.192231916690119</v>
          </cell>
          <cell r="Y45">
            <v>107.0977616223455</v>
          </cell>
          <cell r="Z45">
            <v>89.544520972299736</v>
          </cell>
          <cell r="AA45">
            <v>112.74509803921569</v>
          </cell>
          <cell r="AB45">
            <v>88.822246455834247</v>
          </cell>
          <cell r="AC45">
            <v>101.07823300751591</v>
          </cell>
          <cell r="AD45">
            <v>94.134259400128713</v>
          </cell>
          <cell r="AF45">
            <v>99.273268796943952</v>
          </cell>
          <cell r="AG45">
            <v>97.606246203822309</v>
          </cell>
        </row>
        <row r="46">
          <cell r="A46">
            <v>40222</v>
          </cell>
          <cell r="B46">
            <v>13.139564500000001</v>
          </cell>
          <cell r="C46">
            <v>56.07</v>
          </cell>
          <cell r="D46">
            <v>60.222225000000002</v>
          </cell>
          <cell r="E46">
            <v>29.477779999999999</v>
          </cell>
          <cell r="F46">
            <v>71.760000000000005</v>
          </cell>
          <cell r="G46">
            <v>0.99002889999999999</v>
          </cell>
          <cell r="H46">
            <v>19.715</v>
          </cell>
          <cell r="I46">
            <v>31.69</v>
          </cell>
          <cell r="J46">
            <v>27.99</v>
          </cell>
          <cell r="K46">
            <v>4.0829659999999999</v>
          </cell>
          <cell r="L46">
            <v>2.2999999999999998</v>
          </cell>
          <cell r="M46">
            <v>16.29</v>
          </cell>
          <cell r="N46">
            <v>8.2613129999999995</v>
          </cell>
          <cell r="O46">
            <v>9.9307529999999993</v>
          </cell>
          <cell r="Q46">
            <v>95.055743830603618</v>
          </cell>
          <cell r="R46">
            <v>92.861874792977801</v>
          </cell>
          <cell r="S46">
            <v>115.59562948727498</v>
          </cell>
          <cell r="T46">
            <v>107.82844446193761</v>
          </cell>
          <cell r="U46">
            <v>95.884553714591121</v>
          </cell>
          <cell r="V46">
            <v>95.858686731724745</v>
          </cell>
          <cell r="W46">
            <v>100.79243353783231</v>
          </cell>
          <cell r="X46">
            <v>89.192231916690119</v>
          </cell>
          <cell r="Y46">
            <v>107.0977616223455</v>
          </cell>
          <cell r="Z46">
            <v>89.544520972299736</v>
          </cell>
          <cell r="AA46">
            <v>112.74509803921569</v>
          </cell>
          <cell r="AB46">
            <v>88.822246455834247</v>
          </cell>
          <cell r="AC46">
            <v>101.07823300751591</v>
          </cell>
          <cell r="AD46">
            <v>94.134259400128713</v>
          </cell>
          <cell r="AF46">
            <v>99.273268796943952</v>
          </cell>
          <cell r="AG46">
            <v>97.606246203822309</v>
          </cell>
        </row>
        <row r="47">
          <cell r="A47">
            <v>40223</v>
          </cell>
          <cell r="B47">
            <v>13.139564500000001</v>
          </cell>
          <cell r="C47">
            <v>56.07</v>
          </cell>
          <cell r="D47">
            <v>60.222225000000002</v>
          </cell>
          <cell r="E47">
            <v>29.477779999999999</v>
          </cell>
          <cell r="F47">
            <v>71.760000000000005</v>
          </cell>
          <cell r="G47">
            <v>0.99002889999999999</v>
          </cell>
          <cell r="H47">
            <v>19.715</v>
          </cell>
          <cell r="I47">
            <v>31.69</v>
          </cell>
          <cell r="J47">
            <v>27.99</v>
          </cell>
          <cell r="K47">
            <v>4.0829659999999999</v>
          </cell>
          <cell r="L47">
            <v>2.2999999999999998</v>
          </cell>
          <cell r="M47">
            <v>16.29</v>
          </cell>
          <cell r="N47">
            <v>8.2613129999999995</v>
          </cell>
          <cell r="O47">
            <v>9.9307529999999993</v>
          </cell>
          <cell r="Q47">
            <v>95.055743830603618</v>
          </cell>
          <cell r="R47">
            <v>92.861874792977801</v>
          </cell>
          <cell r="S47">
            <v>115.59562948727498</v>
          </cell>
          <cell r="T47">
            <v>107.82844446193761</v>
          </cell>
          <cell r="U47">
            <v>95.884553714591121</v>
          </cell>
          <cell r="V47">
            <v>95.858686731724745</v>
          </cell>
          <cell r="W47">
            <v>100.79243353783231</v>
          </cell>
          <cell r="X47">
            <v>89.192231916690119</v>
          </cell>
          <cell r="Y47">
            <v>107.0977616223455</v>
          </cell>
          <cell r="Z47">
            <v>89.544520972299736</v>
          </cell>
          <cell r="AA47">
            <v>112.74509803921569</v>
          </cell>
          <cell r="AB47">
            <v>88.822246455834247</v>
          </cell>
          <cell r="AC47">
            <v>101.07823300751591</v>
          </cell>
          <cell r="AD47">
            <v>94.134259400128713</v>
          </cell>
          <cell r="AF47">
            <v>99.273268796943952</v>
          </cell>
          <cell r="AG47">
            <v>97.606246203822309</v>
          </cell>
        </row>
        <row r="48">
          <cell r="A48">
            <v>40224</v>
          </cell>
          <cell r="B48">
            <v>13.139564500000001</v>
          </cell>
          <cell r="C48">
            <v>56.07</v>
          </cell>
          <cell r="D48">
            <v>60.222225000000002</v>
          </cell>
          <cell r="E48">
            <v>29.477779999999999</v>
          </cell>
          <cell r="F48">
            <v>71.760000000000005</v>
          </cell>
          <cell r="G48">
            <v>0.99002889999999999</v>
          </cell>
          <cell r="H48">
            <v>19.715</v>
          </cell>
          <cell r="I48">
            <v>31.69</v>
          </cell>
          <cell r="J48">
            <v>27.99</v>
          </cell>
          <cell r="K48">
            <v>4.0829659999999999</v>
          </cell>
          <cell r="L48">
            <v>2.2999999999999998</v>
          </cell>
          <cell r="M48">
            <v>16.29</v>
          </cell>
          <cell r="N48">
            <v>8.2613129999999995</v>
          </cell>
          <cell r="O48">
            <v>9.9307529999999993</v>
          </cell>
          <cell r="Q48">
            <v>95.055743830603618</v>
          </cell>
          <cell r="R48">
            <v>92.861874792977801</v>
          </cell>
          <cell r="S48">
            <v>115.59562948727498</v>
          </cell>
          <cell r="T48">
            <v>107.82844446193761</v>
          </cell>
          <cell r="U48">
            <v>95.884553714591121</v>
          </cell>
          <cell r="V48">
            <v>95.858686731724745</v>
          </cell>
          <cell r="W48">
            <v>100.79243353783231</v>
          </cell>
          <cell r="X48">
            <v>89.192231916690119</v>
          </cell>
          <cell r="Y48">
            <v>107.0977616223455</v>
          </cell>
          <cell r="Z48">
            <v>89.544520972299736</v>
          </cell>
          <cell r="AA48">
            <v>112.74509803921569</v>
          </cell>
          <cell r="AB48">
            <v>88.822246455834247</v>
          </cell>
          <cell r="AC48">
            <v>101.07823300751591</v>
          </cell>
          <cell r="AD48">
            <v>94.134259400128713</v>
          </cell>
          <cell r="AF48">
            <v>99.273268796943952</v>
          </cell>
          <cell r="AG48">
            <v>97.606246203822309</v>
          </cell>
        </row>
        <row r="49">
          <cell r="A49">
            <v>40225</v>
          </cell>
          <cell r="B49">
            <v>12.910726</v>
          </cell>
          <cell r="C49">
            <v>56.69</v>
          </cell>
          <cell r="D49">
            <v>58.390120000000003</v>
          </cell>
          <cell r="E49">
            <v>28.962387</v>
          </cell>
          <cell r="F49">
            <v>72.430000000000007</v>
          </cell>
          <cell r="G49">
            <v>0.99587420000000004</v>
          </cell>
          <cell r="H49">
            <v>19.79</v>
          </cell>
          <cell r="I49">
            <v>32.17</v>
          </cell>
          <cell r="J49">
            <v>27.725000000000001</v>
          </cell>
          <cell r="K49">
            <v>3.8543503000000001</v>
          </cell>
          <cell r="L49">
            <v>2.25</v>
          </cell>
          <cell r="M49">
            <v>16.079999999999998</v>
          </cell>
          <cell r="N49">
            <v>8.3437249999999992</v>
          </cell>
          <cell r="O49">
            <v>10.029819</v>
          </cell>
          <cell r="Q49">
            <v>93.400254119770381</v>
          </cell>
          <cell r="R49">
            <v>93.88870486916197</v>
          </cell>
          <cell r="S49">
            <v>112.07893227521109</v>
          </cell>
          <cell r="T49">
            <v>105.94315915630837</v>
          </cell>
          <cell r="U49">
            <v>96.779796900053455</v>
          </cell>
          <cell r="V49">
            <v>96.424652817717742</v>
          </cell>
          <cell r="W49">
            <v>101.1758691206544</v>
          </cell>
          <cell r="X49">
            <v>90.543202927103863</v>
          </cell>
          <cell r="Y49">
            <v>106.08379567629615</v>
          </cell>
          <cell r="Z49">
            <v>84.530694419924103</v>
          </cell>
          <cell r="AA49">
            <v>110.29411764705883</v>
          </cell>
          <cell r="AB49">
            <v>87.677208287895297</v>
          </cell>
          <cell r="AC49">
            <v>102.0865544860285</v>
          </cell>
          <cell r="AD49">
            <v>95.073312515409413</v>
          </cell>
          <cell r="AF49">
            <v>98.235032351429638</v>
          </cell>
          <cell r="AG49">
            <v>98.579933500718965</v>
          </cell>
        </row>
        <row r="50">
          <cell r="A50">
            <v>40226</v>
          </cell>
          <cell r="B50">
            <v>12.764614</v>
          </cell>
          <cell r="C50">
            <v>57.39</v>
          </cell>
          <cell r="D50">
            <v>58.111378000000002</v>
          </cell>
          <cell r="E50">
            <v>28.923618000000001</v>
          </cell>
          <cell r="F50">
            <v>73.150000000000006</v>
          </cell>
          <cell r="G50">
            <v>0.96745510000000001</v>
          </cell>
          <cell r="H50">
            <v>19.899999999999999</v>
          </cell>
          <cell r="I50">
            <v>32.6</v>
          </cell>
          <cell r="J50">
            <v>27.895</v>
          </cell>
          <cell r="K50">
            <v>3.9220383000000001</v>
          </cell>
          <cell r="L50">
            <v>2.2400000000000002</v>
          </cell>
          <cell r="M50">
            <v>15.92</v>
          </cell>
          <cell r="N50">
            <v>8.4937249999999995</v>
          </cell>
          <cell r="O50">
            <v>10.344920999999999</v>
          </cell>
          <cell r="Q50">
            <v>92.343233939034775</v>
          </cell>
          <cell r="R50">
            <v>95.048029148724737</v>
          </cell>
          <cell r="S50">
            <v>111.54389131725009</v>
          </cell>
          <cell r="T50">
            <v>105.80134383088887</v>
          </cell>
          <cell r="U50">
            <v>97.74184927846072</v>
          </cell>
          <cell r="V50">
            <v>93.672998190163369</v>
          </cell>
          <cell r="W50">
            <v>101.73824130879345</v>
          </cell>
          <cell r="X50">
            <v>91.753447790599495</v>
          </cell>
          <cell r="Y50">
            <v>106.73426439640328</v>
          </cell>
          <cell r="Z50">
            <v>86.015176420404387</v>
          </cell>
          <cell r="AA50">
            <v>109.80392156862746</v>
          </cell>
          <cell r="AB50">
            <v>86.804798255179932</v>
          </cell>
          <cell r="AC50">
            <v>103.92182388583547</v>
          </cell>
          <cell r="AD50">
            <v>98.060185052214962</v>
          </cell>
          <cell r="AF50">
            <v>98.250099620377554</v>
          </cell>
          <cell r="AG50">
            <v>100.99100446902521</v>
          </cell>
        </row>
        <row r="51">
          <cell r="A51">
            <v>40227</v>
          </cell>
          <cell r="B51">
            <v>12.779724999999999</v>
          </cell>
          <cell r="C51">
            <v>57.7</v>
          </cell>
          <cell r="D51">
            <v>57.827618000000001</v>
          </cell>
          <cell r="E51">
            <v>29.133686000000001</v>
          </cell>
          <cell r="F51">
            <v>73.12</v>
          </cell>
          <cell r="G51">
            <v>0.95268565000000005</v>
          </cell>
          <cell r="H51">
            <v>19.899999999999999</v>
          </cell>
          <cell r="I51">
            <v>32.799999999999997</v>
          </cell>
          <cell r="J51">
            <v>28.715</v>
          </cell>
          <cell r="K51">
            <v>3.9655</v>
          </cell>
          <cell r="L51">
            <v>2.2000000000000002</v>
          </cell>
          <cell r="M51">
            <v>16.13</v>
          </cell>
          <cell r="N51">
            <v>8.6987559999999995</v>
          </cell>
          <cell r="O51">
            <v>10.928361000000001</v>
          </cell>
          <cell r="Q51">
            <v>92.452551667565587</v>
          </cell>
          <cell r="R51">
            <v>95.561444186816829</v>
          </cell>
          <cell r="S51">
            <v>110.99921838589776</v>
          </cell>
          <cell r="T51">
            <v>106.56976349041649</v>
          </cell>
          <cell r="U51">
            <v>97.701763762693744</v>
          </cell>
          <cell r="V51">
            <v>92.242959046104176</v>
          </cell>
          <cell r="W51">
            <v>101.73824130879345</v>
          </cell>
          <cell r="X51">
            <v>92.316352378271873</v>
          </cell>
          <cell r="Y51">
            <v>109.87181939927299</v>
          </cell>
          <cell r="Z51">
            <v>86.968345539897868</v>
          </cell>
          <cell r="AA51">
            <v>107.84313725490198</v>
          </cell>
          <cell r="AB51">
            <v>87.949836423118867</v>
          </cell>
          <cell r="AC51">
            <v>106.43040468791428</v>
          </cell>
          <cell r="AD51">
            <v>103.59065110090344</v>
          </cell>
          <cell r="AF51">
            <v>98.517952736979296</v>
          </cell>
          <cell r="AG51">
            <v>105.01052789440885</v>
          </cell>
        </row>
        <row r="52">
          <cell r="A52">
            <v>40228</v>
          </cell>
          <cell r="B52">
            <v>12.799215999999999</v>
          </cell>
          <cell r="C52">
            <v>57.5</v>
          </cell>
          <cell r="D52">
            <v>56.639670000000002</v>
          </cell>
          <cell r="E52">
            <v>28.591618</v>
          </cell>
          <cell r="F52">
            <v>73.98</v>
          </cell>
          <cell r="G52">
            <v>0.94803499999999996</v>
          </cell>
          <cell r="H52">
            <v>19.91</v>
          </cell>
          <cell r="I52">
            <v>32.53</v>
          </cell>
          <cell r="J52">
            <v>28.734999999999999</v>
          </cell>
          <cell r="K52">
            <v>3.8344019999999999</v>
          </cell>
          <cell r="L52">
            <v>2.15</v>
          </cell>
          <cell r="M52">
            <v>16.38</v>
          </cell>
          <cell r="N52">
            <v>8.8241790000000009</v>
          </cell>
          <cell r="O52">
            <v>10.986102000000001</v>
          </cell>
          <cell r="Q52">
            <v>92.59355569422128</v>
          </cell>
          <cell r="R52">
            <v>95.230208678370317</v>
          </cell>
          <cell r="S52">
            <v>108.71897057276649</v>
          </cell>
          <cell r="T52">
            <v>104.586902188358</v>
          </cell>
          <cell r="U52">
            <v>98.850881881346879</v>
          </cell>
          <cell r="V52">
            <v>91.792663906791674</v>
          </cell>
          <cell r="W52">
            <v>101.78936605316974</v>
          </cell>
          <cell r="X52">
            <v>91.55643118491416</v>
          </cell>
          <cell r="Y52">
            <v>109.94834513105032</v>
          </cell>
          <cell r="Z52">
            <v>84.093203398026844</v>
          </cell>
          <cell r="AA52">
            <v>105.3921568627451</v>
          </cell>
          <cell r="AB52">
            <v>89.312977099236633</v>
          </cell>
          <cell r="AC52">
            <v>107.96497131412752</v>
          </cell>
          <cell r="AD52">
            <v>104.13798182919996</v>
          </cell>
          <cell r="AF52">
            <v>97.822138554249776</v>
          </cell>
          <cell r="AG52">
            <v>106.05147657166374</v>
          </cell>
        </row>
        <row r="53">
          <cell r="A53">
            <v>40229</v>
          </cell>
          <cell r="B53">
            <v>12.799215999999999</v>
          </cell>
          <cell r="C53">
            <v>57.5</v>
          </cell>
          <cell r="D53">
            <v>56.639670000000002</v>
          </cell>
          <cell r="E53">
            <v>28.591618</v>
          </cell>
          <cell r="F53">
            <v>73.98</v>
          </cell>
          <cell r="G53">
            <v>0.94803499999999996</v>
          </cell>
          <cell r="H53">
            <v>19.91</v>
          </cell>
          <cell r="I53">
            <v>32.53</v>
          </cell>
          <cell r="J53">
            <v>28.734999999999999</v>
          </cell>
          <cell r="K53">
            <v>3.8344019999999999</v>
          </cell>
          <cell r="L53">
            <v>2.15</v>
          </cell>
          <cell r="M53">
            <v>16.38</v>
          </cell>
          <cell r="N53">
            <v>8.8241790000000009</v>
          </cell>
          <cell r="O53">
            <v>10.986102000000001</v>
          </cell>
          <cell r="Q53">
            <v>92.59355569422128</v>
          </cell>
          <cell r="R53">
            <v>95.230208678370317</v>
          </cell>
          <cell r="S53">
            <v>108.71897057276649</v>
          </cell>
          <cell r="T53">
            <v>104.586902188358</v>
          </cell>
          <cell r="U53">
            <v>98.850881881346879</v>
          </cell>
          <cell r="V53">
            <v>91.792663906791674</v>
          </cell>
          <cell r="W53">
            <v>101.78936605316974</v>
          </cell>
          <cell r="X53">
            <v>91.55643118491416</v>
          </cell>
          <cell r="Y53">
            <v>109.94834513105032</v>
          </cell>
          <cell r="Z53">
            <v>84.093203398026844</v>
          </cell>
          <cell r="AA53">
            <v>105.3921568627451</v>
          </cell>
          <cell r="AB53">
            <v>89.312977099236633</v>
          </cell>
          <cell r="AC53">
            <v>107.96497131412752</v>
          </cell>
          <cell r="AD53">
            <v>104.13798182919996</v>
          </cell>
          <cell r="AF53">
            <v>97.822138554249776</v>
          </cell>
          <cell r="AG53">
            <v>106.05147657166374</v>
          </cell>
        </row>
        <row r="54">
          <cell r="A54">
            <v>40230</v>
          </cell>
          <cell r="B54">
            <v>12.799215999999999</v>
          </cell>
          <cell r="C54">
            <v>57.5</v>
          </cell>
          <cell r="D54">
            <v>56.639670000000002</v>
          </cell>
          <cell r="E54">
            <v>28.591618</v>
          </cell>
          <cell r="F54">
            <v>73.98</v>
          </cell>
          <cell r="G54">
            <v>0.94803499999999996</v>
          </cell>
          <cell r="H54">
            <v>19.91</v>
          </cell>
          <cell r="I54">
            <v>32.53</v>
          </cell>
          <cell r="J54">
            <v>28.734999999999999</v>
          </cell>
          <cell r="K54">
            <v>3.8344019999999999</v>
          </cell>
          <cell r="L54">
            <v>2.15</v>
          </cell>
          <cell r="M54">
            <v>16.38</v>
          </cell>
          <cell r="N54">
            <v>8.8241790000000009</v>
          </cell>
          <cell r="O54">
            <v>10.986102000000001</v>
          </cell>
          <cell r="Q54">
            <v>92.59355569422128</v>
          </cell>
          <cell r="R54">
            <v>95.230208678370317</v>
          </cell>
          <cell r="S54">
            <v>108.71897057276649</v>
          </cell>
          <cell r="T54">
            <v>104.586902188358</v>
          </cell>
          <cell r="U54">
            <v>98.850881881346879</v>
          </cell>
          <cell r="V54">
            <v>91.792663906791674</v>
          </cell>
          <cell r="W54">
            <v>101.78936605316974</v>
          </cell>
          <cell r="X54">
            <v>91.55643118491416</v>
          </cell>
          <cell r="Y54">
            <v>109.94834513105032</v>
          </cell>
          <cell r="Z54">
            <v>84.093203398026844</v>
          </cell>
          <cell r="AA54">
            <v>105.3921568627451</v>
          </cell>
          <cell r="AB54">
            <v>89.312977099236633</v>
          </cell>
          <cell r="AC54">
            <v>107.96497131412752</v>
          </cell>
          <cell r="AD54">
            <v>104.13798182919996</v>
          </cell>
          <cell r="AF54">
            <v>97.822138554249776</v>
          </cell>
          <cell r="AG54">
            <v>106.05147657166374</v>
          </cell>
        </row>
        <row r="55">
          <cell r="A55">
            <v>40231</v>
          </cell>
          <cell r="B55">
            <v>13.033754</v>
          </cell>
          <cell r="C55">
            <v>57.37</v>
          </cell>
          <cell r="D55">
            <v>58.026653000000003</v>
          </cell>
          <cell r="E55">
            <v>29.024296</v>
          </cell>
          <cell r="F55">
            <v>73.97</v>
          </cell>
          <cell r="G55">
            <v>0.95829629999999999</v>
          </cell>
          <cell r="H55">
            <v>19.72</v>
          </cell>
          <cell r="I55">
            <v>32.479999999999997</v>
          </cell>
          <cell r="J55">
            <v>28.975000000000001</v>
          </cell>
          <cell r="K55">
            <v>3.8678499999999998</v>
          </cell>
          <cell r="L55">
            <v>2.21</v>
          </cell>
          <cell r="M55">
            <v>16.170000000000002</v>
          </cell>
          <cell r="N55">
            <v>8.5864159999999998</v>
          </cell>
          <cell r="O55">
            <v>10.900055</v>
          </cell>
          <cell r="Q55">
            <v>94.29027738134738</v>
          </cell>
          <cell r="R55">
            <v>95.014905597880087</v>
          </cell>
          <cell r="S55">
            <v>111.38126299011158</v>
          </cell>
          <cell r="T55">
            <v>106.16961960102959</v>
          </cell>
          <cell r="U55">
            <v>98.837520042757873</v>
          </cell>
          <cell r="V55">
            <v>92.786205350036667</v>
          </cell>
          <cell r="W55">
            <v>100.81799591002046</v>
          </cell>
          <cell r="X55">
            <v>91.415705037996048</v>
          </cell>
          <cell r="Y55">
            <v>110.86665391237804</v>
          </cell>
          <cell r="Z55">
            <v>84.826759625896841</v>
          </cell>
          <cell r="AA55">
            <v>108.33333333333333</v>
          </cell>
          <cell r="AB55">
            <v>88.167938931297712</v>
          </cell>
          <cell r="AC55">
            <v>105.05591025875218</v>
          </cell>
          <cell r="AD55">
            <v>103.32233666930091</v>
          </cell>
          <cell r="AF55">
            <v>98.575681476173784</v>
          </cell>
          <cell r="AG55">
            <v>104.18912346402655</v>
          </cell>
        </row>
        <row r="56">
          <cell r="A56">
            <v>40232</v>
          </cell>
          <cell r="B56">
            <v>12.725329</v>
          </cell>
          <cell r="C56">
            <v>56.7</v>
          </cell>
          <cell r="D56">
            <v>58.869183</v>
          </cell>
          <cell r="E56">
            <v>29.212862000000001</v>
          </cell>
          <cell r="F56">
            <v>73.400000000000006</v>
          </cell>
          <cell r="G56">
            <v>0.97820306000000001</v>
          </cell>
          <cell r="H56">
            <v>20.13</v>
          </cell>
          <cell r="I56">
            <v>31.91</v>
          </cell>
          <cell r="J56">
            <v>28.47</v>
          </cell>
          <cell r="K56">
            <v>3.7996756999999999</v>
          </cell>
          <cell r="L56">
            <v>2.19</v>
          </cell>
          <cell r="M56">
            <v>15.7</v>
          </cell>
          <cell r="N56">
            <v>8.3424809999999994</v>
          </cell>
          <cell r="O56">
            <v>10.592755</v>
          </cell>
          <cell r="Q56">
            <v>92.059033888387333</v>
          </cell>
          <cell r="R56">
            <v>93.905266644584302</v>
          </cell>
          <cell r="S56">
            <v>112.99848629449652</v>
          </cell>
          <cell r="T56">
            <v>106.85938587441956</v>
          </cell>
          <cell r="U56">
            <v>98.075895243185457</v>
          </cell>
          <cell r="V56">
            <v>94.713660064422911</v>
          </cell>
          <cell r="W56">
            <v>102.91411042944785</v>
          </cell>
          <cell r="X56">
            <v>89.811426963129747</v>
          </cell>
          <cell r="Y56">
            <v>108.93437918500095</v>
          </cell>
          <cell r="Z56">
            <v>83.331612461771101</v>
          </cell>
          <cell r="AA56">
            <v>107.35294117647058</v>
          </cell>
          <cell r="AB56">
            <v>85.605234460196286</v>
          </cell>
          <cell r="AC56">
            <v>102.07133398513943</v>
          </cell>
          <cell r="AD56">
            <v>100.40941980250746</v>
          </cell>
          <cell r="AF56">
            <v>98.046786057126042</v>
          </cell>
          <cell r="AG56">
            <v>101.24037689382345</v>
          </cell>
        </row>
        <row r="57">
          <cell r="A57">
            <v>40233</v>
          </cell>
          <cell r="B57">
            <v>12.342031</v>
          </cell>
          <cell r="C57">
            <v>56.82</v>
          </cell>
          <cell r="D57">
            <v>58.594616000000002</v>
          </cell>
          <cell r="E57">
            <v>29.097173999999999</v>
          </cell>
          <cell r="F57">
            <v>73.5</v>
          </cell>
          <cell r="G57">
            <v>0.96563476000000004</v>
          </cell>
          <cell r="H57">
            <v>20.395</v>
          </cell>
          <cell r="I57">
            <v>32.479999999999997</v>
          </cell>
          <cell r="J57">
            <v>28.76</v>
          </cell>
          <cell r="K57">
            <v>3.8099314999999998</v>
          </cell>
          <cell r="L57">
            <v>2.2000000000000002</v>
          </cell>
          <cell r="M57">
            <v>15.44</v>
          </cell>
          <cell r="N57">
            <v>8.3537130000000008</v>
          </cell>
          <cell r="O57">
            <v>10.799372999999999</v>
          </cell>
          <cell r="Q57">
            <v>89.286135555357902</v>
          </cell>
          <cell r="R57">
            <v>94.1040079496522</v>
          </cell>
          <cell r="S57">
            <v>112.47145918446478</v>
          </cell>
          <cell r="T57">
            <v>106.43620417339213</v>
          </cell>
          <cell r="U57">
            <v>98.209513629075346</v>
          </cell>
          <cell r="V57">
            <v>93.49674535370049</v>
          </cell>
          <cell r="W57">
            <v>104.26891615541922</v>
          </cell>
          <cell r="X57">
            <v>91.415705037996048</v>
          </cell>
          <cell r="Y57">
            <v>110.04400229577196</v>
          </cell>
          <cell r="Z57">
            <v>83.556534907411759</v>
          </cell>
          <cell r="AA57">
            <v>107.84313725490198</v>
          </cell>
          <cell r="AB57">
            <v>84.187568157033795</v>
          </cell>
          <cell r="AC57">
            <v>102.208758957797</v>
          </cell>
          <cell r="AD57">
            <v>102.36796538396899</v>
          </cell>
          <cell r="AF57">
            <v>97.943327471181476</v>
          </cell>
          <cell r="AG57">
            <v>102.288362170883</v>
          </cell>
        </row>
        <row r="58">
          <cell r="A58">
            <v>40234</v>
          </cell>
          <cell r="B58">
            <v>11.932708999999999</v>
          </cell>
          <cell r="C58">
            <v>56.69</v>
          </cell>
          <cell r="D58">
            <v>59.041836000000004</v>
          </cell>
          <cell r="E58">
            <v>30.083221000000002</v>
          </cell>
          <cell r="F58">
            <v>73.13</v>
          </cell>
          <cell r="G58">
            <v>0.97841120000000004</v>
          </cell>
          <cell r="H58">
            <v>20.225000000000001</v>
          </cell>
          <cell r="I58">
            <v>32.18</v>
          </cell>
          <cell r="J58">
            <v>28.77</v>
          </cell>
          <cell r="K58">
            <v>3.7008177999999998</v>
          </cell>
          <cell r="L58">
            <v>2.1</v>
          </cell>
          <cell r="M58">
            <v>15.07</v>
          </cell>
          <cell r="N58">
            <v>8.0636379999999992</v>
          </cell>
          <cell r="O58">
            <v>10.488177</v>
          </cell>
          <cell r="Q58">
            <v>86.324971418127134</v>
          </cell>
          <cell r="R58">
            <v>93.88870486916197</v>
          </cell>
          <cell r="S58">
            <v>113.32989105773579</v>
          </cell>
          <cell r="T58">
            <v>110.04312145740607</v>
          </cell>
          <cell r="U58">
            <v>97.715125601282722</v>
          </cell>
          <cell r="V58">
            <v>94.733813038802083</v>
          </cell>
          <cell r="W58">
            <v>103.39979550102252</v>
          </cell>
          <cell r="X58">
            <v>90.571348156487474</v>
          </cell>
          <cell r="Y58">
            <v>110.0822651616606</v>
          </cell>
          <cell r="Z58">
            <v>81.163535798916811</v>
          </cell>
          <cell r="AA58">
            <v>102.94117647058825</v>
          </cell>
          <cell r="AB58">
            <v>82.170119956379509</v>
          </cell>
          <cell r="AC58">
            <v>98.65965381680364</v>
          </cell>
          <cell r="AD58">
            <v>99.418118077497624</v>
          </cell>
          <cell r="AF58">
            <v>97.19698904063091</v>
          </cell>
          <cell r="AG58">
            <v>99.038885947150632</v>
          </cell>
        </row>
        <row r="59">
          <cell r="A59">
            <v>40235</v>
          </cell>
          <cell r="B59">
            <v>12.134026</v>
          </cell>
          <cell r="C59">
            <v>56.75</v>
          </cell>
          <cell r="D59">
            <v>59.415970000000002</v>
          </cell>
          <cell r="E59">
            <v>30.270636</v>
          </cell>
          <cell r="F59">
            <v>73.31</v>
          </cell>
          <cell r="G59">
            <v>0.96748953999999998</v>
          </cell>
          <cell r="H59">
            <v>19.805</v>
          </cell>
          <cell r="I59">
            <v>32.549999999999997</v>
          </cell>
          <cell r="J59">
            <v>28.54</v>
          </cell>
          <cell r="K59">
            <v>3.8148303000000001</v>
          </cell>
          <cell r="L59">
            <v>2.13</v>
          </cell>
          <cell r="M59">
            <v>15.02</v>
          </cell>
          <cell r="N59">
            <v>8.1813149999999997</v>
          </cell>
          <cell r="O59">
            <v>11.050303</v>
          </cell>
          <cell r="Q59">
            <v>87.781361938585093</v>
          </cell>
          <cell r="R59">
            <v>93.988075521695919</v>
          </cell>
          <cell r="S59">
            <v>114.04803548435889</v>
          </cell>
          <cell r="T59">
            <v>110.72867742257148</v>
          </cell>
          <cell r="U59">
            <v>97.955638695884545</v>
          </cell>
          <cell r="V59">
            <v>93.676332813194108</v>
          </cell>
          <cell r="W59">
            <v>101.25255623721883</v>
          </cell>
          <cell r="X59">
            <v>91.612721643681382</v>
          </cell>
          <cell r="Y59">
            <v>109.20221924622153</v>
          </cell>
          <cell r="Z59">
            <v>83.663971682378573</v>
          </cell>
          <cell r="AA59">
            <v>104.41176470588233</v>
          </cell>
          <cell r="AB59">
            <v>81.897491821155938</v>
          </cell>
          <cell r="AC59">
            <v>100.09944713121087</v>
          </cell>
          <cell r="AD59">
            <v>104.74654732143883</v>
          </cell>
          <cell r="AF59">
            <v>97.518237267735728</v>
          </cell>
          <cell r="AG59">
            <v>102.42299722632484</v>
          </cell>
        </row>
        <row r="60">
          <cell r="A60">
            <v>40236</v>
          </cell>
          <cell r="B60">
            <v>12.134026</v>
          </cell>
          <cell r="C60">
            <v>56.75</v>
          </cell>
          <cell r="D60">
            <v>59.415970000000002</v>
          </cell>
          <cell r="E60">
            <v>30.270636</v>
          </cell>
          <cell r="F60">
            <v>73.31</v>
          </cell>
          <cell r="G60">
            <v>0.96748953999999998</v>
          </cell>
          <cell r="H60">
            <v>19.805</v>
          </cell>
          <cell r="I60">
            <v>32.549999999999997</v>
          </cell>
          <cell r="J60">
            <v>28.54</v>
          </cell>
          <cell r="K60">
            <v>3.8148303000000001</v>
          </cell>
          <cell r="L60">
            <v>2.13</v>
          </cell>
          <cell r="M60">
            <v>15.02</v>
          </cell>
          <cell r="N60">
            <v>8.1813149999999997</v>
          </cell>
          <cell r="O60">
            <v>11.050303</v>
          </cell>
          <cell r="Q60">
            <v>87.781361938585093</v>
          </cell>
          <cell r="R60">
            <v>93.988075521695919</v>
          </cell>
          <cell r="S60">
            <v>114.04803548435889</v>
          </cell>
          <cell r="T60">
            <v>110.72867742257148</v>
          </cell>
          <cell r="U60">
            <v>97.955638695884545</v>
          </cell>
          <cell r="V60">
            <v>93.676332813194108</v>
          </cell>
          <cell r="W60">
            <v>101.25255623721883</v>
          </cell>
          <cell r="X60">
            <v>91.612721643681382</v>
          </cell>
          <cell r="Y60">
            <v>109.20221924622153</v>
          </cell>
          <cell r="Z60">
            <v>83.663971682378573</v>
          </cell>
          <cell r="AA60">
            <v>104.41176470588233</v>
          </cell>
          <cell r="AB60">
            <v>81.897491821155938</v>
          </cell>
          <cell r="AC60">
            <v>100.09944713121087</v>
          </cell>
          <cell r="AD60">
            <v>104.74654732143883</v>
          </cell>
          <cell r="AF60">
            <v>97.518237267735728</v>
          </cell>
          <cell r="AG60">
            <v>102.42299722632484</v>
          </cell>
        </row>
        <row r="61">
          <cell r="A61">
            <v>40237</v>
          </cell>
          <cell r="B61">
            <v>12.134026</v>
          </cell>
          <cell r="C61">
            <v>56.75</v>
          </cell>
          <cell r="D61">
            <v>59.415970000000002</v>
          </cell>
          <cell r="E61">
            <v>30.270636</v>
          </cell>
          <cell r="F61">
            <v>73.31</v>
          </cell>
          <cell r="G61">
            <v>0.96748953999999998</v>
          </cell>
          <cell r="H61">
            <v>19.805</v>
          </cell>
          <cell r="I61">
            <v>32.549999999999997</v>
          </cell>
          <cell r="J61">
            <v>28.54</v>
          </cell>
          <cell r="K61">
            <v>3.8148303000000001</v>
          </cell>
          <cell r="L61">
            <v>2.13</v>
          </cell>
          <cell r="M61">
            <v>15.02</v>
          </cell>
          <cell r="N61">
            <v>8.1813149999999997</v>
          </cell>
          <cell r="O61">
            <v>11.050303</v>
          </cell>
          <cell r="Q61">
            <v>87.781361938585093</v>
          </cell>
          <cell r="R61">
            <v>93.988075521695919</v>
          </cell>
          <cell r="S61">
            <v>114.04803548435889</v>
          </cell>
          <cell r="T61">
            <v>110.72867742257148</v>
          </cell>
          <cell r="U61">
            <v>97.955638695884545</v>
          </cell>
          <cell r="V61">
            <v>93.676332813194108</v>
          </cell>
          <cell r="W61">
            <v>101.25255623721883</v>
          </cell>
          <cell r="X61">
            <v>91.612721643681382</v>
          </cell>
          <cell r="Y61">
            <v>109.20221924622153</v>
          </cell>
          <cell r="Z61">
            <v>83.663971682378573</v>
          </cell>
          <cell r="AA61">
            <v>104.41176470588233</v>
          </cell>
          <cell r="AB61">
            <v>81.897491821155938</v>
          </cell>
          <cell r="AC61">
            <v>100.09944713121087</v>
          </cell>
          <cell r="AD61">
            <v>104.74654732143883</v>
          </cell>
          <cell r="AF61">
            <v>97.518237267735728</v>
          </cell>
          <cell r="AG61">
            <v>102.42299722632484</v>
          </cell>
        </row>
        <row r="62">
          <cell r="A62">
            <v>40238</v>
          </cell>
          <cell r="B62">
            <v>12.315616</v>
          </cell>
          <cell r="C62">
            <v>56.84</v>
          </cell>
          <cell r="D62">
            <v>58.955143</v>
          </cell>
          <cell r="E62">
            <v>29.734870000000001</v>
          </cell>
          <cell r="F62">
            <v>74.19</v>
          </cell>
          <cell r="G62">
            <v>0.99541396000000004</v>
          </cell>
          <cell r="H62">
            <v>20.645</v>
          </cell>
          <cell r="I62">
            <v>31.5</v>
          </cell>
          <cell r="J62">
            <v>29.085000000000001</v>
          </cell>
          <cell r="K62">
            <v>3.8654853999999998</v>
          </cell>
          <cell r="L62">
            <v>2.11</v>
          </cell>
          <cell r="M62">
            <v>15.1</v>
          </cell>
          <cell r="N62">
            <v>8.4384200000000007</v>
          </cell>
          <cell r="O62">
            <v>10.682740000000001</v>
          </cell>
          <cell r="Q62">
            <v>89.095041134132188</v>
          </cell>
          <cell r="R62">
            <v>94.137131500496849</v>
          </cell>
          <cell r="S62">
            <v>113.16348518503445</v>
          </cell>
          <cell r="T62">
            <v>108.76886856398056</v>
          </cell>
          <cell r="U62">
            <v>99.131480491715649</v>
          </cell>
          <cell r="V62">
            <v>96.380090480212829</v>
          </cell>
          <cell r="W62">
            <v>105.54703476482618</v>
          </cell>
          <cell r="X62">
            <v>88.657472558401352</v>
          </cell>
          <cell r="Y62">
            <v>111.28754543715324</v>
          </cell>
          <cell r="Z62">
            <v>84.774901007850275</v>
          </cell>
          <cell r="AA62">
            <v>103.4313725490196</v>
          </cell>
          <cell r="AB62">
            <v>82.333696837513628</v>
          </cell>
          <cell r="AC62">
            <v>103.24516005812666</v>
          </cell>
          <cell r="AD62">
            <v>101.26239352284072</v>
          </cell>
          <cell r="AF62">
            <v>98.059010042528072</v>
          </cell>
          <cell r="AG62">
            <v>102.2537767904837</v>
          </cell>
        </row>
        <row r="63">
          <cell r="A63">
            <v>40239</v>
          </cell>
          <cell r="B63">
            <v>12.193873999999999</v>
          </cell>
          <cell r="C63">
            <v>56.65</v>
          </cell>
          <cell r="D63">
            <v>59.305855000000001</v>
          </cell>
          <cell r="E63">
            <v>29.686624999999999</v>
          </cell>
          <cell r="F63">
            <v>74.650000000000006</v>
          </cell>
          <cell r="G63">
            <v>1.018591</v>
          </cell>
          <cell r="H63">
            <v>20.984999999999999</v>
          </cell>
          <cell r="I63">
            <v>32.4</v>
          </cell>
          <cell r="J63">
            <v>29.45</v>
          </cell>
          <cell r="K63">
            <v>3.8749422999999998</v>
          </cell>
          <cell r="L63">
            <v>2.16</v>
          </cell>
          <cell r="M63">
            <v>15.35</v>
          </cell>
          <cell r="N63">
            <v>8.6136759999999999</v>
          </cell>
          <cell r="O63">
            <v>10.6338215</v>
          </cell>
          <cell r="Q63">
            <v>88.214321201182713</v>
          </cell>
          <cell r="R63">
            <v>93.82245776747267</v>
          </cell>
          <cell r="S63">
            <v>113.8366714449035</v>
          </cell>
          <cell r="T63">
            <v>108.59239044035436</v>
          </cell>
          <cell r="U63">
            <v>99.746125066809199</v>
          </cell>
          <cell r="V63">
            <v>98.62418720984229</v>
          </cell>
          <cell r="W63">
            <v>107.28527607361964</v>
          </cell>
          <cell r="X63">
            <v>91.190543202927103</v>
          </cell>
          <cell r="Y63">
            <v>112.68414004208915</v>
          </cell>
          <cell r="Z63">
            <v>84.982302583171503</v>
          </cell>
          <cell r="AA63">
            <v>105.88235294117648</v>
          </cell>
          <cell r="AB63">
            <v>83.696837513631408</v>
          </cell>
          <cell r="AC63">
            <v>105.38943988434377</v>
          </cell>
          <cell r="AD63">
            <v>100.79869185102739</v>
          </cell>
          <cell r="AF63">
            <v>99.046467123931677</v>
          </cell>
          <cell r="AG63">
            <v>103.09406586768557</v>
          </cell>
        </row>
        <row r="64">
          <cell r="A64">
            <v>40240</v>
          </cell>
          <cell r="B64">
            <v>11.95722</v>
          </cell>
          <cell r="C64">
            <v>55.83</v>
          </cell>
          <cell r="D64">
            <v>61.109229999999997</v>
          </cell>
          <cell r="E64">
            <v>30.046312</v>
          </cell>
          <cell r="F64">
            <v>73.28</v>
          </cell>
          <cell r="G64">
            <v>1.0214650999999999</v>
          </cell>
          <cell r="H64">
            <v>20.605</v>
          </cell>
          <cell r="I64">
            <v>31.63</v>
          </cell>
          <cell r="J64">
            <v>29.63</v>
          </cell>
          <cell r="K64">
            <v>3.7683360000000001</v>
          </cell>
          <cell r="L64">
            <v>2.1800000000000002</v>
          </cell>
          <cell r="M64">
            <v>15.98</v>
          </cell>
          <cell r="N64">
            <v>8.5127930000000003</v>
          </cell>
          <cell r="O64">
            <v>10.683161</v>
          </cell>
          <cell r="Q64">
            <v>86.502291704277567</v>
          </cell>
          <cell r="R64">
            <v>92.464392182841991</v>
          </cell>
          <cell r="S64">
            <v>117.29822186630712</v>
          </cell>
          <cell r="T64">
            <v>109.90810993155013</v>
          </cell>
          <cell r="U64">
            <v>97.91555318011757</v>
          </cell>
          <cell r="V64">
            <v>98.902469441336379</v>
          </cell>
          <cell r="W64">
            <v>105.34253578732107</v>
          </cell>
          <cell r="X64">
            <v>89.023360540388396</v>
          </cell>
          <cell r="Y64">
            <v>113.37287162808494</v>
          </cell>
          <cell r="Z64">
            <v>82.644293874274766</v>
          </cell>
          <cell r="AA64">
            <v>106.86274509803921</v>
          </cell>
          <cell r="AB64">
            <v>87.131952017448199</v>
          </cell>
          <cell r="AC64">
            <v>104.15512333193892</v>
          </cell>
          <cell r="AD64">
            <v>101.26638420946917</v>
          </cell>
          <cell r="AF64">
            <v>98.947399770998928</v>
          </cell>
          <cell r="AG64">
            <v>102.71075377070404</v>
          </cell>
        </row>
        <row r="65">
          <cell r="A65">
            <v>40241</v>
          </cell>
          <cell r="B65">
            <v>11.825533999999999</v>
          </cell>
          <cell r="C65">
            <v>55.95</v>
          </cell>
          <cell r="D65">
            <v>61.375900000000001</v>
          </cell>
          <cell r="E65">
            <v>30.058454999999999</v>
          </cell>
          <cell r="F65">
            <v>72.59</v>
          </cell>
          <cell r="G65">
            <v>1.0358254</v>
          </cell>
          <cell r="H65">
            <v>21.484999999999999</v>
          </cell>
          <cell r="I65">
            <v>32.07</v>
          </cell>
          <cell r="J65">
            <v>29.545000000000002</v>
          </cell>
          <cell r="K65">
            <v>3.7286906000000002</v>
          </cell>
          <cell r="L65">
            <v>2.21</v>
          </cell>
          <cell r="M65">
            <v>16.3</v>
          </cell>
          <cell r="N65">
            <v>8.4001239999999999</v>
          </cell>
          <cell r="O65">
            <v>10.611857000000001</v>
          </cell>
          <cell r="Q65">
            <v>85.549633746544117</v>
          </cell>
          <cell r="R65">
            <v>92.663133487909903</v>
          </cell>
          <cell r="S65">
            <v>117.81009080697433</v>
          </cell>
          <cell r="T65">
            <v>109.95252850042137</v>
          </cell>
          <cell r="U65">
            <v>96.993586317477281</v>
          </cell>
          <cell r="V65">
            <v>100.29289299268281</v>
          </cell>
          <cell r="W65">
            <v>109.84151329243355</v>
          </cell>
          <cell r="X65">
            <v>90.261750633267653</v>
          </cell>
          <cell r="Y65">
            <v>113.04763726803138</v>
          </cell>
          <cell r="Z65">
            <v>81.774820958812029</v>
          </cell>
          <cell r="AA65">
            <v>108.33333333333333</v>
          </cell>
          <cell r="AB65">
            <v>88.876772082878958</v>
          </cell>
          <cell r="AC65">
            <v>102.77660354522659</v>
          </cell>
          <cell r="AD65">
            <v>100.59048891409057</v>
          </cell>
          <cell r="AF65">
            <v>99.616474451730554</v>
          </cell>
          <cell r="AG65">
            <v>101.68354622965859</v>
          </cell>
        </row>
        <row r="66">
          <cell r="A66">
            <v>40242</v>
          </cell>
          <cell r="B66">
            <v>12.127140000000001</v>
          </cell>
          <cell r="C66">
            <v>56.19</v>
          </cell>
          <cell r="D66">
            <v>60.843640000000001</v>
          </cell>
          <cell r="E66">
            <v>29.781359999999999</v>
          </cell>
          <cell r="F66">
            <v>72.45</v>
          </cell>
          <cell r="G66">
            <v>1.0294907</v>
          </cell>
          <cell r="H66">
            <v>21.945</v>
          </cell>
          <cell r="I66">
            <v>32.880000000000003</v>
          </cell>
          <cell r="J66">
            <v>29.75</v>
          </cell>
          <cell r="K66">
            <v>3.8243640000000001</v>
          </cell>
          <cell r="L66">
            <v>2.29</v>
          </cell>
          <cell r="M66">
            <v>16.440000000000001</v>
          </cell>
          <cell r="N66">
            <v>8.5772940000000002</v>
          </cell>
          <cell r="O66">
            <v>10.827076</v>
          </cell>
          <cell r="Q66">
            <v>87.731546447971411</v>
          </cell>
          <cell r="R66">
            <v>93.060616098045699</v>
          </cell>
          <cell r="S66">
            <v>116.78842596893659</v>
          </cell>
          <cell r="T66">
            <v>108.93892697350242</v>
          </cell>
          <cell r="U66">
            <v>96.806520577231424</v>
          </cell>
          <cell r="V66">
            <v>99.679541177559585</v>
          </cell>
          <cell r="W66">
            <v>112.19325153374233</v>
          </cell>
          <cell r="X66">
            <v>92.541514213340847</v>
          </cell>
          <cell r="Y66">
            <v>113.83202601874881</v>
          </cell>
          <cell r="Z66">
            <v>83.873057577189741</v>
          </cell>
          <cell r="AA66">
            <v>112.25490196078431</v>
          </cell>
          <cell r="AB66">
            <v>89.640130861504915</v>
          </cell>
          <cell r="AC66">
            <v>104.94430140898525</v>
          </cell>
          <cell r="AD66">
            <v>102.63056393899919</v>
          </cell>
          <cell r="AF66">
            <v>100.61170495071319</v>
          </cell>
          <cell r="AG66">
            <v>103.78743267399221</v>
          </cell>
        </row>
        <row r="67">
          <cell r="A67">
            <v>40243</v>
          </cell>
          <cell r="B67">
            <v>12.127140000000001</v>
          </cell>
          <cell r="C67">
            <v>56.19</v>
          </cell>
          <cell r="D67">
            <v>60.843640000000001</v>
          </cell>
          <cell r="E67">
            <v>29.781359999999999</v>
          </cell>
          <cell r="F67">
            <v>72.45</v>
          </cell>
          <cell r="G67">
            <v>1.0294907</v>
          </cell>
          <cell r="H67">
            <v>21.945</v>
          </cell>
          <cell r="I67">
            <v>32.880000000000003</v>
          </cell>
          <cell r="J67">
            <v>29.75</v>
          </cell>
          <cell r="K67">
            <v>3.8243640000000001</v>
          </cell>
          <cell r="L67">
            <v>2.29</v>
          </cell>
          <cell r="M67">
            <v>16.440000000000001</v>
          </cell>
          <cell r="N67">
            <v>8.5772940000000002</v>
          </cell>
          <cell r="O67">
            <v>10.827076</v>
          </cell>
          <cell r="Q67">
            <v>87.731546447971411</v>
          </cell>
          <cell r="R67">
            <v>93.060616098045699</v>
          </cell>
          <cell r="S67">
            <v>116.78842596893659</v>
          </cell>
          <cell r="T67">
            <v>108.93892697350242</v>
          </cell>
          <cell r="U67">
            <v>96.806520577231424</v>
          </cell>
          <cell r="V67">
            <v>99.679541177559585</v>
          </cell>
          <cell r="W67">
            <v>112.19325153374233</v>
          </cell>
          <cell r="X67">
            <v>92.541514213340847</v>
          </cell>
          <cell r="Y67">
            <v>113.83202601874881</v>
          </cell>
          <cell r="Z67">
            <v>83.873057577189741</v>
          </cell>
          <cell r="AA67">
            <v>112.25490196078431</v>
          </cell>
          <cell r="AB67">
            <v>89.640130861504915</v>
          </cell>
          <cell r="AC67">
            <v>104.94430140898525</v>
          </cell>
          <cell r="AD67">
            <v>102.63056393899919</v>
          </cell>
          <cell r="AF67">
            <v>100.61170495071319</v>
          </cell>
          <cell r="AG67">
            <v>103.78743267399221</v>
          </cell>
        </row>
        <row r="68">
          <cell r="A68">
            <v>40244</v>
          </cell>
          <cell r="B68">
            <v>12.127140000000001</v>
          </cell>
          <cell r="C68">
            <v>56.19</v>
          </cell>
          <cell r="D68">
            <v>60.843640000000001</v>
          </cell>
          <cell r="E68">
            <v>29.781359999999999</v>
          </cell>
          <cell r="F68">
            <v>72.45</v>
          </cell>
          <cell r="G68">
            <v>1.0294907</v>
          </cell>
          <cell r="H68">
            <v>21.945</v>
          </cell>
          <cell r="I68">
            <v>32.880000000000003</v>
          </cell>
          <cell r="J68">
            <v>29.75</v>
          </cell>
          <cell r="K68">
            <v>3.8243640000000001</v>
          </cell>
          <cell r="L68">
            <v>2.29</v>
          </cell>
          <cell r="M68">
            <v>16.440000000000001</v>
          </cell>
          <cell r="N68">
            <v>8.5772940000000002</v>
          </cell>
          <cell r="O68">
            <v>10.827076</v>
          </cell>
          <cell r="Q68">
            <v>87.731546447971411</v>
          </cell>
          <cell r="R68">
            <v>93.060616098045699</v>
          </cell>
          <cell r="S68">
            <v>116.78842596893659</v>
          </cell>
          <cell r="T68">
            <v>108.93892697350242</v>
          </cell>
          <cell r="U68">
            <v>96.806520577231424</v>
          </cell>
          <cell r="V68">
            <v>99.679541177559585</v>
          </cell>
          <cell r="W68">
            <v>112.19325153374233</v>
          </cell>
          <cell r="X68">
            <v>92.541514213340847</v>
          </cell>
          <cell r="Y68">
            <v>113.83202601874881</v>
          </cell>
          <cell r="Z68">
            <v>83.873057577189741</v>
          </cell>
          <cell r="AA68">
            <v>112.25490196078431</v>
          </cell>
          <cell r="AB68">
            <v>89.640130861504915</v>
          </cell>
          <cell r="AC68">
            <v>104.94430140898525</v>
          </cell>
          <cell r="AD68">
            <v>102.63056393899919</v>
          </cell>
          <cell r="AF68">
            <v>100.61170495071319</v>
          </cell>
          <cell r="AG68">
            <v>103.78743267399221</v>
          </cell>
        </row>
        <row r="69">
          <cell r="A69">
            <v>40245</v>
          </cell>
          <cell r="B69">
            <v>12.044743</v>
          </cell>
          <cell r="C69">
            <v>55.93</v>
          </cell>
          <cell r="D69">
            <v>62.175020000000004</v>
          </cell>
          <cell r="E69">
            <v>29.538665999999999</v>
          </cell>
          <cell r="F69">
            <v>72.040000000000006</v>
          </cell>
          <cell r="G69">
            <v>1.0077906999999999</v>
          </cell>
          <cell r="H69">
            <v>21.684999999999999</v>
          </cell>
          <cell r="I69">
            <v>33.15</v>
          </cell>
          <cell r="J69">
            <v>29.59</v>
          </cell>
          <cell r="K69">
            <v>3.8357313</v>
          </cell>
          <cell r="L69">
            <v>2.3199999999999998</v>
          </cell>
          <cell r="M69">
            <v>16.28</v>
          </cell>
          <cell r="N69">
            <v>8.3335670000000004</v>
          </cell>
          <cell r="O69">
            <v>10.738556000000001</v>
          </cell>
          <cell r="Q69">
            <v>87.13546062454779</v>
          </cell>
          <cell r="R69">
            <v>92.630009937065253</v>
          </cell>
          <cell r="S69">
            <v>119.3439892877407</v>
          </cell>
          <cell r="T69">
            <v>108.05116281689887</v>
          </cell>
          <cell r="U69">
            <v>96.258685195082847</v>
          </cell>
          <cell r="V69">
            <v>97.578457560628365</v>
          </cell>
          <cell r="W69">
            <v>110.8640081799591</v>
          </cell>
          <cell r="X69">
            <v>93.301435406698559</v>
          </cell>
          <cell r="Y69">
            <v>113.21982016453032</v>
          </cell>
          <cell r="Z69">
            <v>84.122356599823888</v>
          </cell>
          <cell r="AA69">
            <v>113.72549019607843</v>
          </cell>
          <cell r="AB69">
            <v>88.76772082878955</v>
          </cell>
          <cell r="AC69">
            <v>101.96227004227359</v>
          </cell>
          <cell r="AD69">
            <v>101.79147704980767</v>
          </cell>
          <cell r="AF69">
            <v>100.41654973315364</v>
          </cell>
          <cell r="AG69">
            <v>101.87687354604063</v>
          </cell>
        </row>
        <row r="70">
          <cell r="A70">
            <v>40246</v>
          </cell>
          <cell r="B70">
            <v>12.301174</v>
          </cell>
          <cell r="C70">
            <v>55.72</v>
          </cell>
          <cell r="D70">
            <v>60.04233</v>
          </cell>
          <cell r="E70">
            <v>30.143702000000001</v>
          </cell>
          <cell r="F70">
            <v>71.89</v>
          </cell>
          <cell r="G70">
            <v>1.001001</v>
          </cell>
          <cell r="H70">
            <v>21.625</v>
          </cell>
          <cell r="I70">
            <v>34.19</v>
          </cell>
          <cell r="J70">
            <v>29.68</v>
          </cell>
          <cell r="K70">
            <v>3.8783376000000001</v>
          </cell>
          <cell r="L70">
            <v>2.36</v>
          </cell>
          <cell r="M70">
            <v>16.27</v>
          </cell>
          <cell r="N70">
            <v>8.3612219999999997</v>
          </cell>
          <cell r="O70">
            <v>10.625836</v>
          </cell>
          <cell r="Q70">
            <v>88.990563162095782</v>
          </cell>
          <cell r="R70">
            <v>92.28221265319641</v>
          </cell>
          <cell r="S70">
            <v>115.25032381704088</v>
          </cell>
          <cell r="T70">
            <v>110.26435833988168</v>
          </cell>
          <cell r="U70">
            <v>96.058257616247985</v>
          </cell>
          <cell r="V70">
            <v>96.921050766440459</v>
          </cell>
          <cell r="W70">
            <v>110.55725971370143</v>
          </cell>
          <cell r="X70">
            <v>96.228539262594978</v>
          </cell>
          <cell r="Y70">
            <v>113.56418595752822</v>
          </cell>
          <cell r="Z70">
            <v>85.056765733748136</v>
          </cell>
          <cell r="AA70">
            <v>115.68627450980391</v>
          </cell>
          <cell r="AB70">
            <v>88.713195201744824</v>
          </cell>
          <cell r="AC70">
            <v>102.30063254395132</v>
          </cell>
          <cell r="AD70">
            <v>100.72299677247294</v>
          </cell>
          <cell r="AF70">
            <v>100.79774889450208</v>
          </cell>
          <cell r="AG70">
            <v>101.51181465821213</v>
          </cell>
        </row>
        <row r="71">
          <cell r="A71">
            <v>40247</v>
          </cell>
          <cell r="B71">
            <v>12.509969999999999</v>
          </cell>
          <cell r="C71">
            <v>55.75</v>
          </cell>
          <cell r="D71">
            <v>60.131293999999997</v>
          </cell>
          <cell r="E71">
            <v>31.168973999999999</v>
          </cell>
          <cell r="F71">
            <v>72.319999999999993</v>
          </cell>
          <cell r="G71">
            <v>1.0300798</v>
          </cell>
          <cell r="H71">
            <v>22.004999999999999</v>
          </cell>
          <cell r="I71">
            <v>33.83</v>
          </cell>
          <cell r="J71">
            <v>30.09</v>
          </cell>
          <cell r="K71">
            <v>3.9311802</v>
          </cell>
          <cell r="L71">
            <v>2.4</v>
          </cell>
          <cell r="M71">
            <v>16.39</v>
          </cell>
          <cell r="N71">
            <v>8.4016970000000004</v>
          </cell>
          <cell r="O71">
            <v>10.721358</v>
          </cell>
          <cell r="Q71">
            <v>90.501059121749137</v>
          </cell>
          <cell r="R71">
            <v>92.331897979463392</v>
          </cell>
          <cell r="S71">
            <v>115.42108883911877</v>
          </cell>
          <cell r="T71">
            <v>114.01475897759524</v>
          </cell>
          <cell r="U71">
            <v>96.632816675574546</v>
          </cell>
          <cell r="V71">
            <v>99.736580272432121</v>
          </cell>
          <cell r="W71">
            <v>112.5</v>
          </cell>
          <cell r="X71">
            <v>95.215311004784681</v>
          </cell>
          <cell r="Y71">
            <v>115.13296345896306</v>
          </cell>
          <cell r="Z71">
            <v>86.215669654067526</v>
          </cell>
          <cell r="AA71">
            <v>117.64705882352942</v>
          </cell>
          <cell r="AB71">
            <v>89.367502726281359</v>
          </cell>
          <cell r="AC71">
            <v>102.79584940366591</v>
          </cell>
          <cell r="AD71">
            <v>101.62845607917599</v>
          </cell>
          <cell r="AF71">
            <v>102.0597256277966</v>
          </cell>
          <cell r="AG71">
            <v>102.21215274142095</v>
          </cell>
        </row>
        <row r="72">
          <cell r="A72">
            <v>40248</v>
          </cell>
          <cell r="B72">
            <v>12.511044</v>
          </cell>
          <cell r="C72">
            <v>55.93</v>
          </cell>
          <cell r="D72">
            <v>60.318165</v>
          </cell>
          <cell r="E72">
            <v>30.711447</v>
          </cell>
          <cell r="F72">
            <v>73.78</v>
          </cell>
          <cell r="G72">
            <v>1.0373815</v>
          </cell>
          <cell r="H72">
            <v>22.725000000000001</v>
          </cell>
          <cell r="I72">
            <v>34.159999999999997</v>
          </cell>
          <cell r="J72">
            <v>30.32</v>
          </cell>
          <cell r="K72">
            <v>3.8868372</v>
          </cell>
          <cell r="L72">
            <v>2.46</v>
          </cell>
          <cell r="M72">
            <v>16.329999999999998</v>
          </cell>
          <cell r="N72">
            <v>8.6197149999999993</v>
          </cell>
          <cell r="O72">
            <v>10.739317</v>
          </cell>
          <cell r="Q72">
            <v>90.50882877567291</v>
          </cell>
          <cell r="R72">
            <v>92.630009937065253</v>
          </cell>
          <cell r="S72">
            <v>115.77978483346168</v>
          </cell>
          <cell r="T72">
            <v>112.34114499752832</v>
          </cell>
          <cell r="U72">
            <v>98.583645109567072</v>
          </cell>
          <cell r="V72">
            <v>100.44356102108402</v>
          </cell>
          <cell r="W72">
            <v>116.18098159509205</v>
          </cell>
          <cell r="X72">
            <v>96.144103574444117</v>
          </cell>
          <cell r="Y72">
            <v>116.01300937440213</v>
          </cell>
          <cell r="Z72">
            <v>85.243172529801811</v>
          </cell>
          <cell r="AA72">
            <v>120.58823529411764</v>
          </cell>
          <cell r="AB72">
            <v>89.040348964013077</v>
          </cell>
          <cell r="AC72">
            <v>105.46332783038</v>
          </cell>
          <cell r="AD72">
            <v>101.79869061874886</v>
          </cell>
          <cell r="AF72">
            <v>102.79140216718748</v>
          </cell>
          <cell r="AG72">
            <v>103.63100922456442</v>
          </cell>
        </row>
        <row r="73">
          <cell r="A73">
            <v>40249</v>
          </cell>
          <cell r="B73">
            <v>12.534300999999999</v>
          </cell>
          <cell r="C73">
            <v>55.97</v>
          </cell>
          <cell r="D73">
            <v>59.847900000000003</v>
          </cell>
          <cell r="E73">
            <v>30.805686999999999</v>
          </cell>
          <cell r="F73">
            <v>73.7</v>
          </cell>
          <cell r="G73">
            <v>1.0614645</v>
          </cell>
          <cell r="H73">
            <v>22.51</v>
          </cell>
          <cell r="I73">
            <v>34.75</v>
          </cell>
          <cell r="J73">
            <v>30.344999999999999</v>
          </cell>
          <cell r="K73">
            <v>3.8757377000000002</v>
          </cell>
          <cell r="L73">
            <v>2.75</v>
          </cell>
          <cell r="M73">
            <v>16.36</v>
          </cell>
          <cell r="N73">
            <v>8.6348450000000003</v>
          </cell>
          <cell r="O73">
            <v>10.758167</v>
          </cell>
          <cell r="Q73">
            <v>90.677077231264292</v>
          </cell>
          <cell r="R73">
            <v>92.696257038754553</v>
          </cell>
          <cell r="S73">
            <v>114.87711843910589</v>
          </cell>
          <cell r="T73">
            <v>112.68587084208286</v>
          </cell>
          <cell r="U73">
            <v>98.476750400855167</v>
          </cell>
          <cell r="V73">
            <v>102.77537653935845</v>
          </cell>
          <cell r="W73">
            <v>115.08179959100207</v>
          </cell>
          <cell r="X73">
            <v>97.804672108077668</v>
          </cell>
          <cell r="Y73">
            <v>116.10866653912377</v>
          </cell>
          <cell r="Z73">
            <v>84.999746694139205</v>
          </cell>
          <cell r="AA73">
            <v>134.80392156862743</v>
          </cell>
          <cell r="AB73">
            <v>89.203925845147211</v>
          </cell>
          <cell r="AC73">
            <v>105.64844533717385</v>
          </cell>
          <cell r="AD73">
            <v>101.97737100579427</v>
          </cell>
          <cell r="AF73">
            <v>104.18259856979489</v>
          </cell>
          <cell r="AG73">
            <v>103.81290817148405</v>
          </cell>
        </row>
        <row r="74">
          <cell r="A74">
            <v>40250</v>
          </cell>
          <cell r="B74">
            <v>12.534300999999999</v>
          </cell>
          <cell r="C74">
            <v>55.97</v>
          </cell>
          <cell r="D74">
            <v>59.847900000000003</v>
          </cell>
          <cell r="E74">
            <v>30.805686999999999</v>
          </cell>
          <cell r="F74">
            <v>73.7</v>
          </cell>
          <cell r="G74">
            <v>1.0614645</v>
          </cell>
          <cell r="H74">
            <v>22.51</v>
          </cell>
          <cell r="I74">
            <v>34.75</v>
          </cell>
          <cell r="J74">
            <v>30.344999999999999</v>
          </cell>
          <cell r="K74">
            <v>3.8757377000000002</v>
          </cell>
          <cell r="L74">
            <v>2.75</v>
          </cell>
          <cell r="M74">
            <v>16.36</v>
          </cell>
          <cell r="N74">
            <v>8.6348450000000003</v>
          </cell>
          <cell r="O74">
            <v>10.758167</v>
          </cell>
          <cell r="Q74">
            <v>90.677077231264292</v>
          </cell>
          <cell r="R74">
            <v>92.696257038754553</v>
          </cell>
          <cell r="S74">
            <v>114.87711843910589</v>
          </cell>
          <cell r="T74">
            <v>112.68587084208286</v>
          </cell>
          <cell r="U74">
            <v>98.476750400855167</v>
          </cell>
          <cell r="V74">
            <v>102.77537653935845</v>
          </cell>
          <cell r="W74">
            <v>115.08179959100207</v>
          </cell>
          <cell r="X74">
            <v>97.804672108077668</v>
          </cell>
          <cell r="Y74">
            <v>116.10866653912377</v>
          </cell>
          <cell r="Z74">
            <v>84.999746694139205</v>
          </cell>
          <cell r="AA74">
            <v>134.80392156862743</v>
          </cell>
          <cell r="AB74">
            <v>89.203925845147211</v>
          </cell>
          <cell r="AC74">
            <v>105.64844533717385</v>
          </cell>
          <cell r="AD74">
            <v>101.97737100579427</v>
          </cell>
          <cell r="AF74">
            <v>104.18259856979489</v>
          </cell>
          <cell r="AG74">
            <v>103.81290817148405</v>
          </cell>
        </row>
        <row r="75">
          <cell r="A75">
            <v>40251</v>
          </cell>
          <cell r="B75">
            <v>12.534300999999999</v>
          </cell>
          <cell r="C75">
            <v>55.97</v>
          </cell>
          <cell r="D75">
            <v>59.847900000000003</v>
          </cell>
          <cell r="E75">
            <v>30.805686999999999</v>
          </cell>
          <cell r="F75">
            <v>73.7</v>
          </cell>
          <cell r="G75">
            <v>1.0614645</v>
          </cell>
          <cell r="H75">
            <v>22.51</v>
          </cell>
          <cell r="I75">
            <v>34.75</v>
          </cell>
          <cell r="J75">
            <v>30.344999999999999</v>
          </cell>
          <cell r="K75">
            <v>3.8757377000000002</v>
          </cell>
          <cell r="L75">
            <v>2.75</v>
          </cell>
          <cell r="M75">
            <v>16.36</v>
          </cell>
          <cell r="N75">
            <v>8.6348450000000003</v>
          </cell>
          <cell r="O75">
            <v>10.758167</v>
          </cell>
          <cell r="Q75">
            <v>90.677077231264292</v>
          </cell>
          <cell r="R75">
            <v>92.696257038754553</v>
          </cell>
          <cell r="S75">
            <v>114.87711843910589</v>
          </cell>
          <cell r="T75">
            <v>112.68587084208286</v>
          </cell>
          <cell r="U75">
            <v>98.476750400855167</v>
          </cell>
          <cell r="V75">
            <v>102.77537653935845</v>
          </cell>
          <cell r="W75">
            <v>115.08179959100207</v>
          </cell>
          <cell r="X75">
            <v>97.804672108077668</v>
          </cell>
          <cell r="Y75">
            <v>116.10866653912377</v>
          </cell>
          <cell r="Z75">
            <v>84.999746694139205</v>
          </cell>
          <cell r="AA75">
            <v>134.80392156862743</v>
          </cell>
          <cell r="AB75">
            <v>89.203925845147211</v>
          </cell>
          <cell r="AC75">
            <v>105.64844533717385</v>
          </cell>
          <cell r="AD75">
            <v>101.97737100579427</v>
          </cell>
          <cell r="AF75">
            <v>104.18259856979489</v>
          </cell>
          <cell r="AG75">
            <v>103.81290817148405</v>
          </cell>
        </row>
        <row r="76">
          <cell r="A76">
            <v>40252</v>
          </cell>
          <cell r="B76">
            <v>12.488234500000001</v>
          </cell>
          <cell r="C76">
            <v>56.32</v>
          </cell>
          <cell r="D76">
            <v>59.028354999999998</v>
          </cell>
          <cell r="E76">
            <v>30.785387</v>
          </cell>
          <cell r="F76">
            <v>74.67</v>
          </cell>
          <cell r="G76">
            <v>1.0729613</v>
          </cell>
          <cell r="H76">
            <v>22.184999999999999</v>
          </cell>
          <cell r="I76">
            <v>35.799999999999997</v>
          </cell>
          <cell r="J76">
            <v>30.315000000000001</v>
          </cell>
          <cell r="K76">
            <v>3.8467406999999998</v>
          </cell>
          <cell r="L76">
            <v>3</v>
          </cell>
          <cell r="M76">
            <v>16.61</v>
          </cell>
          <cell r="N76">
            <v>8.5455579999999998</v>
          </cell>
          <cell r="O76">
            <v>10.865875000000001</v>
          </cell>
          <cell r="Q76">
            <v>90.343817675883116</v>
          </cell>
          <cell r="R76">
            <v>93.275919178535943</v>
          </cell>
          <cell r="S76">
            <v>113.30401448673366</v>
          </cell>
          <cell r="T76">
            <v>112.61161431996427</v>
          </cell>
          <cell r="U76">
            <v>99.772848743987169</v>
          </cell>
          <cell r="V76">
            <v>103.88854419498676</v>
          </cell>
          <cell r="W76">
            <v>113.42024539877301</v>
          </cell>
          <cell r="X76">
            <v>100.7599211933577</v>
          </cell>
          <cell r="Y76">
            <v>115.99387794145781</v>
          </cell>
          <cell r="Z76">
            <v>84.36380643045986</v>
          </cell>
          <cell r="AA76">
            <v>147.05882352941174</v>
          </cell>
          <cell r="AB76">
            <v>90.567066521264991</v>
          </cell>
          <cell r="AC76">
            <v>104.55600734450343</v>
          </cell>
          <cell r="AD76">
            <v>102.99834220621274</v>
          </cell>
          <cell r="AF76">
            <v>105.44670830123466</v>
          </cell>
          <cell r="AG76">
            <v>103.77717477535808</v>
          </cell>
        </row>
        <row r="77">
          <cell r="A77">
            <v>40253</v>
          </cell>
          <cell r="B77">
            <v>12.704489000000001</v>
          </cell>
          <cell r="C77">
            <v>56.95</v>
          </cell>
          <cell r="D77">
            <v>59.493533999999997</v>
          </cell>
          <cell r="E77">
            <v>30.609311999999999</v>
          </cell>
          <cell r="F77">
            <v>75</v>
          </cell>
          <cell r="G77">
            <v>1.1398257000000001</v>
          </cell>
          <cell r="H77">
            <v>22.035</v>
          </cell>
          <cell r="I77">
            <v>35.799999999999997</v>
          </cell>
          <cell r="J77">
            <v>30.5</v>
          </cell>
          <cell r="K77">
            <v>3.9421412999999998</v>
          </cell>
          <cell r="L77">
            <v>3</v>
          </cell>
          <cell r="M77">
            <v>16.84</v>
          </cell>
          <cell r="N77">
            <v>8.6542010000000005</v>
          </cell>
          <cell r="O77">
            <v>10.839031</v>
          </cell>
          <cell r="Q77">
            <v>91.908270771281764</v>
          </cell>
          <cell r="R77">
            <v>94.31931103014243</v>
          </cell>
          <cell r="S77">
            <v>114.19691838274981</v>
          </cell>
          <cell r="T77">
            <v>111.96753958439612</v>
          </cell>
          <cell r="U77">
            <v>100.21378941742383</v>
          </cell>
          <cell r="V77">
            <v>110.36263154042156</v>
          </cell>
          <cell r="W77">
            <v>112.65337423312884</v>
          </cell>
          <cell r="X77">
            <v>100.7599211933577</v>
          </cell>
          <cell r="Y77">
            <v>116.70174096039794</v>
          </cell>
          <cell r="Z77">
            <v>86.456060205649266</v>
          </cell>
          <cell r="AA77">
            <v>147.05882352941174</v>
          </cell>
          <cell r="AB77">
            <v>91.821155943293348</v>
          </cell>
          <cell r="AC77">
            <v>105.88526850052496</v>
          </cell>
          <cell r="AD77">
            <v>102.74388616855505</v>
          </cell>
          <cell r="AF77">
            <v>106.53496139930455</v>
          </cell>
          <cell r="AG77">
            <v>104.31457733454</v>
          </cell>
        </row>
        <row r="78">
          <cell r="A78">
            <v>40254</v>
          </cell>
          <cell r="B78">
            <v>12.886627000000001</v>
          </cell>
          <cell r="C78">
            <v>57.49</v>
          </cell>
          <cell r="D78">
            <v>59.711395000000003</v>
          </cell>
          <cell r="E78">
            <v>31.237905999999999</v>
          </cell>
          <cell r="F78">
            <v>75.709999999999994</v>
          </cell>
          <cell r="G78">
            <v>1.1197242999999999</v>
          </cell>
          <cell r="H78">
            <v>22.035</v>
          </cell>
          <cell r="I78">
            <v>36</v>
          </cell>
          <cell r="J78">
            <v>30.9</v>
          </cell>
          <cell r="K78">
            <v>4.1049023</v>
          </cell>
          <cell r="L78">
            <v>3.01</v>
          </cell>
          <cell r="M78">
            <v>16.829999999999998</v>
          </cell>
          <cell r="N78">
            <v>8.5237730000000003</v>
          </cell>
          <cell r="O78">
            <v>11.061082000000001</v>
          </cell>
          <cell r="Q78">
            <v>93.22591437125179</v>
          </cell>
          <cell r="R78">
            <v>95.213646902947985</v>
          </cell>
          <cell r="S78">
            <v>114.61509920279968</v>
          </cell>
          <cell r="T78">
            <v>114.26690925260408</v>
          </cell>
          <cell r="U78">
            <v>101.1624799572421</v>
          </cell>
          <cell r="V78">
            <v>108.41633097740859</v>
          </cell>
          <cell r="W78">
            <v>112.65337423312884</v>
          </cell>
          <cell r="X78">
            <v>101.32282578103012</v>
          </cell>
          <cell r="Y78">
            <v>118.23225559594412</v>
          </cell>
          <cell r="Z78">
            <v>90.025611305994573</v>
          </cell>
          <cell r="AA78">
            <v>147.54901960784312</v>
          </cell>
          <cell r="AB78">
            <v>91.766630316248637</v>
          </cell>
          <cell r="AC78">
            <v>104.2894650520048</v>
          </cell>
          <cell r="AD78">
            <v>104.8487221698188</v>
          </cell>
          <cell r="AF78">
            <v>107.37084145870364</v>
          </cell>
          <cell r="AG78">
            <v>104.56909361091181</v>
          </cell>
        </row>
        <row r="79">
          <cell r="A79">
            <v>40255</v>
          </cell>
          <cell r="B79">
            <v>12.686109999999999</v>
          </cell>
          <cell r="C79">
            <v>57.69</v>
          </cell>
          <cell r="D79">
            <v>59.135624</v>
          </cell>
          <cell r="E79">
            <v>31.612690000000001</v>
          </cell>
          <cell r="F79">
            <v>76.17</v>
          </cell>
          <cell r="G79">
            <v>1.1173584000000001</v>
          </cell>
          <cell r="H79">
            <v>22.08</v>
          </cell>
          <cell r="I79">
            <v>36.03</v>
          </cell>
          <cell r="J79">
            <v>31.35</v>
          </cell>
          <cell r="K79">
            <v>3.9741840000000002</v>
          </cell>
          <cell r="L79">
            <v>2.83</v>
          </cell>
          <cell r="M79">
            <v>17.14</v>
          </cell>
          <cell r="N79">
            <v>8.3810599999999997</v>
          </cell>
          <cell r="O79">
            <v>11.062998</v>
          </cell>
          <cell r="Q79">
            <v>91.775311302506154</v>
          </cell>
          <cell r="R79">
            <v>95.544882411394497</v>
          </cell>
          <cell r="S79">
            <v>113.50991567320546</v>
          </cell>
          <cell r="T79">
            <v>115.63785291692423</v>
          </cell>
          <cell r="U79">
            <v>101.77712453233565</v>
          </cell>
          <cell r="V79">
            <v>108.18725476868522</v>
          </cell>
          <cell r="W79">
            <v>112.88343558282207</v>
          </cell>
          <cell r="X79">
            <v>101.40726146918098</v>
          </cell>
          <cell r="Y79">
            <v>119.95408456093361</v>
          </cell>
          <cell r="Z79">
            <v>87.158796457226956</v>
          </cell>
          <cell r="AA79">
            <v>138.72549019607843</v>
          </cell>
          <cell r="AB79">
            <v>93.456924754634684</v>
          </cell>
          <cell r="AC79">
            <v>102.54335303964046</v>
          </cell>
          <cell r="AD79">
            <v>104.86688405955773</v>
          </cell>
          <cell r="AF79">
            <v>106.66819455216067</v>
          </cell>
          <cell r="AG79">
            <v>103.70511854959909</v>
          </cell>
        </row>
        <row r="80">
          <cell r="A80">
            <v>40256</v>
          </cell>
          <cell r="B80">
            <v>12.662576</v>
          </cell>
          <cell r="C80">
            <v>57.3</v>
          </cell>
          <cell r="D80">
            <v>58.55706</v>
          </cell>
          <cell r="E80">
            <v>31.300407</v>
          </cell>
          <cell r="F80">
            <v>75.510000000000005</v>
          </cell>
          <cell r="G80">
            <v>1.1087663000000001</v>
          </cell>
          <cell r="H80">
            <v>21.925000000000001</v>
          </cell>
          <cell r="I80">
            <v>35.86</v>
          </cell>
          <cell r="J80">
            <v>31.09</v>
          </cell>
          <cell r="K80">
            <v>4.0131755</v>
          </cell>
          <cell r="L80">
            <v>2.8</v>
          </cell>
          <cell r="M80">
            <v>17.41</v>
          </cell>
          <cell r="N80">
            <v>8.5077979999999993</v>
          </cell>
          <cell r="O80">
            <v>10.926682</v>
          </cell>
          <cell r="Q80">
            <v>91.605058941759381</v>
          </cell>
          <cell r="R80">
            <v>94.898973169923806</v>
          </cell>
          <cell r="S80">
            <v>112.39937102330791</v>
          </cell>
          <cell r="T80">
            <v>114.49553520772402</v>
          </cell>
          <cell r="U80">
            <v>100.89524318546232</v>
          </cell>
          <cell r="V80">
            <v>107.35533216292326</v>
          </cell>
          <cell r="W80">
            <v>112.09100204498978</v>
          </cell>
          <cell r="X80">
            <v>100.92879256965944</v>
          </cell>
          <cell r="Y80">
            <v>118.95925004782856</v>
          </cell>
          <cell r="Z80">
            <v>88.01392853265726</v>
          </cell>
          <cell r="AA80">
            <v>137.25490196078428</v>
          </cell>
          <cell r="AB80">
            <v>94.929116684841873</v>
          </cell>
          <cell r="AC80">
            <v>104.09400886092534</v>
          </cell>
          <cell r="AD80">
            <v>103.57473574971779</v>
          </cell>
          <cell r="AF80">
            <v>106.15220879432182</v>
          </cell>
          <cell r="AG80">
            <v>103.83437230532157</v>
          </cell>
        </row>
        <row r="81">
          <cell r="A81">
            <v>40257</v>
          </cell>
          <cell r="B81">
            <v>12.662576</v>
          </cell>
          <cell r="C81">
            <v>57.3</v>
          </cell>
          <cell r="D81">
            <v>58.55706</v>
          </cell>
          <cell r="E81">
            <v>31.300407</v>
          </cell>
          <cell r="F81">
            <v>75.510000000000005</v>
          </cell>
          <cell r="G81">
            <v>1.1087663000000001</v>
          </cell>
          <cell r="H81">
            <v>21.925000000000001</v>
          </cell>
          <cell r="I81">
            <v>35.86</v>
          </cell>
          <cell r="J81">
            <v>31.09</v>
          </cell>
          <cell r="K81">
            <v>4.0131755</v>
          </cell>
          <cell r="L81">
            <v>2.8</v>
          </cell>
          <cell r="M81">
            <v>17.41</v>
          </cell>
          <cell r="N81">
            <v>8.5077979999999993</v>
          </cell>
          <cell r="O81">
            <v>10.926682</v>
          </cell>
          <cell r="Q81">
            <v>91.605058941759381</v>
          </cell>
          <cell r="R81">
            <v>94.898973169923806</v>
          </cell>
          <cell r="S81">
            <v>112.39937102330791</v>
          </cell>
          <cell r="T81">
            <v>114.49553520772402</v>
          </cell>
          <cell r="U81">
            <v>100.89524318546232</v>
          </cell>
          <cell r="V81">
            <v>107.35533216292326</v>
          </cell>
          <cell r="W81">
            <v>112.09100204498978</v>
          </cell>
          <cell r="X81">
            <v>100.92879256965944</v>
          </cell>
          <cell r="Y81">
            <v>118.95925004782856</v>
          </cell>
          <cell r="Z81">
            <v>88.01392853265726</v>
          </cell>
          <cell r="AA81">
            <v>137.25490196078428</v>
          </cell>
          <cell r="AB81">
            <v>94.929116684841873</v>
          </cell>
          <cell r="AC81">
            <v>104.09400886092534</v>
          </cell>
          <cell r="AD81">
            <v>103.57473574971779</v>
          </cell>
          <cell r="AF81">
            <v>106.15220879432182</v>
          </cell>
          <cell r="AG81">
            <v>103.83437230532157</v>
          </cell>
        </row>
        <row r="82">
          <cell r="A82">
            <v>40258</v>
          </cell>
          <cell r="B82">
            <v>12.662576</v>
          </cell>
          <cell r="C82">
            <v>57.3</v>
          </cell>
          <cell r="D82">
            <v>58.55706</v>
          </cell>
          <cell r="E82">
            <v>31.300407</v>
          </cell>
          <cell r="F82">
            <v>75.510000000000005</v>
          </cell>
          <cell r="G82">
            <v>1.1087663000000001</v>
          </cell>
          <cell r="H82">
            <v>21.925000000000001</v>
          </cell>
          <cell r="I82">
            <v>35.86</v>
          </cell>
          <cell r="J82">
            <v>31.09</v>
          </cell>
          <cell r="K82">
            <v>4.0131755</v>
          </cell>
          <cell r="L82">
            <v>2.8</v>
          </cell>
          <cell r="M82">
            <v>17.41</v>
          </cell>
          <cell r="N82">
            <v>8.5077979999999993</v>
          </cell>
          <cell r="O82">
            <v>10.926682</v>
          </cell>
          <cell r="Q82">
            <v>91.605058941759381</v>
          </cell>
          <cell r="R82">
            <v>94.898973169923806</v>
          </cell>
          <cell r="S82">
            <v>112.39937102330791</v>
          </cell>
          <cell r="T82">
            <v>114.49553520772402</v>
          </cell>
          <cell r="U82">
            <v>100.89524318546232</v>
          </cell>
          <cell r="V82">
            <v>107.35533216292326</v>
          </cell>
          <cell r="W82">
            <v>112.09100204498978</v>
          </cell>
          <cell r="X82">
            <v>100.92879256965944</v>
          </cell>
          <cell r="Y82">
            <v>118.95925004782856</v>
          </cell>
          <cell r="Z82">
            <v>88.01392853265726</v>
          </cell>
          <cell r="AA82">
            <v>137.25490196078428</v>
          </cell>
          <cell r="AB82">
            <v>94.929116684841873</v>
          </cell>
          <cell r="AC82">
            <v>104.09400886092534</v>
          </cell>
          <cell r="AD82">
            <v>103.57473574971779</v>
          </cell>
          <cell r="AF82">
            <v>106.15220879432182</v>
          </cell>
          <cell r="AG82">
            <v>103.83437230532157</v>
          </cell>
        </row>
        <row r="83">
          <cell r="A83">
            <v>40259</v>
          </cell>
          <cell r="B83">
            <v>12.557231</v>
          </cell>
          <cell r="C83">
            <v>57.95</v>
          </cell>
          <cell r="D83">
            <v>58.865993000000003</v>
          </cell>
          <cell r="E83">
            <v>31.465537999999999</v>
          </cell>
          <cell r="F83">
            <v>76.260000000000005</v>
          </cell>
          <cell r="G83">
            <v>1.1265596</v>
          </cell>
          <cell r="H83">
            <v>22.184999999999999</v>
          </cell>
          <cell r="I83">
            <v>35.979999999999997</v>
          </cell>
          <cell r="J83">
            <v>31.215</v>
          </cell>
          <cell r="K83">
            <v>3.9813377999999999</v>
          </cell>
          <cell r="L83">
            <v>2.93</v>
          </cell>
          <cell r="M83">
            <v>17.829999999999998</v>
          </cell>
          <cell r="N83">
            <v>8.4595330000000004</v>
          </cell>
          <cell r="O83">
            <v>10.928051999999999</v>
          </cell>
          <cell r="Q83">
            <v>90.842960065968271</v>
          </cell>
          <cell r="R83">
            <v>95.975488572374957</v>
          </cell>
          <cell r="S83">
            <v>112.99236313883326</v>
          </cell>
          <cell r="T83">
            <v>115.0995772645697</v>
          </cell>
          <cell r="U83">
            <v>101.89738107963655</v>
          </cell>
          <cell r="V83">
            <v>109.07815295191598</v>
          </cell>
          <cell r="W83">
            <v>113.42024539877301</v>
          </cell>
          <cell r="X83">
            <v>101.26653532226287</v>
          </cell>
          <cell r="Y83">
            <v>119.43753587143678</v>
          </cell>
          <cell r="Z83">
            <v>87.31568818596817</v>
          </cell>
          <cell r="AA83">
            <v>143.62745098039215</v>
          </cell>
          <cell r="AB83">
            <v>97.219193020719729</v>
          </cell>
          <cell r="AC83">
            <v>103.50348034371414</v>
          </cell>
          <cell r="AD83">
            <v>103.58772206962506</v>
          </cell>
          <cell r="AF83">
            <v>107.34771432107094</v>
          </cell>
          <cell r="AG83">
            <v>103.5456012066696</v>
          </cell>
        </row>
        <row r="84">
          <cell r="A84">
            <v>40260</v>
          </cell>
          <cell r="B84">
            <v>12.720532</v>
          </cell>
          <cell r="C84">
            <v>57.28</v>
          </cell>
          <cell r="D84">
            <v>58.947369999999999</v>
          </cell>
          <cell r="E84">
            <v>31.612188</v>
          </cell>
          <cell r="F84">
            <v>74.33</v>
          </cell>
          <cell r="G84">
            <v>1.1352277</v>
          </cell>
          <cell r="H84">
            <v>22.085000000000001</v>
          </cell>
          <cell r="I84">
            <v>35.630000000000003</v>
          </cell>
          <cell r="J84">
            <v>31.414999999999999</v>
          </cell>
          <cell r="K84">
            <v>4.0228109999999999</v>
          </cell>
          <cell r="L84">
            <v>2.9</v>
          </cell>
          <cell r="M84">
            <v>17.78</v>
          </cell>
          <cell r="N84">
            <v>8.5812840000000001</v>
          </cell>
          <cell r="O84">
            <v>11.077147500000001</v>
          </cell>
          <cell r="Q84">
            <v>92.024330881057409</v>
          </cell>
          <cell r="R84">
            <v>94.865849619079171</v>
          </cell>
          <cell r="S84">
            <v>113.1485650317521</v>
          </cell>
          <cell r="T84">
            <v>115.63601662263341</v>
          </cell>
          <cell r="U84">
            <v>99.31854623196152</v>
          </cell>
          <cell r="V84">
            <v>109.91743419154369</v>
          </cell>
          <cell r="W84">
            <v>112.90899795501024</v>
          </cell>
          <cell r="X84">
            <v>100.28145229383621</v>
          </cell>
          <cell r="Y84">
            <v>120.20279318920986</v>
          </cell>
          <cell r="Z84">
            <v>88.225247028042375</v>
          </cell>
          <cell r="AA84">
            <v>142.15686274509801</v>
          </cell>
          <cell r="AB84">
            <v>96.946564885496187</v>
          </cell>
          <cell r="AC84">
            <v>104.99311957502012</v>
          </cell>
          <cell r="AD84">
            <v>105.00100809862931</v>
          </cell>
          <cell r="AF84">
            <v>107.13605505622668</v>
          </cell>
          <cell r="AG84">
            <v>104.99706383682471</v>
          </cell>
        </row>
        <row r="85">
          <cell r="A85">
            <v>40261</v>
          </cell>
          <cell r="B85">
            <v>12.87144</v>
          </cell>
          <cell r="C85">
            <v>57.45</v>
          </cell>
          <cell r="D85">
            <v>58.221786000000002</v>
          </cell>
          <cell r="E85">
            <v>31.058873999999999</v>
          </cell>
          <cell r="F85">
            <v>73.98</v>
          </cell>
          <cell r="G85">
            <v>1.1384255000000001</v>
          </cell>
          <cell r="H85">
            <v>21.64</v>
          </cell>
          <cell r="I85">
            <v>35.880000000000003</v>
          </cell>
          <cell r="J85">
            <v>31.704999999999998</v>
          </cell>
          <cell r="K85">
            <v>4.0541400000000003</v>
          </cell>
          <cell r="L85">
            <v>2.97</v>
          </cell>
          <cell r="M85">
            <v>17.28</v>
          </cell>
          <cell r="N85">
            <v>8.4982670000000002</v>
          </cell>
          <cell r="O85">
            <v>10.801743999999999</v>
          </cell>
          <cell r="Q85">
            <v>93.116046834808301</v>
          </cell>
          <cell r="R85">
            <v>95.147399801258686</v>
          </cell>
          <cell r="S85">
            <v>111.75581776567394</v>
          </cell>
          <cell r="T85">
            <v>113.61201793891256</v>
          </cell>
          <cell r="U85">
            <v>98.850881881346879</v>
          </cell>
          <cell r="V85">
            <v>110.22705839385812</v>
          </cell>
          <cell r="W85">
            <v>110.63394683026586</v>
          </cell>
          <cell r="X85">
            <v>100.98508302842669</v>
          </cell>
          <cell r="Y85">
            <v>121.31241629998087</v>
          </cell>
          <cell r="Z85">
            <v>88.912330951234793</v>
          </cell>
          <cell r="AA85">
            <v>145.58823529411765</v>
          </cell>
          <cell r="AB85">
            <v>94.220283533260641</v>
          </cell>
          <cell r="AC85">
            <v>103.97739584326162</v>
          </cell>
          <cell r="AD85">
            <v>102.39044024856764</v>
          </cell>
          <cell r="AF85">
            <v>107.0301265460954</v>
          </cell>
          <cell r="AG85">
            <v>103.18391804591462</v>
          </cell>
        </row>
        <row r="86">
          <cell r="A86">
            <v>40262</v>
          </cell>
          <cell r="B86">
            <v>12.729426</v>
          </cell>
          <cell r="C86">
            <v>57.95</v>
          </cell>
          <cell r="D86">
            <v>57.719279999999998</v>
          </cell>
          <cell r="E86">
            <v>30.553457000000002</v>
          </cell>
          <cell r="F86">
            <v>74.900000000000006</v>
          </cell>
          <cell r="G86">
            <v>1.1737925</v>
          </cell>
          <cell r="H86">
            <v>21.33</v>
          </cell>
          <cell r="I86">
            <v>36.03</v>
          </cell>
          <cell r="J86">
            <v>31.594999999999999</v>
          </cell>
          <cell r="K86">
            <v>4.0759696999999999</v>
          </cell>
          <cell r="L86">
            <v>2.8</v>
          </cell>
          <cell r="M86">
            <v>16.899999999999999</v>
          </cell>
          <cell r="N86">
            <v>8.4224530000000009</v>
          </cell>
          <cell r="O86">
            <v>10.832826000000001</v>
          </cell>
          <cell r="Q86">
            <v>92.088672875468973</v>
          </cell>
          <cell r="R86">
            <v>95.975488572374957</v>
          </cell>
          <cell r="S86">
            <v>110.79126527045919</v>
          </cell>
          <cell r="T86">
            <v>111.76322440986735</v>
          </cell>
          <cell r="U86">
            <v>100.08017103153395</v>
          </cell>
          <cell r="V86">
            <v>113.65143739293673</v>
          </cell>
          <cell r="W86">
            <v>109.04907975460122</v>
          </cell>
          <cell r="X86">
            <v>101.40726146918098</v>
          </cell>
          <cell r="Y86">
            <v>120.89152477520567</v>
          </cell>
          <cell r="Z86">
            <v>89.391083414387552</v>
          </cell>
          <cell r="AA86">
            <v>137.25490196078428</v>
          </cell>
          <cell r="AB86">
            <v>92.148309705561601</v>
          </cell>
          <cell r="AC86">
            <v>103.04980174808188</v>
          </cell>
          <cell r="AD86">
            <v>102.68506856634727</v>
          </cell>
          <cell r="AF86">
            <v>106.20770171936353</v>
          </cell>
          <cell r="AG86">
            <v>102.86743515721457</v>
          </cell>
        </row>
        <row r="87">
          <cell r="A87">
            <v>40263</v>
          </cell>
          <cell r="B87">
            <v>12.983594</v>
          </cell>
          <cell r="C87">
            <v>57.89</v>
          </cell>
          <cell r="D87">
            <v>58.661479999999997</v>
          </cell>
          <cell r="E87">
            <v>30.886402</v>
          </cell>
          <cell r="F87">
            <v>75.58</v>
          </cell>
          <cell r="G87">
            <v>1.1968369999999999</v>
          </cell>
          <cell r="H87">
            <v>21.74</v>
          </cell>
          <cell r="I87">
            <v>35.97</v>
          </cell>
          <cell r="J87">
            <v>31.48</v>
          </cell>
          <cell r="K87">
            <v>4.0144260000000003</v>
          </cell>
          <cell r="L87">
            <v>2.85</v>
          </cell>
          <cell r="M87">
            <v>16.739999999999998</v>
          </cell>
          <cell r="N87">
            <v>8.3960240000000006</v>
          </cell>
          <cell r="O87">
            <v>10.685848</v>
          </cell>
          <cell r="Q87">
            <v>93.92740415898578</v>
          </cell>
          <cell r="R87">
            <v>95.876117919841008</v>
          </cell>
          <cell r="S87">
            <v>112.59980359834248</v>
          </cell>
          <cell r="T87">
            <v>112.9811228215313</v>
          </cell>
          <cell r="U87">
            <v>100.98877605558525</v>
          </cell>
          <cell r="V87">
            <v>115.88270105240083</v>
          </cell>
          <cell r="W87">
            <v>111.14519427402863</v>
          </cell>
          <cell r="X87">
            <v>101.23839009287924</v>
          </cell>
          <cell r="Y87">
            <v>120.45150181748612</v>
          </cell>
          <cell r="Z87">
            <v>88.041353552477631</v>
          </cell>
          <cell r="AA87">
            <v>139.70588235294116</v>
          </cell>
          <cell r="AB87">
            <v>91.275899672846222</v>
          </cell>
          <cell r="AC87">
            <v>102.72643951496521</v>
          </cell>
          <cell r="AD87">
            <v>101.29185445880555</v>
          </cell>
          <cell r="AF87">
            <v>107.00951228077882</v>
          </cell>
          <cell r="AG87">
            <v>102.00914698688538</v>
          </cell>
        </row>
        <row r="88">
          <cell r="A88">
            <v>40264</v>
          </cell>
          <cell r="B88">
            <v>12.983594</v>
          </cell>
          <cell r="C88">
            <v>57.89</v>
          </cell>
          <cell r="D88">
            <v>58.661479999999997</v>
          </cell>
          <cell r="E88">
            <v>30.886402</v>
          </cell>
          <cell r="F88">
            <v>75.58</v>
          </cell>
          <cell r="G88">
            <v>1.1968369999999999</v>
          </cell>
          <cell r="H88">
            <v>21.74</v>
          </cell>
          <cell r="I88">
            <v>35.97</v>
          </cell>
          <cell r="J88">
            <v>31.48</v>
          </cell>
          <cell r="K88">
            <v>4.0144260000000003</v>
          </cell>
          <cell r="L88">
            <v>2.85</v>
          </cell>
          <cell r="M88">
            <v>16.739999999999998</v>
          </cell>
          <cell r="N88">
            <v>8.3960240000000006</v>
          </cell>
          <cell r="O88">
            <v>10.685848</v>
          </cell>
          <cell r="Q88">
            <v>93.92740415898578</v>
          </cell>
          <cell r="R88">
            <v>95.876117919841008</v>
          </cell>
          <cell r="S88">
            <v>112.59980359834248</v>
          </cell>
          <cell r="T88">
            <v>112.9811228215313</v>
          </cell>
          <cell r="U88">
            <v>100.98877605558525</v>
          </cell>
          <cell r="V88">
            <v>115.88270105240083</v>
          </cell>
          <cell r="W88">
            <v>111.14519427402863</v>
          </cell>
          <cell r="X88">
            <v>101.23839009287924</v>
          </cell>
          <cell r="Y88">
            <v>120.45150181748612</v>
          </cell>
          <cell r="Z88">
            <v>88.041353552477631</v>
          </cell>
          <cell r="AA88">
            <v>139.70588235294116</v>
          </cell>
          <cell r="AB88">
            <v>91.275899672846222</v>
          </cell>
          <cell r="AC88">
            <v>102.72643951496521</v>
          </cell>
          <cell r="AD88">
            <v>101.29185445880555</v>
          </cell>
          <cell r="AF88">
            <v>107.00951228077882</v>
          </cell>
          <cell r="AG88">
            <v>102.00914698688538</v>
          </cell>
        </row>
        <row r="89">
          <cell r="A89">
            <v>40265</v>
          </cell>
          <cell r="B89">
            <v>12.983594</v>
          </cell>
          <cell r="C89">
            <v>57.89</v>
          </cell>
          <cell r="D89">
            <v>58.661479999999997</v>
          </cell>
          <cell r="E89">
            <v>30.886402</v>
          </cell>
          <cell r="F89">
            <v>75.58</v>
          </cell>
          <cell r="G89">
            <v>1.1968369999999999</v>
          </cell>
          <cell r="H89">
            <v>21.74</v>
          </cell>
          <cell r="I89">
            <v>35.97</v>
          </cell>
          <cell r="J89">
            <v>31.48</v>
          </cell>
          <cell r="K89">
            <v>4.0144260000000003</v>
          </cell>
          <cell r="L89">
            <v>2.85</v>
          </cell>
          <cell r="M89">
            <v>16.739999999999998</v>
          </cell>
          <cell r="N89">
            <v>8.3960240000000006</v>
          </cell>
          <cell r="O89">
            <v>10.685848</v>
          </cell>
          <cell r="Q89">
            <v>93.92740415898578</v>
          </cell>
          <cell r="R89">
            <v>95.876117919841008</v>
          </cell>
          <cell r="S89">
            <v>112.59980359834248</v>
          </cell>
          <cell r="T89">
            <v>112.9811228215313</v>
          </cell>
          <cell r="U89">
            <v>100.98877605558525</v>
          </cell>
          <cell r="V89">
            <v>115.88270105240083</v>
          </cell>
          <cell r="W89">
            <v>111.14519427402863</v>
          </cell>
          <cell r="X89">
            <v>101.23839009287924</v>
          </cell>
          <cell r="Y89">
            <v>120.45150181748612</v>
          </cell>
          <cell r="Z89">
            <v>88.041353552477631</v>
          </cell>
          <cell r="AA89">
            <v>139.70588235294116</v>
          </cell>
          <cell r="AB89">
            <v>91.275899672846222</v>
          </cell>
          <cell r="AC89">
            <v>102.72643951496521</v>
          </cell>
          <cell r="AD89">
            <v>101.29185445880555</v>
          </cell>
          <cell r="AF89">
            <v>107.00951228077882</v>
          </cell>
          <cell r="AG89">
            <v>102.00914698688538</v>
          </cell>
        </row>
        <row r="90">
          <cell r="A90">
            <v>40266</v>
          </cell>
          <cell r="B90">
            <v>13.1451435</v>
          </cell>
          <cell r="C90">
            <v>58.49</v>
          </cell>
          <cell r="D90">
            <v>57.836525000000002</v>
          </cell>
          <cell r="E90">
            <v>30.601564</v>
          </cell>
          <cell r="F90">
            <v>75.81</v>
          </cell>
          <cell r="G90">
            <v>1.2082648</v>
          </cell>
          <cell r="H90">
            <v>21.965</v>
          </cell>
          <cell r="I90">
            <v>35.770000000000003</v>
          </cell>
          <cell r="J90">
            <v>31.745000000000001</v>
          </cell>
          <cell r="K90">
            <v>4.1193</v>
          </cell>
          <cell r="L90">
            <v>3.17</v>
          </cell>
          <cell r="M90">
            <v>16.98</v>
          </cell>
          <cell r="N90">
            <v>8.5370910000000002</v>
          </cell>
          <cell r="O90">
            <v>10.664455999999999</v>
          </cell>
          <cell r="Q90">
            <v>95.096104071982296</v>
          </cell>
          <cell r="R90">
            <v>96.869824445180512</v>
          </cell>
          <cell r="S90">
            <v>111.01631523464161</v>
          </cell>
          <cell r="T90">
            <v>111.93919773546139</v>
          </cell>
          <cell r="U90">
            <v>101.29609834313203</v>
          </cell>
          <cell r="V90">
            <v>116.9891878430721</v>
          </cell>
          <cell r="W90">
            <v>112.2955010224949</v>
          </cell>
          <cell r="X90">
            <v>100.67548550520686</v>
          </cell>
          <cell r="Y90">
            <v>121.46546776353549</v>
          </cell>
          <cell r="Z90">
            <v>90.341370768503666</v>
          </cell>
          <cell r="AA90">
            <v>155.39215686274511</v>
          </cell>
          <cell r="AB90">
            <v>92.584514721919305</v>
          </cell>
          <cell r="AC90">
            <v>104.45241250444899</v>
          </cell>
          <cell r="AD90">
            <v>101.08907828693947</v>
          </cell>
          <cell r="AF90">
            <v>108.83010202648961</v>
          </cell>
          <cell r="AG90">
            <v>102.77074539569423</v>
          </cell>
        </row>
        <row r="91">
          <cell r="A91">
            <v>40267</v>
          </cell>
          <cell r="B91">
            <v>13.164254</v>
          </cell>
          <cell r="C91">
            <v>58.64</v>
          </cell>
          <cell r="D91">
            <v>57.849460000000001</v>
          </cell>
          <cell r="E91">
            <v>30.892472999999999</v>
          </cell>
          <cell r="F91">
            <v>75.95</v>
          </cell>
          <cell r="G91">
            <v>1.214329</v>
          </cell>
          <cell r="H91">
            <v>22.08</v>
          </cell>
          <cell r="I91">
            <v>36.130000000000003</v>
          </cell>
          <cell r="J91">
            <v>31.934999999999999</v>
          </cell>
          <cell r="K91">
            <v>4.0788060000000002</v>
          </cell>
          <cell r="L91">
            <v>3.12</v>
          </cell>
          <cell r="M91">
            <v>16.84</v>
          </cell>
          <cell r="N91">
            <v>8.6576229999999992</v>
          </cell>
          <cell r="O91">
            <v>10.813672</v>
          </cell>
          <cell r="Q91">
            <v>95.234355441917344</v>
          </cell>
          <cell r="R91">
            <v>97.118251076515392</v>
          </cell>
          <cell r="S91">
            <v>111.0411437670882</v>
          </cell>
          <cell r="T91">
            <v>113.00333027698855</v>
          </cell>
          <cell r="U91">
            <v>101.48316408337787</v>
          </cell>
          <cell r="V91">
            <v>117.57634873108105</v>
          </cell>
          <cell r="W91">
            <v>112.88343558282207</v>
          </cell>
          <cell r="X91">
            <v>101.68871376301718</v>
          </cell>
          <cell r="Y91">
            <v>122.19246221541992</v>
          </cell>
          <cell r="Z91">
            <v>89.453286999926533</v>
          </cell>
          <cell r="AA91">
            <v>152.94117647058826</v>
          </cell>
          <cell r="AB91">
            <v>91.821155943293348</v>
          </cell>
          <cell r="AC91">
            <v>105.92713711309921</v>
          </cell>
          <cell r="AD91">
            <v>102.50350654335161</v>
          </cell>
          <cell r="AF91">
            <v>108.86973536266966</v>
          </cell>
          <cell r="AG91">
            <v>104.2153218282254</v>
          </cell>
        </row>
        <row r="92">
          <cell r="A92">
            <v>40268</v>
          </cell>
          <cell r="B92">
            <v>13.189503999999999</v>
          </cell>
          <cell r="C92">
            <v>58.29</v>
          </cell>
          <cell r="D92">
            <v>58.647263000000002</v>
          </cell>
          <cell r="E92">
            <v>30.500855999999999</v>
          </cell>
          <cell r="F92">
            <v>75.709999999999994</v>
          </cell>
          <cell r="G92">
            <v>1.1444513000000001</v>
          </cell>
          <cell r="H92">
            <v>21.984999999999999</v>
          </cell>
          <cell r="I92">
            <v>35.49</v>
          </cell>
          <cell r="J92">
            <v>31.824999999999999</v>
          </cell>
          <cell r="K92">
            <v>4.0568967000000002</v>
          </cell>
          <cell r="L92">
            <v>3.18</v>
          </cell>
          <cell r="M92">
            <v>16.07</v>
          </cell>
          <cell r="N92">
            <v>8.7409649999999992</v>
          </cell>
          <cell r="O92">
            <v>10.646046999999999</v>
          </cell>
          <cell r="Q92">
            <v>95.417021886586994</v>
          </cell>
          <cell r="R92">
            <v>96.538588936734016</v>
          </cell>
          <cell r="S92">
            <v>112.57251428672339</v>
          </cell>
          <cell r="T92">
            <v>111.57081222661802</v>
          </cell>
          <cell r="U92">
            <v>101.1624799572421</v>
          </cell>
          <cell r="V92">
            <v>110.81050123528226</v>
          </cell>
          <cell r="W92">
            <v>112.39775051124745</v>
          </cell>
          <cell r="X92">
            <v>99.887419082465527</v>
          </cell>
          <cell r="Y92">
            <v>121.77157069064472</v>
          </cell>
          <cell r="Z92">
            <v>88.972788809802395</v>
          </cell>
          <cell r="AA92">
            <v>155.88235294117646</v>
          </cell>
          <cell r="AB92">
            <v>87.6226826608506</v>
          </cell>
          <cell r="AC92">
            <v>106.94683726189061</v>
          </cell>
          <cell r="AD92">
            <v>100.914578167835</v>
          </cell>
          <cell r="AF92">
            <v>107.88387360211449</v>
          </cell>
          <cell r="AG92">
            <v>103.93070771486281</v>
          </cell>
        </row>
        <row r="93">
          <cell r="A93">
            <v>40269</v>
          </cell>
          <cell r="B93">
            <v>13.26024</v>
          </cell>
          <cell r="C93">
            <v>59.07</v>
          </cell>
          <cell r="D93">
            <v>58.529316000000001</v>
          </cell>
          <cell r="E93">
            <v>30.360754</v>
          </cell>
          <cell r="F93">
            <v>77.17</v>
          </cell>
          <cell r="G93">
            <v>1.1736921</v>
          </cell>
          <cell r="H93">
            <v>21.875</v>
          </cell>
          <cell r="I93">
            <v>35.75</v>
          </cell>
          <cell r="J93">
            <v>31.864999999999998</v>
          </cell>
          <cell r="K93">
            <v>4.0056972999999996</v>
          </cell>
          <cell r="L93">
            <v>3.3</v>
          </cell>
          <cell r="M93">
            <v>16.04</v>
          </cell>
          <cell r="N93">
            <v>8.5639179999999993</v>
          </cell>
          <cell r="O93">
            <v>10.350187</v>
          </cell>
          <cell r="Q93">
            <v>95.928748366989112</v>
          </cell>
          <cell r="R93">
            <v>97.830407419675382</v>
          </cell>
          <cell r="S93">
            <v>112.34611684439813</v>
          </cell>
          <cell r="T93">
            <v>111.05832516938352</v>
          </cell>
          <cell r="U93">
            <v>103.11330839123463</v>
          </cell>
          <cell r="V93">
            <v>113.64171625030355</v>
          </cell>
          <cell r="W93">
            <v>111.83537832310839</v>
          </cell>
          <cell r="X93">
            <v>100.61919504643964</v>
          </cell>
          <cell r="Y93">
            <v>121.92462215419934</v>
          </cell>
          <cell r="Z93">
            <v>87.849922308570399</v>
          </cell>
          <cell r="AA93">
            <v>161.76470588235293</v>
          </cell>
          <cell r="AB93">
            <v>87.459105779716467</v>
          </cell>
          <cell r="AC93">
            <v>104.78064431903979</v>
          </cell>
          <cell r="AD93">
            <v>98.110101811800178</v>
          </cell>
          <cell r="AF93">
            <v>108.7809626613643</v>
          </cell>
          <cell r="AG93">
            <v>101.44537306541999</v>
          </cell>
        </row>
        <row r="94">
          <cell r="A94">
            <v>40270</v>
          </cell>
          <cell r="B94">
            <v>13.26024</v>
          </cell>
          <cell r="C94">
            <v>59.07</v>
          </cell>
          <cell r="D94">
            <v>58.529316000000001</v>
          </cell>
          <cell r="E94">
            <v>30.360754</v>
          </cell>
          <cell r="F94">
            <v>77.17</v>
          </cell>
          <cell r="G94">
            <v>1.1736921</v>
          </cell>
          <cell r="H94">
            <v>21.875</v>
          </cell>
          <cell r="I94">
            <v>35.75</v>
          </cell>
          <cell r="J94">
            <v>31.864999999999998</v>
          </cell>
          <cell r="K94">
            <v>4.0056972999999996</v>
          </cell>
          <cell r="L94">
            <v>3.3</v>
          </cell>
          <cell r="M94">
            <v>16.04</v>
          </cell>
          <cell r="N94">
            <v>8.5639179999999993</v>
          </cell>
          <cell r="O94">
            <v>10.350187</v>
          </cell>
          <cell r="Q94">
            <v>95.928748366989112</v>
          </cell>
          <cell r="R94">
            <v>97.830407419675382</v>
          </cell>
          <cell r="S94">
            <v>112.34611684439813</v>
          </cell>
          <cell r="T94">
            <v>111.05832516938352</v>
          </cell>
          <cell r="U94">
            <v>103.11330839123463</v>
          </cell>
          <cell r="V94">
            <v>113.64171625030355</v>
          </cell>
          <cell r="W94">
            <v>111.83537832310839</v>
          </cell>
          <cell r="X94">
            <v>100.61919504643964</v>
          </cell>
          <cell r="Y94">
            <v>121.92462215419934</v>
          </cell>
          <cell r="Z94">
            <v>87.849922308570399</v>
          </cell>
          <cell r="AA94">
            <v>161.76470588235293</v>
          </cell>
          <cell r="AB94">
            <v>87.459105779716467</v>
          </cell>
          <cell r="AC94">
            <v>104.78064431903979</v>
          </cell>
          <cell r="AD94">
            <v>98.110101811800178</v>
          </cell>
          <cell r="AF94">
            <v>108.7809626613643</v>
          </cell>
          <cell r="AG94">
            <v>101.44537306541999</v>
          </cell>
        </row>
        <row r="95">
          <cell r="A95">
            <v>40271</v>
          </cell>
          <cell r="B95">
            <v>13.26024</v>
          </cell>
          <cell r="C95">
            <v>59.07</v>
          </cell>
          <cell r="D95">
            <v>58.529316000000001</v>
          </cell>
          <cell r="E95">
            <v>30.360754</v>
          </cell>
          <cell r="F95">
            <v>77.17</v>
          </cell>
          <cell r="G95">
            <v>1.1736921</v>
          </cell>
          <cell r="H95">
            <v>21.875</v>
          </cell>
          <cell r="I95">
            <v>35.75</v>
          </cell>
          <cell r="J95">
            <v>31.864999999999998</v>
          </cell>
          <cell r="K95">
            <v>4.0056972999999996</v>
          </cell>
          <cell r="L95">
            <v>3.3</v>
          </cell>
          <cell r="M95">
            <v>16.04</v>
          </cell>
          <cell r="N95">
            <v>8.5639179999999993</v>
          </cell>
          <cell r="O95">
            <v>10.350187</v>
          </cell>
          <cell r="Q95">
            <v>95.928748366989112</v>
          </cell>
          <cell r="R95">
            <v>97.830407419675382</v>
          </cell>
          <cell r="S95">
            <v>112.34611684439813</v>
          </cell>
          <cell r="T95">
            <v>111.05832516938352</v>
          </cell>
          <cell r="U95">
            <v>103.11330839123463</v>
          </cell>
          <cell r="V95">
            <v>113.64171625030355</v>
          </cell>
          <cell r="W95">
            <v>111.83537832310839</v>
          </cell>
          <cell r="X95">
            <v>100.61919504643964</v>
          </cell>
          <cell r="Y95">
            <v>121.92462215419934</v>
          </cell>
          <cell r="Z95">
            <v>87.849922308570399</v>
          </cell>
          <cell r="AA95">
            <v>161.76470588235293</v>
          </cell>
          <cell r="AB95">
            <v>87.459105779716467</v>
          </cell>
          <cell r="AC95">
            <v>104.78064431903979</v>
          </cell>
          <cell r="AD95">
            <v>98.110101811800178</v>
          </cell>
          <cell r="AF95">
            <v>108.7809626613643</v>
          </cell>
          <cell r="AG95">
            <v>101.44537306541999</v>
          </cell>
        </row>
        <row r="96">
          <cell r="A96">
            <v>40272</v>
          </cell>
          <cell r="B96">
            <v>13.26024</v>
          </cell>
          <cell r="C96">
            <v>59.07</v>
          </cell>
          <cell r="D96">
            <v>58.529316000000001</v>
          </cell>
          <cell r="E96">
            <v>30.360754</v>
          </cell>
          <cell r="F96">
            <v>77.17</v>
          </cell>
          <cell r="G96">
            <v>1.1736921</v>
          </cell>
          <cell r="H96">
            <v>21.875</v>
          </cell>
          <cell r="I96">
            <v>35.75</v>
          </cell>
          <cell r="J96">
            <v>31.864999999999998</v>
          </cell>
          <cell r="K96">
            <v>4.0056972999999996</v>
          </cell>
          <cell r="L96">
            <v>3.3</v>
          </cell>
          <cell r="M96">
            <v>16.04</v>
          </cell>
          <cell r="N96">
            <v>8.5639179999999993</v>
          </cell>
          <cell r="O96">
            <v>10.350187</v>
          </cell>
          <cell r="Q96">
            <v>95.928748366989112</v>
          </cell>
          <cell r="R96">
            <v>97.830407419675382</v>
          </cell>
          <cell r="S96">
            <v>112.34611684439813</v>
          </cell>
          <cell r="T96">
            <v>111.05832516938352</v>
          </cell>
          <cell r="U96">
            <v>103.11330839123463</v>
          </cell>
          <cell r="V96">
            <v>113.64171625030355</v>
          </cell>
          <cell r="W96">
            <v>111.83537832310839</v>
          </cell>
          <cell r="X96">
            <v>100.61919504643964</v>
          </cell>
          <cell r="Y96">
            <v>121.92462215419934</v>
          </cell>
          <cell r="Z96">
            <v>87.849922308570399</v>
          </cell>
          <cell r="AA96">
            <v>161.76470588235293</v>
          </cell>
          <cell r="AB96">
            <v>87.459105779716467</v>
          </cell>
          <cell r="AC96">
            <v>104.78064431903979</v>
          </cell>
          <cell r="AD96">
            <v>98.110101811800178</v>
          </cell>
          <cell r="AF96">
            <v>108.7809626613643</v>
          </cell>
          <cell r="AG96">
            <v>101.44537306541999</v>
          </cell>
        </row>
        <row r="97">
          <cell r="A97">
            <v>40273</v>
          </cell>
          <cell r="B97">
            <v>13.252319</v>
          </cell>
          <cell r="C97">
            <v>58.9</v>
          </cell>
          <cell r="D97">
            <v>59.374504000000002</v>
          </cell>
          <cell r="E97">
            <v>30.269354</v>
          </cell>
          <cell r="F97">
            <v>76.89</v>
          </cell>
          <cell r="G97">
            <v>1.202663</v>
          </cell>
          <cell r="H97">
            <v>21.93</v>
          </cell>
          <cell r="I97">
            <v>36.450000000000003</v>
          </cell>
          <cell r="J97">
            <v>31.785</v>
          </cell>
          <cell r="K97">
            <v>4.0033050000000001</v>
          </cell>
          <cell r="L97">
            <v>3.37</v>
          </cell>
          <cell r="M97">
            <v>15.81</v>
          </cell>
          <cell r="N97">
            <v>8.4297284999999995</v>
          </cell>
          <cell r="O97">
            <v>10.117948</v>
          </cell>
          <cell r="Q97">
            <v>95.871445360722646</v>
          </cell>
          <cell r="R97">
            <v>97.548857237495852</v>
          </cell>
          <cell r="S97">
            <v>113.96844213867429</v>
          </cell>
          <cell r="T97">
            <v>110.72398792201209</v>
          </cell>
          <cell r="U97">
            <v>102.73917691074293</v>
          </cell>
          <cell r="V97">
            <v>116.44679843268845</v>
          </cell>
          <cell r="W97">
            <v>112.11656441717793</v>
          </cell>
          <cell r="X97">
            <v>102.589361103293</v>
          </cell>
          <cell r="Y97">
            <v>121.6185192270901</v>
          </cell>
          <cell r="Z97">
            <v>87.797456195082802</v>
          </cell>
          <cell r="AA97">
            <v>165.19607843137257</v>
          </cell>
          <cell r="AB97">
            <v>86.205016357688109</v>
          </cell>
          <cell r="AC97">
            <v>103.13881843153716</v>
          </cell>
          <cell r="AD97">
            <v>95.908693089941266</v>
          </cell>
          <cell r="AF97">
            <v>109.40180864450339</v>
          </cell>
          <cell r="AG97">
            <v>99.52375576073922</v>
          </cell>
        </row>
        <row r="98">
          <cell r="A98">
            <v>40274</v>
          </cell>
          <cell r="B98">
            <v>13.276539</v>
          </cell>
          <cell r="C98">
            <v>58.4</v>
          </cell>
          <cell r="D98">
            <v>60.122369999999997</v>
          </cell>
          <cell r="E98">
            <v>30.508113999999999</v>
          </cell>
          <cell r="F98">
            <v>77.150000000000006</v>
          </cell>
          <cell r="G98">
            <v>1.209562</v>
          </cell>
          <cell r="H98">
            <v>21.89</v>
          </cell>
          <cell r="I98">
            <v>36.42</v>
          </cell>
          <cell r="J98">
            <v>31.605</v>
          </cell>
          <cell r="K98">
            <v>4.1050024000000001</v>
          </cell>
          <cell r="L98">
            <v>3.35</v>
          </cell>
          <cell r="M98">
            <v>16.079999999999998</v>
          </cell>
          <cell r="N98">
            <v>8.1799579999999992</v>
          </cell>
          <cell r="O98">
            <v>9.8841169999999998</v>
          </cell>
          <cell r="Q98">
            <v>96.046660461312712</v>
          </cell>
          <cell r="R98">
            <v>96.720768466379596</v>
          </cell>
          <cell r="S98">
            <v>115.40395935913786</v>
          </cell>
          <cell r="T98">
            <v>111.59736167674299</v>
          </cell>
          <cell r="U98">
            <v>103.08658471405666</v>
          </cell>
          <cell r="V98">
            <v>117.11478810426487</v>
          </cell>
          <cell r="W98">
            <v>111.9120654396728</v>
          </cell>
          <cell r="X98">
            <v>102.50492541514214</v>
          </cell>
          <cell r="Y98">
            <v>120.92978764109432</v>
          </cell>
          <cell r="Z98">
            <v>90.027806623454808</v>
          </cell>
          <cell r="AA98">
            <v>164.21568627450981</v>
          </cell>
          <cell r="AB98">
            <v>87.677208287895297</v>
          </cell>
          <cell r="AC98">
            <v>100.08284406070726</v>
          </cell>
          <cell r="AD98">
            <v>93.692193695606164</v>
          </cell>
          <cell r="AF98">
            <v>109.76980020530533</v>
          </cell>
          <cell r="AG98">
            <v>96.887518878156712</v>
          </cell>
        </row>
        <row r="99">
          <cell r="A99">
            <v>40275</v>
          </cell>
          <cell r="B99">
            <v>13.331614999999999</v>
          </cell>
          <cell r="C99">
            <v>58.21</v>
          </cell>
          <cell r="D99">
            <v>59.900700000000001</v>
          </cell>
          <cell r="E99">
            <v>31.018098999999999</v>
          </cell>
          <cell r="F99">
            <v>76.459999999999994</v>
          </cell>
          <cell r="G99">
            <v>1.2181578</v>
          </cell>
          <cell r="H99">
            <v>22.05</v>
          </cell>
          <cell r="I99">
            <v>36.97</v>
          </cell>
          <cell r="J99">
            <v>31.32</v>
          </cell>
          <cell r="K99">
            <v>4.1134377000000004</v>
          </cell>
          <cell r="L99">
            <v>3.38</v>
          </cell>
          <cell r="M99">
            <v>16.37</v>
          </cell>
          <cell r="N99">
            <v>8.3912119999999994</v>
          </cell>
          <cell r="O99">
            <v>9.695252</v>
          </cell>
          <cell r="Q99">
            <v>96.445097574446436</v>
          </cell>
          <cell r="R99">
            <v>96.406094733355417</v>
          </cell>
          <cell r="S99">
            <v>114.97846722249821</v>
          </cell>
          <cell r="T99">
            <v>113.46286475224329</v>
          </cell>
          <cell r="U99">
            <v>102.16461785141635</v>
          </cell>
          <cell r="V99">
            <v>117.94706895930713</v>
          </cell>
          <cell r="W99">
            <v>112.73006134969326</v>
          </cell>
          <cell r="X99">
            <v>104.0529130312412</v>
          </cell>
          <cell r="Y99">
            <v>119.83929596326763</v>
          </cell>
          <cell r="Z99">
            <v>90.212803240560518</v>
          </cell>
          <cell r="AA99">
            <v>165.68627450980392</v>
          </cell>
          <cell r="AB99">
            <v>89.258451472191936</v>
          </cell>
          <cell r="AC99">
            <v>102.66756407261938</v>
          </cell>
          <cell r="AD99">
            <v>91.901929966198608</v>
          </cell>
          <cell r="AF99">
            <v>110.26533422166877</v>
          </cell>
          <cell r="AG99">
            <v>97.284747019408996</v>
          </cell>
        </row>
        <row r="100">
          <cell r="A100">
            <v>40276</v>
          </cell>
          <cell r="B100">
            <v>13.359408</v>
          </cell>
          <cell r="C100">
            <v>58.01</v>
          </cell>
          <cell r="D100">
            <v>59.155082999999998</v>
          </cell>
          <cell r="E100">
            <v>31.144988999999999</v>
          </cell>
          <cell r="F100">
            <v>76.13</v>
          </cell>
          <cell r="G100">
            <v>1.2194685000000001</v>
          </cell>
          <cell r="H100">
            <v>22.66</v>
          </cell>
          <cell r="I100">
            <v>36.74</v>
          </cell>
          <cell r="J100">
            <v>30.69</v>
          </cell>
          <cell r="K100">
            <v>4.1690250000000004</v>
          </cell>
          <cell r="L100">
            <v>3.43</v>
          </cell>
          <cell r="M100">
            <v>16.11</v>
          </cell>
          <cell r="N100">
            <v>8.4923909999999996</v>
          </cell>
          <cell r="O100">
            <v>9.8769589999999994</v>
          </cell>
          <cell r="Q100">
            <v>96.646160881246601</v>
          </cell>
          <cell r="R100">
            <v>96.074859224908906</v>
          </cell>
          <cell r="S100">
            <v>113.54726692275148</v>
          </cell>
          <cell r="T100">
            <v>113.92702288483589</v>
          </cell>
          <cell r="U100">
            <v>101.72367717797968</v>
          </cell>
          <cell r="V100">
            <v>118.07397634625238</v>
          </cell>
          <cell r="W100">
            <v>115.84867075664621</v>
          </cell>
          <cell r="X100">
            <v>103.40557275541795</v>
          </cell>
          <cell r="Y100">
            <v>117.42873541228238</v>
          </cell>
          <cell r="Z100">
            <v>91.431901844527232</v>
          </cell>
          <cell r="AA100">
            <v>168.13725490196077</v>
          </cell>
          <cell r="AB100">
            <v>87.840785169029445</v>
          </cell>
          <cell r="AC100">
            <v>103.90550222330653</v>
          </cell>
          <cell r="AD100">
            <v>93.624342543857026</v>
          </cell>
          <cell r="AF100">
            <v>110.34049035648657</v>
          </cell>
          <cell r="AG100">
            <v>98.764922383581776</v>
          </cell>
        </row>
        <row r="101">
          <cell r="A101">
            <v>40277</v>
          </cell>
          <cell r="B101">
            <v>13.485948</v>
          </cell>
          <cell r="C101">
            <v>58.15</v>
          </cell>
          <cell r="D101">
            <v>58.867603000000003</v>
          </cell>
          <cell r="E101">
            <v>31.456707000000002</v>
          </cell>
          <cell r="F101">
            <v>76.16</v>
          </cell>
          <cell r="G101">
            <v>1.2517084999999999</v>
          </cell>
          <cell r="H101">
            <v>22.795000000000002</v>
          </cell>
          <cell r="I101">
            <v>36.96</v>
          </cell>
          <cell r="J101">
            <v>30.79</v>
          </cell>
          <cell r="K101">
            <v>4.2190149999999997</v>
          </cell>
          <cell r="L101">
            <v>3.5</v>
          </cell>
          <cell r="M101">
            <v>15.77</v>
          </cell>
          <cell r="N101">
            <v>8.5954239999999995</v>
          </cell>
          <cell r="O101">
            <v>10.089054000000001</v>
          </cell>
          <cell r="Q101">
            <v>97.561591055840637</v>
          </cell>
          <cell r="R101">
            <v>96.306724080821454</v>
          </cell>
          <cell r="S101">
            <v>112.9954535089329</v>
          </cell>
          <cell r="T101">
            <v>115.06727384846972</v>
          </cell>
          <cell r="U101">
            <v>101.76376269374666</v>
          </cell>
          <cell r="V101">
            <v>121.19558629140732</v>
          </cell>
          <cell r="W101">
            <v>116.53885480572599</v>
          </cell>
          <cell r="X101">
            <v>104.02476780185759</v>
          </cell>
          <cell r="Y101">
            <v>117.81136407116892</v>
          </cell>
          <cell r="Z101">
            <v>92.528244700040901</v>
          </cell>
          <cell r="AA101">
            <v>171.56862745098039</v>
          </cell>
          <cell r="AB101">
            <v>85.986913849509278</v>
          </cell>
          <cell r="AC101">
            <v>105.16612430377525</v>
          </cell>
          <cell r="AD101">
            <v>95.63480496775081</v>
          </cell>
          <cell r="AF101">
            <v>111.11243034654179</v>
          </cell>
          <cell r="AG101">
            <v>100.40046463576303</v>
          </cell>
        </row>
        <row r="102">
          <cell r="A102">
            <v>40278</v>
          </cell>
          <cell r="B102">
            <v>13.485948</v>
          </cell>
          <cell r="C102">
            <v>58.15</v>
          </cell>
          <cell r="D102">
            <v>58.867603000000003</v>
          </cell>
          <cell r="E102">
            <v>31.456707000000002</v>
          </cell>
          <cell r="F102">
            <v>76.16</v>
          </cell>
          <cell r="G102">
            <v>1.2517084999999999</v>
          </cell>
          <cell r="H102">
            <v>22.795000000000002</v>
          </cell>
          <cell r="I102">
            <v>36.96</v>
          </cell>
          <cell r="J102">
            <v>30.79</v>
          </cell>
          <cell r="K102">
            <v>4.2190149999999997</v>
          </cell>
          <cell r="L102">
            <v>3.5</v>
          </cell>
          <cell r="M102">
            <v>15.77</v>
          </cell>
          <cell r="N102">
            <v>8.5954239999999995</v>
          </cell>
          <cell r="O102">
            <v>10.089054000000001</v>
          </cell>
          <cell r="Q102">
            <v>97.561591055840637</v>
          </cell>
          <cell r="R102">
            <v>96.306724080821454</v>
          </cell>
          <cell r="S102">
            <v>112.9954535089329</v>
          </cell>
          <cell r="T102">
            <v>115.06727384846972</v>
          </cell>
          <cell r="U102">
            <v>101.76376269374666</v>
          </cell>
          <cell r="V102">
            <v>121.19558629140732</v>
          </cell>
          <cell r="W102">
            <v>116.53885480572599</v>
          </cell>
          <cell r="X102">
            <v>104.02476780185759</v>
          </cell>
          <cell r="Y102">
            <v>117.81136407116892</v>
          </cell>
          <cell r="Z102">
            <v>92.528244700040901</v>
          </cell>
          <cell r="AA102">
            <v>171.56862745098039</v>
          </cell>
          <cell r="AB102">
            <v>85.986913849509278</v>
          </cell>
          <cell r="AC102">
            <v>105.16612430377525</v>
          </cell>
          <cell r="AD102">
            <v>95.63480496775081</v>
          </cell>
          <cell r="AF102">
            <v>111.11243034654179</v>
          </cell>
          <cell r="AG102">
            <v>100.40046463576303</v>
          </cell>
        </row>
        <row r="103">
          <cell r="A103">
            <v>40279</v>
          </cell>
          <cell r="B103">
            <v>13.485948</v>
          </cell>
          <cell r="C103">
            <v>58.15</v>
          </cell>
          <cell r="D103">
            <v>58.867603000000003</v>
          </cell>
          <cell r="E103">
            <v>31.456707000000002</v>
          </cell>
          <cell r="F103">
            <v>76.16</v>
          </cell>
          <cell r="G103">
            <v>1.2517084999999999</v>
          </cell>
          <cell r="H103">
            <v>22.795000000000002</v>
          </cell>
          <cell r="I103">
            <v>36.96</v>
          </cell>
          <cell r="J103">
            <v>30.79</v>
          </cell>
          <cell r="K103">
            <v>4.2190149999999997</v>
          </cell>
          <cell r="L103">
            <v>3.5</v>
          </cell>
          <cell r="M103">
            <v>15.77</v>
          </cell>
          <cell r="N103">
            <v>8.5954239999999995</v>
          </cell>
          <cell r="O103">
            <v>10.089054000000001</v>
          </cell>
          <cell r="Q103">
            <v>97.561591055840637</v>
          </cell>
          <cell r="R103">
            <v>96.306724080821454</v>
          </cell>
          <cell r="S103">
            <v>112.9954535089329</v>
          </cell>
          <cell r="T103">
            <v>115.06727384846972</v>
          </cell>
          <cell r="U103">
            <v>101.76376269374666</v>
          </cell>
          <cell r="V103">
            <v>121.19558629140732</v>
          </cell>
          <cell r="W103">
            <v>116.53885480572599</v>
          </cell>
          <cell r="X103">
            <v>104.02476780185759</v>
          </cell>
          <cell r="Y103">
            <v>117.81136407116892</v>
          </cell>
          <cell r="Z103">
            <v>92.528244700040901</v>
          </cell>
          <cell r="AA103">
            <v>171.56862745098039</v>
          </cell>
          <cell r="AB103">
            <v>85.986913849509278</v>
          </cell>
          <cell r="AC103">
            <v>105.16612430377525</v>
          </cell>
          <cell r="AD103">
            <v>95.63480496775081</v>
          </cell>
          <cell r="AF103">
            <v>111.11243034654179</v>
          </cell>
          <cell r="AG103">
            <v>100.40046463576303</v>
          </cell>
        </row>
        <row r="104">
          <cell r="A104">
            <v>40280</v>
          </cell>
          <cell r="B104">
            <v>13.248253999999999</v>
          </cell>
          <cell r="C104">
            <v>58.1</v>
          </cell>
          <cell r="D104">
            <v>58.517764999999997</v>
          </cell>
          <cell r="E104">
            <v>31.788221</v>
          </cell>
          <cell r="F104">
            <v>76.67</v>
          </cell>
          <cell r="G104">
            <v>1.2513934</v>
          </cell>
          <cell r="H104">
            <v>22.87</v>
          </cell>
          <cell r="I104">
            <v>37.31</v>
          </cell>
          <cell r="J104">
            <v>30.8</v>
          </cell>
          <cell r="K104">
            <v>4.208596</v>
          </cell>
          <cell r="L104">
            <v>3.45</v>
          </cell>
          <cell r="M104">
            <v>16.09</v>
          </cell>
          <cell r="N104">
            <v>8.591329</v>
          </cell>
          <cell r="O104">
            <v>10.228854999999999</v>
          </cell>
          <cell r="Q104">
            <v>95.842037871709479</v>
          </cell>
          <cell r="R104">
            <v>96.223915203709836</v>
          </cell>
          <cell r="S104">
            <v>112.32394487854653</v>
          </cell>
          <cell r="T104">
            <v>116.27993772401786</v>
          </cell>
          <cell r="U104">
            <v>102.44521646178515</v>
          </cell>
          <cell r="V104">
            <v>121.16507700810342</v>
          </cell>
          <cell r="W104">
            <v>116.92229038854806</v>
          </cell>
          <cell r="X104">
            <v>105.00985083028426</v>
          </cell>
          <cell r="Y104">
            <v>117.84962693705758</v>
          </cell>
          <cell r="Z104">
            <v>92.299743075484059</v>
          </cell>
          <cell r="AA104">
            <v>169.11764705882354</v>
          </cell>
          <cell r="AB104">
            <v>87.731733914940023</v>
          </cell>
          <cell r="AC104">
            <v>105.11602144916053</v>
          </cell>
          <cell r="AD104">
            <v>96.959987821296494</v>
          </cell>
          <cell r="AF104">
            <v>111.10091844608412</v>
          </cell>
          <cell r="AG104">
            <v>101.0380046352285</v>
          </cell>
        </row>
        <row r="105">
          <cell r="A105">
            <v>40281</v>
          </cell>
          <cell r="B105">
            <v>13.388206500000001</v>
          </cell>
          <cell r="C105">
            <v>58.25</v>
          </cell>
          <cell r="D105">
            <v>59.054057999999998</v>
          </cell>
          <cell r="E105">
            <v>31.910665999999999</v>
          </cell>
          <cell r="F105">
            <v>76.44</v>
          </cell>
          <cell r="G105">
            <v>1.2278309000000001</v>
          </cell>
          <cell r="H105">
            <v>23.18</v>
          </cell>
          <cell r="I105">
            <v>37.42</v>
          </cell>
          <cell r="J105">
            <v>30.95</v>
          </cell>
          <cell r="K105">
            <v>4.1514534999999997</v>
          </cell>
          <cell r="L105">
            <v>3.43</v>
          </cell>
          <cell r="M105">
            <v>16</v>
          </cell>
          <cell r="N105">
            <v>8.3809959999999997</v>
          </cell>
          <cell r="O105">
            <v>10.204428999999999</v>
          </cell>
          <cell r="Q105">
            <v>96.85449829141767</v>
          </cell>
          <cell r="R105">
            <v>96.472341835044716</v>
          </cell>
          <cell r="S105">
            <v>113.35335099770967</v>
          </cell>
          <cell r="T105">
            <v>116.7278362388362</v>
          </cell>
          <cell r="U105">
            <v>102.13789417423837</v>
          </cell>
          <cell r="V105">
            <v>118.88365844939644</v>
          </cell>
          <cell r="W105">
            <v>118.50715746421268</v>
          </cell>
          <cell r="X105">
            <v>105.31944835350409</v>
          </cell>
          <cell r="Y105">
            <v>118.42356992538741</v>
          </cell>
          <cell r="Z105">
            <v>91.046537001845508</v>
          </cell>
          <cell r="AA105">
            <v>168.13725490196077</v>
          </cell>
          <cell r="AB105">
            <v>87.241003271537622</v>
          </cell>
          <cell r="AC105">
            <v>102.54256999136322</v>
          </cell>
          <cell r="AD105">
            <v>96.72845216432188</v>
          </cell>
          <cell r="AF105">
            <v>111.0920459087576</v>
          </cell>
          <cell r="AG105">
            <v>99.635511077842551</v>
          </cell>
        </row>
        <row r="106">
          <cell r="A106">
            <v>40282</v>
          </cell>
          <cell r="B106">
            <v>13.468306999999999</v>
          </cell>
          <cell r="C106">
            <v>58.19</v>
          </cell>
          <cell r="D106">
            <v>59.305250000000001</v>
          </cell>
          <cell r="E106">
            <v>31.954181999999999</v>
          </cell>
          <cell r="F106">
            <v>76.260000000000005</v>
          </cell>
          <cell r="G106">
            <v>1.2503636</v>
          </cell>
          <cell r="H106">
            <v>23.295000000000002</v>
          </cell>
          <cell r="I106">
            <v>37.590000000000003</v>
          </cell>
          <cell r="J106">
            <v>31.074999999999999</v>
          </cell>
          <cell r="K106">
            <v>4.2526580000000003</v>
          </cell>
          <cell r="L106">
            <v>3.45</v>
          </cell>
          <cell r="M106">
            <v>16.34</v>
          </cell>
          <cell r="N106">
            <v>8.6644670000000001</v>
          </cell>
          <cell r="O106">
            <v>10.328504000000001</v>
          </cell>
          <cell r="Q106">
            <v>97.433970511269635</v>
          </cell>
          <cell r="R106">
            <v>96.372971182510753</v>
          </cell>
          <cell r="S106">
            <v>113.83551015676045</v>
          </cell>
          <cell r="T106">
            <v>116.88701588496984</v>
          </cell>
          <cell r="U106">
            <v>101.89738107963655</v>
          </cell>
          <cell r="V106">
            <v>121.06536751922251</v>
          </cell>
          <cell r="W106">
            <v>119.09509202453989</v>
          </cell>
          <cell r="X106">
            <v>105.7979172530256</v>
          </cell>
          <cell r="Y106">
            <v>118.90185574899559</v>
          </cell>
          <cell r="Z106">
            <v>93.266077520365911</v>
          </cell>
          <cell r="AA106">
            <v>169.11764705882354</v>
          </cell>
          <cell r="AB106">
            <v>89.094874591057788</v>
          </cell>
          <cell r="AC106">
            <v>106.01087433824775</v>
          </cell>
          <cell r="AD106">
            <v>97.904567231837021</v>
          </cell>
          <cell r="AF106">
            <v>111.89714004426484</v>
          </cell>
          <cell r="AG106">
            <v>101.95772078504238</v>
          </cell>
        </row>
        <row r="107">
          <cell r="A107">
            <v>40283</v>
          </cell>
          <cell r="B107">
            <v>13.286550500000001</v>
          </cell>
          <cell r="C107">
            <v>59.25</v>
          </cell>
          <cell r="D107">
            <v>60.137455000000003</v>
          </cell>
          <cell r="E107">
            <v>31.604379999999999</v>
          </cell>
          <cell r="F107">
            <v>77.75</v>
          </cell>
          <cell r="G107">
            <v>1.2367234</v>
          </cell>
          <cell r="H107">
            <v>23.355</v>
          </cell>
          <cell r="I107">
            <v>37.549999999999997</v>
          </cell>
          <cell r="J107">
            <v>30.97</v>
          </cell>
          <cell r="K107">
            <v>4.2389979999999996</v>
          </cell>
          <cell r="L107">
            <v>3.51</v>
          </cell>
          <cell r="M107">
            <v>16.3</v>
          </cell>
          <cell r="N107">
            <v>8.8103449999999999</v>
          </cell>
          <cell r="O107">
            <v>10.229884</v>
          </cell>
          <cell r="Q107">
            <v>96.119086802334905</v>
          </cell>
          <cell r="R107">
            <v>98.128519377277229</v>
          </cell>
          <cell r="S107">
            <v>115.43291478333242</v>
          </cell>
          <cell r="T107">
            <v>115.6074552962934</v>
          </cell>
          <cell r="U107">
            <v>103.88829502939605</v>
          </cell>
          <cell r="V107">
            <v>119.74466702375406</v>
          </cell>
          <cell r="W107">
            <v>119.40184049079757</v>
          </cell>
          <cell r="X107">
            <v>105.68533633549113</v>
          </cell>
          <cell r="Y107">
            <v>118.50009565716471</v>
          </cell>
          <cell r="Z107">
            <v>92.966496736082689</v>
          </cell>
          <cell r="AA107">
            <v>172.05882352941174</v>
          </cell>
          <cell r="AB107">
            <v>88.876772082878958</v>
          </cell>
          <cell r="AC107">
            <v>107.79571053494799</v>
          </cell>
          <cell r="AD107">
            <v>96.969741779825398</v>
          </cell>
          <cell r="AF107">
            <v>112.20085859535122</v>
          </cell>
          <cell r="AG107">
            <v>102.38272615738668</v>
          </cell>
        </row>
        <row r="108">
          <cell r="A108">
            <v>40284</v>
          </cell>
          <cell r="B108">
            <v>13.403097000000001</v>
          </cell>
          <cell r="C108">
            <v>58.26</v>
          </cell>
          <cell r="D108">
            <v>60.382669999999997</v>
          </cell>
          <cell r="E108">
            <v>32.196865000000003</v>
          </cell>
          <cell r="F108">
            <v>76.98</v>
          </cell>
          <cell r="G108">
            <v>1.2311951999999999</v>
          </cell>
          <cell r="H108">
            <v>23.38</v>
          </cell>
          <cell r="I108">
            <v>38.31</v>
          </cell>
          <cell r="J108">
            <v>30.81</v>
          </cell>
          <cell r="K108">
            <v>4.2481790000000004</v>
          </cell>
          <cell r="L108">
            <v>3.65</v>
          </cell>
          <cell r="M108">
            <v>16.47</v>
          </cell>
          <cell r="N108">
            <v>8.7338740000000001</v>
          </cell>
          <cell r="O108">
            <v>10.160977000000001</v>
          </cell>
          <cell r="Q108">
            <v>96.962220853570287</v>
          </cell>
          <cell r="R108">
            <v>96.488903610467034</v>
          </cell>
          <cell r="S108">
            <v>115.90360118332381</v>
          </cell>
          <cell r="T108">
            <v>117.77473980404913</v>
          </cell>
          <cell r="U108">
            <v>102.85943345804382</v>
          </cell>
          <cell r="V108">
            <v>119.20940386932462</v>
          </cell>
          <cell r="W108">
            <v>119.52965235173825</v>
          </cell>
          <cell r="X108">
            <v>107.82437376864623</v>
          </cell>
          <cell r="Y108">
            <v>117.88788980294622</v>
          </cell>
          <cell r="Z108">
            <v>93.167847481361193</v>
          </cell>
          <cell r="AA108">
            <v>178.92156862745097</v>
          </cell>
          <cell r="AB108">
            <v>89.803707742639034</v>
          </cell>
          <cell r="AC108">
            <v>106.86007795979708</v>
          </cell>
          <cell r="AD108">
            <v>96.316567804751742</v>
          </cell>
          <cell r="AF108">
            <v>113.02777854613005</v>
          </cell>
          <cell r="AG108">
            <v>101.58832288227441</v>
          </cell>
        </row>
        <row r="109">
          <cell r="A109">
            <v>40285</v>
          </cell>
          <cell r="B109">
            <v>13.403097000000001</v>
          </cell>
          <cell r="C109">
            <v>58.26</v>
          </cell>
          <cell r="D109">
            <v>60.382669999999997</v>
          </cell>
          <cell r="E109">
            <v>32.196865000000003</v>
          </cell>
          <cell r="F109">
            <v>76.98</v>
          </cell>
          <cell r="G109">
            <v>1.2311951999999999</v>
          </cell>
          <cell r="H109">
            <v>23.38</v>
          </cell>
          <cell r="I109">
            <v>38.31</v>
          </cell>
          <cell r="J109">
            <v>30.81</v>
          </cell>
          <cell r="K109">
            <v>4.2481790000000004</v>
          </cell>
          <cell r="L109">
            <v>3.65</v>
          </cell>
          <cell r="M109">
            <v>16.47</v>
          </cell>
          <cell r="N109">
            <v>8.7338740000000001</v>
          </cell>
          <cell r="O109">
            <v>10.160977000000001</v>
          </cell>
          <cell r="Q109">
            <v>96.962220853570287</v>
          </cell>
          <cell r="R109">
            <v>96.488903610467034</v>
          </cell>
          <cell r="S109">
            <v>115.90360118332381</v>
          </cell>
          <cell r="T109">
            <v>117.77473980404913</v>
          </cell>
          <cell r="U109">
            <v>102.85943345804382</v>
          </cell>
          <cell r="V109">
            <v>119.20940386932462</v>
          </cell>
          <cell r="W109">
            <v>119.52965235173825</v>
          </cell>
          <cell r="X109">
            <v>107.82437376864623</v>
          </cell>
          <cell r="Y109">
            <v>117.88788980294622</v>
          </cell>
          <cell r="Z109">
            <v>93.167847481361193</v>
          </cell>
          <cell r="AA109">
            <v>178.92156862745097</v>
          </cell>
          <cell r="AB109">
            <v>89.803707742639034</v>
          </cell>
          <cell r="AC109">
            <v>106.86007795979708</v>
          </cell>
          <cell r="AD109">
            <v>96.316567804751742</v>
          </cell>
          <cell r="AF109">
            <v>113.02777854613005</v>
          </cell>
          <cell r="AG109">
            <v>101.58832288227441</v>
          </cell>
        </row>
        <row r="110">
          <cell r="A110">
            <v>40286</v>
          </cell>
          <cell r="B110">
            <v>13.403097000000001</v>
          </cell>
          <cell r="C110">
            <v>58.26</v>
          </cell>
          <cell r="D110">
            <v>60.382669999999997</v>
          </cell>
          <cell r="E110">
            <v>32.196865000000003</v>
          </cell>
          <cell r="F110">
            <v>76.98</v>
          </cell>
          <cell r="G110">
            <v>1.2311951999999999</v>
          </cell>
          <cell r="H110">
            <v>23.38</v>
          </cell>
          <cell r="I110">
            <v>38.31</v>
          </cell>
          <cell r="J110">
            <v>30.81</v>
          </cell>
          <cell r="K110">
            <v>4.2481790000000004</v>
          </cell>
          <cell r="L110">
            <v>3.65</v>
          </cell>
          <cell r="M110">
            <v>16.47</v>
          </cell>
          <cell r="N110">
            <v>8.7338740000000001</v>
          </cell>
          <cell r="O110">
            <v>10.160977000000001</v>
          </cell>
          <cell r="Q110">
            <v>96.962220853570287</v>
          </cell>
          <cell r="R110">
            <v>96.488903610467034</v>
          </cell>
          <cell r="S110">
            <v>115.90360118332381</v>
          </cell>
          <cell r="T110">
            <v>117.77473980404913</v>
          </cell>
          <cell r="U110">
            <v>102.85943345804382</v>
          </cell>
          <cell r="V110">
            <v>119.20940386932462</v>
          </cell>
          <cell r="W110">
            <v>119.52965235173825</v>
          </cell>
          <cell r="X110">
            <v>107.82437376864623</v>
          </cell>
          <cell r="Y110">
            <v>117.88788980294622</v>
          </cell>
          <cell r="Z110">
            <v>93.167847481361193</v>
          </cell>
          <cell r="AA110">
            <v>178.92156862745097</v>
          </cell>
          <cell r="AB110">
            <v>89.803707742639034</v>
          </cell>
          <cell r="AC110">
            <v>106.86007795979708</v>
          </cell>
          <cell r="AD110">
            <v>96.316567804751742</v>
          </cell>
          <cell r="AF110">
            <v>113.02777854613005</v>
          </cell>
          <cell r="AG110">
            <v>101.58832288227441</v>
          </cell>
        </row>
        <row r="111">
          <cell r="A111">
            <v>40287</v>
          </cell>
          <cell r="B111">
            <v>13.155284999999999</v>
          </cell>
          <cell r="C111">
            <v>59.86</v>
          </cell>
          <cell r="D111">
            <v>60.169125000000001</v>
          </cell>
          <cell r="E111">
            <v>31.613184</v>
          </cell>
          <cell r="F111">
            <v>79.33</v>
          </cell>
          <cell r="G111">
            <v>1.2177884999999999</v>
          </cell>
          <cell r="H111">
            <v>23.64</v>
          </cell>
          <cell r="I111">
            <v>38.28</v>
          </cell>
          <cell r="J111">
            <v>30.934999999999999</v>
          </cell>
          <cell r="K111">
            <v>4.2041716999999998</v>
          </cell>
          <cell r="L111">
            <v>3.4</v>
          </cell>
          <cell r="M111">
            <v>16.559999999999999</v>
          </cell>
          <cell r="N111">
            <v>8.6484020000000008</v>
          </cell>
          <cell r="O111">
            <v>10.070836999999999</v>
          </cell>
          <cell r="Q111">
            <v>95.169470873907741</v>
          </cell>
          <cell r="R111">
            <v>99.13878767803908</v>
          </cell>
          <cell r="S111">
            <v>115.49370485852246</v>
          </cell>
          <cell r="T111">
            <v>115.639659947561</v>
          </cell>
          <cell r="U111">
            <v>105.99946552645643</v>
          </cell>
          <cell r="V111">
            <v>117.91131180816738</v>
          </cell>
          <cell r="W111">
            <v>120.85889570552149</v>
          </cell>
          <cell r="X111">
            <v>107.73993808049536</v>
          </cell>
          <cell r="Y111">
            <v>118.36617562655442</v>
          </cell>
          <cell r="Z111">
            <v>92.202712675491057</v>
          </cell>
          <cell r="AA111">
            <v>166.66666666666666</v>
          </cell>
          <cell r="AB111">
            <v>90.294438386041435</v>
          </cell>
          <cell r="AC111">
            <v>105.81431698552841</v>
          </cell>
          <cell r="AD111">
            <v>95.462124829246491</v>
          </cell>
          <cell r="AF111">
            <v>112.1234356527854</v>
          </cell>
          <cell r="AG111">
            <v>100.63822090738745</v>
          </cell>
        </row>
        <row r="112">
          <cell r="A112">
            <v>40288</v>
          </cell>
          <cell r="B112">
            <v>13.236033000000001</v>
          </cell>
          <cell r="C112">
            <v>59.6</v>
          </cell>
          <cell r="D112">
            <v>60.755684000000002</v>
          </cell>
          <cell r="E112">
            <v>31.902101999999999</v>
          </cell>
          <cell r="F112">
            <v>80.239999999999995</v>
          </cell>
          <cell r="G112">
            <v>1.2358693000000001</v>
          </cell>
          <cell r="H112">
            <v>23.89</v>
          </cell>
          <cell r="I112">
            <v>38.729999999999997</v>
          </cell>
          <cell r="J112">
            <v>31.77</v>
          </cell>
          <cell r="K112">
            <v>4.2693887000000004</v>
          </cell>
          <cell r="L112">
            <v>3.4</v>
          </cell>
          <cell r="M112">
            <v>16.64</v>
          </cell>
          <cell r="N112">
            <v>8.6802589999999995</v>
          </cell>
          <cell r="O112">
            <v>10.279254</v>
          </cell>
          <cell r="Q112">
            <v>95.753627312489371</v>
          </cell>
          <cell r="R112">
            <v>98.70818151705862</v>
          </cell>
          <cell r="S112">
            <v>116.61959578726891</v>
          </cell>
          <cell r="T112">
            <v>116.69650949718971</v>
          </cell>
          <cell r="U112">
            <v>107.2153928380545</v>
          </cell>
          <cell r="V112">
            <v>119.6619695344812</v>
          </cell>
          <cell r="W112">
            <v>122.13701431492842</v>
          </cell>
          <cell r="X112">
            <v>109.00647340275822</v>
          </cell>
          <cell r="Y112">
            <v>121.56112492825713</v>
          </cell>
          <cell r="Z112">
            <v>93.633002573631416</v>
          </cell>
          <cell r="AA112">
            <v>166.66666666666666</v>
          </cell>
          <cell r="AB112">
            <v>90.730643402399139</v>
          </cell>
          <cell r="AC112">
            <v>106.20409150065939</v>
          </cell>
          <cell r="AD112">
            <v>97.437723249768737</v>
          </cell>
          <cell r="AF112">
            <v>113.19918348126528</v>
          </cell>
          <cell r="AG112">
            <v>101.82090737521406</v>
          </cell>
        </row>
        <row r="113">
          <cell r="A113">
            <v>40289</v>
          </cell>
          <cell r="B113">
            <v>13.356863000000001</v>
          </cell>
          <cell r="C113">
            <v>58.03</v>
          </cell>
          <cell r="D113">
            <v>62.104469999999999</v>
          </cell>
          <cell r="E113">
            <v>31.760159999999999</v>
          </cell>
          <cell r="F113">
            <v>81</v>
          </cell>
          <cell r="G113">
            <v>1.2392025</v>
          </cell>
          <cell r="H113">
            <v>23.99</v>
          </cell>
          <cell r="I113">
            <v>38.4</v>
          </cell>
          <cell r="J113">
            <v>31.67</v>
          </cell>
          <cell r="K113">
            <v>4.3284406999999998</v>
          </cell>
          <cell r="L113">
            <v>3.44</v>
          </cell>
          <cell r="M113">
            <v>16.62</v>
          </cell>
          <cell r="N113">
            <v>8.6802589999999995</v>
          </cell>
          <cell r="O113">
            <v>10.279254</v>
          </cell>
          <cell r="Q113">
            <v>96.627749550486826</v>
          </cell>
          <cell r="R113">
            <v>96.107982775753555</v>
          </cell>
          <cell r="S113">
            <v>119.20856965387085</v>
          </cell>
          <cell r="T113">
            <v>116.17729179952671</v>
          </cell>
          <cell r="U113">
            <v>108.23089257081774</v>
          </cell>
          <cell r="V113">
            <v>119.98470372397223</v>
          </cell>
          <cell r="W113">
            <v>122.64826175869121</v>
          </cell>
          <cell r="X113">
            <v>108.07768083309878</v>
          </cell>
          <cell r="Y113">
            <v>121.17849626937058</v>
          </cell>
          <cell r="Z113">
            <v>94.928086356463851</v>
          </cell>
          <cell r="AA113">
            <v>168.62745098039215</v>
          </cell>
          <cell r="AB113">
            <v>90.621592148309716</v>
          </cell>
          <cell r="AC113">
            <v>106.20409150065939</v>
          </cell>
          <cell r="AD113">
            <v>97.437723249768737</v>
          </cell>
          <cell r="AF113">
            <v>113.53489653506284</v>
          </cell>
          <cell r="AG113">
            <v>101.82090737521406</v>
          </cell>
        </row>
        <row r="114">
          <cell r="A114">
            <v>40290</v>
          </cell>
          <cell r="B114">
            <v>12.983221</v>
          </cell>
          <cell r="C114">
            <v>58.02</v>
          </cell>
          <cell r="D114">
            <v>62.097121999999999</v>
          </cell>
          <cell r="E114">
            <v>31.843575999999999</v>
          </cell>
          <cell r="F114">
            <v>80.69</v>
          </cell>
          <cell r="G114">
            <v>1.201398</v>
          </cell>
          <cell r="H114">
            <v>24.63</v>
          </cell>
          <cell r="I114">
            <v>38.08</v>
          </cell>
          <cell r="J114">
            <v>31.875</v>
          </cell>
          <cell r="K114">
            <v>4.185746</v>
          </cell>
          <cell r="L114">
            <v>3.62</v>
          </cell>
          <cell r="M114">
            <v>16.690000000000001</v>
          </cell>
          <cell r="N114">
            <v>8.5208779999999997</v>
          </cell>
          <cell r="O114">
            <v>10.134466</v>
          </cell>
          <cell r="Q114">
            <v>93.924705759624928</v>
          </cell>
          <cell r="R114">
            <v>96.091421000331238</v>
          </cell>
          <cell r="S114">
            <v>119.19446528151542</v>
          </cell>
          <cell r="T114">
            <v>116.48242392016934</v>
          </cell>
          <cell r="U114">
            <v>107.81667557455906</v>
          </cell>
          <cell r="V114">
            <v>116.32431590847563</v>
          </cell>
          <cell r="W114">
            <v>125.92024539877301</v>
          </cell>
          <cell r="X114">
            <v>107.17703349282294</v>
          </cell>
          <cell r="Y114">
            <v>121.96288502008801</v>
          </cell>
          <cell r="Z114">
            <v>91.798614164732143</v>
          </cell>
          <cell r="AA114">
            <v>177.45098039215685</v>
          </cell>
          <cell r="AB114">
            <v>91.00327153762268</v>
          </cell>
          <cell r="AC114">
            <v>104.25404435258852</v>
          </cell>
          <cell r="AD114">
            <v>96.065268295947419</v>
          </cell>
          <cell r="AF114">
            <v>113.76225312090594</v>
          </cell>
          <cell r="AG114">
            <v>100.15965632426797</v>
          </cell>
        </row>
        <row r="115">
          <cell r="A115">
            <v>40291</v>
          </cell>
          <cell r="B115">
            <v>12.710933000000001</v>
          </cell>
          <cell r="C115">
            <v>57.83</v>
          </cell>
          <cell r="D115">
            <v>60.258853999999999</v>
          </cell>
          <cell r="E115">
            <v>31.116060000000001</v>
          </cell>
          <cell r="F115">
            <v>79.989999999999995</v>
          </cell>
          <cell r="G115">
            <v>1.2179114</v>
          </cell>
          <cell r="H115">
            <v>24.11</v>
          </cell>
          <cell r="I115">
            <v>38.32</v>
          </cell>
          <cell r="J115">
            <v>31.805</v>
          </cell>
          <cell r="K115">
            <v>4.0925703000000002</v>
          </cell>
          <cell r="L115">
            <v>3.88</v>
          </cell>
          <cell r="M115">
            <v>17.260000000000002</v>
          </cell>
          <cell r="N115">
            <v>8.5967199999999995</v>
          </cell>
          <cell r="O115">
            <v>10.213924</v>
          </cell>
          <cell r="Q115">
            <v>91.95488869482439</v>
          </cell>
          <cell r="R115">
            <v>95.776747267307044</v>
          </cell>
          <cell r="S115">
            <v>115.66593828626885</v>
          </cell>
          <cell r="T115">
            <v>113.82120185388176</v>
          </cell>
          <cell r="U115">
            <v>106.88134687332975</v>
          </cell>
          <cell r="V115">
            <v>117.92321149372134</v>
          </cell>
          <cell r="W115">
            <v>123.26175869120655</v>
          </cell>
          <cell r="X115">
            <v>107.85251899802984</v>
          </cell>
          <cell r="Y115">
            <v>121.6950449588674</v>
          </cell>
          <cell r="Z115">
            <v>89.755155212892063</v>
          </cell>
          <cell r="AA115">
            <v>190.19607843137254</v>
          </cell>
          <cell r="AB115">
            <v>94.111232279171219</v>
          </cell>
          <cell r="AC115">
            <v>105.18198103138958</v>
          </cell>
          <cell r="AD115">
            <v>96.818455892438408</v>
          </cell>
          <cell r="AF115">
            <v>114.0745935867394</v>
          </cell>
          <cell r="AG115">
            <v>101.00021846191399</v>
          </cell>
        </row>
        <row r="116">
          <cell r="A116">
            <v>40292</v>
          </cell>
          <cell r="B116">
            <v>12.710933000000001</v>
          </cell>
          <cell r="C116">
            <v>57.83</v>
          </cell>
          <cell r="D116">
            <v>60.258853999999999</v>
          </cell>
          <cell r="E116">
            <v>31.116060000000001</v>
          </cell>
          <cell r="F116">
            <v>79.989999999999995</v>
          </cell>
          <cell r="G116">
            <v>1.2179114</v>
          </cell>
          <cell r="H116">
            <v>24.11</v>
          </cell>
          <cell r="I116">
            <v>38.32</v>
          </cell>
          <cell r="J116">
            <v>31.805</v>
          </cell>
          <cell r="K116">
            <v>4.0925703000000002</v>
          </cell>
          <cell r="L116">
            <v>3.88</v>
          </cell>
          <cell r="M116">
            <v>17.260000000000002</v>
          </cell>
          <cell r="N116">
            <v>8.5967199999999995</v>
          </cell>
          <cell r="O116">
            <v>10.213924</v>
          </cell>
          <cell r="Q116">
            <v>91.95488869482439</v>
          </cell>
          <cell r="R116">
            <v>95.776747267307044</v>
          </cell>
          <cell r="S116">
            <v>115.66593828626885</v>
          </cell>
          <cell r="T116">
            <v>113.82120185388176</v>
          </cell>
          <cell r="U116">
            <v>106.88134687332975</v>
          </cell>
          <cell r="V116">
            <v>117.92321149372134</v>
          </cell>
          <cell r="W116">
            <v>123.26175869120655</v>
          </cell>
          <cell r="X116">
            <v>107.85251899802984</v>
          </cell>
          <cell r="Y116">
            <v>121.6950449588674</v>
          </cell>
          <cell r="Z116">
            <v>89.755155212892063</v>
          </cell>
          <cell r="AA116">
            <v>190.19607843137254</v>
          </cell>
          <cell r="AB116">
            <v>94.111232279171219</v>
          </cell>
          <cell r="AC116">
            <v>105.18198103138958</v>
          </cell>
          <cell r="AD116">
            <v>96.818455892438408</v>
          </cell>
          <cell r="AF116">
            <v>114.0745935867394</v>
          </cell>
          <cell r="AG116">
            <v>101.00021846191399</v>
          </cell>
        </row>
        <row r="117">
          <cell r="A117">
            <v>40293</v>
          </cell>
          <cell r="B117">
            <v>12.710933000000001</v>
          </cell>
          <cell r="C117">
            <v>57.83</v>
          </cell>
          <cell r="D117">
            <v>60.258853999999999</v>
          </cell>
          <cell r="E117">
            <v>31.116060000000001</v>
          </cell>
          <cell r="F117">
            <v>79.989999999999995</v>
          </cell>
          <cell r="G117">
            <v>1.2179114</v>
          </cell>
          <cell r="H117">
            <v>24.11</v>
          </cell>
          <cell r="I117">
            <v>38.32</v>
          </cell>
          <cell r="J117">
            <v>31.805</v>
          </cell>
          <cell r="K117">
            <v>4.0925703000000002</v>
          </cell>
          <cell r="L117">
            <v>3.88</v>
          </cell>
          <cell r="M117">
            <v>17.260000000000002</v>
          </cell>
          <cell r="N117">
            <v>8.5967199999999995</v>
          </cell>
          <cell r="O117">
            <v>10.213924</v>
          </cell>
          <cell r="Q117">
            <v>91.95488869482439</v>
          </cell>
          <cell r="R117">
            <v>95.776747267307044</v>
          </cell>
          <cell r="S117">
            <v>115.66593828626885</v>
          </cell>
          <cell r="T117">
            <v>113.82120185388176</v>
          </cell>
          <cell r="U117">
            <v>106.88134687332975</v>
          </cell>
          <cell r="V117">
            <v>117.92321149372134</v>
          </cell>
          <cell r="W117">
            <v>123.26175869120655</v>
          </cell>
          <cell r="X117">
            <v>107.85251899802984</v>
          </cell>
          <cell r="Y117">
            <v>121.6950449588674</v>
          </cell>
          <cell r="Z117">
            <v>89.755155212892063</v>
          </cell>
          <cell r="AA117">
            <v>190.19607843137254</v>
          </cell>
          <cell r="AB117">
            <v>94.111232279171219</v>
          </cell>
          <cell r="AC117">
            <v>105.18198103138958</v>
          </cell>
          <cell r="AD117">
            <v>96.818455892438408</v>
          </cell>
          <cell r="AF117">
            <v>114.0745935867394</v>
          </cell>
          <cell r="AG117">
            <v>101.00021846191399</v>
          </cell>
        </row>
        <row r="118">
          <cell r="A118">
            <v>40294</v>
          </cell>
          <cell r="B118">
            <v>12.785398000000001</v>
          </cell>
          <cell r="C118">
            <v>57.4</v>
          </cell>
          <cell r="D118">
            <v>61.201720000000002</v>
          </cell>
          <cell r="E118">
            <v>31.812145000000001</v>
          </cell>
          <cell r="F118">
            <v>78.91</v>
          </cell>
          <cell r="G118">
            <v>1.2496803000000001</v>
          </cell>
          <cell r="H118">
            <v>23.63</v>
          </cell>
          <cell r="I118">
            <v>38.07</v>
          </cell>
          <cell r="J118">
            <v>31.605</v>
          </cell>
          <cell r="K118">
            <v>4.1165456999999996</v>
          </cell>
          <cell r="L118">
            <v>4.04</v>
          </cell>
          <cell r="M118">
            <v>16.510000000000002</v>
          </cell>
          <cell r="N118">
            <v>8.5423530000000003</v>
          </cell>
          <cell r="O118">
            <v>10.325355</v>
          </cell>
          <cell r="Q118">
            <v>92.493591934520495</v>
          </cell>
          <cell r="R118">
            <v>95.064590924147069</v>
          </cell>
          <cell r="S118">
            <v>117.47575499085173</v>
          </cell>
          <cell r="T118">
            <v>116.36745068141516</v>
          </cell>
          <cell r="U118">
            <v>105.43826830571885</v>
          </cell>
          <cell r="V118">
            <v>120.99920759132164</v>
          </cell>
          <cell r="W118">
            <v>120.8077709611452</v>
          </cell>
          <cell r="X118">
            <v>107.14888826343933</v>
          </cell>
          <cell r="Y118">
            <v>120.92978764109432</v>
          </cell>
          <cell r="Z118">
            <v>90.280965544920107</v>
          </cell>
          <cell r="AA118">
            <v>198.03921568627453</v>
          </cell>
          <cell r="AB118">
            <v>90.021810250817893</v>
          </cell>
          <cell r="AC118">
            <v>104.51679375499423</v>
          </cell>
          <cell r="AD118">
            <v>97.874717654181509</v>
          </cell>
          <cell r="AF118">
            <v>114.58894189797219</v>
          </cell>
          <cell r="AG118">
            <v>101.19575570458787</v>
          </cell>
        </row>
        <row r="119">
          <cell r="A119">
            <v>40295</v>
          </cell>
          <cell r="B119">
            <v>12.708812</v>
          </cell>
          <cell r="C119">
            <v>56.35</v>
          </cell>
          <cell r="D119">
            <v>61.390377000000001</v>
          </cell>
          <cell r="E119">
            <v>31.315508000000001</v>
          </cell>
          <cell r="F119">
            <v>77.42</v>
          </cell>
          <cell r="G119">
            <v>1.2562538000000001</v>
          </cell>
          <cell r="H119">
            <v>23.25</v>
          </cell>
          <cell r="I119">
            <v>38.049999999999997</v>
          </cell>
          <cell r="J119">
            <v>30.47</v>
          </cell>
          <cell r="K119">
            <v>4.0975279999999996</v>
          </cell>
          <cell r="L119">
            <v>3.83</v>
          </cell>
          <cell r="M119">
            <v>16.11</v>
          </cell>
          <cell r="N119">
            <v>8.5069929999999996</v>
          </cell>
          <cell r="O119">
            <v>9.9914360000000002</v>
          </cell>
          <cell r="Q119">
            <v>91.939544713472131</v>
          </cell>
          <cell r="R119">
            <v>93.325604504802911</v>
          </cell>
          <cell r="S119">
            <v>117.83787918457224</v>
          </cell>
          <cell r="T119">
            <v>114.55077401267542</v>
          </cell>
          <cell r="U119">
            <v>103.44735435595938</v>
          </cell>
          <cell r="V119">
            <v>121.63568100864408</v>
          </cell>
          <cell r="W119">
            <v>118.86503067484664</v>
          </cell>
          <cell r="X119">
            <v>107.09259780467211</v>
          </cell>
          <cell r="Y119">
            <v>116.58695236273195</v>
          </cell>
          <cell r="Z119">
            <v>89.863883738092696</v>
          </cell>
          <cell r="AA119">
            <v>187.74509803921569</v>
          </cell>
          <cell r="AB119">
            <v>87.840785169029445</v>
          </cell>
          <cell r="AC119">
            <v>104.08415958181305</v>
          </cell>
          <cell r="AD119">
            <v>94.709477539496206</v>
          </cell>
          <cell r="AF119">
            <v>112.56093213072621</v>
          </cell>
          <cell r="AG119">
            <v>99.396818560654623</v>
          </cell>
        </row>
        <row r="120">
          <cell r="A120">
            <v>40296</v>
          </cell>
          <cell r="B120">
            <v>12.706268</v>
          </cell>
          <cell r="C120">
            <v>56.69</v>
          </cell>
          <cell r="D120">
            <v>59.642780000000002</v>
          </cell>
          <cell r="E120">
            <v>31.044014000000001</v>
          </cell>
          <cell r="F120">
            <v>78.13</v>
          </cell>
          <cell r="G120">
            <v>1.2520473000000001</v>
          </cell>
          <cell r="H120">
            <v>23.77</v>
          </cell>
          <cell r="I120">
            <v>37.700000000000003</v>
          </cell>
          <cell r="J120">
            <v>30.99</v>
          </cell>
          <cell r="K120">
            <v>4.0416454999999996</v>
          </cell>
          <cell r="L120">
            <v>3.91</v>
          </cell>
          <cell r="M120">
            <v>15.92</v>
          </cell>
          <cell r="N120">
            <v>8.4772280000000002</v>
          </cell>
          <cell r="O120">
            <v>9.9564760000000003</v>
          </cell>
          <cell r="Q120">
            <v>91.921140617026992</v>
          </cell>
          <cell r="R120">
            <v>93.88870486916197</v>
          </cell>
          <cell r="S120">
            <v>114.48339377150303</v>
          </cell>
          <cell r="T120">
            <v>113.55766070153905</v>
          </cell>
          <cell r="U120">
            <v>104.39604489577765</v>
          </cell>
          <cell r="V120">
            <v>121.22839030658781</v>
          </cell>
          <cell r="W120">
            <v>121.52351738241309</v>
          </cell>
          <cell r="X120">
            <v>106.10751477624542</v>
          </cell>
          <cell r="Y120">
            <v>118.57662138894203</v>
          </cell>
          <cell r="Z120">
            <v>88.638311031086431</v>
          </cell>
          <cell r="AA120">
            <v>191.66666666666669</v>
          </cell>
          <cell r="AB120">
            <v>86.804798255179932</v>
          </cell>
          <cell r="AC120">
            <v>103.7199809572447</v>
          </cell>
          <cell r="AD120">
            <v>94.378089405219924</v>
          </cell>
          <cell r="AF120">
            <v>112.73273038851084</v>
          </cell>
          <cell r="AG120">
            <v>99.049035181232313</v>
          </cell>
        </row>
        <row r="121">
          <cell r="A121">
            <v>40297</v>
          </cell>
          <cell r="B121">
            <v>12.943505999999999</v>
          </cell>
          <cell r="C121">
            <v>57.25</v>
          </cell>
          <cell r="D121">
            <v>59.544662000000002</v>
          </cell>
          <cell r="E121">
            <v>30.992943</v>
          </cell>
          <cell r="F121">
            <v>78.83</v>
          </cell>
          <cell r="G121">
            <v>1.2421</v>
          </cell>
          <cell r="H121">
            <v>24.19</v>
          </cell>
          <cell r="I121">
            <v>38.659999999999997</v>
          </cell>
          <cell r="J121">
            <v>30.844999999999999</v>
          </cell>
          <cell r="K121">
            <v>4.0825399999999998</v>
          </cell>
          <cell r="L121">
            <v>3.93</v>
          </cell>
          <cell r="M121">
            <v>16.260000000000002</v>
          </cell>
          <cell r="N121">
            <v>8.6775669999999998</v>
          </cell>
          <cell r="O121">
            <v>10.225894</v>
          </cell>
          <cell r="Q121">
            <v>93.637394953682119</v>
          </cell>
          <cell r="R121">
            <v>94.816164292812189</v>
          </cell>
          <cell r="S121">
            <v>114.29505778800137</v>
          </cell>
          <cell r="T121">
            <v>113.37084519212431</v>
          </cell>
          <cell r="U121">
            <v>105.33137359700694</v>
          </cell>
          <cell r="V121">
            <v>120.26525164010393</v>
          </cell>
          <cell r="W121">
            <v>123.67075664621679</v>
          </cell>
          <cell r="X121">
            <v>108.80945679707288</v>
          </cell>
          <cell r="Y121">
            <v>118.02180983355652</v>
          </cell>
          <cell r="Z121">
            <v>89.535178262628818</v>
          </cell>
          <cell r="AA121">
            <v>192.64705882352942</v>
          </cell>
          <cell r="AB121">
            <v>88.658669574700127</v>
          </cell>
          <cell r="AC121">
            <v>106.17115453249752</v>
          </cell>
          <cell r="AD121">
            <v>96.931920307978643</v>
          </cell>
          <cell r="AF121">
            <v>113.58825145011961</v>
          </cell>
          <cell r="AG121">
            <v>101.55153742023808</v>
          </cell>
        </row>
        <row r="122">
          <cell r="A122">
            <v>40298</v>
          </cell>
          <cell r="B122">
            <v>12.845731000000001</v>
          </cell>
          <cell r="C122">
            <v>57.16</v>
          </cell>
          <cell r="D122">
            <v>60.099986999999999</v>
          </cell>
          <cell r="E122">
            <v>32.12424</v>
          </cell>
          <cell r="F122">
            <v>78.569999999999993</v>
          </cell>
          <cell r="G122">
            <v>1.2550622</v>
          </cell>
          <cell r="H122">
            <v>23.4</v>
          </cell>
          <cell r="I122">
            <v>38.79</v>
          </cell>
          <cell r="J122">
            <v>34.215000000000003</v>
          </cell>
          <cell r="K122">
            <v>4.0678143999999996</v>
          </cell>
          <cell r="L122">
            <v>3.68</v>
          </cell>
          <cell r="M122">
            <v>16.29</v>
          </cell>
          <cell r="N122">
            <v>8.7245419999999996</v>
          </cell>
          <cell r="O122">
            <v>10.244113</v>
          </cell>
          <cell r="Q122">
            <v>92.930059839718709</v>
          </cell>
          <cell r="R122">
            <v>94.667108314011244</v>
          </cell>
          <cell r="S122">
            <v>115.36099553681456</v>
          </cell>
          <cell r="T122">
            <v>117.50908069474548</v>
          </cell>
          <cell r="U122">
            <v>104.9839657936932</v>
          </cell>
          <cell r="V122">
            <v>121.52030537555952</v>
          </cell>
          <cell r="W122">
            <v>119.6319018404908</v>
          </cell>
          <cell r="X122">
            <v>109.17534477905994</v>
          </cell>
          <cell r="Y122">
            <v>130.91639563803329</v>
          </cell>
          <cell r="Z122">
            <v>89.212227545422337</v>
          </cell>
          <cell r="AA122">
            <v>180.39215686274511</v>
          </cell>
          <cell r="AB122">
            <v>88.822246455834247</v>
          </cell>
          <cell r="AC122">
            <v>106.74589973287041</v>
          </cell>
          <cell r="AD122">
            <v>97.104619404614212</v>
          </cell>
          <cell r="AF122">
            <v>113.76014905634405</v>
          </cell>
          <cell r="AG122">
            <v>101.92525956874232</v>
          </cell>
        </row>
        <row r="123">
          <cell r="A123">
            <v>40299</v>
          </cell>
          <cell r="B123">
            <v>12.845731000000001</v>
          </cell>
          <cell r="C123">
            <v>57.16</v>
          </cell>
          <cell r="D123">
            <v>60.099986999999999</v>
          </cell>
          <cell r="E123">
            <v>32.12424</v>
          </cell>
          <cell r="F123">
            <v>78.569999999999993</v>
          </cell>
          <cell r="G123">
            <v>1.2550622</v>
          </cell>
          <cell r="H123">
            <v>23.4</v>
          </cell>
          <cell r="I123">
            <v>38.79</v>
          </cell>
          <cell r="J123">
            <v>34.215000000000003</v>
          </cell>
          <cell r="K123">
            <v>4.0678143999999996</v>
          </cell>
          <cell r="L123">
            <v>3.68</v>
          </cell>
          <cell r="M123">
            <v>16.29</v>
          </cell>
          <cell r="N123">
            <v>8.7245419999999996</v>
          </cell>
          <cell r="O123">
            <v>10.244113</v>
          </cell>
          <cell r="Q123">
            <v>92.930059839718709</v>
          </cell>
          <cell r="R123">
            <v>94.667108314011244</v>
          </cell>
          <cell r="S123">
            <v>115.36099553681456</v>
          </cell>
          <cell r="T123">
            <v>117.50908069474548</v>
          </cell>
          <cell r="U123">
            <v>104.9839657936932</v>
          </cell>
          <cell r="V123">
            <v>121.52030537555952</v>
          </cell>
          <cell r="W123">
            <v>119.6319018404908</v>
          </cell>
          <cell r="X123">
            <v>109.17534477905994</v>
          </cell>
          <cell r="Y123">
            <v>130.91639563803329</v>
          </cell>
          <cell r="Z123">
            <v>89.212227545422337</v>
          </cell>
          <cell r="AA123">
            <v>180.39215686274511</v>
          </cell>
          <cell r="AB123">
            <v>88.822246455834247</v>
          </cell>
          <cell r="AC123">
            <v>106.74589973287041</v>
          </cell>
          <cell r="AD123">
            <v>97.104619404614212</v>
          </cell>
          <cell r="AF123">
            <v>113.76014905634405</v>
          </cell>
          <cell r="AG123">
            <v>101.92525956874232</v>
          </cell>
        </row>
        <row r="124">
          <cell r="A124">
            <v>40300</v>
          </cell>
          <cell r="B124">
            <v>12.845731000000001</v>
          </cell>
          <cell r="C124">
            <v>57.16</v>
          </cell>
          <cell r="D124">
            <v>60.099986999999999</v>
          </cell>
          <cell r="E124">
            <v>32.12424</v>
          </cell>
          <cell r="F124">
            <v>78.569999999999993</v>
          </cell>
          <cell r="G124">
            <v>1.2550622</v>
          </cell>
          <cell r="H124">
            <v>23.4</v>
          </cell>
          <cell r="I124">
            <v>38.79</v>
          </cell>
          <cell r="J124">
            <v>34.215000000000003</v>
          </cell>
          <cell r="K124">
            <v>4.0678143999999996</v>
          </cell>
          <cell r="L124">
            <v>3.68</v>
          </cell>
          <cell r="M124">
            <v>16.29</v>
          </cell>
          <cell r="N124">
            <v>8.7245419999999996</v>
          </cell>
          <cell r="O124">
            <v>10.244113</v>
          </cell>
          <cell r="Q124">
            <v>92.930059839718709</v>
          </cell>
          <cell r="R124">
            <v>94.667108314011244</v>
          </cell>
          <cell r="S124">
            <v>115.36099553681456</v>
          </cell>
          <cell r="T124">
            <v>117.50908069474548</v>
          </cell>
          <cell r="U124">
            <v>104.9839657936932</v>
          </cell>
          <cell r="V124">
            <v>121.52030537555952</v>
          </cell>
          <cell r="W124">
            <v>119.6319018404908</v>
          </cell>
          <cell r="X124">
            <v>109.17534477905994</v>
          </cell>
          <cell r="Y124">
            <v>130.91639563803329</v>
          </cell>
          <cell r="Z124">
            <v>89.212227545422337</v>
          </cell>
          <cell r="AA124">
            <v>180.39215686274511</v>
          </cell>
          <cell r="AB124">
            <v>88.822246455834247</v>
          </cell>
          <cell r="AC124">
            <v>106.74589973287041</v>
          </cell>
          <cell r="AD124">
            <v>97.104619404614212</v>
          </cell>
          <cell r="AF124">
            <v>113.76014905634405</v>
          </cell>
          <cell r="AG124">
            <v>101.92525956874232</v>
          </cell>
        </row>
        <row r="125">
          <cell r="A125">
            <v>40301</v>
          </cell>
          <cell r="B125">
            <v>12.835749</v>
          </cell>
          <cell r="C125">
            <v>56.74</v>
          </cell>
          <cell r="D125">
            <v>59.782032000000001</v>
          </cell>
          <cell r="E125">
            <v>31.95429</v>
          </cell>
          <cell r="F125">
            <v>78.56</v>
          </cell>
          <cell r="G125">
            <v>1.2311053999999999</v>
          </cell>
          <cell r="H125">
            <v>23.61</v>
          </cell>
          <cell r="I125">
            <v>38.119999999999997</v>
          </cell>
          <cell r="J125">
            <v>34.340000000000003</v>
          </cell>
          <cell r="K125">
            <v>4.0660400000000001</v>
          </cell>
          <cell r="L125">
            <v>3.62</v>
          </cell>
          <cell r="M125">
            <v>16.64</v>
          </cell>
          <cell r="N125">
            <v>8.8498125000000005</v>
          </cell>
          <cell r="O125">
            <v>10.47564</v>
          </cell>
          <cell r="Q125">
            <v>92.857846910978395</v>
          </cell>
          <cell r="R125">
            <v>93.971513746273601</v>
          </cell>
          <cell r="S125">
            <v>114.75068583182397</v>
          </cell>
          <cell r="T125">
            <v>116.88741094429935</v>
          </cell>
          <cell r="U125">
            <v>104.97060395510422</v>
          </cell>
          <cell r="V125">
            <v>119.20070906246745</v>
          </cell>
          <cell r="W125">
            <v>120.70552147239265</v>
          </cell>
          <cell r="X125">
            <v>107.28961441035743</v>
          </cell>
          <cell r="Y125">
            <v>131.39468146164148</v>
          </cell>
          <cell r="Z125">
            <v>89.173312747206239</v>
          </cell>
          <cell r="AA125">
            <v>177.45098039215685</v>
          </cell>
          <cell r="AB125">
            <v>90.730643402399139</v>
          </cell>
          <cell r="AC125">
            <v>108.27860050186054</v>
          </cell>
          <cell r="AD125">
            <v>99.299279031747574</v>
          </cell>
          <cell r="AF125">
            <v>113.28196036142508</v>
          </cell>
          <cell r="AG125">
            <v>103.78893976680405</v>
          </cell>
        </row>
        <row r="126">
          <cell r="A126">
            <v>40302</v>
          </cell>
          <cell r="B126">
            <v>12.521437000000001</v>
          </cell>
          <cell r="C126">
            <v>55.98</v>
          </cell>
          <cell r="D126">
            <v>59.778869999999998</v>
          </cell>
          <cell r="E126">
            <v>31.9526</v>
          </cell>
          <cell r="F126">
            <v>77.83</v>
          </cell>
          <cell r="G126">
            <v>1.2260593</v>
          </cell>
          <cell r="H126">
            <v>23</v>
          </cell>
          <cell r="I126">
            <v>37.950000000000003</v>
          </cell>
          <cell r="J126">
            <v>33.854999999999997</v>
          </cell>
          <cell r="K126">
            <v>4.0614986000000002</v>
          </cell>
          <cell r="L126">
            <v>3.44</v>
          </cell>
          <cell r="M126">
            <v>15.96</v>
          </cell>
          <cell r="N126">
            <v>8.6585029999999996</v>
          </cell>
          <cell r="O126">
            <v>10.139562</v>
          </cell>
          <cell r="Q126">
            <v>90.584015007730414</v>
          </cell>
          <cell r="R126">
            <v>92.71281881417687</v>
          </cell>
          <cell r="S126">
            <v>114.74461642172764</v>
          </cell>
          <cell r="T126">
            <v>116.88122899738404</v>
          </cell>
          <cell r="U126">
            <v>103.99518973810795</v>
          </cell>
          <cell r="V126">
            <v>118.71212482102061</v>
          </cell>
          <cell r="W126">
            <v>117.58691206543968</v>
          </cell>
          <cell r="X126">
            <v>106.81114551083593</v>
          </cell>
          <cell r="Y126">
            <v>129.5389324660417</v>
          </cell>
          <cell r="Z126">
            <v>89.073714198615917</v>
          </cell>
          <cell r="AA126">
            <v>168.62745098039215</v>
          </cell>
          <cell r="AB126">
            <v>87.022900763358777</v>
          </cell>
          <cell r="AC126">
            <v>105.93790402691141</v>
          </cell>
          <cell r="AD126">
            <v>96.113573614376264</v>
          </cell>
          <cell r="AF126">
            <v>111.35758748206933</v>
          </cell>
          <cell r="AG126">
            <v>101.02573882064384</v>
          </cell>
        </row>
        <row r="127">
          <cell r="A127">
            <v>40303</v>
          </cell>
          <cell r="B127">
            <v>12.428639</v>
          </cell>
          <cell r="C127">
            <v>56.59</v>
          </cell>
          <cell r="D127">
            <v>59.867550000000001</v>
          </cell>
          <cell r="E127">
            <v>32</v>
          </cell>
          <cell r="F127">
            <v>77.67</v>
          </cell>
          <cell r="G127">
            <v>1.1920577000000001</v>
          </cell>
          <cell r="H127">
            <v>23</v>
          </cell>
          <cell r="I127">
            <v>37.25</v>
          </cell>
          <cell r="J127">
            <v>33.795000000000002</v>
          </cell>
          <cell r="K127">
            <v>3.9191039999999999</v>
          </cell>
          <cell r="L127">
            <v>3.59</v>
          </cell>
          <cell r="M127">
            <v>15.99</v>
          </cell>
          <cell r="N127">
            <v>8.4962389999999992</v>
          </cell>
          <cell r="O127">
            <v>9.8442270000000001</v>
          </cell>
          <cell r="Q127">
            <v>89.912685077732178</v>
          </cell>
          <cell r="R127">
            <v>93.723087114938721</v>
          </cell>
          <cell r="S127">
            <v>114.9148363101979</v>
          </cell>
          <cell r="T127">
            <v>117.05461614755262</v>
          </cell>
          <cell r="U127">
            <v>103.78140032068413</v>
          </cell>
          <cell r="V127">
            <v>115.41994948878798</v>
          </cell>
          <cell r="W127">
            <v>117.58691206543968</v>
          </cell>
          <cell r="X127">
            <v>104.84097945398254</v>
          </cell>
          <cell r="Y127">
            <v>129.30935527070977</v>
          </cell>
          <cell r="Z127">
            <v>85.950823573016237</v>
          </cell>
          <cell r="AA127">
            <v>175.98039215686273</v>
          </cell>
          <cell r="AB127">
            <v>87.186477644492911</v>
          </cell>
          <cell r="AC127">
            <v>103.95258300097623</v>
          </cell>
          <cell r="AD127">
            <v>93.314073767794937</v>
          </cell>
          <cell r="AF127">
            <v>111.30512621869978</v>
          </cell>
          <cell r="AG127">
            <v>98.633328384385578</v>
          </cell>
        </row>
        <row r="128">
          <cell r="A128">
            <v>40304</v>
          </cell>
          <cell r="B128">
            <v>12.142575000000001</v>
          </cell>
          <cell r="C128">
            <v>55.07</v>
          </cell>
          <cell r="D128">
            <v>59.882164000000003</v>
          </cell>
          <cell r="E128">
            <v>31.933584</v>
          </cell>
          <cell r="F128">
            <v>76.260000000000005</v>
          </cell>
          <cell r="G128">
            <v>1.153543</v>
          </cell>
          <cell r="H128">
            <v>22.16</v>
          </cell>
          <cell r="I128">
            <v>36.26</v>
          </cell>
          <cell r="J128">
            <v>32.844999999999999</v>
          </cell>
          <cell r="K128">
            <v>3.9305964000000002</v>
          </cell>
          <cell r="L128">
            <v>3.31</v>
          </cell>
          <cell r="M128">
            <v>15.91</v>
          </cell>
          <cell r="N128">
            <v>8.2943960000000008</v>
          </cell>
          <cell r="O128">
            <v>9.5109080000000006</v>
          </cell>
          <cell r="Q128">
            <v>87.843208094445728</v>
          </cell>
          <cell r="R128">
            <v>91.205697250745274</v>
          </cell>
          <cell r="S128">
            <v>114.942887657177</v>
          </cell>
          <cell r="T128">
            <v>116.81166929173837</v>
          </cell>
          <cell r="U128">
            <v>101.89738107963655</v>
          </cell>
          <cell r="V128">
            <v>111.69079717629855</v>
          </cell>
          <cell r="W128">
            <v>113.29243353783231</v>
          </cell>
          <cell r="X128">
            <v>102.05460174500421</v>
          </cell>
          <cell r="Y128">
            <v>125.67438301128753</v>
          </cell>
          <cell r="Z128">
            <v>86.202866194194584</v>
          </cell>
          <cell r="AA128">
            <v>162.25490196078431</v>
          </cell>
          <cell r="AB128">
            <v>86.750272628135221</v>
          </cell>
          <cell r="AC128">
            <v>101.483007791208</v>
          </cell>
          <cell r="AD128">
            <v>90.154521092485069</v>
          </cell>
          <cell r="AF128">
            <v>108.38509163560663</v>
          </cell>
          <cell r="AG128">
            <v>95.818764441846525</v>
          </cell>
        </row>
        <row r="129">
          <cell r="A129">
            <v>40305</v>
          </cell>
          <cell r="B129">
            <v>11.498613000000001</v>
          </cell>
          <cell r="C129">
            <v>54.5</v>
          </cell>
          <cell r="D129">
            <v>58.555343999999998</v>
          </cell>
          <cell r="E129">
            <v>31.299092999999999</v>
          </cell>
          <cell r="F129">
            <v>75.23</v>
          </cell>
          <cell r="G129">
            <v>1.1237161</v>
          </cell>
          <cell r="H129">
            <v>20.79</v>
          </cell>
          <cell r="I129">
            <v>27.89</v>
          </cell>
          <cell r="J129">
            <v>31.815000000000001</v>
          </cell>
          <cell r="K129">
            <v>3.8505340000000001</v>
          </cell>
          <cell r="L129">
            <v>3.32</v>
          </cell>
          <cell r="M129">
            <v>15.38</v>
          </cell>
          <cell r="N129">
            <v>7.9578322999999997</v>
          </cell>
          <cell r="O129">
            <v>9.168806</v>
          </cell>
          <cell r="Q129">
            <v>83.184584369995562</v>
          </cell>
          <cell r="R129">
            <v>90.261676051672737</v>
          </cell>
          <cell r="S129">
            <v>112.39607718784765</v>
          </cell>
          <cell r="T129">
            <v>114.49072865254848</v>
          </cell>
          <cell r="U129">
            <v>100.52111170497059</v>
          </cell>
          <cell r="V129">
            <v>108.80283353879415</v>
          </cell>
          <cell r="W129">
            <v>106.28834355828221</v>
          </cell>
          <cell r="X129">
            <v>78.497044750914725</v>
          </cell>
          <cell r="Y129">
            <v>121.73330782475607</v>
          </cell>
          <cell r="Z129">
            <v>84.446998215893359</v>
          </cell>
          <cell r="AA129">
            <v>162.74509803921569</v>
          </cell>
          <cell r="AB129">
            <v>83.860414394765542</v>
          </cell>
          <cell r="AC129">
            <v>97.365107393235945</v>
          </cell>
          <cell r="AD129">
            <v>86.911713783784222</v>
          </cell>
          <cell r="AF129">
            <v>103.9356848574714</v>
          </cell>
          <cell r="AG129">
            <v>92.138410588510084</v>
          </cell>
        </row>
        <row r="130">
          <cell r="A130">
            <v>40306</v>
          </cell>
          <cell r="B130">
            <v>11.498613000000001</v>
          </cell>
          <cell r="C130">
            <v>54.5</v>
          </cell>
          <cell r="D130">
            <v>58.555343999999998</v>
          </cell>
          <cell r="E130">
            <v>31.299092999999999</v>
          </cell>
          <cell r="F130">
            <v>75.23</v>
          </cell>
          <cell r="G130">
            <v>1.1237161</v>
          </cell>
          <cell r="H130">
            <v>20.79</v>
          </cell>
          <cell r="I130">
            <v>27.89</v>
          </cell>
          <cell r="J130">
            <v>31.815000000000001</v>
          </cell>
          <cell r="K130">
            <v>3.8505340000000001</v>
          </cell>
          <cell r="L130">
            <v>3.32</v>
          </cell>
          <cell r="M130">
            <v>15.38</v>
          </cell>
          <cell r="N130">
            <v>7.9578322999999997</v>
          </cell>
          <cell r="O130">
            <v>9.168806</v>
          </cell>
          <cell r="Q130">
            <v>83.184584369995562</v>
          </cell>
          <cell r="R130">
            <v>90.261676051672737</v>
          </cell>
          <cell r="S130">
            <v>112.39607718784765</v>
          </cell>
          <cell r="T130">
            <v>114.49072865254848</v>
          </cell>
          <cell r="U130">
            <v>100.52111170497059</v>
          </cell>
          <cell r="V130">
            <v>108.80283353879415</v>
          </cell>
          <cell r="W130">
            <v>106.28834355828221</v>
          </cell>
          <cell r="X130">
            <v>78.497044750914725</v>
          </cell>
          <cell r="Y130">
            <v>121.73330782475607</v>
          </cell>
          <cell r="Z130">
            <v>84.446998215893359</v>
          </cell>
          <cell r="AA130">
            <v>162.74509803921569</v>
          </cell>
          <cell r="AB130">
            <v>83.860414394765542</v>
          </cell>
          <cell r="AC130">
            <v>97.365107393235945</v>
          </cell>
          <cell r="AD130">
            <v>86.911713783784222</v>
          </cell>
          <cell r="AF130">
            <v>103.9356848574714</v>
          </cell>
          <cell r="AG130">
            <v>92.138410588510084</v>
          </cell>
        </row>
        <row r="131">
          <cell r="A131">
            <v>40307</v>
          </cell>
          <cell r="B131">
            <v>11.498613000000001</v>
          </cell>
          <cell r="C131">
            <v>54.5</v>
          </cell>
          <cell r="D131">
            <v>58.555343999999998</v>
          </cell>
          <cell r="E131">
            <v>31.299092999999999</v>
          </cell>
          <cell r="F131">
            <v>75.23</v>
          </cell>
          <cell r="G131">
            <v>1.1237161</v>
          </cell>
          <cell r="H131">
            <v>20.79</v>
          </cell>
          <cell r="I131">
            <v>27.89</v>
          </cell>
          <cell r="J131">
            <v>31.815000000000001</v>
          </cell>
          <cell r="K131">
            <v>3.8505340000000001</v>
          </cell>
          <cell r="L131">
            <v>3.32</v>
          </cell>
          <cell r="M131">
            <v>15.38</v>
          </cell>
          <cell r="N131">
            <v>7.9578322999999997</v>
          </cell>
          <cell r="O131">
            <v>9.168806</v>
          </cell>
          <cell r="Q131">
            <v>83.184584369995562</v>
          </cell>
          <cell r="R131">
            <v>90.261676051672737</v>
          </cell>
          <cell r="S131">
            <v>112.39607718784765</v>
          </cell>
          <cell r="T131">
            <v>114.49072865254848</v>
          </cell>
          <cell r="U131">
            <v>100.52111170497059</v>
          </cell>
          <cell r="V131">
            <v>108.80283353879415</v>
          </cell>
          <cell r="W131">
            <v>106.28834355828221</v>
          </cell>
          <cell r="X131">
            <v>78.497044750914725</v>
          </cell>
          <cell r="Y131">
            <v>121.73330782475607</v>
          </cell>
          <cell r="Z131">
            <v>84.446998215893359</v>
          </cell>
          <cell r="AA131">
            <v>162.74509803921569</v>
          </cell>
          <cell r="AB131">
            <v>83.860414394765542</v>
          </cell>
          <cell r="AC131">
            <v>97.365107393235945</v>
          </cell>
          <cell r="AD131">
            <v>86.911713783784222</v>
          </cell>
          <cell r="AF131">
            <v>103.9356848574714</v>
          </cell>
          <cell r="AG131">
            <v>92.138410588510084</v>
          </cell>
        </row>
        <row r="132">
          <cell r="A132">
            <v>40308</v>
          </cell>
          <cell r="B132">
            <v>11.678756</v>
          </cell>
          <cell r="C132">
            <v>54.93</v>
          </cell>
          <cell r="D132">
            <v>56.499595999999997</v>
          </cell>
          <cell r="E132">
            <v>31.08014</v>
          </cell>
          <cell r="F132">
            <v>76.86</v>
          </cell>
          <cell r="G132">
            <v>1.1583711000000001</v>
          </cell>
          <cell r="H132">
            <v>21.96</v>
          </cell>
          <cell r="I132">
            <v>29.8</v>
          </cell>
          <cell r="J132">
            <v>33.21</v>
          </cell>
          <cell r="K132">
            <v>3.9229105</v>
          </cell>
          <cell r="L132">
            <v>3.23</v>
          </cell>
          <cell r="M132">
            <v>15.97</v>
          </cell>
          <cell r="N132">
            <v>8.5477729999999994</v>
          </cell>
          <cell r="O132">
            <v>9.4316410000000008</v>
          </cell>
          <cell r="Q132">
            <v>84.487795512258018</v>
          </cell>
          <cell r="R132">
            <v>90.973832394832726</v>
          </cell>
          <cell r="S132">
            <v>108.45010069615864</v>
          </cell>
          <cell r="T132">
            <v>113.68980804725612</v>
          </cell>
          <cell r="U132">
            <v>102.69909139497595</v>
          </cell>
          <cell r="V132">
            <v>112.15827375744627</v>
          </cell>
          <cell r="W132">
            <v>112.26993865030677</v>
          </cell>
          <cell r="X132">
            <v>83.872783563186033</v>
          </cell>
          <cell r="Y132">
            <v>127.07097761622346</v>
          </cell>
          <cell r="Z132">
            <v>86.034304850862071</v>
          </cell>
          <cell r="AA132">
            <v>158.33333333333331</v>
          </cell>
          <cell r="AB132">
            <v>87.077426390403488</v>
          </cell>
          <cell r="AC132">
            <v>104.58310815597392</v>
          </cell>
          <cell r="AD132">
            <v>89.40314399752863</v>
          </cell>
          <cell r="AF132">
            <v>105.59313885060357</v>
          </cell>
          <cell r="AG132">
            <v>96.993126076751281</v>
          </cell>
        </row>
        <row r="133">
          <cell r="A133">
            <v>40309</v>
          </cell>
          <cell r="B133">
            <v>11.536025</v>
          </cell>
          <cell r="C133">
            <v>54.89</v>
          </cell>
          <cell r="D133">
            <v>55.345776000000001</v>
          </cell>
          <cell r="E133">
            <v>29.970870999999999</v>
          </cell>
          <cell r="F133">
            <v>76.94</v>
          </cell>
          <cell r="G133">
            <v>1.1859135999999999</v>
          </cell>
          <cell r="H133">
            <v>22.45</v>
          </cell>
          <cell r="I133">
            <v>29.65</v>
          </cell>
          <cell r="J133">
            <v>33.784999999999997</v>
          </cell>
          <cell r="K133">
            <v>3.8811955</v>
          </cell>
          <cell r="L133">
            <v>3.23</v>
          </cell>
          <cell r="M133">
            <v>15.95</v>
          </cell>
          <cell r="N133">
            <v>8.5761559999999992</v>
          </cell>
          <cell r="O133">
            <v>9.5072500000000009</v>
          </cell>
          <cell r="Q133">
            <v>83.45523454932156</v>
          </cell>
          <cell r="R133">
            <v>90.907585293143427</v>
          </cell>
          <cell r="S133">
            <v>106.23536105120186</v>
          </cell>
          <cell r="T133">
            <v>109.63215001602551</v>
          </cell>
          <cell r="U133">
            <v>102.80598610368786</v>
          </cell>
          <cell r="V133">
            <v>114.82505235280698</v>
          </cell>
          <cell r="W133">
            <v>114.77505112474438</v>
          </cell>
          <cell r="X133">
            <v>83.450605122431739</v>
          </cell>
          <cell r="Y133">
            <v>129.2710924048211</v>
          </cell>
          <cell r="Z133">
            <v>85.119443034143643</v>
          </cell>
          <cell r="AA133">
            <v>158.33333333333331</v>
          </cell>
          <cell r="AB133">
            <v>86.968375136314066</v>
          </cell>
          <cell r="AC133">
            <v>104.93037783180537</v>
          </cell>
          <cell r="AD133">
            <v>90.119846670426085</v>
          </cell>
          <cell r="AF133">
            <v>105.48160579349796</v>
          </cell>
          <cell r="AG133">
            <v>97.525112251115729</v>
          </cell>
        </row>
        <row r="134">
          <cell r="A134">
            <v>40310</v>
          </cell>
          <cell r="B134">
            <v>11.647041</v>
          </cell>
          <cell r="C134">
            <v>55.39</v>
          </cell>
          <cell r="D134">
            <v>56.7254</v>
          </cell>
          <cell r="E134">
            <v>29.447786000000001</v>
          </cell>
          <cell r="F134">
            <v>77.19</v>
          </cell>
          <cell r="G134">
            <v>1.2251704000000001</v>
          </cell>
          <cell r="H134">
            <v>23.11</v>
          </cell>
          <cell r="I134">
            <v>29.98</v>
          </cell>
          <cell r="J134">
            <v>34.384999999999998</v>
          </cell>
          <cell r="K134">
            <v>3.9539110000000002</v>
          </cell>
          <cell r="L134">
            <v>3.43</v>
          </cell>
          <cell r="M134">
            <v>16.14</v>
          </cell>
          <cell r="N134">
            <v>8.6365049999999997</v>
          </cell>
          <cell r="O134">
            <v>9.6864329999999992</v>
          </cell>
          <cell r="Q134">
            <v>84.258359223438291</v>
          </cell>
          <cell r="R134">
            <v>91.735674064259683</v>
          </cell>
          <cell r="S134">
            <v>108.88352798186163</v>
          </cell>
          <cell r="T134">
            <v>107.7187277070398</v>
          </cell>
          <cell r="U134">
            <v>103.14003206841261</v>
          </cell>
          <cell r="V134">
            <v>118.62605785203029</v>
          </cell>
          <cell r="W134">
            <v>118.14928425357874</v>
          </cell>
          <cell r="X134">
            <v>84.379397692091189</v>
          </cell>
          <cell r="Y134">
            <v>131.56686435814041</v>
          </cell>
          <cell r="Z134">
            <v>86.714184360611043</v>
          </cell>
          <cell r="AA134">
            <v>168.13725490196077</v>
          </cell>
          <cell r="AB134">
            <v>88.004362050163579</v>
          </cell>
          <cell r="AC134">
            <v>105.66875565186504</v>
          </cell>
          <cell r="AD134">
            <v>91.818334086445091</v>
          </cell>
          <cell r="AF134">
            <v>107.60947720946564</v>
          </cell>
          <cell r="AG134">
            <v>98.743544869155073</v>
          </cell>
        </row>
        <row r="135">
          <cell r="A135">
            <v>40311</v>
          </cell>
          <cell r="B135">
            <v>11.691549999999999</v>
          </cell>
          <cell r="C135">
            <v>55.25</v>
          </cell>
          <cell r="D135">
            <v>57.229239999999997</v>
          </cell>
          <cell r="E135">
            <v>29.132923000000002</v>
          </cell>
          <cell r="F135">
            <v>77.8</v>
          </cell>
          <cell r="G135">
            <v>1.208656</v>
          </cell>
          <cell r="H135">
            <v>24.26</v>
          </cell>
          <cell r="I135">
            <v>30.09</v>
          </cell>
          <cell r="J135">
            <v>34.409999999999997</v>
          </cell>
          <cell r="K135">
            <v>4.0470750000000004</v>
          </cell>
          <cell r="L135">
            <v>3.27</v>
          </cell>
          <cell r="M135">
            <v>16.22</v>
          </cell>
          <cell r="N135">
            <v>8.6500210000000006</v>
          </cell>
          <cell r="O135">
            <v>9.9873049999999992</v>
          </cell>
          <cell r="Q135">
            <v>84.580351333767084</v>
          </cell>
          <cell r="R135">
            <v>91.503809208347135</v>
          </cell>
          <cell r="S135">
            <v>109.85064106944465</v>
          </cell>
          <cell r="T135">
            <v>106.56697246941273</v>
          </cell>
          <cell r="U135">
            <v>103.95510422234098</v>
          </cell>
          <cell r="V135">
            <v>117.02706544265476</v>
          </cell>
          <cell r="W135">
            <v>124.02862985685073</v>
          </cell>
          <cell r="X135">
            <v>84.688995215310996</v>
          </cell>
          <cell r="Y135">
            <v>131.66252152286205</v>
          </cell>
          <cell r="Z135">
            <v>88.757386716903838</v>
          </cell>
          <cell r="AA135">
            <v>160.29411764705884</v>
          </cell>
          <cell r="AB135">
            <v>88.440567066521254</v>
          </cell>
          <cell r="AC135">
            <v>105.83412565991699</v>
          </cell>
          <cell r="AD135">
            <v>94.670319519396202</v>
          </cell>
          <cell r="AF135">
            <v>107.61301348095624</v>
          </cell>
          <cell r="AG135">
            <v>100.2522225896566</v>
          </cell>
        </row>
        <row r="136">
          <cell r="A136">
            <v>40312</v>
          </cell>
          <cell r="B136">
            <v>11.715992999999999</v>
          </cell>
          <cell r="C136">
            <v>54.97</v>
          </cell>
          <cell r="D136">
            <v>56.739131999999998</v>
          </cell>
          <cell r="E136">
            <v>29.467392</v>
          </cell>
          <cell r="F136">
            <v>77.47</v>
          </cell>
          <cell r="G136">
            <v>1.2119025999999999</v>
          </cell>
          <cell r="H136">
            <v>24.02</v>
          </cell>
          <cell r="I136">
            <v>29.51</v>
          </cell>
          <cell r="J136">
            <v>34.145000000000003</v>
          </cell>
          <cell r="K136">
            <v>4.7042165000000002</v>
          </cell>
          <cell r="L136">
            <v>3.25</v>
          </cell>
          <cell r="M136">
            <v>15.97</v>
          </cell>
          <cell r="N136">
            <v>8.4698539999999998</v>
          </cell>
          <cell r="O136">
            <v>9.7514769999999995</v>
          </cell>
          <cell r="Q136">
            <v>84.757179686521951</v>
          </cell>
          <cell r="R136">
            <v>91.040079496522026</v>
          </cell>
          <cell r="S136">
            <v>108.90988634348176</v>
          </cell>
          <cell r="T136">
            <v>107.79044560717071</v>
          </cell>
          <cell r="U136">
            <v>103.51416354890432</v>
          </cell>
          <cell r="V136">
            <v>117.34141466250401</v>
          </cell>
          <cell r="W136">
            <v>122.80163599182006</v>
          </cell>
          <cell r="X136">
            <v>83.05657191106107</v>
          </cell>
          <cell r="Y136">
            <v>130.6485555768127</v>
          </cell>
          <cell r="Z136">
            <v>103.16931687466624</v>
          </cell>
          <cell r="AA136">
            <v>159.31372549019608</v>
          </cell>
          <cell r="AB136">
            <v>87.077426390403488</v>
          </cell>
          <cell r="AC136">
            <v>103.62975911355019</v>
          </cell>
          <cell r="AD136">
            <v>92.43489043100648</v>
          </cell>
          <cell r="AF136">
            <v>108.28503346500536</v>
          </cell>
          <cell r="AG136">
            <v>98.032324772278344</v>
          </cell>
        </row>
        <row r="137">
          <cell r="A137">
            <v>40313</v>
          </cell>
          <cell r="B137">
            <v>11.715992999999999</v>
          </cell>
          <cell r="C137">
            <v>54.97</v>
          </cell>
          <cell r="D137">
            <v>56.739131999999998</v>
          </cell>
          <cell r="E137">
            <v>29.467392</v>
          </cell>
          <cell r="F137">
            <v>77.47</v>
          </cell>
          <cell r="G137">
            <v>1.2119025999999999</v>
          </cell>
          <cell r="H137">
            <v>24.02</v>
          </cell>
          <cell r="I137">
            <v>29.51</v>
          </cell>
          <cell r="J137">
            <v>34.145000000000003</v>
          </cell>
          <cell r="K137">
            <v>4.7042165000000002</v>
          </cell>
          <cell r="L137">
            <v>3.25</v>
          </cell>
          <cell r="M137">
            <v>15.97</v>
          </cell>
          <cell r="N137">
            <v>8.4698539999999998</v>
          </cell>
          <cell r="O137">
            <v>9.7514769999999995</v>
          </cell>
          <cell r="Q137">
            <v>84.757179686521951</v>
          </cell>
          <cell r="R137">
            <v>91.040079496522026</v>
          </cell>
          <cell r="S137">
            <v>108.90988634348176</v>
          </cell>
          <cell r="T137">
            <v>107.79044560717071</v>
          </cell>
          <cell r="U137">
            <v>103.51416354890432</v>
          </cell>
          <cell r="V137">
            <v>117.34141466250401</v>
          </cell>
          <cell r="W137">
            <v>122.80163599182006</v>
          </cell>
          <cell r="X137">
            <v>83.05657191106107</v>
          </cell>
          <cell r="Y137">
            <v>130.6485555768127</v>
          </cell>
          <cell r="Z137">
            <v>103.16931687466624</v>
          </cell>
          <cell r="AA137">
            <v>159.31372549019608</v>
          </cell>
          <cell r="AB137">
            <v>87.077426390403488</v>
          </cell>
          <cell r="AC137">
            <v>103.62975911355019</v>
          </cell>
          <cell r="AD137">
            <v>92.43489043100648</v>
          </cell>
          <cell r="AF137">
            <v>108.28503346500536</v>
          </cell>
          <cell r="AG137">
            <v>98.032324772278344</v>
          </cell>
        </row>
        <row r="138">
          <cell r="A138">
            <v>40314</v>
          </cell>
          <cell r="B138">
            <v>11.715992999999999</v>
          </cell>
          <cell r="C138">
            <v>54.97</v>
          </cell>
          <cell r="D138">
            <v>56.739131999999998</v>
          </cell>
          <cell r="E138">
            <v>29.467392</v>
          </cell>
          <cell r="F138">
            <v>77.47</v>
          </cell>
          <cell r="G138">
            <v>1.2119025999999999</v>
          </cell>
          <cell r="H138">
            <v>24.02</v>
          </cell>
          <cell r="I138">
            <v>29.51</v>
          </cell>
          <cell r="J138">
            <v>34.145000000000003</v>
          </cell>
          <cell r="K138">
            <v>4.7042165000000002</v>
          </cell>
          <cell r="L138">
            <v>3.25</v>
          </cell>
          <cell r="M138">
            <v>15.97</v>
          </cell>
          <cell r="N138">
            <v>8.4698539999999998</v>
          </cell>
          <cell r="O138">
            <v>9.7514769999999995</v>
          </cell>
          <cell r="Q138">
            <v>84.757179686521951</v>
          </cell>
          <cell r="R138">
            <v>91.040079496522026</v>
          </cell>
          <cell r="S138">
            <v>108.90988634348176</v>
          </cell>
          <cell r="T138">
            <v>107.79044560717071</v>
          </cell>
          <cell r="U138">
            <v>103.51416354890432</v>
          </cell>
          <cell r="V138">
            <v>117.34141466250401</v>
          </cell>
          <cell r="W138">
            <v>122.80163599182006</v>
          </cell>
          <cell r="X138">
            <v>83.05657191106107</v>
          </cell>
          <cell r="Y138">
            <v>130.6485555768127</v>
          </cell>
          <cell r="Z138">
            <v>103.16931687466624</v>
          </cell>
          <cell r="AA138">
            <v>159.31372549019608</v>
          </cell>
          <cell r="AB138">
            <v>87.077426390403488</v>
          </cell>
          <cell r="AC138">
            <v>103.62975911355019</v>
          </cell>
          <cell r="AD138">
            <v>92.43489043100648</v>
          </cell>
          <cell r="AF138">
            <v>108.28503346500536</v>
          </cell>
          <cell r="AG138">
            <v>98.032324772278344</v>
          </cell>
        </row>
        <row r="139">
          <cell r="A139">
            <v>40315</v>
          </cell>
          <cell r="B139">
            <v>11.339745000000001</v>
          </cell>
          <cell r="C139">
            <v>54.66</v>
          </cell>
          <cell r="D139">
            <v>56.114173999999998</v>
          </cell>
          <cell r="E139">
            <v>29.019354</v>
          </cell>
          <cell r="F139">
            <v>77.52</v>
          </cell>
          <cell r="G139">
            <v>1.1861969000000001</v>
          </cell>
          <cell r="H139">
            <v>24.04</v>
          </cell>
          <cell r="I139">
            <v>29.03</v>
          </cell>
          <cell r="J139">
            <v>34.36</v>
          </cell>
          <cell r="K139">
            <v>4.5710597000000002</v>
          </cell>
          <cell r="L139">
            <v>3.46</v>
          </cell>
          <cell r="M139">
            <v>16.29</v>
          </cell>
          <cell r="N139">
            <v>8.4596649999999993</v>
          </cell>
          <cell r="O139">
            <v>9.5440959999999997</v>
          </cell>
          <cell r="Q139">
            <v>82.035283271707229</v>
          </cell>
          <cell r="R139">
            <v>90.526664458429934</v>
          </cell>
          <cell r="S139">
            <v>107.71028912811637</v>
          </cell>
          <cell r="T139">
            <v>106.1515419787483</v>
          </cell>
          <cell r="U139">
            <v>103.58097274184928</v>
          </cell>
          <cell r="V139">
            <v>114.85248262878289</v>
          </cell>
          <cell r="W139">
            <v>122.90388548057261</v>
          </cell>
          <cell r="X139">
            <v>81.70560090064734</v>
          </cell>
          <cell r="Y139">
            <v>131.47120719341879</v>
          </cell>
          <cell r="Z139">
            <v>100.24902268896783</v>
          </cell>
          <cell r="AA139">
            <v>169.60784313725489</v>
          </cell>
          <cell r="AB139">
            <v>88.822246455834247</v>
          </cell>
          <cell r="AC139">
            <v>103.50509538078596</v>
          </cell>
          <cell r="AD139">
            <v>90.469112322472512</v>
          </cell>
          <cell r="AF139">
            <v>108.3014200053608</v>
          </cell>
          <cell r="AG139">
            <v>96.987103851629229</v>
          </cell>
        </row>
        <row r="140">
          <cell r="A140">
            <v>40316</v>
          </cell>
          <cell r="B140">
            <v>11.316675999999999</v>
          </cell>
          <cell r="C140">
            <v>54.3</v>
          </cell>
          <cell r="D140">
            <v>57.587383000000003</v>
          </cell>
          <cell r="E140">
            <v>29.744475999999999</v>
          </cell>
          <cell r="F140">
            <v>76.930000000000007</v>
          </cell>
          <cell r="G140">
            <v>1.2172285</v>
          </cell>
          <cell r="H140">
            <v>22.9</v>
          </cell>
          <cell r="I140">
            <v>29.15</v>
          </cell>
          <cell r="J140">
            <v>33.22</v>
          </cell>
          <cell r="K140">
            <v>4.5389147000000003</v>
          </cell>
          <cell r="L140">
            <v>3.47</v>
          </cell>
          <cell r="M140">
            <v>15.77</v>
          </cell>
          <cell r="N140">
            <v>8.5654660000000007</v>
          </cell>
          <cell r="O140">
            <v>9.5171840000000003</v>
          </cell>
          <cell r="Q140">
            <v>81.868394867268222</v>
          </cell>
          <cell r="R140">
            <v>89.930440543226226</v>
          </cell>
          <cell r="S140">
            <v>110.53809101888544</v>
          </cell>
          <cell r="T140">
            <v>108.80400689656535</v>
          </cell>
          <cell r="U140">
            <v>102.79262426509888</v>
          </cell>
          <cell r="V140">
            <v>117.8570902954724</v>
          </cell>
          <cell r="W140">
            <v>117.07566462167689</v>
          </cell>
          <cell r="X140">
            <v>82.043343653250773</v>
          </cell>
          <cell r="Y140">
            <v>127.1092404821121</v>
          </cell>
          <cell r="Z140">
            <v>99.54404287119452</v>
          </cell>
          <cell r="AA140">
            <v>170.0980392156863</v>
          </cell>
          <cell r="AB140">
            <v>85.986913849509278</v>
          </cell>
          <cell r="AC140">
            <v>104.79958429924581</v>
          </cell>
          <cell r="AD140">
            <v>90.214011708352288</v>
          </cell>
          <cell r="AF140">
            <v>107.80399104832888</v>
          </cell>
          <cell r="AG140">
            <v>97.506798003799048</v>
          </cell>
        </row>
        <row r="141">
          <cell r="A141">
            <v>40317</v>
          </cell>
          <cell r="B141">
            <v>10.703092</v>
          </cell>
          <cell r="C141">
            <v>54.29</v>
          </cell>
          <cell r="D141">
            <v>58.562747999999999</v>
          </cell>
          <cell r="E141">
            <v>30.080456000000002</v>
          </cell>
          <cell r="F141">
            <v>77.709999999999994</v>
          </cell>
          <cell r="G141">
            <v>1.1926867999999999</v>
          </cell>
          <cell r="H141">
            <v>22.87</v>
          </cell>
          <cell r="I141">
            <v>28.54</v>
          </cell>
          <cell r="J141">
            <v>32.354999999999997</v>
          </cell>
          <cell r="K141">
            <v>4.3620780000000003</v>
          </cell>
          <cell r="L141">
            <v>3.26</v>
          </cell>
          <cell r="M141">
            <v>15.62</v>
          </cell>
          <cell r="N141">
            <v>8.0537650000000003</v>
          </cell>
          <cell r="O141">
            <v>9.2509460000000008</v>
          </cell>
          <cell r="Q141">
            <v>77.429535152963609</v>
          </cell>
          <cell r="R141">
            <v>89.913878767803908</v>
          </cell>
          <cell r="S141">
            <v>112.41028905133699</v>
          </cell>
          <cell r="T141">
            <v>110.03300720697958</v>
          </cell>
          <cell r="U141">
            <v>103.83484767504008</v>
          </cell>
          <cell r="V141">
            <v>115.480861548853</v>
          </cell>
          <cell r="W141">
            <v>116.92229038854806</v>
          </cell>
          <cell r="X141">
            <v>80.326484660849985</v>
          </cell>
          <cell r="Y141">
            <v>123.79950258274344</v>
          </cell>
          <cell r="Z141">
            <v>95.665794168701709</v>
          </cell>
          <cell r="AA141">
            <v>159.80392156862743</v>
          </cell>
          <cell r="AB141">
            <v>85.169029443838596</v>
          </cell>
          <cell r="AC141">
            <v>98.538856384908357</v>
          </cell>
          <cell r="AD141">
            <v>87.690324234283466</v>
          </cell>
          <cell r="AF141">
            <v>105.89912018469052</v>
          </cell>
          <cell r="AG141">
            <v>93.114590309595911</v>
          </cell>
        </row>
        <row r="142">
          <cell r="A142">
            <v>40318</v>
          </cell>
          <cell r="B142">
            <v>10.340197</v>
          </cell>
          <cell r="C142">
            <v>52.21</v>
          </cell>
          <cell r="D142">
            <v>58.176537000000003</v>
          </cell>
          <cell r="E142">
            <v>31.075873999999999</v>
          </cell>
          <cell r="F142">
            <v>75.98</v>
          </cell>
          <cell r="G142">
            <v>1.1674802</v>
          </cell>
          <cell r="H142">
            <v>21.85</v>
          </cell>
          <cell r="I142">
            <v>27.6</v>
          </cell>
          <cell r="J142">
            <v>31.28</v>
          </cell>
          <cell r="K142">
            <v>4.3671354999999998</v>
          </cell>
          <cell r="L142">
            <v>2.96</v>
          </cell>
          <cell r="M142">
            <v>14.42</v>
          </cell>
          <cell r="N142">
            <v>7.4215429999999998</v>
          </cell>
          <cell r="O142">
            <v>8.8528409999999997</v>
          </cell>
          <cell r="Q142">
            <v>74.804238541541906</v>
          </cell>
          <cell r="R142">
            <v>86.469029479960241</v>
          </cell>
          <cell r="S142">
            <v>111.66896300999744</v>
          </cell>
          <cell r="T142">
            <v>113.67420320374096</v>
          </cell>
          <cell r="U142">
            <v>101.52324959914485</v>
          </cell>
          <cell r="V142">
            <v>113.04025443832128</v>
          </cell>
          <cell r="W142">
            <v>111.7075664621677</v>
          </cell>
          <cell r="X142">
            <v>77.680833098789762</v>
          </cell>
          <cell r="Y142">
            <v>119.68624449971304</v>
          </cell>
          <cell r="Z142">
            <v>95.776711431989554</v>
          </cell>
          <cell r="AA142">
            <v>145.09803921568627</v>
          </cell>
          <cell r="AB142">
            <v>78.625954198473281</v>
          </cell>
          <cell r="AC142">
            <v>90.803538448343332</v>
          </cell>
          <cell r="AD142">
            <v>83.91666081334364</v>
          </cell>
          <cell r="AF142">
            <v>102.47960726496051</v>
          </cell>
          <cell r="AG142">
            <v>87.360099630843479</v>
          </cell>
        </row>
        <row r="143">
          <cell r="A143">
            <v>40319</v>
          </cell>
          <cell r="B143">
            <v>8.3153030000000001</v>
          </cell>
          <cell r="C143">
            <v>52.25</v>
          </cell>
          <cell r="D143">
            <v>57.737231999999999</v>
          </cell>
          <cell r="E143">
            <v>30.414950999999999</v>
          </cell>
          <cell r="F143">
            <v>76</v>
          </cell>
          <cell r="G143">
            <v>1.1488955000000001</v>
          </cell>
          <cell r="H143">
            <v>22.09</v>
          </cell>
          <cell r="I143">
            <v>27.14</v>
          </cell>
          <cell r="J143">
            <v>30.565000000000001</v>
          </cell>
          <cell r="K143">
            <v>4.3269299999999999</v>
          </cell>
          <cell r="L143">
            <v>3.03</v>
          </cell>
          <cell r="M143">
            <v>14.26</v>
          </cell>
          <cell r="N143">
            <v>7.9827000000000004</v>
          </cell>
          <cell r="O143">
            <v>8.8637339999999991</v>
          </cell>
          <cell r="Q143">
            <v>60.155518232118702</v>
          </cell>
          <cell r="R143">
            <v>86.535276581649541</v>
          </cell>
          <cell r="S143">
            <v>110.8257238568126</v>
          </cell>
          <cell r="T143">
            <v>111.25657545161316</v>
          </cell>
          <cell r="U143">
            <v>101.54997327632283</v>
          </cell>
          <cell r="V143">
            <v>111.24080703299497</v>
          </cell>
          <cell r="W143">
            <v>112.93456032719837</v>
          </cell>
          <cell r="X143">
            <v>76.386152547143254</v>
          </cell>
          <cell r="Y143">
            <v>116.9504495886742</v>
          </cell>
          <cell r="Z143">
            <v>94.894954827121495</v>
          </cell>
          <cell r="AA143">
            <v>148.52941176470586</v>
          </cell>
          <cell r="AB143">
            <v>77.753544165757901</v>
          </cell>
          <cell r="AC143">
            <v>97.669366918926485</v>
          </cell>
          <cell r="AD143">
            <v>84.019916275204949</v>
          </cell>
          <cell r="AF143">
            <v>100.75107897100941</v>
          </cell>
          <cell r="AG143">
            <v>90.844641597065717</v>
          </cell>
        </row>
        <row r="144">
          <cell r="A144">
            <v>40320</v>
          </cell>
          <cell r="B144">
            <v>8.3153030000000001</v>
          </cell>
          <cell r="C144">
            <v>52.25</v>
          </cell>
          <cell r="D144">
            <v>57.737231999999999</v>
          </cell>
          <cell r="E144">
            <v>30.414950999999999</v>
          </cell>
          <cell r="F144">
            <v>76</v>
          </cell>
          <cell r="G144">
            <v>1.1488955000000001</v>
          </cell>
          <cell r="H144">
            <v>22.09</v>
          </cell>
          <cell r="I144">
            <v>27.14</v>
          </cell>
          <cell r="J144">
            <v>30.565000000000001</v>
          </cell>
          <cell r="K144">
            <v>4.3269299999999999</v>
          </cell>
          <cell r="L144">
            <v>3.03</v>
          </cell>
          <cell r="M144">
            <v>14.26</v>
          </cell>
          <cell r="N144">
            <v>7.9827000000000004</v>
          </cell>
          <cell r="O144">
            <v>8.8637339999999991</v>
          </cell>
          <cell r="Q144">
            <v>60.155518232118702</v>
          </cell>
          <cell r="R144">
            <v>86.535276581649541</v>
          </cell>
          <cell r="S144">
            <v>110.8257238568126</v>
          </cell>
          <cell r="T144">
            <v>111.25657545161316</v>
          </cell>
          <cell r="U144">
            <v>101.54997327632283</v>
          </cell>
          <cell r="V144">
            <v>111.24080703299497</v>
          </cell>
          <cell r="W144">
            <v>112.93456032719837</v>
          </cell>
          <cell r="X144">
            <v>76.386152547143254</v>
          </cell>
          <cell r="Y144">
            <v>116.9504495886742</v>
          </cell>
          <cell r="Z144">
            <v>94.894954827121495</v>
          </cell>
          <cell r="AA144">
            <v>148.52941176470586</v>
          </cell>
          <cell r="AB144">
            <v>77.753544165757901</v>
          </cell>
          <cell r="AC144">
            <v>97.669366918926485</v>
          </cell>
          <cell r="AD144">
            <v>84.019916275204949</v>
          </cell>
          <cell r="AF144">
            <v>100.75107897100941</v>
          </cell>
          <cell r="AG144">
            <v>90.844641597065717</v>
          </cell>
        </row>
        <row r="145">
          <cell r="A145">
            <v>40321</v>
          </cell>
          <cell r="B145">
            <v>8.3153030000000001</v>
          </cell>
          <cell r="C145">
            <v>52.25</v>
          </cell>
          <cell r="D145">
            <v>57.737231999999999</v>
          </cell>
          <cell r="E145">
            <v>30.414950999999999</v>
          </cell>
          <cell r="F145">
            <v>76</v>
          </cell>
          <cell r="G145">
            <v>1.1488955000000001</v>
          </cell>
          <cell r="H145">
            <v>22.09</v>
          </cell>
          <cell r="I145">
            <v>27.14</v>
          </cell>
          <cell r="J145">
            <v>30.565000000000001</v>
          </cell>
          <cell r="K145">
            <v>4.3269299999999999</v>
          </cell>
          <cell r="L145">
            <v>3.03</v>
          </cell>
          <cell r="M145">
            <v>14.26</v>
          </cell>
          <cell r="N145">
            <v>7.9827000000000004</v>
          </cell>
          <cell r="O145">
            <v>8.8637339999999991</v>
          </cell>
          <cell r="Q145">
            <v>60.155518232118702</v>
          </cell>
          <cell r="R145">
            <v>86.535276581649541</v>
          </cell>
          <cell r="S145">
            <v>110.8257238568126</v>
          </cell>
          <cell r="T145">
            <v>111.25657545161316</v>
          </cell>
          <cell r="U145">
            <v>101.54997327632283</v>
          </cell>
          <cell r="V145">
            <v>111.24080703299497</v>
          </cell>
          <cell r="W145">
            <v>112.93456032719837</v>
          </cell>
          <cell r="X145">
            <v>76.386152547143254</v>
          </cell>
          <cell r="Y145">
            <v>116.9504495886742</v>
          </cell>
          <cell r="Z145">
            <v>94.894954827121495</v>
          </cell>
          <cell r="AA145">
            <v>148.52941176470586</v>
          </cell>
          <cell r="AB145">
            <v>77.753544165757901</v>
          </cell>
          <cell r="AC145">
            <v>97.669366918926485</v>
          </cell>
          <cell r="AD145">
            <v>84.019916275204949</v>
          </cell>
          <cell r="AF145">
            <v>100.75107897100941</v>
          </cell>
          <cell r="AG145">
            <v>90.844641597065717</v>
          </cell>
        </row>
        <row r="146">
          <cell r="A146">
            <v>40322</v>
          </cell>
          <cell r="B146">
            <v>8.5390820000000005</v>
          </cell>
          <cell r="C146">
            <v>51.84</v>
          </cell>
          <cell r="D146">
            <v>57.133384999999997</v>
          </cell>
          <cell r="E146">
            <v>30.544813000000001</v>
          </cell>
          <cell r="F146">
            <v>75.400000000000006</v>
          </cell>
          <cell r="G146">
            <v>1.1375755000000001</v>
          </cell>
          <cell r="H146">
            <v>22.14</v>
          </cell>
          <cell r="I146">
            <v>26.36</v>
          </cell>
          <cell r="J146">
            <v>31.05</v>
          </cell>
          <cell r="K146">
            <v>4.3609122999999999</v>
          </cell>
          <cell r="L146">
            <v>2.94</v>
          </cell>
          <cell r="M146">
            <v>14.01</v>
          </cell>
          <cell r="N146">
            <v>8.1687849999999997</v>
          </cell>
          <cell r="O146">
            <v>8.9369755000000008</v>
          </cell>
          <cell r="Q146">
            <v>61.774405928028919</v>
          </cell>
          <cell r="R146">
            <v>85.856243789334215</v>
          </cell>
          <cell r="S146">
            <v>109.6666488794433</v>
          </cell>
          <cell r="T146">
            <v>111.73160503168047</v>
          </cell>
          <cell r="U146">
            <v>100.74826296098342</v>
          </cell>
          <cell r="V146">
            <v>110.1447578835175</v>
          </cell>
          <cell r="W146">
            <v>113.19018404907976</v>
          </cell>
          <cell r="X146">
            <v>74.190824655220936</v>
          </cell>
          <cell r="Y146">
            <v>118.80619858427394</v>
          </cell>
          <cell r="Z146">
            <v>95.640228918318172</v>
          </cell>
          <cell r="AA146">
            <v>144.11764705882354</v>
          </cell>
          <cell r="AB146">
            <v>76.390403489640136</v>
          </cell>
          <cell r="AC146">
            <v>99.946140960680324</v>
          </cell>
          <cell r="AD146">
            <v>84.714177260233441</v>
          </cell>
          <cell r="AF146">
            <v>100.18811760236203</v>
          </cell>
          <cell r="AG146">
            <v>92.33015911045689</v>
          </cell>
        </row>
        <row r="147">
          <cell r="A147">
            <v>40323</v>
          </cell>
          <cell r="B147">
            <v>8.2763360000000006</v>
          </cell>
          <cell r="C147">
            <v>51.48</v>
          </cell>
          <cell r="D147">
            <v>55.468834000000001</v>
          </cell>
          <cell r="E147">
            <v>29.902998</v>
          </cell>
          <cell r="F147">
            <v>75.459999999999994</v>
          </cell>
          <cell r="G147">
            <v>1.1265225000000001</v>
          </cell>
          <cell r="H147">
            <v>22.58</v>
          </cell>
          <cell r="I147">
            <v>25.46</v>
          </cell>
          <cell r="J147">
            <v>31.004999999999999</v>
          </cell>
          <cell r="K147">
            <v>4.1951900000000002</v>
          </cell>
          <cell r="L147">
            <v>2.77</v>
          </cell>
          <cell r="M147">
            <v>13.88</v>
          </cell>
          <cell r="N147">
            <v>7.8925046999999999</v>
          </cell>
          <cell r="O147">
            <v>8.7458919999999996</v>
          </cell>
          <cell r="Q147">
            <v>59.873618693526907</v>
          </cell>
          <cell r="R147">
            <v>85.260019874130506</v>
          </cell>
          <cell r="S147">
            <v>106.47156897898012</v>
          </cell>
          <cell r="T147">
            <v>109.38387351721981</v>
          </cell>
          <cell r="U147">
            <v>100.82843399251735</v>
          </cell>
          <cell r="V147">
            <v>109.07456077669994</v>
          </cell>
          <cell r="W147">
            <v>115.43967280163598</v>
          </cell>
          <cell r="X147">
            <v>71.657754010695186</v>
          </cell>
          <cell r="Y147">
            <v>118.634015687775</v>
          </cell>
          <cell r="Z147">
            <v>92.005732827014029</v>
          </cell>
          <cell r="AA147">
            <v>135.78431372549019</v>
          </cell>
          <cell r="AB147">
            <v>75.68157033805889</v>
          </cell>
          <cell r="AC147">
            <v>96.565815758283762</v>
          </cell>
          <cell r="AD147">
            <v>82.902884223735157</v>
          </cell>
          <cell r="AF147">
            <v>98.341261268645326</v>
          </cell>
          <cell r="AG147">
            <v>89.734349991009452</v>
          </cell>
        </row>
        <row r="148">
          <cell r="A148">
            <v>40324</v>
          </cell>
          <cell r="B148">
            <v>8.4072399999999998</v>
          </cell>
          <cell r="C148">
            <v>51.74</v>
          </cell>
          <cell r="D148">
            <v>54.548470000000002</v>
          </cell>
          <cell r="E148">
            <v>29.324638</v>
          </cell>
          <cell r="F148">
            <v>74.989999999999995</v>
          </cell>
          <cell r="G148">
            <v>1.1013215999999999</v>
          </cell>
          <cell r="H148">
            <v>22.3</v>
          </cell>
          <cell r="I148">
            <v>25.98</v>
          </cell>
          <cell r="J148">
            <v>30.57</v>
          </cell>
          <cell r="K148">
            <v>4.2951836999999999</v>
          </cell>
          <cell r="L148">
            <v>2.8</v>
          </cell>
          <cell r="M148">
            <v>13.88</v>
          </cell>
          <cell r="N148">
            <v>8.0725765000000003</v>
          </cell>
          <cell r="O148">
            <v>9.2351150000000004</v>
          </cell>
          <cell r="Q148">
            <v>60.820619417211574</v>
          </cell>
          <cell r="R148">
            <v>85.690626035110967</v>
          </cell>
          <cell r="S148">
            <v>104.70494451538006</v>
          </cell>
          <cell r="T148">
            <v>107.26825764862298</v>
          </cell>
          <cell r="U148">
            <v>100.20042757883483</v>
          </cell>
          <cell r="V148">
            <v>106.63450556370815</v>
          </cell>
          <cell r="W148">
            <v>114.00817995910022</v>
          </cell>
          <cell r="X148">
            <v>73.121305938643403</v>
          </cell>
          <cell r="Y148">
            <v>116.96958102161852</v>
          </cell>
          <cell r="Z148">
            <v>94.198718996075399</v>
          </cell>
          <cell r="AA148">
            <v>137.25490196078428</v>
          </cell>
          <cell r="AB148">
            <v>75.68157033805889</v>
          </cell>
          <cell r="AC148">
            <v>98.769017520338139</v>
          </cell>
          <cell r="AD148">
            <v>87.540261146362184</v>
          </cell>
          <cell r="AF148">
            <v>98.046136581095766</v>
          </cell>
          <cell r="AG148">
            <v>93.154639333350161</v>
          </cell>
        </row>
        <row r="149">
          <cell r="A149">
            <v>40325</v>
          </cell>
          <cell r="B149">
            <v>8.3933230000000005</v>
          </cell>
          <cell r="C149">
            <v>52.87</v>
          </cell>
          <cell r="D149">
            <v>54.906930000000003</v>
          </cell>
          <cell r="E149">
            <v>29.39751</v>
          </cell>
          <cell r="F149">
            <v>76.41</v>
          </cell>
          <cell r="G149">
            <v>1.1736255</v>
          </cell>
          <cell r="H149">
            <v>22.96</v>
          </cell>
          <cell r="I149">
            <v>26.75</v>
          </cell>
          <cell r="J149">
            <v>31.864999999999998</v>
          </cell>
          <cell r="K149">
            <v>4.3864599999999996</v>
          </cell>
          <cell r="L149">
            <v>3.05</v>
          </cell>
          <cell r="M149">
            <v>14.26</v>
          </cell>
          <cell r="N149">
            <v>8.2428080000000001</v>
          </cell>
          <cell r="O149">
            <v>9.3618649999999999</v>
          </cell>
          <cell r="Q149">
            <v>60.719939460361374</v>
          </cell>
          <cell r="R149">
            <v>87.562106657833709</v>
          </cell>
          <cell r="S149">
            <v>105.39300294141809</v>
          </cell>
          <cell r="T149">
            <v>107.53482027324499</v>
          </cell>
          <cell r="U149">
            <v>102.09780865847139</v>
          </cell>
          <cell r="V149">
            <v>113.63526776325803</v>
          </cell>
          <cell r="W149">
            <v>117.38241308793458</v>
          </cell>
          <cell r="X149">
            <v>75.288488601182095</v>
          </cell>
          <cell r="Y149">
            <v>121.92462215419934</v>
          </cell>
          <cell r="Z149">
            <v>96.200521744279499</v>
          </cell>
          <cell r="AA149">
            <v>149.50980392156862</v>
          </cell>
          <cell r="AB149">
            <v>77.753544165757901</v>
          </cell>
          <cell r="AC149">
            <v>100.8518219392264</v>
          </cell>
          <cell r="AD149">
            <v>88.741732714426192</v>
          </cell>
          <cell r="AF149">
            <v>101.25019495245913</v>
          </cell>
          <cell r="AG149">
            <v>94.796777326826287</v>
          </cell>
        </row>
        <row r="150">
          <cell r="A150">
            <v>40326</v>
          </cell>
          <cell r="B150">
            <v>8.5193849999999998</v>
          </cell>
          <cell r="C150">
            <v>52.75</v>
          </cell>
          <cell r="D150">
            <v>56.740704000000001</v>
          </cell>
          <cell r="E150">
            <v>29.436990000000002</v>
          </cell>
          <cell r="F150">
            <v>75.61</v>
          </cell>
          <cell r="G150">
            <v>1.1759675000000001</v>
          </cell>
          <cell r="H150">
            <v>22.87</v>
          </cell>
          <cell r="I150">
            <v>26.66</v>
          </cell>
          <cell r="J150">
            <v>31.445</v>
          </cell>
          <cell r="K150">
            <v>4.4334709999999999</v>
          </cell>
          <cell r="L150">
            <v>2.96</v>
          </cell>
          <cell r="M150">
            <v>14.18</v>
          </cell>
          <cell r="N150">
            <v>8.2049885000000007</v>
          </cell>
          <cell r="O150">
            <v>9.7725410000000004</v>
          </cell>
          <cell r="Q150">
            <v>61.631911632557291</v>
          </cell>
          <cell r="R150">
            <v>87.363365352765811</v>
          </cell>
          <cell r="S150">
            <v>108.91290377316913</v>
          </cell>
          <cell r="T150">
            <v>107.67923640591704</v>
          </cell>
          <cell r="U150">
            <v>101.02886157135219</v>
          </cell>
          <cell r="V150">
            <v>113.86202987527892</v>
          </cell>
          <cell r="W150">
            <v>116.92229038854806</v>
          </cell>
          <cell r="X150">
            <v>75.035181536729525</v>
          </cell>
          <cell r="Y150">
            <v>120.31758178687583</v>
          </cell>
          <cell r="Z150">
            <v>97.231531425826887</v>
          </cell>
          <cell r="AA150">
            <v>145.09803921568627</v>
          </cell>
          <cell r="AB150">
            <v>77.317339149400226</v>
          </cell>
          <cell r="AC150">
            <v>100.38909546545307</v>
          </cell>
          <cell r="AD150">
            <v>92.634557469347328</v>
          </cell>
          <cell r="AF150">
            <v>101.03335600950892</v>
          </cell>
          <cell r="AG150">
            <v>96.511826467400198</v>
          </cell>
        </row>
        <row r="151">
          <cell r="A151">
            <v>40327</v>
          </cell>
          <cell r="B151">
            <v>8.5193849999999998</v>
          </cell>
          <cell r="C151">
            <v>52.75</v>
          </cell>
          <cell r="D151">
            <v>56.740704000000001</v>
          </cell>
          <cell r="E151">
            <v>29.436990000000002</v>
          </cell>
          <cell r="F151">
            <v>75.61</v>
          </cell>
          <cell r="G151">
            <v>1.1759675000000001</v>
          </cell>
          <cell r="H151">
            <v>22.87</v>
          </cell>
          <cell r="I151">
            <v>26.66</v>
          </cell>
          <cell r="J151">
            <v>31.445</v>
          </cell>
          <cell r="K151">
            <v>4.4334709999999999</v>
          </cell>
          <cell r="L151">
            <v>2.96</v>
          </cell>
          <cell r="M151">
            <v>14.18</v>
          </cell>
          <cell r="N151">
            <v>8.2049885000000007</v>
          </cell>
          <cell r="O151">
            <v>9.7725410000000004</v>
          </cell>
          <cell r="Q151">
            <v>61.631911632557291</v>
          </cell>
          <cell r="R151">
            <v>87.363365352765811</v>
          </cell>
          <cell r="S151">
            <v>108.91290377316913</v>
          </cell>
          <cell r="T151">
            <v>107.67923640591704</v>
          </cell>
          <cell r="U151">
            <v>101.02886157135219</v>
          </cell>
          <cell r="V151">
            <v>113.86202987527892</v>
          </cell>
          <cell r="W151">
            <v>116.92229038854806</v>
          </cell>
          <cell r="X151">
            <v>75.035181536729525</v>
          </cell>
          <cell r="Y151">
            <v>120.31758178687583</v>
          </cell>
          <cell r="Z151">
            <v>97.231531425826887</v>
          </cell>
          <cell r="AA151">
            <v>145.09803921568627</v>
          </cell>
          <cell r="AB151">
            <v>77.317339149400226</v>
          </cell>
          <cell r="AC151">
            <v>100.38909546545307</v>
          </cell>
          <cell r="AD151">
            <v>92.634557469347328</v>
          </cell>
          <cell r="AF151">
            <v>101.03335600950892</v>
          </cell>
          <cell r="AG151">
            <v>96.511826467400198</v>
          </cell>
        </row>
        <row r="152">
          <cell r="A152">
            <v>40328</v>
          </cell>
          <cell r="B152">
            <v>8.5193849999999998</v>
          </cell>
          <cell r="C152">
            <v>52.75</v>
          </cell>
          <cell r="D152">
            <v>56.740704000000001</v>
          </cell>
          <cell r="E152">
            <v>29.436990000000002</v>
          </cell>
          <cell r="F152">
            <v>75.61</v>
          </cell>
          <cell r="G152">
            <v>1.1759675000000001</v>
          </cell>
          <cell r="H152">
            <v>22.87</v>
          </cell>
          <cell r="I152">
            <v>26.66</v>
          </cell>
          <cell r="J152">
            <v>31.445</v>
          </cell>
          <cell r="K152">
            <v>4.4334709999999999</v>
          </cell>
          <cell r="L152">
            <v>2.96</v>
          </cell>
          <cell r="M152">
            <v>14.18</v>
          </cell>
          <cell r="N152">
            <v>8.2049885000000007</v>
          </cell>
          <cell r="O152">
            <v>9.7725410000000004</v>
          </cell>
          <cell r="Q152">
            <v>61.631911632557291</v>
          </cell>
          <cell r="R152">
            <v>87.363365352765811</v>
          </cell>
          <cell r="S152">
            <v>108.91290377316913</v>
          </cell>
          <cell r="T152">
            <v>107.67923640591704</v>
          </cell>
          <cell r="U152">
            <v>101.02886157135219</v>
          </cell>
          <cell r="V152">
            <v>113.86202987527892</v>
          </cell>
          <cell r="W152">
            <v>116.92229038854806</v>
          </cell>
          <cell r="X152">
            <v>75.035181536729525</v>
          </cell>
          <cell r="Y152">
            <v>120.31758178687583</v>
          </cell>
          <cell r="Z152">
            <v>97.231531425826887</v>
          </cell>
          <cell r="AA152">
            <v>145.09803921568627</v>
          </cell>
          <cell r="AB152">
            <v>77.317339149400226</v>
          </cell>
          <cell r="AC152">
            <v>100.38909546545307</v>
          </cell>
          <cell r="AD152">
            <v>92.634557469347328</v>
          </cell>
          <cell r="AF152">
            <v>101.03335600950892</v>
          </cell>
          <cell r="AG152">
            <v>96.511826467400198</v>
          </cell>
        </row>
        <row r="153">
          <cell r="A153">
            <v>40329</v>
          </cell>
          <cell r="B153">
            <v>8.5193849999999998</v>
          </cell>
          <cell r="C153">
            <v>52.75</v>
          </cell>
          <cell r="D153">
            <v>56.740704000000001</v>
          </cell>
          <cell r="E153">
            <v>29.436990000000002</v>
          </cell>
          <cell r="F153">
            <v>75.61</v>
          </cell>
          <cell r="G153">
            <v>1.1759675000000001</v>
          </cell>
          <cell r="H153">
            <v>22.87</v>
          </cell>
          <cell r="I153">
            <v>26.66</v>
          </cell>
          <cell r="J153">
            <v>31.445</v>
          </cell>
          <cell r="K153">
            <v>4.4334709999999999</v>
          </cell>
          <cell r="L153">
            <v>2.96</v>
          </cell>
          <cell r="M153">
            <v>14.18</v>
          </cell>
          <cell r="N153">
            <v>8.2049885000000007</v>
          </cell>
          <cell r="O153">
            <v>9.7725410000000004</v>
          </cell>
          <cell r="Q153">
            <v>61.631911632557291</v>
          </cell>
          <cell r="R153">
            <v>87.363365352765811</v>
          </cell>
          <cell r="S153">
            <v>108.91290377316913</v>
          </cell>
          <cell r="T153">
            <v>107.67923640591704</v>
          </cell>
          <cell r="U153">
            <v>101.02886157135219</v>
          </cell>
          <cell r="V153">
            <v>113.86202987527892</v>
          </cell>
          <cell r="W153">
            <v>116.92229038854806</v>
          </cell>
          <cell r="X153">
            <v>75.035181536729525</v>
          </cell>
          <cell r="Y153">
            <v>120.31758178687583</v>
          </cell>
          <cell r="Z153">
            <v>97.231531425826887</v>
          </cell>
          <cell r="AA153">
            <v>145.09803921568627</v>
          </cell>
          <cell r="AB153">
            <v>77.317339149400226</v>
          </cell>
          <cell r="AC153">
            <v>100.38909546545307</v>
          </cell>
          <cell r="AD153">
            <v>92.634557469347328</v>
          </cell>
          <cell r="AF153">
            <v>101.03335600950892</v>
          </cell>
          <cell r="AG153">
            <v>96.511826467400198</v>
          </cell>
        </row>
        <row r="154">
          <cell r="A154">
            <v>40330</v>
          </cell>
          <cell r="B154">
            <v>8.5397020000000001</v>
          </cell>
          <cell r="C154">
            <v>51.54</v>
          </cell>
          <cell r="D154">
            <v>57.070872999999999</v>
          </cell>
          <cell r="E154">
            <v>29.433674</v>
          </cell>
          <cell r="F154">
            <v>75</v>
          </cell>
          <cell r="G154">
            <v>1.1992620000000001</v>
          </cell>
          <cell r="H154">
            <v>22.5</v>
          </cell>
          <cell r="I154">
            <v>25.17</v>
          </cell>
          <cell r="J154">
            <v>31.65</v>
          </cell>
          <cell r="K154">
            <v>4.6863200000000003</v>
          </cell>
          <cell r="L154">
            <v>2.78</v>
          </cell>
          <cell r="M154">
            <v>13.6</v>
          </cell>
          <cell r="N154">
            <v>8.1300810000000006</v>
          </cell>
          <cell r="O154">
            <v>9.6187649999999998</v>
          </cell>
          <cell r="Q154">
            <v>61.778891203105957</v>
          </cell>
          <cell r="R154">
            <v>85.359390526664455</v>
          </cell>
          <cell r="S154">
            <v>109.54665806225732</v>
          </cell>
          <cell r="T154">
            <v>107.66710662131874</v>
          </cell>
          <cell r="U154">
            <v>100.21378941742383</v>
          </cell>
          <cell r="V154">
            <v>116.11749956719615</v>
          </cell>
          <cell r="W154">
            <v>115.03067484662577</v>
          </cell>
          <cell r="X154">
            <v>70.841542358570223</v>
          </cell>
          <cell r="Y154">
            <v>121.10197053759326</v>
          </cell>
          <cell r="Z154">
            <v>102.77682437789286</v>
          </cell>
          <cell r="AA154">
            <v>136.27450980392155</v>
          </cell>
          <cell r="AB154">
            <v>74.154852780806976</v>
          </cell>
          <cell r="AC154">
            <v>99.472592515012821</v>
          </cell>
          <cell r="AD154">
            <v>91.176904673681747</v>
          </cell>
          <cell r="AF154">
            <v>100.07197584194809</v>
          </cell>
          <cell r="AG154">
            <v>95.324748594347284</v>
          </cell>
        </row>
        <row r="155">
          <cell r="A155">
            <v>40331</v>
          </cell>
          <cell r="B155">
            <v>8.6382100000000008</v>
          </cell>
          <cell r="C155">
            <v>52.54</v>
          </cell>
          <cell r="D155">
            <v>56.241875</v>
          </cell>
          <cell r="E155">
            <v>28.727785000000001</v>
          </cell>
          <cell r="F155">
            <v>76.58</v>
          </cell>
          <cell r="G155">
            <v>1.2260808000000001</v>
          </cell>
          <cell r="H155">
            <v>23.09</v>
          </cell>
          <cell r="I155">
            <v>25.78</v>
          </cell>
          <cell r="J155">
            <v>32.49</v>
          </cell>
          <cell r="K155">
            <v>4.6231502999999998</v>
          </cell>
          <cell r="L155">
            <v>3.05</v>
          </cell>
          <cell r="M155">
            <v>14.21</v>
          </cell>
          <cell r="N155">
            <v>8.3712820000000008</v>
          </cell>
          <cell r="O155">
            <v>9.5983420000000006</v>
          </cell>
          <cell r="Q155">
            <v>62.491529069700782</v>
          </cell>
          <cell r="R155">
            <v>87.015568068896982</v>
          </cell>
          <cell r="S155">
            <v>107.95540922258573</v>
          </cell>
          <cell r="T155">
            <v>105.08499518576313</v>
          </cell>
          <cell r="U155">
            <v>102.32495991448423</v>
          </cell>
          <cell r="V155">
            <v>118.71420653981157</v>
          </cell>
          <cell r="W155">
            <v>118.04703476482618</v>
          </cell>
          <cell r="X155">
            <v>72.55840135097101</v>
          </cell>
          <cell r="Y155">
            <v>124.31605127224029</v>
          </cell>
          <cell r="Z155">
            <v>101.39143431428128</v>
          </cell>
          <cell r="AA155">
            <v>149.50980392156862</v>
          </cell>
          <cell r="AB155">
            <v>77.48091603053436</v>
          </cell>
          <cell r="AC155">
            <v>102.42371794503174</v>
          </cell>
          <cell r="AD155">
            <v>90.983313716407039</v>
          </cell>
          <cell r="AF155">
            <v>102.24085913797201</v>
          </cell>
          <cell r="AG155">
            <v>96.703515830719397</v>
          </cell>
        </row>
        <row r="156">
          <cell r="A156">
            <v>40332</v>
          </cell>
          <cell r="B156">
            <v>8.8525100000000005</v>
          </cell>
          <cell r="C156">
            <v>52.93</v>
          </cell>
          <cell r="D156">
            <v>57.028460000000003</v>
          </cell>
          <cell r="E156">
            <v>29.055298000000001</v>
          </cell>
          <cell r="F156">
            <v>76.87</v>
          </cell>
          <cell r="G156">
            <v>1.2603247</v>
          </cell>
          <cell r="H156">
            <v>23.39</v>
          </cell>
          <cell r="I156">
            <v>26.09</v>
          </cell>
          <cell r="J156">
            <v>32.76</v>
          </cell>
          <cell r="K156">
            <v>4.7258395999999996</v>
          </cell>
          <cell r="L156">
            <v>2.95</v>
          </cell>
          <cell r="M156">
            <v>14.61</v>
          </cell>
          <cell r="N156">
            <v>8.4377750000000002</v>
          </cell>
          <cell r="O156">
            <v>9.6745824999999996</v>
          </cell>
          <cell r="Q156">
            <v>64.041842697134811</v>
          </cell>
          <cell r="R156">
            <v>87.661477310367658</v>
          </cell>
          <cell r="S156">
            <v>109.46524696471911</v>
          </cell>
          <cell r="T156">
            <v>106.28302357633603</v>
          </cell>
          <cell r="U156">
            <v>102.71245323356494</v>
          </cell>
          <cell r="V156">
            <v>122.02984235869778</v>
          </cell>
          <cell r="W156">
            <v>119.58077709611452</v>
          </cell>
          <cell r="X156">
            <v>73.43090346186321</v>
          </cell>
          <cell r="Y156">
            <v>125.34914865123396</v>
          </cell>
          <cell r="Z156">
            <v>103.64353834294104</v>
          </cell>
          <cell r="AA156">
            <v>144.60784313725489</v>
          </cell>
          <cell r="AB156">
            <v>79.661941112322793</v>
          </cell>
          <cell r="AC156">
            <v>103.23726839970749</v>
          </cell>
          <cell r="AD156">
            <v>91.706002419247142</v>
          </cell>
          <cell r="AF156">
            <v>103.20566982854591</v>
          </cell>
          <cell r="AG156">
            <v>97.471635409477315</v>
          </cell>
        </row>
        <row r="157">
          <cell r="A157">
            <v>40333</v>
          </cell>
          <cell r="B157">
            <v>8.7902299999999993</v>
          </cell>
          <cell r="C157">
            <v>51.53</v>
          </cell>
          <cell r="D157">
            <v>57.553173000000001</v>
          </cell>
          <cell r="E157">
            <v>29.037699</v>
          </cell>
          <cell r="F157">
            <v>75.05</v>
          </cell>
          <cell r="G157">
            <v>1.2545184</v>
          </cell>
          <cell r="H157">
            <v>22.36</v>
          </cell>
          <cell r="I157">
            <v>25.35</v>
          </cell>
          <cell r="J157">
            <v>32.215000000000003</v>
          </cell>
          <cell r="K157">
            <v>4.5984769999999999</v>
          </cell>
          <cell r="L157">
            <v>2.8</v>
          </cell>
          <cell r="M157">
            <v>13.685</v>
          </cell>
          <cell r="N157">
            <v>8.3707019999999996</v>
          </cell>
          <cell r="O157">
            <v>9.7567609999999991</v>
          </cell>
          <cell r="Q157">
            <v>63.591289581331765</v>
          </cell>
          <cell r="R157">
            <v>85.342828751242124</v>
          </cell>
          <cell r="S157">
            <v>110.47242545297915</v>
          </cell>
          <cell r="T157">
            <v>106.21864719541163</v>
          </cell>
          <cell r="U157">
            <v>100.28059861036877</v>
          </cell>
          <cell r="V157">
            <v>121.46765241376747</v>
          </cell>
          <cell r="W157">
            <v>114.31492842535789</v>
          </cell>
          <cell r="X157">
            <v>71.348156487475379</v>
          </cell>
          <cell r="Y157">
            <v>123.26382246030228</v>
          </cell>
          <cell r="Z157">
            <v>100.85031816751302</v>
          </cell>
          <cell r="AA157">
            <v>137.25490196078428</v>
          </cell>
          <cell r="AB157">
            <v>74.618320610687022</v>
          </cell>
          <cell r="AC157">
            <v>102.41662157001912</v>
          </cell>
          <cell r="AD157">
            <v>92.484977813772957</v>
          </cell>
          <cell r="AF157">
            <v>100.75199084310174</v>
          </cell>
          <cell r="AG157">
            <v>97.450799691896037</v>
          </cell>
        </row>
        <row r="158">
          <cell r="A158">
            <v>40334</v>
          </cell>
          <cell r="B158">
            <v>8.7902299999999993</v>
          </cell>
          <cell r="C158">
            <v>51.53</v>
          </cell>
          <cell r="D158">
            <v>57.553173000000001</v>
          </cell>
          <cell r="E158">
            <v>29.037699</v>
          </cell>
          <cell r="F158">
            <v>75.05</v>
          </cell>
          <cell r="G158">
            <v>1.2545184</v>
          </cell>
          <cell r="H158">
            <v>22.36</v>
          </cell>
          <cell r="I158">
            <v>25.35</v>
          </cell>
          <cell r="J158">
            <v>32.215000000000003</v>
          </cell>
          <cell r="K158">
            <v>4.5984769999999999</v>
          </cell>
          <cell r="L158">
            <v>2.8</v>
          </cell>
          <cell r="M158">
            <v>13.685</v>
          </cell>
          <cell r="N158">
            <v>8.3707019999999996</v>
          </cell>
          <cell r="O158">
            <v>9.7567609999999991</v>
          </cell>
          <cell r="Q158">
            <v>63.591289581331765</v>
          </cell>
          <cell r="R158">
            <v>85.342828751242124</v>
          </cell>
          <cell r="S158">
            <v>110.47242545297915</v>
          </cell>
          <cell r="T158">
            <v>106.21864719541163</v>
          </cell>
          <cell r="U158">
            <v>100.28059861036877</v>
          </cell>
          <cell r="V158">
            <v>121.46765241376747</v>
          </cell>
          <cell r="W158">
            <v>114.31492842535789</v>
          </cell>
          <cell r="X158">
            <v>71.348156487475379</v>
          </cell>
          <cell r="Y158">
            <v>123.26382246030228</v>
          </cell>
          <cell r="Z158">
            <v>100.85031816751302</v>
          </cell>
          <cell r="AA158">
            <v>137.25490196078428</v>
          </cell>
          <cell r="AB158">
            <v>74.618320610687022</v>
          </cell>
          <cell r="AC158">
            <v>102.41662157001912</v>
          </cell>
          <cell r="AD158">
            <v>92.484977813772957</v>
          </cell>
          <cell r="AF158">
            <v>100.75199084310174</v>
          </cell>
          <cell r="AG158">
            <v>97.450799691896037</v>
          </cell>
        </row>
        <row r="159">
          <cell r="A159">
            <v>40335</v>
          </cell>
          <cell r="B159">
            <v>8.7902299999999993</v>
          </cell>
          <cell r="C159">
            <v>51.53</v>
          </cell>
          <cell r="D159">
            <v>57.553173000000001</v>
          </cell>
          <cell r="E159">
            <v>29.037699</v>
          </cell>
          <cell r="F159">
            <v>75.05</v>
          </cell>
          <cell r="G159">
            <v>1.2545184</v>
          </cell>
          <cell r="H159">
            <v>22.36</v>
          </cell>
          <cell r="I159">
            <v>25.35</v>
          </cell>
          <cell r="J159">
            <v>32.215000000000003</v>
          </cell>
          <cell r="K159">
            <v>4.5984769999999999</v>
          </cell>
          <cell r="L159">
            <v>2.8</v>
          </cell>
          <cell r="M159">
            <v>13.685</v>
          </cell>
          <cell r="N159">
            <v>8.3707019999999996</v>
          </cell>
          <cell r="O159">
            <v>9.7567609999999991</v>
          </cell>
          <cell r="Q159">
            <v>63.591289581331765</v>
          </cell>
          <cell r="R159">
            <v>85.342828751242124</v>
          </cell>
          <cell r="S159">
            <v>110.47242545297915</v>
          </cell>
          <cell r="T159">
            <v>106.21864719541163</v>
          </cell>
          <cell r="U159">
            <v>100.28059861036877</v>
          </cell>
          <cell r="V159">
            <v>121.46765241376747</v>
          </cell>
          <cell r="W159">
            <v>114.31492842535789</v>
          </cell>
          <cell r="X159">
            <v>71.348156487475379</v>
          </cell>
          <cell r="Y159">
            <v>123.26382246030228</v>
          </cell>
          <cell r="Z159">
            <v>100.85031816751302</v>
          </cell>
          <cell r="AA159">
            <v>137.25490196078428</v>
          </cell>
          <cell r="AB159">
            <v>74.618320610687022</v>
          </cell>
          <cell r="AC159">
            <v>102.41662157001912</v>
          </cell>
          <cell r="AD159">
            <v>92.484977813772957</v>
          </cell>
          <cell r="AF159">
            <v>100.75199084310174</v>
          </cell>
          <cell r="AG159">
            <v>97.450799691896037</v>
          </cell>
        </row>
        <row r="160">
          <cell r="A160">
            <v>40336</v>
          </cell>
          <cell r="B160">
            <v>8.4184330000000003</v>
          </cell>
          <cell r="C160">
            <v>51.81</v>
          </cell>
          <cell r="D160">
            <v>56.706657</v>
          </cell>
          <cell r="E160">
            <v>28.604144999999999</v>
          </cell>
          <cell r="F160">
            <v>75</v>
          </cell>
          <cell r="G160">
            <v>1.2626082999999999</v>
          </cell>
          <cell r="H160">
            <v>22.3</v>
          </cell>
          <cell r="I160">
            <v>24.89</v>
          </cell>
          <cell r="J160">
            <v>31.47</v>
          </cell>
          <cell r="K160">
            <v>4.4740753</v>
          </cell>
          <cell r="L160">
            <v>2.8</v>
          </cell>
          <cell r="M160">
            <v>13.11</v>
          </cell>
          <cell r="N160">
            <v>8.0209609999999998</v>
          </cell>
          <cell r="O160">
            <v>9.8390459999999997</v>
          </cell>
          <cell r="Q160">
            <v>60.90159310098138</v>
          </cell>
          <cell r="R160">
            <v>85.806558463067233</v>
          </cell>
          <cell r="S160">
            <v>108.84755108324188</v>
          </cell>
          <cell r="T160">
            <v>104.632725412623</v>
          </cell>
          <cell r="U160">
            <v>100.21378941742383</v>
          </cell>
          <cell r="V160">
            <v>122.25094994153758</v>
          </cell>
          <cell r="W160">
            <v>114.00817995910022</v>
          </cell>
          <cell r="X160">
            <v>70.053475935828885</v>
          </cell>
          <cell r="Y160">
            <v>120.41323895159746</v>
          </cell>
          <cell r="Z160">
            <v>98.122034210546516</v>
          </cell>
          <cell r="AA160">
            <v>137.25490196078428</v>
          </cell>
          <cell r="AB160">
            <v>71.483097055616142</v>
          </cell>
          <cell r="AC160">
            <v>98.137495202299903</v>
          </cell>
          <cell r="AD160">
            <v>93.264962728787921</v>
          </cell>
          <cell r="AF160">
            <v>99.499007957695696</v>
          </cell>
          <cell r="AG160">
            <v>95.701228965543919</v>
          </cell>
        </row>
        <row r="161">
          <cell r="A161">
            <v>40337</v>
          </cell>
          <cell r="B161">
            <v>8.54392</v>
          </cell>
          <cell r="C161">
            <v>51.82</v>
          </cell>
          <cell r="D161">
            <v>56.813186999999999</v>
          </cell>
          <cell r="E161">
            <v>29.263736999999999</v>
          </cell>
          <cell r="F161">
            <v>75.459999999999994</v>
          </cell>
          <cell r="G161">
            <v>1.3047925</v>
          </cell>
          <cell r="H161">
            <v>22.61</v>
          </cell>
          <cell r="I161">
            <v>22.635000000000002</v>
          </cell>
          <cell r="J161">
            <v>31.414999999999999</v>
          </cell>
          <cell r="K161">
            <v>4.4477440000000001</v>
          </cell>
          <cell r="L161">
            <v>2.7</v>
          </cell>
          <cell r="M161">
            <v>12.94</v>
          </cell>
          <cell r="N161">
            <v>7.7715509999999997</v>
          </cell>
          <cell r="O161">
            <v>10.141446999999999</v>
          </cell>
          <cell r="Q161">
            <v>61.809405542259086</v>
          </cell>
          <cell r="R161">
            <v>85.823120238489565</v>
          </cell>
          <cell r="S161">
            <v>109.05203377064309</v>
          </cell>
          <cell r="T161">
            <v>107.04548442431042</v>
          </cell>
          <cell r="U161">
            <v>100.82843399251735</v>
          </cell>
          <cell r="V161">
            <v>126.33539839837398</v>
          </cell>
          <cell r="W161">
            <v>115.59304703476482</v>
          </cell>
          <cell r="X161">
            <v>63.706726709822689</v>
          </cell>
          <cell r="Y161">
            <v>120.20279318920986</v>
          </cell>
          <cell r="Z161">
            <v>97.544556062289118</v>
          </cell>
          <cell r="AA161">
            <v>132.35294117647058</v>
          </cell>
          <cell r="AB161">
            <v>70.556161395856051</v>
          </cell>
          <cell r="AC161">
            <v>95.085931595594218</v>
          </cell>
          <cell r="AD161">
            <v>96.131441653080799</v>
          </cell>
          <cell r="AF161">
            <v>99.237508494583878</v>
          </cell>
          <cell r="AG161">
            <v>95.608686624337508</v>
          </cell>
        </row>
        <row r="162">
          <cell r="A162">
            <v>40338</v>
          </cell>
          <cell r="B162">
            <v>9.0155399999999997</v>
          </cell>
          <cell r="C162">
            <v>51.83</v>
          </cell>
          <cell r="D162">
            <v>55.537334000000001</v>
          </cell>
          <cell r="E162">
            <v>28.402756</v>
          </cell>
          <cell r="F162">
            <v>75.569999999999993</v>
          </cell>
          <cell r="G162">
            <v>1.3095954999999999</v>
          </cell>
          <cell r="H162">
            <v>22.5</v>
          </cell>
          <cell r="I162">
            <v>21.95</v>
          </cell>
          <cell r="J162">
            <v>31.344999999999999</v>
          </cell>
          <cell r="K162">
            <v>4.4869199999999996</v>
          </cell>
          <cell r="L162">
            <v>2.7</v>
          </cell>
          <cell r="M162">
            <v>12.46</v>
          </cell>
          <cell r="N162">
            <v>7.8642225000000003</v>
          </cell>
          <cell r="O162">
            <v>9.9117449999999998</v>
          </cell>
          <cell r="Q162">
            <v>65.22125301295641</v>
          </cell>
          <cell r="R162">
            <v>85.839682013911883</v>
          </cell>
          <cell r="S162">
            <v>106.60305366955536</v>
          </cell>
          <cell r="T162">
            <v>103.89605315976867</v>
          </cell>
          <cell r="U162">
            <v>100.97541421699626</v>
          </cell>
          <cell r="V162">
            <v>126.8004446938634</v>
          </cell>
          <cell r="W162">
            <v>115.03067484662577</v>
          </cell>
          <cell r="X162">
            <v>61.778778497044748</v>
          </cell>
          <cell r="Y162">
            <v>119.93495312798927</v>
          </cell>
          <cell r="Z162">
            <v>98.403734452119153</v>
          </cell>
          <cell r="AA162">
            <v>132.35294117647058</v>
          </cell>
          <cell r="AB162">
            <v>67.938931297709928</v>
          </cell>
          <cell r="AC162">
            <v>96.219779383488955</v>
          </cell>
          <cell r="AD162">
            <v>93.954081320714437</v>
          </cell>
          <cell r="AF162">
            <v>98.731326180417611</v>
          </cell>
          <cell r="AG162">
            <v>95.086930352101689</v>
          </cell>
        </row>
        <row r="163">
          <cell r="A163">
            <v>40339</v>
          </cell>
          <cell r="B163">
            <v>9.1940760000000008</v>
          </cell>
          <cell r="C163">
            <v>52.58</v>
          </cell>
          <cell r="D163">
            <v>56.642017000000003</v>
          </cell>
          <cell r="E163">
            <v>28.846890999999999</v>
          </cell>
          <cell r="F163">
            <v>77.47</v>
          </cell>
          <cell r="G163">
            <v>1.3106346</v>
          </cell>
          <cell r="H163">
            <v>23</v>
          </cell>
          <cell r="I163">
            <v>22.984999999999999</v>
          </cell>
          <cell r="J163">
            <v>31.83</v>
          </cell>
          <cell r="K163">
            <v>4.5462417999999998</v>
          </cell>
          <cell r="L163">
            <v>2.7</v>
          </cell>
          <cell r="M163">
            <v>13.295</v>
          </cell>
          <cell r="N163">
            <v>7.8890257000000004</v>
          </cell>
          <cell r="O163">
            <v>10.245844999999999</v>
          </cell>
          <cell r="Q163">
            <v>66.512838611591789</v>
          </cell>
          <cell r="R163">
            <v>87.081815170586282</v>
          </cell>
          <cell r="S163">
            <v>108.72347560296767</v>
          </cell>
          <cell r="T163">
            <v>105.52067978297781</v>
          </cell>
          <cell r="U163">
            <v>103.51416354890432</v>
          </cell>
          <cell r="V163">
            <v>126.90105464715158</v>
          </cell>
          <cell r="W163">
            <v>117.58691206543968</v>
          </cell>
          <cell r="X163">
            <v>64.691809738249361</v>
          </cell>
          <cell r="Y163">
            <v>121.79070212358904</v>
          </cell>
          <cell r="Z163">
            <v>99.704735284409836</v>
          </cell>
          <cell r="AA163">
            <v>132.35294117647058</v>
          </cell>
          <cell r="AB163">
            <v>72.491821155943299</v>
          </cell>
          <cell r="AC163">
            <v>96.523249743337573</v>
          </cell>
          <cell r="AD163">
            <v>97.121037146277999</v>
          </cell>
          <cell r="AF163">
            <v>100.57274574235679</v>
          </cell>
          <cell r="AG163">
            <v>96.822143444807779</v>
          </cell>
        </row>
        <row r="164">
          <cell r="A164">
            <v>40340</v>
          </cell>
          <cell r="B164">
            <v>9.1708210000000001</v>
          </cell>
          <cell r="C164">
            <v>52.77</v>
          </cell>
          <cell r="D164">
            <v>57.379730000000002</v>
          </cell>
          <cell r="E164">
            <v>29.180755999999999</v>
          </cell>
          <cell r="F164">
            <v>78.239999999999995</v>
          </cell>
          <cell r="G164">
            <v>1.3186971000000001</v>
          </cell>
          <cell r="H164">
            <v>23.19</v>
          </cell>
          <cell r="I164">
            <v>22.06</v>
          </cell>
          <cell r="J164">
            <v>32.19</v>
          </cell>
          <cell r="K164">
            <v>4.5344614999999999</v>
          </cell>
          <cell r="L164">
            <v>2.61</v>
          </cell>
          <cell r="M164">
            <v>13.4</v>
          </cell>
          <cell r="N164">
            <v>8.0756680000000003</v>
          </cell>
          <cell r="O164">
            <v>10.232867000000001</v>
          </cell>
          <cell r="Q164">
            <v>66.344604624629682</v>
          </cell>
          <cell r="R164">
            <v>87.396488903610475</v>
          </cell>
          <cell r="S164">
            <v>110.13950429695807</v>
          </cell>
          <cell r="T164">
            <v>106.74194351485602</v>
          </cell>
          <cell r="U164">
            <v>104.54302512025653</v>
          </cell>
          <cell r="V164">
            <v>127.68169919376484</v>
          </cell>
          <cell r="W164">
            <v>118.55828220858898</v>
          </cell>
          <cell r="X164">
            <v>62.088376020264555</v>
          </cell>
          <cell r="Y164">
            <v>123.16816529558064</v>
          </cell>
          <cell r="Z164">
            <v>99.446378658268458</v>
          </cell>
          <cell r="AA164">
            <v>127.94117647058823</v>
          </cell>
          <cell r="AB164">
            <v>73.064340239912767</v>
          </cell>
          <cell r="AC164">
            <v>98.806842422668169</v>
          </cell>
          <cell r="AD164">
            <v>96.99801783258701</v>
          </cell>
          <cell r="AF164">
            <v>100.5928320456066</v>
          </cell>
          <cell r="AG164">
            <v>97.902430127627582</v>
          </cell>
        </row>
        <row r="165">
          <cell r="A165">
            <v>40341</v>
          </cell>
          <cell r="B165">
            <v>9.1708210000000001</v>
          </cell>
          <cell r="C165">
            <v>52.77</v>
          </cell>
          <cell r="D165">
            <v>57.379730000000002</v>
          </cell>
          <cell r="E165">
            <v>29.180755999999999</v>
          </cell>
          <cell r="F165">
            <v>78.239999999999995</v>
          </cell>
          <cell r="G165">
            <v>1.3186971000000001</v>
          </cell>
          <cell r="H165">
            <v>23.19</v>
          </cell>
          <cell r="I165">
            <v>22.06</v>
          </cell>
          <cell r="J165">
            <v>32.19</v>
          </cell>
          <cell r="K165">
            <v>4.5344614999999999</v>
          </cell>
          <cell r="L165">
            <v>2.61</v>
          </cell>
          <cell r="M165">
            <v>13.4</v>
          </cell>
          <cell r="N165">
            <v>8.0756680000000003</v>
          </cell>
          <cell r="O165">
            <v>10.232867000000001</v>
          </cell>
          <cell r="Q165">
            <v>66.344604624629682</v>
          </cell>
          <cell r="R165">
            <v>87.396488903610475</v>
          </cell>
          <cell r="S165">
            <v>110.13950429695807</v>
          </cell>
          <cell r="T165">
            <v>106.74194351485602</v>
          </cell>
          <cell r="U165">
            <v>104.54302512025653</v>
          </cell>
          <cell r="V165">
            <v>127.68169919376484</v>
          </cell>
          <cell r="W165">
            <v>118.55828220858898</v>
          </cell>
          <cell r="X165">
            <v>62.088376020264555</v>
          </cell>
          <cell r="Y165">
            <v>123.16816529558064</v>
          </cell>
          <cell r="Z165">
            <v>99.446378658268458</v>
          </cell>
          <cell r="AA165">
            <v>127.94117647058823</v>
          </cell>
          <cell r="AB165">
            <v>73.064340239912767</v>
          </cell>
          <cell r="AC165">
            <v>98.806842422668169</v>
          </cell>
          <cell r="AD165">
            <v>96.99801783258701</v>
          </cell>
          <cell r="AF165">
            <v>100.5928320456066</v>
          </cell>
          <cell r="AG165">
            <v>97.902430127627582</v>
          </cell>
        </row>
        <row r="166">
          <cell r="A166">
            <v>40342</v>
          </cell>
          <cell r="B166">
            <v>9.1708210000000001</v>
          </cell>
          <cell r="C166">
            <v>52.77</v>
          </cell>
          <cell r="D166">
            <v>57.379730000000002</v>
          </cell>
          <cell r="E166">
            <v>29.180755999999999</v>
          </cell>
          <cell r="F166">
            <v>78.239999999999995</v>
          </cell>
          <cell r="G166">
            <v>1.3186971000000001</v>
          </cell>
          <cell r="H166">
            <v>23.19</v>
          </cell>
          <cell r="I166">
            <v>22.06</v>
          </cell>
          <cell r="J166">
            <v>32.19</v>
          </cell>
          <cell r="K166">
            <v>4.5344614999999999</v>
          </cell>
          <cell r="L166">
            <v>2.61</v>
          </cell>
          <cell r="M166">
            <v>13.4</v>
          </cell>
          <cell r="N166">
            <v>8.0756680000000003</v>
          </cell>
          <cell r="O166">
            <v>10.232867000000001</v>
          </cell>
          <cell r="Q166">
            <v>66.344604624629682</v>
          </cell>
          <cell r="R166">
            <v>87.396488903610475</v>
          </cell>
          <cell r="S166">
            <v>110.13950429695807</v>
          </cell>
          <cell r="T166">
            <v>106.74194351485602</v>
          </cell>
          <cell r="U166">
            <v>104.54302512025653</v>
          </cell>
          <cell r="V166">
            <v>127.68169919376484</v>
          </cell>
          <cell r="W166">
            <v>118.55828220858898</v>
          </cell>
          <cell r="X166">
            <v>62.088376020264555</v>
          </cell>
          <cell r="Y166">
            <v>123.16816529558064</v>
          </cell>
          <cell r="Z166">
            <v>99.446378658268458</v>
          </cell>
          <cell r="AA166">
            <v>127.94117647058823</v>
          </cell>
          <cell r="AB166">
            <v>73.064340239912767</v>
          </cell>
          <cell r="AC166">
            <v>98.806842422668169</v>
          </cell>
          <cell r="AD166">
            <v>96.99801783258701</v>
          </cell>
          <cell r="AF166">
            <v>100.5928320456066</v>
          </cell>
          <cell r="AG166">
            <v>97.902430127627582</v>
          </cell>
        </row>
        <row r="167">
          <cell r="A167">
            <v>40343</v>
          </cell>
          <cell r="B167">
            <v>9.3403799999999997</v>
          </cell>
          <cell r="C167">
            <v>52.91</v>
          </cell>
          <cell r="D167">
            <v>60.041409999999999</v>
          </cell>
          <cell r="E167">
            <v>28.756675999999999</v>
          </cell>
          <cell r="F167">
            <v>78.81</v>
          </cell>
          <cell r="G167">
            <v>1.426779</v>
          </cell>
          <cell r="H167">
            <v>23.32</v>
          </cell>
          <cell r="I167">
            <v>22.06</v>
          </cell>
          <cell r="J167">
            <v>32.56</v>
          </cell>
          <cell r="K167">
            <v>4.6182990000000004</v>
          </cell>
          <cell r="L167">
            <v>2.63</v>
          </cell>
          <cell r="M167">
            <v>13.22</v>
          </cell>
          <cell r="N167">
            <v>8.1616789999999995</v>
          </cell>
          <cell r="O167">
            <v>10.104937</v>
          </cell>
          <cell r="Q167">
            <v>67.571247780738346</v>
          </cell>
          <cell r="R167">
            <v>87.628353759523009</v>
          </cell>
          <cell r="S167">
            <v>115.24855789126964</v>
          </cell>
          <cell r="T167">
            <v>105.19067721436058</v>
          </cell>
          <cell r="U167">
            <v>105.30464991982898</v>
          </cell>
          <cell r="V167">
            <v>138.14663510974628</v>
          </cell>
          <cell r="W167">
            <v>119.22290388548058</v>
          </cell>
          <cell r="X167">
            <v>62.088376020264555</v>
          </cell>
          <cell r="Y167">
            <v>124.58389133346088</v>
          </cell>
          <cell r="Z167">
            <v>101.28503927337404</v>
          </cell>
          <cell r="AA167">
            <v>128.92156862745097</v>
          </cell>
          <cell r="AB167">
            <v>72.082878953107965</v>
          </cell>
          <cell r="AC167">
            <v>99.859198131646792</v>
          </cell>
          <cell r="AD167">
            <v>95.785360967084614</v>
          </cell>
          <cell r="AF167">
            <v>102.27289831405049</v>
          </cell>
          <cell r="AG167">
            <v>97.822279549365703</v>
          </cell>
        </row>
        <row r="168">
          <cell r="A168">
            <v>40344</v>
          </cell>
          <cell r="B168">
            <v>9.3816299999999995</v>
          </cell>
          <cell r="C168">
            <v>53.69</v>
          </cell>
          <cell r="D168">
            <v>60.735626000000003</v>
          </cell>
          <cell r="E168">
            <v>28.372526000000001</v>
          </cell>
          <cell r="F168">
            <v>79.599999999999994</v>
          </cell>
          <cell r="G168">
            <v>1.3969982999999999</v>
          </cell>
          <cell r="H168">
            <v>23.57</v>
          </cell>
          <cell r="I168">
            <v>22.88</v>
          </cell>
          <cell r="J168">
            <v>33.045000000000002</v>
          </cell>
          <cell r="K168">
            <v>4.6219587000000004</v>
          </cell>
          <cell r="L168">
            <v>2.76</v>
          </cell>
          <cell r="M168">
            <v>13.63</v>
          </cell>
          <cell r="N168">
            <v>8.3331009999999992</v>
          </cell>
          <cell r="O168">
            <v>10.183662999999999</v>
          </cell>
          <cell r="Q168">
            <v>67.869663259654118</v>
          </cell>
          <cell r="R168">
            <v>88.920172242464375</v>
          </cell>
          <cell r="S168">
            <v>116.58109476648704</v>
          </cell>
          <cell r="T168">
            <v>103.78547312707678</v>
          </cell>
          <cell r="U168">
            <v>106.36023516835915</v>
          </cell>
          <cell r="V168">
            <v>135.26314474703923</v>
          </cell>
          <cell r="W168">
            <v>120.50102249488755</v>
          </cell>
          <cell r="X168">
            <v>64.396284829721367</v>
          </cell>
          <cell r="Y168">
            <v>126.43964032906065</v>
          </cell>
          <cell r="Z168">
            <v>101.36530104469479</v>
          </cell>
          <cell r="AA168">
            <v>135.29411764705881</v>
          </cell>
          <cell r="AB168">
            <v>74.318429661941124</v>
          </cell>
          <cell r="AC168">
            <v>101.95656847200485</v>
          </cell>
          <cell r="AD168">
            <v>96.531609887537513</v>
          </cell>
          <cell r="AF168">
            <v>103.4245482765371</v>
          </cell>
          <cell r="AG168">
            <v>99.24408917977118</v>
          </cell>
        </row>
        <row r="169">
          <cell r="A169">
            <v>40345</v>
          </cell>
          <cell r="B169">
            <v>9.3781979999999994</v>
          </cell>
          <cell r="C169">
            <v>53.65</v>
          </cell>
          <cell r="D169">
            <v>60.29766</v>
          </cell>
          <cell r="E169">
            <v>27.817903999999999</v>
          </cell>
          <cell r="F169">
            <v>80.39</v>
          </cell>
          <cell r="G169">
            <v>1.3775786000000001</v>
          </cell>
          <cell r="H169">
            <v>23.18</v>
          </cell>
          <cell r="I169">
            <v>17.190000000000001</v>
          </cell>
          <cell r="J169">
            <v>32.729999999999997</v>
          </cell>
          <cell r="K169">
            <v>4.6674899999999999</v>
          </cell>
          <cell r="L169">
            <v>2.69</v>
          </cell>
          <cell r="M169">
            <v>13.35</v>
          </cell>
          <cell r="N169">
            <v>8.48996</v>
          </cell>
          <cell r="O169">
            <v>10.1097555</v>
          </cell>
          <cell r="Q169">
            <v>67.844835091808335</v>
          </cell>
          <cell r="R169">
            <v>88.853925140775075</v>
          </cell>
          <cell r="S169">
            <v>115.74042580309312</v>
          </cell>
          <cell r="T169">
            <v>101.75668983592088</v>
          </cell>
          <cell r="U169">
            <v>107.41582041688935</v>
          </cell>
          <cell r="V169">
            <v>133.38284919331946</v>
          </cell>
          <cell r="W169">
            <v>118.50715746421268</v>
          </cell>
          <cell r="X169">
            <v>48.38164931044188</v>
          </cell>
          <cell r="Y169">
            <v>125.23436005356798</v>
          </cell>
          <cell r="Z169">
            <v>102.36385906544392</v>
          </cell>
          <cell r="AA169">
            <v>131.86274509803923</v>
          </cell>
          <cell r="AB169">
            <v>72.791712104689196</v>
          </cell>
          <cell r="AC169">
            <v>103.87575862390031</v>
          </cell>
          <cell r="AD169">
            <v>95.831035844802301</v>
          </cell>
          <cell r="AF169">
            <v>101.17800238151675</v>
          </cell>
          <cell r="AG169">
            <v>99.853397234351306</v>
          </cell>
        </row>
        <row r="170">
          <cell r="A170">
            <v>40346</v>
          </cell>
          <cell r="B170">
            <v>9.4028849999999995</v>
          </cell>
          <cell r="C170">
            <v>53.42</v>
          </cell>
          <cell r="D170">
            <v>61.340232999999998</v>
          </cell>
          <cell r="E170">
            <v>28.500633000000001</v>
          </cell>
          <cell r="F170">
            <v>80.400000000000006</v>
          </cell>
          <cell r="G170">
            <v>1.3278782</v>
          </cell>
          <cell r="H170">
            <v>23.21</v>
          </cell>
          <cell r="I170">
            <v>16.78</v>
          </cell>
          <cell r="J170">
            <v>32.35</v>
          </cell>
          <cell r="K170">
            <v>4.6496835000000001</v>
          </cell>
          <cell r="L170">
            <v>2.79</v>
          </cell>
          <cell r="M170">
            <v>13.34</v>
          </cell>
          <cell r="N170">
            <v>8.6113140000000001</v>
          </cell>
          <cell r="O170">
            <v>10.259573</v>
          </cell>
          <cell r="Q170">
            <v>68.023428617335469</v>
          </cell>
          <cell r="R170">
            <v>88.473004306061611</v>
          </cell>
          <cell r="S170">
            <v>117.74162855210209</v>
          </cell>
          <cell r="T170">
            <v>104.2540829930397</v>
          </cell>
          <cell r="U170">
            <v>107.42918225547835</v>
          </cell>
          <cell r="V170">
            <v>128.57065121198636</v>
          </cell>
          <cell r="W170">
            <v>118.66053169734153</v>
          </cell>
          <cell r="X170">
            <v>47.227694905713484</v>
          </cell>
          <cell r="Y170">
            <v>123.78037114979912</v>
          </cell>
          <cell r="Z170">
            <v>101.97334038057286</v>
          </cell>
          <cell r="AA170">
            <v>136.76470588235296</v>
          </cell>
          <cell r="AB170">
            <v>72.737186477644485</v>
          </cell>
          <cell r="AC170">
            <v>105.36054050886148</v>
          </cell>
          <cell r="AD170">
            <v>97.251165759188325</v>
          </cell>
          <cell r="AF170">
            <v>101.30298403578566</v>
          </cell>
          <cell r="AG170">
            <v>101.3058531340249</v>
          </cell>
        </row>
        <row r="171">
          <cell r="A171">
            <v>40347</v>
          </cell>
          <cell r="B171">
            <v>9.5237619999999996</v>
          </cell>
          <cell r="C171">
            <v>53.09</v>
          </cell>
          <cell r="D171">
            <v>60.996426</v>
          </cell>
          <cell r="E171">
            <v>27.184146999999999</v>
          </cell>
          <cell r="F171">
            <v>80.25</v>
          </cell>
          <cell r="G171">
            <v>1.3298639999999999</v>
          </cell>
          <cell r="H171">
            <v>23.34</v>
          </cell>
          <cell r="I171">
            <v>16.670000000000002</v>
          </cell>
          <cell r="J171">
            <v>31.684999999999999</v>
          </cell>
          <cell r="K171">
            <v>4.6879520000000001</v>
          </cell>
          <cell r="L171">
            <v>2.89</v>
          </cell>
          <cell r="M171">
            <v>13.6</v>
          </cell>
          <cell r="N171">
            <v>8.7976539999999996</v>
          </cell>
          <cell r="O171">
            <v>10.354162000000001</v>
          </cell>
          <cell r="Q171">
            <v>68.89789086812101</v>
          </cell>
          <cell r="R171">
            <v>87.926465717124884</v>
          </cell>
          <cell r="S171">
            <v>117.08169633293997</v>
          </cell>
          <cell r="T171">
            <v>99.438434136988874</v>
          </cell>
          <cell r="U171">
            <v>107.2287546766435</v>
          </cell>
          <cell r="V171">
            <v>128.76292456896803</v>
          </cell>
          <cell r="W171">
            <v>119.32515337423312</v>
          </cell>
          <cell r="X171">
            <v>46.91809738249367</v>
          </cell>
          <cell r="Y171">
            <v>121.23589056820354</v>
          </cell>
          <cell r="Z171">
            <v>102.81261616705466</v>
          </cell>
          <cell r="AA171">
            <v>141.66666666666669</v>
          </cell>
          <cell r="AB171">
            <v>74.154852780806976</v>
          </cell>
          <cell r="AC171">
            <v>107.64043450859499</v>
          </cell>
          <cell r="AD171">
            <v>98.147781097662545</v>
          </cell>
          <cell r="AF171">
            <v>101.28745360335375</v>
          </cell>
          <cell r="AG171">
            <v>102.89410780312878</v>
          </cell>
        </row>
        <row r="172">
          <cell r="A172">
            <v>40348</v>
          </cell>
          <cell r="B172">
            <v>9.5237619999999996</v>
          </cell>
          <cell r="C172">
            <v>53.09</v>
          </cell>
          <cell r="D172">
            <v>60.996426</v>
          </cell>
          <cell r="E172">
            <v>27.184146999999999</v>
          </cell>
          <cell r="F172">
            <v>80.25</v>
          </cell>
          <cell r="G172">
            <v>1.3298639999999999</v>
          </cell>
          <cell r="H172">
            <v>23.34</v>
          </cell>
          <cell r="I172">
            <v>16.670000000000002</v>
          </cell>
          <cell r="J172">
            <v>31.684999999999999</v>
          </cell>
          <cell r="K172">
            <v>4.6879520000000001</v>
          </cell>
          <cell r="L172">
            <v>2.89</v>
          </cell>
          <cell r="M172">
            <v>13.6</v>
          </cell>
          <cell r="N172">
            <v>8.7976539999999996</v>
          </cell>
          <cell r="O172">
            <v>10.354162000000001</v>
          </cell>
          <cell r="Q172">
            <v>68.89789086812101</v>
          </cell>
          <cell r="R172">
            <v>87.926465717124884</v>
          </cell>
          <cell r="S172">
            <v>117.08169633293997</v>
          </cell>
          <cell r="T172">
            <v>99.438434136988874</v>
          </cell>
          <cell r="U172">
            <v>107.2287546766435</v>
          </cell>
          <cell r="V172">
            <v>128.76292456896803</v>
          </cell>
          <cell r="W172">
            <v>119.32515337423312</v>
          </cell>
          <cell r="X172">
            <v>46.91809738249367</v>
          </cell>
          <cell r="Y172">
            <v>121.23589056820354</v>
          </cell>
          <cell r="Z172">
            <v>102.81261616705466</v>
          </cell>
          <cell r="AA172">
            <v>141.66666666666669</v>
          </cell>
          <cell r="AB172">
            <v>74.154852780806976</v>
          </cell>
          <cell r="AC172">
            <v>107.64043450859499</v>
          </cell>
          <cell r="AD172">
            <v>98.147781097662545</v>
          </cell>
          <cell r="AF172">
            <v>101.28745360335375</v>
          </cell>
          <cell r="AG172">
            <v>102.89410780312878</v>
          </cell>
        </row>
        <row r="173">
          <cell r="A173">
            <v>40349</v>
          </cell>
          <cell r="B173">
            <v>9.5237619999999996</v>
          </cell>
          <cell r="C173">
            <v>53.09</v>
          </cell>
          <cell r="D173">
            <v>60.996426</v>
          </cell>
          <cell r="E173">
            <v>27.184146999999999</v>
          </cell>
          <cell r="F173">
            <v>80.25</v>
          </cell>
          <cell r="G173">
            <v>1.3298639999999999</v>
          </cell>
          <cell r="H173">
            <v>23.34</v>
          </cell>
          <cell r="I173">
            <v>16.670000000000002</v>
          </cell>
          <cell r="J173">
            <v>31.684999999999999</v>
          </cell>
          <cell r="K173">
            <v>4.6879520000000001</v>
          </cell>
          <cell r="L173">
            <v>2.89</v>
          </cell>
          <cell r="M173">
            <v>13.6</v>
          </cell>
          <cell r="N173">
            <v>8.7976539999999996</v>
          </cell>
          <cell r="O173">
            <v>10.354162000000001</v>
          </cell>
          <cell r="Q173">
            <v>68.89789086812101</v>
          </cell>
          <cell r="R173">
            <v>87.926465717124884</v>
          </cell>
          <cell r="S173">
            <v>117.08169633293997</v>
          </cell>
          <cell r="T173">
            <v>99.438434136988874</v>
          </cell>
          <cell r="U173">
            <v>107.2287546766435</v>
          </cell>
          <cell r="V173">
            <v>128.76292456896803</v>
          </cell>
          <cell r="W173">
            <v>119.32515337423312</v>
          </cell>
          <cell r="X173">
            <v>46.91809738249367</v>
          </cell>
          <cell r="Y173">
            <v>121.23589056820354</v>
          </cell>
          <cell r="Z173">
            <v>102.81261616705466</v>
          </cell>
          <cell r="AA173">
            <v>141.66666666666669</v>
          </cell>
          <cell r="AB173">
            <v>74.154852780806976</v>
          </cell>
          <cell r="AC173">
            <v>107.64043450859499</v>
          </cell>
          <cell r="AD173">
            <v>98.147781097662545</v>
          </cell>
          <cell r="AF173">
            <v>101.28745360335375</v>
          </cell>
          <cell r="AG173">
            <v>102.89410780312878</v>
          </cell>
        </row>
        <row r="174">
          <cell r="A174">
            <v>40350</v>
          </cell>
          <cell r="B174">
            <v>9.6507830000000006</v>
          </cell>
          <cell r="C174">
            <v>53.09</v>
          </cell>
          <cell r="D174">
            <v>61.543526</v>
          </cell>
          <cell r="E174">
            <v>27.414843000000001</v>
          </cell>
          <cell r="F174">
            <v>80.22</v>
          </cell>
          <cell r="G174">
            <v>1.3457482999999999</v>
          </cell>
          <cell r="H174">
            <v>22.93</v>
          </cell>
          <cell r="I174">
            <v>16.29</v>
          </cell>
          <cell r="J174">
            <v>31.824999999999999</v>
          </cell>
          <cell r="K174">
            <v>4.6711549999999997</v>
          </cell>
          <cell r="L174">
            <v>2.91</v>
          </cell>
          <cell r="M174">
            <v>13.34</v>
          </cell>
          <cell r="N174">
            <v>8.8166919999999998</v>
          </cell>
          <cell r="O174">
            <v>10.489312</v>
          </cell>
          <cell r="Q174">
            <v>69.816800748057076</v>
          </cell>
          <cell r="R174">
            <v>87.926465717124884</v>
          </cell>
          <cell r="S174">
            <v>118.13184632146144</v>
          </cell>
          <cell r="T174">
            <v>100.28231012845062</v>
          </cell>
          <cell r="U174">
            <v>107.18866916087653</v>
          </cell>
          <cell r="V174">
            <v>130.30090809414867</v>
          </cell>
          <cell r="W174">
            <v>117.22903885480574</v>
          </cell>
          <cell r="X174">
            <v>45.848578665916122</v>
          </cell>
          <cell r="Y174">
            <v>121.77157069064472</v>
          </cell>
          <cell r="Z174">
            <v>102.44423707235445</v>
          </cell>
          <cell r="AA174">
            <v>142.64705882352942</v>
          </cell>
          <cell r="AB174">
            <v>72.737186477644485</v>
          </cell>
          <cell r="AC174">
            <v>107.87336690081848</v>
          </cell>
          <cell r="AD174">
            <v>99.428876816982864</v>
          </cell>
          <cell r="AF174">
            <v>101.3603892295845</v>
          </cell>
          <cell r="AG174">
            <v>103.65112185890067</v>
          </cell>
        </row>
        <row r="175">
          <cell r="A175">
            <v>40351</v>
          </cell>
          <cell r="B175">
            <v>9.533353</v>
          </cell>
          <cell r="C175">
            <v>52.14</v>
          </cell>
          <cell r="D175">
            <v>60.679609999999997</v>
          </cell>
          <cell r="E175">
            <v>28.144307999999999</v>
          </cell>
          <cell r="F175">
            <v>78.95</v>
          </cell>
          <cell r="G175">
            <v>1.3084654</v>
          </cell>
          <cell r="H175">
            <v>22.8</v>
          </cell>
          <cell r="I175">
            <v>16.22</v>
          </cell>
          <cell r="J175">
            <v>31.64</v>
          </cell>
          <cell r="K175">
            <v>4.6568449999999997</v>
          </cell>
          <cell r="L175">
            <v>2.59</v>
          </cell>
          <cell r="M175">
            <v>12.72</v>
          </cell>
          <cell r="N175">
            <v>9.0921979999999998</v>
          </cell>
          <cell r="O175">
            <v>10.656689999999999</v>
          </cell>
          <cell r="Q175">
            <v>68.967275179836932</v>
          </cell>
          <cell r="R175">
            <v>86.353097052003974</v>
          </cell>
          <cell r="S175">
            <v>116.47357292083353</v>
          </cell>
          <cell r="T175">
            <v>102.95066155245294</v>
          </cell>
          <cell r="U175">
            <v>105.49171566007483</v>
          </cell>
          <cell r="V175">
            <v>126.6910237447623</v>
          </cell>
          <cell r="W175">
            <v>116.56441717791412</v>
          </cell>
          <cell r="X175">
            <v>45.651562060230788</v>
          </cell>
          <cell r="Y175">
            <v>121.06370767170461</v>
          </cell>
          <cell r="Z175">
            <v>102.13040097988795</v>
          </cell>
          <cell r="AA175">
            <v>126.96078431372548</v>
          </cell>
          <cell r="AB175">
            <v>69.356597600872419</v>
          </cell>
          <cell r="AC175">
            <v>111.24421844257324</v>
          </cell>
          <cell r="AD175">
            <v>101.01546386328988</v>
          </cell>
          <cell r="AF175">
            <v>99.054567992858324</v>
          </cell>
          <cell r="AG175">
            <v>106.12984115293156</v>
          </cell>
        </row>
        <row r="176">
          <cell r="A176">
            <v>40352</v>
          </cell>
          <cell r="B176">
            <v>9.1895579999999999</v>
          </cell>
          <cell r="C176">
            <v>51.59</v>
          </cell>
          <cell r="D176">
            <v>59.597136999999996</v>
          </cell>
          <cell r="E176">
            <v>27.91188</v>
          </cell>
          <cell r="F176">
            <v>78.41</v>
          </cell>
          <cell r="G176">
            <v>1.2708212999999999</v>
          </cell>
          <cell r="H176">
            <v>23.01</v>
          </cell>
          <cell r="I176">
            <v>15.89</v>
          </cell>
          <cell r="J176">
            <v>30.975000000000001</v>
          </cell>
          <cell r="K176">
            <v>4.6078204999999999</v>
          </cell>
          <cell r="L176">
            <v>2.52</v>
          </cell>
          <cell r="M176">
            <v>12.55</v>
          </cell>
          <cell r="N176">
            <v>8.7041219999999999</v>
          </cell>
          <cell r="O176">
            <v>10.579625999999999</v>
          </cell>
          <cell r="Q176">
            <v>66.48015397804653</v>
          </cell>
          <cell r="R176">
            <v>85.442199403776087</v>
          </cell>
          <cell r="S176">
            <v>114.39578273892015</v>
          </cell>
          <cell r="T176">
            <v>102.10044997989223</v>
          </cell>
          <cell r="U176">
            <v>104.77017637626938</v>
          </cell>
          <cell r="V176">
            <v>123.04616651968763</v>
          </cell>
          <cell r="W176">
            <v>117.63803680981597</v>
          </cell>
          <cell r="X176">
            <v>44.722769490571345</v>
          </cell>
          <cell r="Y176">
            <v>118.51922709010904</v>
          </cell>
          <cell r="Z176">
            <v>101.05523273983732</v>
          </cell>
          <cell r="AA176">
            <v>123.52941176470588</v>
          </cell>
          <cell r="AB176">
            <v>68.429661941112329</v>
          </cell>
          <cell r="AC176">
            <v>106.49605839191003</v>
          </cell>
          <cell r="AD176">
            <v>100.28496914990697</v>
          </cell>
          <cell r="AF176">
            <v>97.510772402728648</v>
          </cell>
          <cell r="AG176">
            <v>103.3905137709085</v>
          </cell>
        </row>
        <row r="177">
          <cell r="A177">
            <v>40353</v>
          </cell>
          <cell r="B177">
            <v>9.1378819999999994</v>
          </cell>
          <cell r="C177">
            <v>50.58</v>
          </cell>
          <cell r="D177">
            <v>59.669750000000001</v>
          </cell>
          <cell r="E177">
            <v>27.7302</v>
          </cell>
          <cell r="F177">
            <v>77.05</v>
          </cell>
          <cell r="G177">
            <v>1.247938</v>
          </cell>
          <cell r="H177">
            <v>23</v>
          </cell>
          <cell r="I177">
            <v>15.61</v>
          </cell>
          <cell r="J177">
            <v>30.695</v>
          </cell>
          <cell r="K177">
            <v>4.633902</v>
          </cell>
          <cell r="L177">
            <v>2.4500000000000002</v>
          </cell>
          <cell r="M177">
            <v>12.49</v>
          </cell>
          <cell r="N177">
            <v>8.8707879999999992</v>
          </cell>
          <cell r="O177">
            <v>10.600312000000001</v>
          </cell>
          <cell r="Q177">
            <v>66.106313534690102</v>
          </cell>
          <cell r="R177">
            <v>83.769460086121228</v>
          </cell>
          <cell r="S177">
            <v>114.53516226938352</v>
          </cell>
          <cell r="T177">
            <v>101.43587239671447</v>
          </cell>
          <cell r="U177">
            <v>102.95296632816675</v>
          </cell>
          <cell r="V177">
            <v>120.8305109099493</v>
          </cell>
          <cell r="W177">
            <v>117.58691206543968</v>
          </cell>
          <cell r="X177">
            <v>43.93470306783</v>
          </cell>
          <cell r="Y177">
            <v>117.4478668452267</v>
          </cell>
          <cell r="Z177">
            <v>101.62723246350367</v>
          </cell>
          <cell r="AA177">
            <v>120.0980392156863</v>
          </cell>
          <cell r="AB177">
            <v>68.102508178844062</v>
          </cell>
          <cell r="AC177">
            <v>108.53523845716487</v>
          </cell>
          <cell r="AD177">
            <v>100.48105310144129</v>
          </cell>
          <cell r="AF177">
            <v>96.535628946796336</v>
          </cell>
          <cell r="AG177">
            <v>104.50814577930308</v>
          </cell>
        </row>
        <row r="178">
          <cell r="A178">
            <v>40354</v>
          </cell>
          <cell r="B178">
            <v>9.1194199999999999</v>
          </cell>
          <cell r="C178">
            <v>50.74</v>
          </cell>
          <cell r="D178">
            <v>59.248469999999998</v>
          </cell>
          <cell r="E178">
            <v>28.112223</v>
          </cell>
          <cell r="F178">
            <v>77.19</v>
          </cell>
          <cell r="G178">
            <v>1.2431287</v>
          </cell>
          <cell r="H178">
            <v>22.74</v>
          </cell>
          <cell r="I178">
            <v>15.8</v>
          </cell>
          <cell r="J178">
            <v>30.844999999999999</v>
          </cell>
          <cell r="K178">
            <v>4.5035242999999996</v>
          </cell>
          <cell r="L178">
            <v>2.7</v>
          </cell>
          <cell r="M178">
            <v>12.71</v>
          </cell>
          <cell r="N178">
            <v>9.0944699999999994</v>
          </cell>
          <cell r="O178">
            <v>10.745467</v>
          </cell>
          <cell r="Q178">
            <v>65.972753617799356</v>
          </cell>
          <cell r="R178">
            <v>84.03444849287844</v>
          </cell>
          <cell r="S178">
            <v>113.72652182492304</v>
          </cell>
          <cell r="T178">
            <v>102.83329600998125</v>
          </cell>
          <cell r="U178">
            <v>103.14003206841261</v>
          </cell>
          <cell r="V178">
            <v>120.36485462244207</v>
          </cell>
          <cell r="W178">
            <v>116.25766871165644</v>
          </cell>
          <cell r="X178">
            <v>44.469462426118774</v>
          </cell>
          <cell r="Y178">
            <v>118.02180983355652</v>
          </cell>
          <cell r="Z178">
            <v>98.767887396224083</v>
          </cell>
          <cell r="AA178">
            <v>132.35294117647058</v>
          </cell>
          <cell r="AB178">
            <v>69.302071973827708</v>
          </cell>
          <cell r="AC178">
            <v>111.27201665641566</v>
          </cell>
          <cell r="AD178">
            <v>101.85698687234724</v>
          </cell>
          <cell r="AF178">
            <v>97.436979012857549</v>
          </cell>
          <cell r="AG178">
            <v>106.56450176438145</v>
          </cell>
        </row>
        <row r="179">
          <cell r="A179">
            <v>40355</v>
          </cell>
          <cell r="B179">
            <v>9.1194199999999999</v>
          </cell>
          <cell r="C179">
            <v>50.74</v>
          </cell>
          <cell r="D179">
            <v>59.248469999999998</v>
          </cell>
          <cell r="E179">
            <v>28.112223</v>
          </cell>
          <cell r="F179">
            <v>77.19</v>
          </cell>
          <cell r="G179">
            <v>1.2431287</v>
          </cell>
          <cell r="H179">
            <v>22.74</v>
          </cell>
          <cell r="I179">
            <v>15.8</v>
          </cell>
          <cell r="J179">
            <v>30.844999999999999</v>
          </cell>
          <cell r="K179">
            <v>4.5035242999999996</v>
          </cell>
          <cell r="L179">
            <v>2.7</v>
          </cell>
          <cell r="M179">
            <v>12.71</v>
          </cell>
          <cell r="N179">
            <v>9.0944699999999994</v>
          </cell>
          <cell r="O179">
            <v>10.745467</v>
          </cell>
          <cell r="Q179">
            <v>65.972753617799356</v>
          </cell>
          <cell r="R179">
            <v>84.03444849287844</v>
          </cell>
          <cell r="S179">
            <v>113.72652182492304</v>
          </cell>
          <cell r="T179">
            <v>102.83329600998125</v>
          </cell>
          <cell r="U179">
            <v>103.14003206841261</v>
          </cell>
          <cell r="V179">
            <v>120.36485462244207</v>
          </cell>
          <cell r="W179">
            <v>116.25766871165644</v>
          </cell>
          <cell r="X179">
            <v>44.469462426118774</v>
          </cell>
          <cell r="Y179">
            <v>118.02180983355652</v>
          </cell>
          <cell r="Z179">
            <v>98.767887396224083</v>
          </cell>
          <cell r="AA179">
            <v>132.35294117647058</v>
          </cell>
          <cell r="AB179">
            <v>69.302071973827708</v>
          </cell>
          <cell r="AC179">
            <v>111.27201665641566</v>
          </cell>
          <cell r="AD179">
            <v>101.85698687234724</v>
          </cell>
          <cell r="AF179">
            <v>97.436979012857549</v>
          </cell>
          <cell r="AG179">
            <v>106.56450176438145</v>
          </cell>
        </row>
        <row r="180">
          <cell r="A180">
            <v>40356</v>
          </cell>
          <cell r="B180">
            <v>9.1194199999999999</v>
          </cell>
          <cell r="C180">
            <v>50.74</v>
          </cell>
          <cell r="D180">
            <v>59.248469999999998</v>
          </cell>
          <cell r="E180">
            <v>28.112223</v>
          </cell>
          <cell r="F180">
            <v>77.19</v>
          </cell>
          <cell r="G180">
            <v>1.2431287</v>
          </cell>
          <cell r="H180">
            <v>22.74</v>
          </cell>
          <cell r="I180">
            <v>15.8</v>
          </cell>
          <cell r="J180">
            <v>30.844999999999999</v>
          </cell>
          <cell r="K180">
            <v>4.5035242999999996</v>
          </cell>
          <cell r="L180">
            <v>2.7</v>
          </cell>
          <cell r="M180">
            <v>12.71</v>
          </cell>
          <cell r="N180">
            <v>9.0944699999999994</v>
          </cell>
          <cell r="O180">
            <v>10.745467</v>
          </cell>
          <cell r="Q180">
            <v>65.972753617799356</v>
          </cell>
          <cell r="R180">
            <v>84.03444849287844</v>
          </cell>
          <cell r="S180">
            <v>113.72652182492304</v>
          </cell>
          <cell r="T180">
            <v>102.83329600998125</v>
          </cell>
          <cell r="U180">
            <v>103.14003206841261</v>
          </cell>
          <cell r="V180">
            <v>120.36485462244207</v>
          </cell>
          <cell r="W180">
            <v>116.25766871165644</v>
          </cell>
          <cell r="X180">
            <v>44.469462426118774</v>
          </cell>
          <cell r="Y180">
            <v>118.02180983355652</v>
          </cell>
          <cell r="Z180">
            <v>98.767887396224083</v>
          </cell>
          <cell r="AA180">
            <v>132.35294117647058</v>
          </cell>
          <cell r="AB180">
            <v>69.302071973827708</v>
          </cell>
          <cell r="AC180">
            <v>111.27201665641566</v>
          </cell>
          <cell r="AD180">
            <v>101.85698687234724</v>
          </cell>
          <cell r="AF180">
            <v>97.436979012857549</v>
          </cell>
          <cell r="AG180">
            <v>106.56450176438145</v>
          </cell>
        </row>
        <row r="181">
          <cell r="A181">
            <v>40357</v>
          </cell>
          <cell r="B181">
            <v>9.1270299999999995</v>
          </cell>
          <cell r="C181">
            <v>51.08</v>
          </cell>
          <cell r="D181">
            <v>58.381892999999998</v>
          </cell>
          <cell r="E181">
            <v>28.305693000000002</v>
          </cell>
          <cell r="F181">
            <v>78</v>
          </cell>
          <cell r="G181">
            <v>1.2610794999999999</v>
          </cell>
          <cell r="H181">
            <v>22.74</v>
          </cell>
          <cell r="I181">
            <v>16.32</v>
          </cell>
          <cell r="J181">
            <v>30.82</v>
          </cell>
          <cell r="K181">
            <v>4.5154779999999999</v>
          </cell>
          <cell r="L181">
            <v>2.4900000000000002</v>
          </cell>
          <cell r="M181">
            <v>12.63</v>
          </cell>
          <cell r="N181">
            <v>9.55593</v>
          </cell>
          <cell r="O181">
            <v>10.961214</v>
          </cell>
          <cell r="Q181">
            <v>66.027806752212683</v>
          </cell>
          <cell r="R181">
            <v>84.597548857237499</v>
          </cell>
          <cell r="S181">
            <v>112.06314067595031</v>
          </cell>
          <cell r="T181">
            <v>103.54100090329585</v>
          </cell>
          <cell r="U181">
            <v>104.22234099412077</v>
          </cell>
          <cell r="V181">
            <v>122.10292521188025</v>
          </cell>
          <cell r="W181">
            <v>116.25766871165644</v>
          </cell>
          <cell r="X181">
            <v>45.933014354066984</v>
          </cell>
          <cell r="Y181">
            <v>117.92615266883489</v>
          </cell>
          <cell r="Z181">
            <v>99.030046899963921</v>
          </cell>
          <cell r="AA181">
            <v>122.05882352941177</v>
          </cell>
          <cell r="AB181">
            <v>68.865866957470018</v>
          </cell>
          <cell r="AC181">
            <v>116.91803943798178</v>
          </cell>
          <cell r="AD181">
            <v>103.90206684390624</v>
          </cell>
          <cell r="AF181">
            <v>96.885528043008435</v>
          </cell>
          <cell r="AG181">
            <v>110.410053140944</v>
          </cell>
        </row>
        <row r="182">
          <cell r="A182">
            <v>40358</v>
          </cell>
          <cell r="B182">
            <v>9.0460410000000007</v>
          </cell>
          <cell r="C182">
            <v>50.05</v>
          </cell>
          <cell r="D182">
            <v>58.002147999999998</v>
          </cell>
          <cell r="E182">
            <v>28.92193</v>
          </cell>
          <cell r="F182">
            <v>76.52</v>
          </cell>
          <cell r="G182">
            <v>1.2406858999999999</v>
          </cell>
          <cell r="H182">
            <v>22.13</v>
          </cell>
          <cell r="I182">
            <v>16.37</v>
          </cell>
          <cell r="J182">
            <v>30.265000000000001</v>
          </cell>
          <cell r="K182">
            <v>4.4888839999999997</v>
          </cell>
          <cell r="L182">
            <v>2.4</v>
          </cell>
          <cell r="M182">
            <v>12.14</v>
          </cell>
          <cell r="N182">
            <v>9.2104540000000004</v>
          </cell>
          <cell r="O182">
            <v>10.819509</v>
          </cell>
          <cell r="Q182">
            <v>65.441906843802727</v>
          </cell>
          <cell r="R182">
            <v>82.89168598873799</v>
          </cell>
          <cell r="S182">
            <v>111.33422602160725</v>
          </cell>
          <cell r="T182">
            <v>105.79516919988707</v>
          </cell>
          <cell r="U182">
            <v>102.24478888295027</v>
          </cell>
          <cell r="V182">
            <v>120.12833263813607</v>
          </cell>
          <cell r="W182">
            <v>113.13905930470347</v>
          </cell>
          <cell r="X182">
            <v>46.073740500985082</v>
          </cell>
          <cell r="Y182">
            <v>115.80256361201452</v>
          </cell>
          <cell r="Z182">
            <v>98.446807414076119</v>
          </cell>
          <cell r="AA182">
            <v>117.64705882352942</v>
          </cell>
          <cell r="AB182">
            <v>66.19411123227917</v>
          </cell>
          <cell r="AC182">
            <v>112.69109589686373</v>
          </cell>
          <cell r="AD182">
            <v>102.55883584940912</v>
          </cell>
          <cell r="AF182">
            <v>95.428287538559104</v>
          </cell>
          <cell r="AG182">
            <v>107.62496587313643</v>
          </cell>
        </row>
        <row r="183">
          <cell r="A183">
            <v>40359</v>
          </cell>
          <cell r="B183">
            <v>8.8096999999999994</v>
          </cell>
          <cell r="C183">
            <v>49.77</v>
          </cell>
          <cell r="D183">
            <v>57.181601999999998</v>
          </cell>
          <cell r="E183">
            <v>30.1616</v>
          </cell>
          <cell r="F183">
            <v>75.349999999999994</v>
          </cell>
          <cell r="G183">
            <v>1.2248406000000001</v>
          </cell>
          <cell r="H183">
            <v>22.17</v>
          </cell>
          <cell r="I183">
            <v>17.2</v>
          </cell>
          <cell r="J183">
            <v>30.405000000000001</v>
          </cell>
          <cell r="K183">
            <v>4.3837336999999996</v>
          </cell>
          <cell r="L183">
            <v>2.37</v>
          </cell>
          <cell r="M183">
            <v>11.92</v>
          </cell>
          <cell r="N183">
            <v>9.4257969999999993</v>
          </cell>
          <cell r="O183">
            <v>11.090153000000001</v>
          </cell>
          <cell r="Q183">
            <v>63.732141687380015</v>
          </cell>
          <cell r="R183">
            <v>82.42795627691288</v>
          </cell>
          <cell r="S183">
            <v>109.75920066521654</v>
          </cell>
          <cell r="T183">
            <v>110.32982844987571</v>
          </cell>
          <cell r="U183">
            <v>100.68145376803848</v>
          </cell>
          <cell r="V183">
            <v>118.59412525401811</v>
          </cell>
          <cell r="W183">
            <v>113.34355828220862</v>
          </cell>
          <cell r="X183">
            <v>48.409794539825498</v>
          </cell>
          <cell r="Y183">
            <v>116.33824373445572</v>
          </cell>
          <cell r="Z183">
            <v>96.140730595510007</v>
          </cell>
          <cell r="AA183">
            <v>116.1764705882353</v>
          </cell>
          <cell r="AB183">
            <v>64.994547437295523</v>
          </cell>
          <cell r="AC183">
            <v>115.32584535261459</v>
          </cell>
          <cell r="AD183">
            <v>105.12428808662501</v>
          </cell>
          <cell r="AF183">
            <v>95.077337606581025</v>
          </cell>
          <cell r="AG183">
            <v>110.2250667196198</v>
          </cell>
        </row>
        <row r="184">
          <cell r="A184">
            <v>40360</v>
          </cell>
          <cell r="B184">
            <v>8.6154349999999997</v>
          </cell>
          <cell r="C184">
            <v>49.31</v>
          </cell>
          <cell r="D184">
            <v>58.120840000000001</v>
          </cell>
          <cell r="E184">
            <v>30.611073999999999</v>
          </cell>
          <cell r="F184">
            <v>75.42</v>
          </cell>
          <cell r="G184">
            <v>1.2951235999999999</v>
          </cell>
          <cell r="H184">
            <v>20.86</v>
          </cell>
          <cell r="I184">
            <v>17.22</v>
          </cell>
          <cell r="J184">
            <v>29.805</v>
          </cell>
          <cell r="K184">
            <v>4.3160819999999998</v>
          </cell>
          <cell r="L184">
            <v>2.25</v>
          </cell>
          <cell r="M184">
            <v>11.68</v>
          </cell>
          <cell r="N184">
            <v>9.3346630000000008</v>
          </cell>
          <cell r="O184">
            <v>11.046480000000001</v>
          </cell>
          <cell r="Q184">
            <v>62.326767553766061</v>
          </cell>
          <cell r="R184">
            <v>81.666114607485923</v>
          </cell>
          <cell r="S184">
            <v>111.56205347991029</v>
          </cell>
          <cell r="T184">
            <v>111.97398490419775</v>
          </cell>
          <cell r="U184">
            <v>100.77498663816141</v>
          </cell>
          <cell r="V184">
            <v>125.39921556962992</v>
          </cell>
          <cell r="W184">
            <v>106.64621676891616</v>
          </cell>
          <cell r="X184">
            <v>48.466084998592734</v>
          </cell>
          <cell r="Y184">
            <v>114.0424717811364</v>
          </cell>
          <cell r="Z184">
            <v>94.657044699163635</v>
          </cell>
          <cell r="AA184">
            <v>110.29411764705883</v>
          </cell>
          <cell r="AB184">
            <v>63.685932388222469</v>
          </cell>
          <cell r="AC184">
            <v>114.21080907606789</v>
          </cell>
          <cell r="AD184">
            <v>104.71030885355157</v>
          </cell>
          <cell r="AF184">
            <v>94.291249253020126</v>
          </cell>
          <cell r="AG184">
            <v>109.46055896480974</v>
          </cell>
        </row>
        <row r="185">
          <cell r="A185">
            <v>40361</v>
          </cell>
          <cell r="B185">
            <v>8.7291720000000002</v>
          </cell>
          <cell r="C185">
            <v>49.2</v>
          </cell>
          <cell r="D185">
            <v>57.471916</v>
          </cell>
          <cell r="E185">
            <v>30.389417999999999</v>
          </cell>
          <cell r="F185">
            <v>74.5</v>
          </cell>
          <cell r="G185">
            <v>1.2928712</v>
          </cell>
          <cell r="H185">
            <v>20.86</v>
          </cell>
          <cell r="I185">
            <v>17.170000000000002</v>
          </cell>
          <cell r="J185">
            <v>30.585000000000001</v>
          </cell>
          <cell r="K185">
            <v>4.4153365999999998</v>
          </cell>
          <cell r="L185">
            <v>2.1800000000000002</v>
          </cell>
          <cell r="M185">
            <v>11.68</v>
          </cell>
          <cell r="N185">
            <v>9.7143820000000005</v>
          </cell>
          <cell r="O185">
            <v>11.244073999999999</v>
          </cell>
          <cell r="Q185">
            <v>63.149576798019282</v>
          </cell>
          <cell r="R185">
            <v>81.483935077840343</v>
          </cell>
          <cell r="S185">
            <v>110.31645389820434</v>
          </cell>
          <cell r="T185">
            <v>111.16317684179768</v>
          </cell>
          <cell r="U185">
            <v>99.545697487974337</v>
          </cell>
          <cell r="V185">
            <v>125.18112889964024</v>
          </cell>
          <cell r="W185">
            <v>106.64621676891616</v>
          </cell>
          <cell r="X185">
            <v>48.325358851674643</v>
          </cell>
          <cell r="Y185">
            <v>117.0269753204515</v>
          </cell>
          <cell r="Z185">
            <v>96.833821486258415</v>
          </cell>
          <cell r="AA185">
            <v>106.86274509803921</v>
          </cell>
          <cell r="AB185">
            <v>63.685932388222469</v>
          </cell>
          <cell r="AC185">
            <v>118.85672015090319</v>
          </cell>
          <cell r="AD185">
            <v>106.58331534680632</v>
          </cell>
          <cell r="AF185">
            <v>94.185084909753201</v>
          </cell>
          <cell r="AG185">
            <v>112.72001774885476</v>
          </cell>
        </row>
        <row r="186">
          <cell r="A186">
            <v>40362</v>
          </cell>
          <cell r="B186">
            <v>8.7291720000000002</v>
          </cell>
          <cell r="C186">
            <v>49.2</v>
          </cell>
          <cell r="D186">
            <v>57.471916</v>
          </cell>
          <cell r="E186">
            <v>30.389417999999999</v>
          </cell>
          <cell r="F186">
            <v>74.5</v>
          </cell>
          <cell r="G186">
            <v>1.2928712</v>
          </cell>
          <cell r="H186">
            <v>20.86</v>
          </cell>
          <cell r="I186">
            <v>17.170000000000002</v>
          </cell>
          <cell r="J186">
            <v>30.585000000000001</v>
          </cell>
          <cell r="K186">
            <v>4.4153365999999998</v>
          </cell>
          <cell r="L186">
            <v>2.1800000000000002</v>
          </cell>
          <cell r="M186">
            <v>11.68</v>
          </cell>
          <cell r="N186">
            <v>9.7143820000000005</v>
          </cell>
          <cell r="O186">
            <v>11.244073999999999</v>
          </cell>
          <cell r="Q186">
            <v>63.149576798019282</v>
          </cell>
          <cell r="R186">
            <v>81.483935077840343</v>
          </cell>
          <cell r="S186">
            <v>110.31645389820434</v>
          </cell>
          <cell r="T186">
            <v>111.16317684179768</v>
          </cell>
          <cell r="U186">
            <v>99.545697487974337</v>
          </cell>
          <cell r="V186">
            <v>125.18112889964024</v>
          </cell>
          <cell r="W186">
            <v>106.64621676891616</v>
          </cell>
          <cell r="X186">
            <v>48.325358851674643</v>
          </cell>
          <cell r="Y186">
            <v>117.0269753204515</v>
          </cell>
          <cell r="Z186">
            <v>96.833821486258415</v>
          </cell>
          <cell r="AA186">
            <v>106.86274509803921</v>
          </cell>
          <cell r="AB186">
            <v>63.685932388222469</v>
          </cell>
          <cell r="AC186">
            <v>118.85672015090319</v>
          </cell>
          <cell r="AD186">
            <v>106.58331534680632</v>
          </cell>
          <cell r="AF186">
            <v>94.185084909753201</v>
          </cell>
          <cell r="AG186">
            <v>112.72001774885476</v>
          </cell>
        </row>
        <row r="187">
          <cell r="A187">
            <v>40363</v>
          </cell>
          <cell r="B187">
            <v>8.7291720000000002</v>
          </cell>
          <cell r="C187">
            <v>49.2</v>
          </cell>
          <cell r="D187">
            <v>57.471916</v>
          </cell>
          <cell r="E187">
            <v>30.389417999999999</v>
          </cell>
          <cell r="F187">
            <v>74.5</v>
          </cell>
          <cell r="G187">
            <v>1.2928712</v>
          </cell>
          <cell r="H187">
            <v>20.86</v>
          </cell>
          <cell r="I187">
            <v>17.170000000000002</v>
          </cell>
          <cell r="J187">
            <v>30.585000000000001</v>
          </cell>
          <cell r="K187">
            <v>4.4153365999999998</v>
          </cell>
          <cell r="L187">
            <v>2.1800000000000002</v>
          </cell>
          <cell r="M187">
            <v>11.68</v>
          </cell>
          <cell r="N187">
            <v>9.7143820000000005</v>
          </cell>
          <cell r="O187">
            <v>11.244073999999999</v>
          </cell>
          <cell r="Q187">
            <v>63.149576798019282</v>
          </cell>
          <cell r="R187">
            <v>81.483935077840343</v>
          </cell>
          <cell r="S187">
            <v>110.31645389820434</v>
          </cell>
          <cell r="T187">
            <v>111.16317684179768</v>
          </cell>
          <cell r="U187">
            <v>99.545697487974337</v>
          </cell>
          <cell r="V187">
            <v>125.18112889964024</v>
          </cell>
          <cell r="W187">
            <v>106.64621676891616</v>
          </cell>
          <cell r="X187">
            <v>48.325358851674643</v>
          </cell>
          <cell r="Y187">
            <v>117.0269753204515</v>
          </cell>
          <cell r="Z187">
            <v>96.833821486258415</v>
          </cell>
          <cell r="AA187">
            <v>106.86274509803921</v>
          </cell>
          <cell r="AB187">
            <v>63.685932388222469</v>
          </cell>
          <cell r="AC187">
            <v>118.85672015090319</v>
          </cell>
          <cell r="AD187">
            <v>106.58331534680632</v>
          </cell>
          <cell r="AF187">
            <v>94.185084909753201</v>
          </cell>
          <cell r="AG187">
            <v>112.72001774885476</v>
          </cell>
        </row>
        <row r="188">
          <cell r="A188">
            <v>40364</v>
          </cell>
          <cell r="B188">
            <v>8.7291720000000002</v>
          </cell>
          <cell r="C188">
            <v>49.2</v>
          </cell>
          <cell r="D188">
            <v>57.471916</v>
          </cell>
          <cell r="E188">
            <v>30.389417999999999</v>
          </cell>
          <cell r="F188">
            <v>74.5</v>
          </cell>
          <cell r="G188">
            <v>1.2928712</v>
          </cell>
          <cell r="H188">
            <v>20.86</v>
          </cell>
          <cell r="I188">
            <v>17.170000000000002</v>
          </cell>
          <cell r="J188">
            <v>30.585000000000001</v>
          </cell>
          <cell r="K188">
            <v>4.4153365999999998</v>
          </cell>
          <cell r="L188">
            <v>2.1800000000000002</v>
          </cell>
          <cell r="M188">
            <v>11.68</v>
          </cell>
          <cell r="N188">
            <v>9.7143820000000005</v>
          </cell>
          <cell r="O188">
            <v>11.244073999999999</v>
          </cell>
          <cell r="Q188">
            <v>63.149576798019282</v>
          </cell>
          <cell r="R188">
            <v>81.483935077840343</v>
          </cell>
          <cell r="S188">
            <v>110.31645389820434</v>
          </cell>
          <cell r="T188">
            <v>111.16317684179768</v>
          </cell>
          <cell r="U188">
            <v>99.545697487974337</v>
          </cell>
          <cell r="V188">
            <v>125.18112889964024</v>
          </cell>
          <cell r="W188">
            <v>106.64621676891616</v>
          </cell>
          <cell r="X188">
            <v>48.325358851674643</v>
          </cell>
          <cell r="Y188">
            <v>117.0269753204515</v>
          </cell>
          <cell r="Z188">
            <v>96.833821486258415</v>
          </cell>
          <cell r="AA188">
            <v>106.86274509803921</v>
          </cell>
          <cell r="AB188">
            <v>63.685932388222469</v>
          </cell>
          <cell r="AC188">
            <v>118.85672015090319</v>
          </cell>
          <cell r="AD188">
            <v>106.58331534680632</v>
          </cell>
          <cell r="AF188">
            <v>94.185084909753201</v>
          </cell>
          <cell r="AG188">
            <v>112.72001774885476</v>
          </cell>
        </row>
        <row r="189">
          <cell r="A189">
            <v>40365</v>
          </cell>
          <cell r="B189">
            <v>8.7475194999999992</v>
          </cell>
          <cell r="C189">
            <v>48.91</v>
          </cell>
          <cell r="D189">
            <v>57.649410000000003</v>
          </cell>
          <cell r="E189">
            <v>30.826422000000001</v>
          </cell>
          <cell r="F189">
            <v>74.2</v>
          </cell>
          <cell r="G189">
            <v>1.3350171</v>
          </cell>
          <cell r="H189">
            <v>20.69</v>
          </cell>
          <cell r="I189">
            <v>17.07</v>
          </cell>
          <cell r="J189">
            <v>30.975000000000001</v>
          </cell>
          <cell r="K189">
            <v>4.4420999999999999</v>
          </cell>
          <cell r="L189">
            <v>2.17</v>
          </cell>
          <cell r="M189">
            <v>11.82</v>
          </cell>
          <cell r="N189">
            <v>10.143654</v>
          </cell>
          <cell r="O189">
            <v>11.447029000000001</v>
          </cell>
          <cell r="Q189">
            <v>63.282308385883688</v>
          </cell>
          <cell r="R189">
            <v>81.003643590592901</v>
          </cell>
          <cell r="S189">
            <v>110.65715088607244</v>
          </cell>
          <cell r="T189">
            <v>112.76171857538972</v>
          </cell>
          <cell r="U189">
            <v>99.144842330304655</v>
          </cell>
          <cell r="V189">
            <v>129.26186899230481</v>
          </cell>
          <cell r="W189">
            <v>105.77709611451944</v>
          </cell>
          <cell r="X189">
            <v>48.043906557838447</v>
          </cell>
          <cell r="Y189">
            <v>118.51922709010904</v>
          </cell>
          <cell r="Z189">
            <v>97.420776124771223</v>
          </cell>
          <cell r="AA189">
            <v>106.37254901960785</v>
          </cell>
          <cell r="AB189">
            <v>64.449291166848425</v>
          </cell>
          <cell r="AC189">
            <v>124.1089185895294</v>
          </cell>
          <cell r="AD189">
            <v>108.50713911088073</v>
          </cell>
          <cell r="AF189">
            <v>94.724531569520238</v>
          </cell>
          <cell r="AG189">
            <v>116.30802885020506</v>
          </cell>
        </row>
        <row r="190">
          <cell r="A190">
            <v>40366</v>
          </cell>
          <cell r="B190">
            <v>8.8324210000000001</v>
          </cell>
          <cell r="C190">
            <v>49.77</v>
          </cell>
          <cell r="D190">
            <v>56.599452999999997</v>
          </cell>
          <cell r="E190">
            <v>30.648489000000001</v>
          </cell>
          <cell r="F190">
            <v>74.989999999999995</v>
          </cell>
          <cell r="G190">
            <v>1.3063875</v>
          </cell>
          <cell r="H190">
            <v>20.81</v>
          </cell>
          <cell r="I190">
            <v>17.28</v>
          </cell>
          <cell r="J190">
            <v>32.01</v>
          </cell>
          <cell r="K190">
            <v>4.4548363999999996</v>
          </cell>
          <cell r="L190">
            <v>2.12</v>
          </cell>
          <cell r="M190">
            <v>12.05</v>
          </cell>
          <cell r="N190">
            <v>9.7186140000000005</v>
          </cell>
          <cell r="O190">
            <v>11.764042</v>
          </cell>
          <cell r="Q190">
            <v>63.896512550324161</v>
          </cell>
          <cell r="R190">
            <v>82.42795627691288</v>
          </cell>
          <cell r="S190">
            <v>108.64177466326481</v>
          </cell>
          <cell r="T190">
            <v>112.11084735617153</v>
          </cell>
          <cell r="U190">
            <v>100.20042757883483</v>
          </cell>
          <cell r="V190">
            <v>126.48983288542493</v>
          </cell>
          <cell r="W190">
            <v>106.39059304703477</v>
          </cell>
          <cell r="X190">
            <v>48.634956374894458</v>
          </cell>
          <cell r="Y190">
            <v>122.47943370958482</v>
          </cell>
          <cell r="Z190">
            <v>97.700101212688097</v>
          </cell>
          <cell r="AA190">
            <v>103.92156862745099</v>
          </cell>
          <cell r="AB190">
            <v>65.703380588876783</v>
          </cell>
          <cell r="AC190">
            <v>118.90849921823641</v>
          </cell>
          <cell r="AD190">
            <v>111.51212614209707</v>
          </cell>
          <cell r="AF190">
            <v>94.883115405955252</v>
          </cell>
          <cell r="AG190">
            <v>115.21031268016674</v>
          </cell>
        </row>
        <row r="191">
          <cell r="A191">
            <v>40367</v>
          </cell>
          <cell r="B191">
            <v>9.0875199999999996</v>
          </cell>
          <cell r="C191">
            <v>49.88</v>
          </cell>
          <cell r="D191">
            <v>56.458897</v>
          </cell>
          <cell r="E191">
            <v>30.171634999999998</v>
          </cell>
          <cell r="F191">
            <v>75.62</v>
          </cell>
          <cell r="G191">
            <v>1.2876156999999999</v>
          </cell>
          <cell r="H191">
            <v>21.19</v>
          </cell>
          <cell r="I191">
            <v>17.03</v>
          </cell>
          <cell r="J191">
            <v>32.5</v>
          </cell>
          <cell r="K191">
            <v>4.5874499999999996</v>
          </cell>
          <cell r="L191">
            <v>2.21</v>
          </cell>
          <cell r="M191">
            <v>12.13</v>
          </cell>
          <cell r="N191">
            <v>9.6115790000000008</v>
          </cell>
          <cell r="O191">
            <v>12.099282000000001</v>
          </cell>
          <cell r="Q191">
            <v>65.741978980771151</v>
          </cell>
          <cell r="R191">
            <v>82.610135806558461</v>
          </cell>
          <cell r="S191">
            <v>108.3719795951116</v>
          </cell>
          <cell r="T191">
            <v>110.36653604590822</v>
          </cell>
          <cell r="U191">
            <v>101.0422234099412</v>
          </cell>
          <cell r="V191">
            <v>124.67226968541065</v>
          </cell>
          <cell r="W191">
            <v>108.33333333333334</v>
          </cell>
          <cell r="X191">
            <v>47.931325640303967</v>
          </cell>
          <cell r="Y191">
            <v>124.35431413812894</v>
          </cell>
          <cell r="Z191">
            <v>100.60848234699394</v>
          </cell>
          <cell r="AA191">
            <v>108.33333333333333</v>
          </cell>
          <cell r="AB191">
            <v>66.139585605234458</v>
          </cell>
          <cell r="AC191">
            <v>117.59891215018084</v>
          </cell>
          <cell r="AD191">
            <v>114.68988810247403</v>
          </cell>
          <cell r="AF191">
            <v>95.708791493419099</v>
          </cell>
          <cell r="AG191">
            <v>116.14440012632744</v>
          </cell>
        </row>
        <row r="192">
          <cell r="A192">
            <v>40368</v>
          </cell>
          <cell r="B192">
            <v>9.2034230000000008</v>
          </cell>
          <cell r="C192">
            <v>49.73</v>
          </cell>
          <cell r="D192">
            <v>56.280726999999999</v>
          </cell>
          <cell r="E192">
            <v>29.575635999999999</v>
          </cell>
          <cell r="F192">
            <v>74.33</v>
          </cell>
          <cell r="G192">
            <v>1.302413</v>
          </cell>
          <cell r="H192">
            <v>21.43</v>
          </cell>
          <cell r="I192">
            <v>17.03</v>
          </cell>
          <cell r="J192">
            <v>32.465000000000003</v>
          </cell>
          <cell r="K192">
            <v>4.6192083000000004</v>
          </cell>
          <cell r="L192">
            <v>2.2000000000000002</v>
          </cell>
          <cell r="M192">
            <v>12.21</v>
          </cell>
          <cell r="N192">
            <v>9.6549759999999996</v>
          </cell>
          <cell r="O192">
            <v>12.153911000000001</v>
          </cell>
          <cell r="Q192">
            <v>66.580457750535444</v>
          </cell>
          <cell r="R192">
            <v>82.361709175223581</v>
          </cell>
          <cell r="S192">
            <v>108.02998503569856</v>
          </cell>
          <cell r="T192">
            <v>108.18639747811683</v>
          </cell>
          <cell r="U192">
            <v>99.31854623196152</v>
          </cell>
          <cell r="V192">
            <v>126.10500538148514</v>
          </cell>
          <cell r="W192">
            <v>109.56032719836402</v>
          </cell>
          <cell r="X192">
            <v>47.931325640303967</v>
          </cell>
          <cell r="Y192">
            <v>124.22039410751866</v>
          </cell>
          <cell r="Z192">
            <v>101.30498135296034</v>
          </cell>
          <cell r="AA192">
            <v>107.84313725490198</v>
          </cell>
          <cell r="AB192">
            <v>66.575790621592162</v>
          </cell>
          <cell r="AC192">
            <v>118.12988005780363</v>
          </cell>
          <cell r="AD192">
            <v>115.2077199785432</v>
          </cell>
          <cell r="AF192">
            <v>95.668171435721845</v>
          </cell>
          <cell r="AG192">
            <v>116.66880001817341</v>
          </cell>
        </row>
        <row r="193">
          <cell r="A193">
            <v>40369</v>
          </cell>
          <cell r="B193">
            <v>9.2034230000000008</v>
          </cell>
          <cell r="C193">
            <v>49.73</v>
          </cell>
          <cell r="D193">
            <v>56.280726999999999</v>
          </cell>
          <cell r="E193">
            <v>29.575635999999999</v>
          </cell>
          <cell r="F193">
            <v>74.33</v>
          </cell>
          <cell r="G193">
            <v>1.302413</v>
          </cell>
          <cell r="H193">
            <v>21.43</v>
          </cell>
          <cell r="I193">
            <v>17.03</v>
          </cell>
          <cell r="J193">
            <v>32.465000000000003</v>
          </cell>
          <cell r="K193">
            <v>4.6192083000000004</v>
          </cell>
          <cell r="L193">
            <v>2.2000000000000002</v>
          </cell>
          <cell r="M193">
            <v>12.21</v>
          </cell>
          <cell r="N193">
            <v>9.6549759999999996</v>
          </cell>
          <cell r="O193">
            <v>12.153911000000001</v>
          </cell>
          <cell r="Q193">
            <v>66.580457750535444</v>
          </cell>
          <cell r="R193">
            <v>82.361709175223581</v>
          </cell>
          <cell r="S193">
            <v>108.02998503569856</v>
          </cell>
          <cell r="T193">
            <v>108.18639747811683</v>
          </cell>
          <cell r="U193">
            <v>99.31854623196152</v>
          </cell>
          <cell r="V193">
            <v>126.10500538148514</v>
          </cell>
          <cell r="W193">
            <v>109.56032719836402</v>
          </cell>
          <cell r="X193">
            <v>47.931325640303967</v>
          </cell>
          <cell r="Y193">
            <v>124.22039410751866</v>
          </cell>
          <cell r="Z193">
            <v>101.30498135296034</v>
          </cell>
          <cell r="AA193">
            <v>107.84313725490198</v>
          </cell>
          <cell r="AB193">
            <v>66.575790621592162</v>
          </cell>
          <cell r="AC193">
            <v>118.12988005780363</v>
          </cell>
          <cell r="AD193">
            <v>115.2077199785432</v>
          </cell>
          <cell r="AF193">
            <v>95.668171435721845</v>
          </cell>
          <cell r="AG193">
            <v>116.66880001817341</v>
          </cell>
        </row>
        <row r="194">
          <cell r="A194">
            <v>40370</v>
          </cell>
          <cell r="B194">
            <v>9.2034230000000008</v>
          </cell>
          <cell r="C194">
            <v>49.73</v>
          </cell>
          <cell r="D194">
            <v>56.280726999999999</v>
          </cell>
          <cell r="E194">
            <v>29.575635999999999</v>
          </cell>
          <cell r="F194">
            <v>74.33</v>
          </cell>
          <cell r="G194">
            <v>1.302413</v>
          </cell>
          <cell r="H194">
            <v>21.43</v>
          </cell>
          <cell r="I194">
            <v>17.03</v>
          </cell>
          <cell r="J194">
            <v>32.465000000000003</v>
          </cell>
          <cell r="K194">
            <v>4.6192083000000004</v>
          </cell>
          <cell r="L194">
            <v>2.2000000000000002</v>
          </cell>
          <cell r="M194">
            <v>12.21</v>
          </cell>
          <cell r="N194">
            <v>9.6549759999999996</v>
          </cell>
          <cell r="O194">
            <v>12.153911000000001</v>
          </cell>
          <cell r="Q194">
            <v>66.580457750535444</v>
          </cell>
          <cell r="R194">
            <v>82.361709175223581</v>
          </cell>
          <cell r="S194">
            <v>108.02998503569856</v>
          </cell>
          <cell r="T194">
            <v>108.18639747811683</v>
          </cell>
          <cell r="U194">
            <v>99.31854623196152</v>
          </cell>
          <cell r="V194">
            <v>126.10500538148514</v>
          </cell>
          <cell r="W194">
            <v>109.56032719836402</v>
          </cell>
          <cell r="X194">
            <v>47.931325640303967</v>
          </cell>
          <cell r="Y194">
            <v>124.22039410751866</v>
          </cell>
          <cell r="Z194">
            <v>101.30498135296034</v>
          </cell>
          <cell r="AA194">
            <v>107.84313725490198</v>
          </cell>
          <cell r="AB194">
            <v>66.575790621592162</v>
          </cell>
          <cell r="AC194">
            <v>118.12988005780363</v>
          </cell>
          <cell r="AD194">
            <v>115.2077199785432</v>
          </cell>
          <cell r="AF194">
            <v>95.668171435721845</v>
          </cell>
          <cell r="AG194">
            <v>116.66880001817341</v>
          </cell>
        </row>
        <row r="195">
          <cell r="A195">
            <v>40371</v>
          </cell>
          <cell r="B195">
            <v>9.1513030000000004</v>
          </cell>
          <cell r="C195">
            <v>49.47</v>
          </cell>
          <cell r="D195">
            <v>56.594180000000001</v>
          </cell>
          <cell r="E195">
            <v>29.166899999999998</v>
          </cell>
          <cell r="F195">
            <v>74.87</v>
          </cell>
          <cell r="G195">
            <v>1.2946154000000001</v>
          </cell>
          <cell r="H195">
            <v>21.44</v>
          </cell>
          <cell r="I195">
            <v>16.93</v>
          </cell>
          <cell r="J195">
            <v>32.674999999999997</v>
          </cell>
          <cell r="K195">
            <v>4.6761670000000004</v>
          </cell>
          <cell r="L195">
            <v>2.14</v>
          </cell>
          <cell r="M195">
            <v>12.67</v>
          </cell>
          <cell r="N195">
            <v>9.5283999999999995</v>
          </cell>
          <cell r="O195">
            <v>11.456769</v>
          </cell>
          <cell r="Q195">
            <v>66.203405271478701</v>
          </cell>
          <cell r="R195">
            <v>81.931103014243121</v>
          </cell>
          <cell r="S195">
            <v>108.63165322131734</v>
          </cell>
          <cell r="T195">
            <v>106.69125886606415</v>
          </cell>
          <cell r="U195">
            <v>100.04008551576698</v>
          </cell>
          <cell r="V195">
            <v>125.35000954685923</v>
          </cell>
          <cell r="W195">
            <v>109.61145194274029</v>
          </cell>
          <cell r="X195">
            <v>47.649873346467771</v>
          </cell>
          <cell r="Y195">
            <v>125.02391429118038</v>
          </cell>
          <cell r="Z195">
            <v>102.55415646406951</v>
          </cell>
          <cell r="AA195">
            <v>104.90196078431373</v>
          </cell>
          <cell r="AB195">
            <v>69.083969465648849</v>
          </cell>
          <cell r="AC195">
            <v>116.58120632747054</v>
          </cell>
          <cell r="AD195">
            <v>108.59946521007554</v>
          </cell>
          <cell r="AF195">
            <v>95.639403477512488</v>
          </cell>
          <cell r="AG195">
            <v>112.59033576877303</v>
          </cell>
        </row>
        <row r="196">
          <cell r="A196">
            <v>40372</v>
          </cell>
          <cell r="B196">
            <v>9.2493759999999998</v>
          </cell>
          <cell r="C196">
            <v>50.51</v>
          </cell>
          <cell r="D196">
            <v>57.220706999999997</v>
          </cell>
          <cell r="E196">
            <v>29.473206000000001</v>
          </cell>
          <cell r="F196">
            <v>75.84</v>
          </cell>
          <cell r="G196">
            <v>1.2922897</v>
          </cell>
          <cell r="H196">
            <v>21.95</v>
          </cell>
          <cell r="I196">
            <v>17.3</v>
          </cell>
          <cell r="J196">
            <v>33.115000000000002</v>
          </cell>
          <cell r="K196">
            <v>4.7124430000000004</v>
          </cell>
          <cell r="L196">
            <v>2.02</v>
          </cell>
          <cell r="M196">
            <v>13.27</v>
          </cell>
          <cell r="N196">
            <v>9.5909569999999995</v>
          </cell>
          <cell r="O196">
            <v>11.703251</v>
          </cell>
          <cell r="Q196">
            <v>66.912896211204952</v>
          </cell>
          <cell r="R196">
            <v>83.653527658164947</v>
          </cell>
          <cell r="S196">
            <v>109.83426210791647</v>
          </cell>
          <cell r="T196">
            <v>107.81171296774204</v>
          </cell>
          <cell r="U196">
            <v>101.33618385889898</v>
          </cell>
          <cell r="V196">
            <v>125.12482566815429</v>
          </cell>
          <cell r="W196">
            <v>112.21881390593047</v>
          </cell>
          <cell r="X196">
            <v>48.691246833661694</v>
          </cell>
          <cell r="Y196">
            <v>126.70748039028123</v>
          </cell>
          <cell r="Z196">
            <v>103.34973424815861</v>
          </cell>
          <cell r="AA196">
            <v>99.019607843137265</v>
          </cell>
          <cell r="AB196">
            <v>72.355507088331521</v>
          </cell>
          <cell r="AC196">
            <v>117.34659931309537</v>
          </cell>
          <cell r="AD196">
            <v>110.93588426364202</v>
          </cell>
          <cell r="AF196">
            <v>96.41798323179853</v>
          </cell>
          <cell r="AG196">
            <v>114.14124178836869</v>
          </cell>
        </row>
        <row r="197">
          <cell r="A197">
            <v>40373</v>
          </cell>
          <cell r="B197">
            <v>9.1785189999999997</v>
          </cell>
          <cell r="C197">
            <v>50.6</v>
          </cell>
          <cell r="D197">
            <v>57.310805999999999</v>
          </cell>
          <cell r="E197">
            <v>29.254508999999999</v>
          </cell>
          <cell r="F197">
            <v>76.290000000000006</v>
          </cell>
          <cell r="G197">
            <v>1.3166987000000001</v>
          </cell>
          <cell r="H197">
            <v>22.04</v>
          </cell>
          <cell r="I197">
            <v>17.920000000000002</v>
          </cell>
          <cell r="J197">
            <v>33.405000000000001</v>
          </cell>
          <cell r="K197">
            <v>4.8187230000000003</v>
          </cell>
          <cell r="L197">
            <v>2.15</v>
          </cell>
          <cell r="M197">
            <v>13.07</v>
          </cell>
          <cell r="N197">
            <v>9.6034000000000006</v>
          </cell>
          <cell r="O197">
            <v>11.331445</v>
          </cell>
          <cell r="Q197">
            <v>66.400294378731346</v>
          </cell>
          <cell r="R197">
            <v>83.802583636965878</v>
          </cell>
          <cell r="S197">
            <v>110.00720574494042</v>
          </cell>
          <cell r="T197">
            <v>107.01172879937886</v>
          </cell>
          <cell r="U197">
            <v>101.93746659540352</v>
          </cell>
          <cell r="V197">
            <v>127.48820585274756</v>
          </cell>
          <cell r="W197">
            <v>112.67893660531698</v>
          </cell>
          <cell r="X197">
            <v>50.4362510554461</v>
          </cell>
          <cell r="Y197">
            <v>127.81710350105222</v>
          </cell>
          <cell r="Z197">
            <v>105.68058679234731</v>
          </cell>
          <cell r="AA197">
            <v>105.3921568627451</v>
          </cell>
          <cell r="AB197">
            <v>71.264994547437297</v>
          </cell>
          <cell r="AC197">
            <v>117.49884102737403</v>
          </cell>
          <cell r="AD197">
            <v>107.41151078959386</v>
          </cell>
          <cell r="AF197">
            <v>97.493126197709373</v>
          </cell>
          <cell r="AG197">
            <v>112.45517590848394</v>
          </cell>
        </row>
        <row r="198">
          <cell r="A198">
            <v>40374</v>
          </cell>
          <cell r="B198">
            <v>9.0914169999999999</v>
          </cell>
          <cell r="C198">
            <v>50.7</v>
          </cell>
          <cell r="D198">
            <v>56.260722999999999</v>
          </cell>
          <cell r="E198">
            <v>29.228131999999999</v>
          </cell>
          <cell r="F198">
            <v>76.58</v>
          </cell>
          <cell r="G198">
            <v>1.3019128</v>
          </cell>
          <cell r="H198">
            <v>21.35</v>
          </cell>
          <cell r="I198">
            <v>18.149999999999999</v>
          </cell>
          <cell r="J198">
            <v>33.42</v>
          </cell>
          <cell r="K198">
            <v>4.7475452000000002</v>
          </cell>
          <cell r="L198">
            <v>2.14</v>
          </cell>
          <cell r="M198">
            <v>13.08</v>
          </cell>
          <cell r="N198">
            <v>9.6139720000000004</v>
          </cell>
          <cell r="O198">
            <v>11.303905500000001</v>
          </cell>
          <cell r="Q198">
            <v>65.770171104924728</v>
          </cell>
          <cell r="R198">
            <v>83.96820139118914</v>
          </cell>
          <cell r="S198">
            <v>107.99158766708152</v>
          </cell>
          <cell r="T198">
            <v>106.91524287406247</v>
          </cell>
          <cell r="U198">
            <v>102.32495991448423</v>
          </cell>
          <cell r="V198">
            <v>126.05657395175294</v>
          </cell>
          <cell r="W198">
            <v>109.1513292433538</v>
          </cell>
          <cell r="X198">
            <v>51.083591331269339</v>
          </cell>
          <cell r="Y198">
            <v>127.87449779988521</v>
          </cell>
          <cell r="Z198">
            <v>104.11956913879297</v>
          </cell>
          <cell r="AA198">
            <v>104.90196078431373</v>
          </cell>
          <cell r="AB198">
            <v>71.319520174482008</v>
          </cell>
          <cell r="AC198">
            <v>117.62819081467242</v>
          </cell>
          <cell r="AD198">
            <v>107.15046206179349</v>
          </cell>
          <cell r="AF198">
            <v>96.789767114632681</v>
          </cell>
          <cell r="AG198">
            <v>112.38932643823296</v>
          </cell>
        </row>
        <row r="199">
          <cell r="A199">
            <v>40375</v>
          </cell>
          <cell r="B199">
            <v>8.9395199999999999</v>
          </cell>
          <cell r="C199">
            <v>49.29</v>
          </cell>
          <cell r="D199">
            <v>56.124516</v>
          </cell>
          <cell r="E199">
            <v>29.508766000000001</v>
          </cell>
          <cell r="F199">
            <v>75.03</v>
          </cell>
          <cell r="G199">
            <v>1.3092337000000001</v>
          </cell>
          <cell r="H199">
            <v>20.8</v>
          </cell>
          <cell r="I199">
            <v>17.64</v>
          </cell>
          <cell r="J199">
            <v>33.229999999999997</v>
          </cell>
          <cell r="K199">
            <v>4.7141999999999999</v>
          </cell>
          <cell r="L199">
            <v>2.09</v>
          </cell>
          <cell r="M199">
            <v>12.15</v>
          </cell>
          <cell r="N199">
            <v>9.5031909999999993</v>
          </cell>
          <cell r="O199">
            <v>11.24638</v>
          </cell>
          <cell r="Q199">
            <v>64.671300413994501</v>
          </cell>
          <cell r="R199">
            <v>81.632991056641274</v>
          </cell>
          <cell r="S199">
            <v>107.73014043716644</v>
          </cell>
          <cell r="T199">
            <v>107.94178990993599</v>
          </cell>
          <cell r="U199">
            <v>100.2538749331908</v>
          </cell>
          <cell r="V199">
            <v>126.76541372369725</v>
          </cell>
          <cell r="W199">
            <v>106.3394683026585</v>
          </cell>
          <cell r="X199">
            <v>49.648184632704755</v>
          </cell>
          <cell r="Y199">
            <v>127.14750334800075</v>
          </cell>
          <cell r="Z199">
            <v>103.38826744274026</v>
          </cell>
          <cell r="AA199">
            <v>102.45098039215685</v>
          </cell>
          <cell r="AB199">
            <v>66.248636859323881</v>
          </cell>
          <cell r="AC199">
            <v>116.27277095213897</v>
          </cell>
          <cell r="AD199">
            <v>106.60517407213929</v>
          </cell>
          <cell r="AF199">
            <v>95.351545954350925</v>
          </cell>
          <cell r="AG199">
            <v>111.43897251213913</v>
          </cell>
        </row>
        <row r="200">
          <cell r="A200">
            <v>40376</v>
          </cell>
          <cell r="B200">
            <v>8.9395199999999999</v>
          </cell>
          <cell r="C200">
            <v>49.29</v>
          </cell>
          <cell r="D200">
            <v>56.124516</v>
          </cell>
          <cell r="E200">
            <v>29.508766000000001</v>
          </cell>
          <cell r="F200">
            <v>75.03</v>
          </cell>
          <cell r="G200">
            <v>1.3092337000000001</v>
          </cell>
          <cell r="H200">
            <v>20.8</v>
          </cell>
          <cell r="I200">
            <v>17.64</v>
          </cell>
          <cell r="J200">
            <v>33.229999999999997</v>
          </cell>
          <cell r="K200">
            <v>4.7141999999999999</v>
          </cell>
          <cell r="L200">
            <v>2.09</v>
          </cell>
          <cell r="M200">
            <v>12.15</v>
          </cell>
          <cell r="N200">
            <v>9.5031909999999993</v>
          </cell>
          <cell r="O200">
            <v>11.24638</v>
          </cell>
          <cell r="Q200">
            <v>64.671300413994501</v>
          </cell>
          <cell r="R200">
            <v>81.632991056641274</v>
          </cell>
          <cell r="S200">
            <v>107.73014043716644</v>
          </cell>
          <cell r="T200">
            <v>107.94178990993599</v>
          </cell>
          <cell r="U200">
            <v>100.2538749331908</v>
          </cell>
          <cell r="V200">
            <v>126.76541372369725</v>
          </cell>
          <cell r="W200">
            <v>106.3394683026585</v>
          </cell>
          <cell r="X200">
            <v>49.648184632704755</v>
          </cell>
          <cell r="Y200">
            <v>127.14750334800075</v>
          </cell>
          <cell r="Z200">
            <v>103.38826744274026</v>
          </cell>
          <cell r="AA200">
            <v>102.45098039215685</v>
          </cell>
          <cell r="AB200">
            <v>66.248636859323881</v>
          </cell>
          <cell r="AC200">
            <v>116.27277095213897</v>
          </cell>
          <cell r="AD200">
            <v>106.60517407213929</v>
          </cell>
          <cell r="AF200">
            <v>95.351545954350925</v>
          </cell>
          <cell r="AG200">
            <v>111.43897251213913</v>
          </cell>
        </row>
        <row r="201">
          <cell r="A201">
            <v>40377</v>
          </cell>
          <cell r="B201">
            <v>8.9395199999999999</v>
          </cell>
          <cell r="C201">
            <v>49.29</v>
          </cell>
          <cell r="D201">
            <v>56.124516</v>
          </cell>
          <cell r="E201">
            <v>29.508766000000001</v>
          </cell>
          <cell r="F201">
            <v>75.03</v>
          </cell>
          <cell r="G201">
            <v>1.3092337000000001</v>
          </cell>
          <cell r="H201">
            <v>20.8</v>
          </cell>
          <cell r="I201">
            <v>17.64</v>
          </cell>
          <cell r="J201">
            <v>33.229999999999997</v>
          </cell>
          <cell r="K201">
            <v>4.7141999999999999</v>
          </cell>
          <cell r="L201">
            <v>2.09</v>
          </cell>
          <cell r="M201">
            <v>12.15</v>
          </cell>
          <cell r="N201">
            <v>9.5031909999999993</v>
          </cell>
          <cell r="O201">
            <v>11.24638</v>
          </cell>
          <cell r="Q201">
            <v>64.671300413994501</v>
          </cell>
          <cell r="R201">
            <v>81.632991056641274</v>
          </cell>
          <cell r="S201">
            <v>107.73014043716644</v>
          </cell>
          <cell r="T201">
            <v>107.94178990993599</v>
          </cell>
          <cell r="U201">
            <v>100.2538749331908</v>
          </cell>
          <cell r="V201">
            <v>126.76541372369725</v>
          </cell>
          <cell r="W201">
            <v>106.3394683026585</v>
          </cell>
          <cell r="X201">
            <v>49.648184632704755</v>
          </cell>
          <cell r="Y201">
            <v>127.14750334800075</v>
          </cell>
          <cell r="Z201">
            <v>103.38826744274026</v>
          </cell>
          <cell r="AA201">
            <v>102.45098039215685</v>
          </cell>
          <cell r="AB201">
            <v>66.248636859323881</v>
          </cell>
          <cell r="AC201">
            <v>116.27277095213897</v>
          </cell>
          <cell r="AD201">
            <v>106.60517407213929</v>
          </cell>
          <cell r="AF201">
            <v>95.351545954350925</v>
          </cell>
          <cell r="AG201">
            <v>111.43897251213913</v>
          </cell>
        </row>
        <row r="202">
          <cell r="A202">
            <v>40378</v>
          </cell>
          <cell r="B202">
            <v>8.8709439999999997</v>
          </cell>
          <cell r="C202">
            <v>49.42</v>
          </cell>
          <cell r="D202">
            <v>55.956153999999998</v>
          </cell>
          <cell r="E202">
            <v>29.420245999999999</v>
          </cell>
          <cell r="F202">
            <v>75.27</v>
          </cell>
          <cell r="G202">
            <v>1.3060039000000001</v>
          </cell>
          <cell r="H202">
            <v>20.69</v>
          </cell>
          <cell r="I202">
            <v>16.97</v>
          </cell>
          <cell r="J202">
            <v>32.354999999999997</v>
          </cell>
          <cell r="K202">
            <v>5.1508713000000004</v>
          </cell>
          <cell r="L202">
            <v>2.04</v>
          </cell>
          <cell r="M202">
            <v>12</v>
          </cell>
          <cell r="N202">
            <v>9.4408340000000006</v>
          </cell>
          <cell r="O202">
            <v>11.211340999999999</v>
          </cell>
          <cell r="Q202">
            <v>64.175200053215619</v>
          </cell>
          <cell r="R202">
            <v>81.848294137131504</v>
          </cell>
          <cell r="S202">
            <v>107.40697218206232</v>
          </cell>
          <cell r="T202">
            <v>107.61798757801782</v>
          </cell>
          <cell r="U202">
            <v>100.57455905932655</v>
          </cell>
          <cell r="V202">
            <v>126.45269114922885</v>
          </cell>
          <cell r="W202">
            <v>105.77709611451944</v>
          </cell>
          <cell r="X202">
            <v>47.762454264002244</v>
          </cell>
          <cell r="Y202">
            <v>123.79950258274344</v>
          </cell>
          <cell r="Z202">
            <v>112.96501199090731</v>
          </cell>
          <cell r="AA202">
            <v>100</v>
          </cell>
          <cell r="AB202">
            <v>65.430752453653213</v>
          </cell>
          <cell r="AC202">
            <v>115.50982499238059</v>
          </cell>
          <cell r="AD202">
            <v>106.27303709167859</v>
          </cell>
          <cell r="AF202">
            <v>95.317543463734026</v>
          </cell>
          <cell r="AG202">
            <v>110.89143104202958</v>
          </cell>
        </row>
        <row r="203">
          <cell r="A203">
            <v>40379</v>
          </cell>
          <cell r="B203">
            <v>8.7862790000000004</v>
          </cell>
          <cell r="C203">
            <v>49.95</v>
          </cell>
          <cell r="D203">
            <v>56.940936999999998</v>
          </cell>
          <cell r="E203">
            <v>30.360838000000001</v>
          </cell>
          <cell r="F203">
            <v>76.8</v>
          </cell>
          <cell r="G203">
            <v>1.3316353999999999</v>
          </cell>
          <cell r="H203">
            <v>21.29</v>
          </cell>
          <cell r="I203">
            <v>17.5</v>
          </cell>
          <cell r="J203">
            <v>32.33</v>
          </cell>
          <cell r="K203">
            <v>5.1946792999999998</v>
          </cell>
          <cell r="L203">
            <v>2</v>
          </cell>
          <cell r="M203">
            <v>12.23</v>
          </cell>
          <cell r="N203">
            <v>9.4895840000000007</v>
          </cell>
          <cell r="O203">
            <v>11.230276999999999</v>
          </cell>
          <cell r="Q203">
            <v>63.56270680418762</v>
          </cell>
          <cell r="R203">
            <v>82.726068234514742</v>
          </cell>
          <cell r="S203">
            <v>109.2972479198546</v>
          </cell>
          <cell r="T203">
            <v>111.05863243775092</v>
          </cell>
          <cell r="U203">
            <v>102.618920363442</v>
          </cell>
          <cell r="V203">
            <v>128.93443883251788</v>
          </cell>
          <cell r="W203">
            <v>108.84458077709611</v>
          </cell>
          <cell r="X203">
            <v>49.254151421334079</v>
          </cell>
          <cell r="Y203">
            <v>123.7038454180218</v>
          </cell>
          <cell r="Z203">
            <v>113.92577589997597</v>
          </cell>
          <cell r="AA203">
            <v>98.039215686274503</v>
          </cell>
          <cell r="AB203">
            <v>66.68484187568157</v>
          </cell>
          <cell r="AC203">
            <v>116.10628754731785</v>
          </cell>
          <cell r="AD203">
            <v>106.4525326783678</v>
          </cell>
          <cell r="AF203">
            <v>96.55420213922099</v>
          </cell>
          <cell r="AG203">
            <v>111.27941011284283</v>
          </cell>
        </row>
        <row r="204">
          <cell r="A204">
            <v>40380</v>
          </cell>
          <cell r="B204">
            <v>8.9704484999999998</v>
          </cell>
          <cell r="C204">
            <v>46.7</v>
          </cell>
          <cell r="D204">
            <v>56.77908</v>
          </cell>
          <cell r="E204">
            <v>30.282174999999999</v>
          </cell>
          <cell r="F204">
            <v>75.95</v>
          </cell>
          <cell r="G204">
            <v>1.3462379</v>
          </cell>
          <cell r="H204">
            <v>20.88</v>
          </cell>
          <cell r="I204">
            <v>16.98</v>
          </cell>
          <cell r="J204">
            <v>31.594999999999999</v>
          </cell>
          <cell r="K204">
            <v>5.2305564999999996</v>
          </cell>
          <cell r="L204">
            <v>2</v>
          </cell>
          <cell r="M204">
            <v>11.96</v>
          </cell>
          <cell r="N204">
            <v>9.5495649999999994</v>
          </cell>
          <cell r="O204">
            <v>11.166512000000001</v>
          </cell>
          <cell r="Q204">
            <v>64.895046914349592</v>
          </cell>
          <cell r="R204">
            <v>77.343491222259033</v>
          </cell>
          <cell r="S204">
            <v>108.98656591164382</v>
          </cell>
          <cell r="T204">
            <v>110.77088658556293</v>
          </cell>
          <cell r="U204">
            <v>101.48316408337787</v>
          </cell>
          <cell r="V204">
            <v>130.3483131881049</v>
          </cell>
          <cell r="W204">
            <v>106.74846625766872</v>
          </cell>
          <cell r="X204">
            <v>47.790599493385869</v>
          </cell>
          <cell r="Y204">
            <v>120.89152477520567</v>
          </cell>
          <cell r="Z204">
            <v>114.71260750421352</v>
          </cell>
          <cell r="AA204">
            <v>98.039215686274503</v>
          </cell>
          <cell r="AB204">
            <v>65.212649945474382</v>
          </cell>
          <cell r="AC204">
            <v>116.84016283978329</v>
          </cell>
          <cell r="AD204">
            <v>105.84810005874179</v>
          </cell>
          <cell r="AF204">
            <v>95.601877630626745</v>
          </cell>
          <cell r="AG204">
            <v>111.34413144926253</v>
          </cell>
        </row>
        <row r="205">
          <cell r="A205">
            <v>40381</v>
          </cell>
          <cell r="B205">
            <v>8.8689640000000001</v>
          </cell>
          <cell r="C205">
            <v>44.56</v>
          </cell>
          <cell r="D205">
            <v>56.279792999999998</v>
          </cell>
          <cell r="E205">
            <v>29.610061999999999</v>
          </cell>
          <cell r="F205">
            <v>72.239999999999995</v>
          </cell>
          <cell r="G205">
            <v>1.3545004</v>
          </cell>
          <cell r="H205">
            <v>20.93</v>
          </cell>
          <cell r="I205">
            <v>17.100000000000001</v>
          </cell>
          <cell r="J205">
            <v>32.145000000000003</v>
          </cell>
          <cell r="K205">
            <v>5.3178099999999997</v>
          </cell>
          <cell r="L205">
            <v>1.96</v>
          </cell>
          <cell r="M205">
            <v>12.44</v>
          </cell>
          <cell r="N205">
            <v>9.7076360000000008</v>
          </cell>
          <cell r="O205">
            <v>11.4618225</v>
          </cell>
          <cell r="Q205">
            <v>64.160876110227662</v>
          </cell>
          <cell r="R205">
            <v>73.799271281881417</v>
          </cell>
          <cell r="S205">
            <v>108.02819223714386</v>
          </cell>
          <cell r="T205">
            <v>108.31232629735106</v>
          </cell>
          <cell r="U205">
            <v>96.525921966862626</v>
          </cell>
          <cell r="V205">
            <v>131.14832256068064</v>
          </cell>
          <cell r="W205">
            <v>107.00408997955012</v>
          </cell>
          <cell r="X205">
            <v>48.128342245989309</v>
          </cell>
          <cell r="Y205">
            <v>122.9959823990817</v>
          </cell>
          <cell r="Z205">
            <v>116.62618524663327</v>
          </cell>
          <cell r="AA205">
            <v>96.078431372549005</v>
          </cell>
          <cell r="AB205">
            <v>67.829880043620491</v>
          </cell>
          <cell r="AC205">
            <v>118.77418196842922</v>
          </cell>
          <cell r="AD205">
            <v>108.64736766821528</v>
          </cell>
          <cell r="AF205">
            <v>95.053151811797591</v>
          </cell>
          <cell r="AG205">
            <v>113.71077481832225</v>
          </cell>
        </row>
        <row r="206">
          <cell r="A206">
            <v>40382</v>
          </cell>
          <cell r="B206">
            <v>9.0030819999999991</v>
          </cell>
          <cell r="C206">
            <v>44.71</v>
          </cell>
          <cell r="D206">
            <v>57.509450000000001</v>
          </cell>
          <cell r="E206">
            <v>29.76286</v>
          </cell>
          <cell r="F206">
            <v>72.959999999999994</v>
          </cell>
          <cell r="G206">
            <v>1.3332362</v>
          </cell>
          <cell r="H206">
            <v>21.03</v>
          </cell>
          <cell r="I206">
            <v>17.52</v>
          </cell>
          <cell r="J206">
            <v>32.840000000000003</v>
          </cell>
          <cell r="K206">
            <v>5.355359</v>
          </cell>
          <cell r="L206">
            <v>1.99</v>
          </cell>
          <cell r="M206">
            <v>13.16</v>
          </cell>
          <cell r="N206">
            <v>9.6208430000000007</v>
          </cell>
          <cell r="O206">
            <v>11.363379</v>
          </cell>
          <cell r="Q206">
            <v>65.13112792116651</v>
          </cell>
          <cell r="R206">
            <v>74.047697913216297</v>
          </cell>
          <cell r="S206">
            <v>110.38849983070148</v>
          </cell>
          <cell r="T206">
            <v>108.87125477354212</v>
          </cell>
          <cell r="U206">
            <v>97.487974345269905</v>
          </cell>
          <cell r="V206">
            <v>129.08943489952173</v>
          </cell>
          <cell r="W206">
            <v>107.5153374233129</v>
          </cell>
          <cell r="X206">
            <v>49.310441880101322</v>
          </cell>
          <cell r="Y206">
            <v>125.65525157834323</v>
          </cell>
          <cell r="Z206">
            <v>117.44968150351831</v>
          </cell>
          <cell r="AA206">
            <v>97.549019607843135</v>
          </cell>
          <cell r="AB206">
            <v>71.755725190839698</v>
          </cell>
          <cell r="AC206">
            <v>117.71225838831292</v>
          </cell>
          <cell r="AD206">
            <v>107.71421527128659</v>
          </cell>
          <cell r="AF206">
            <v>96.187620572281375</v>
          </cell>
          <cell r="AG206">
            <v>112.71323682979975</v>
          </cell>
        </row>
        <row r="207">
          <cell r="A207">
            <v>40383</v>
          </cell>
          <cell r="B207">
            <v>9.0030819999999991</v>
          </cell>
          <cell r="C207">
            <v>44.71</v>
          </cell>
          <cell r="D207">
            <v>57.509450000000001</v>
          </cell>
          <cell r="E207">
            <v>29.76286</v>
          </cell>
          <cell r="F207">
            <v>72.959999999999994</v>
          </cell>
          <cell r="G207">
            <v>1.3332362</v>
          </cell>
          <cell r="H207">
            <v>21.03</v>
          </cell>
          <cell r="I207">
            <v>17.52</v>
          </cell>
          <cell r="J207">
            <v>32.840000000000003</v>
          </cell>
          <cell r="K207">
            <v>5.355359</v>
          </cell>
          <cell r="L207">
            <v>1.99</v>
          </cell>
          <cell r="M207">
            <v>13.16</v>
          </cell>
          <cell r="N207">
            <v>9.6208430000000007</v>
          </cell>
          <cell r="O207">
            <v>11.363379</v>
          </cell>
          <cell r="Q207">
            <v>65.13112792116651</v>
          </cell>
          <cell r="R207">
            <v>74.047697913216297</v>
          </cell>
          <cell r="S207">
            <v>110.38849983070148</v>
          </cell>
          <cell r="T207">
            <v>108.87125477354212</v>
          </cell>
          <cell r="U207">
            <v>97.487974345269905</v>
          </cell>
          <cell r="V207">
            <v>129.08943489952173</v>
          </cell>
          <cell r="W207">
            <v>107.5153374233129</v>
          </cell>
          <cell r="X207">
            <v>49.310441880101322</v>
          </cell>
          <cell r="Y207">
            <v>125.65525157834323</v>
          </cell>
          <cell r="Z207">
            <v>117.44968150351831</v>
          </cell>
          <cell r="AA207">
            <v>97.549019607843135</v>
          </cell>
          <cell r="AB207">
            <v>71.755725190839698</v>
          </cell>
          <cell r="AC207">
            <v>117.71225838831292</v>
          </cell>
          <cell r="AD207">
            <v>107.71421527128659</v>
          </cell>
          <cell r="AF207">
            <v>96.187620572281375</v>
          </cell>
          <cell r="AG207">
            <v>112.71323682979975</v>
          </cell>
        </row>
        <row r="208">
          <cell r="A208">
            <v>40384</v>
          </cell>
          <cell r="B208">
            <v>9.0030819999999991</v>
          </cell>
          <cell r="C208">
            <v>44.71</v>
          </cell>
          <cell r="D208">
            <v>57.509450000000001</v>
          </cell>
          <cell r="E208">
            <v>29.76286</v>
          </cell>
          <cell r="F208">
            <v>72.959999999999994</v>
          </cell>
          <cell r="G208">
            <v>1.3332362</v>
          </cell>
          <cell r="H208">
            <v>21.03</v>
          </cell>
          <cell r="I208">
            <v>17.52</v>
          </cell>
          <cell r="J208">
            <v>32.840000000000003</v>
          </cell>
          <cell r="K208">
            <v>5.355359</v>
          </cell>
          <cell r="L208">
            <v>1.99</v>
          </cell>
          <cell r="M208">
            <v>13.16</v>
          </cell>
          <cell r="N208">
            <v>9.6208430000000007</v>
          </cell>
          <cell r="O208">
            <v>11.363379</v>
          </cell>
          <cell r="Q208">
            <v>65.13112792116651</v>
          </cell>
          <cell r="R208">
            <v>74.047697913216297</v>
          </cell>
          <cell r="S208">
            <v>110.38849983070148</v>
          </cell>
          <cell r="T208">
            <v>108.87125477354212</v>
          </cell>
          <cell r="U208">
            <v>97.487974345269905</v>
          </cell>
          <cell r="V208">
            <v>129.08943489952173</v>
          </cell>
          <cell r="W208">
            <v>107.5153374233129</v>
          </cell>
          <cell r="X208">
            <v>49.310441880101322</v>
          </cell>
          <cell r="Y208">
            <v>125.65525157834323</v>
          </cell>
          <cell r="Z208">
            <v>117.44968150351831</v>
          </cell>
          <cell r="AA208">
            <v>97.549019607843135</v>
          </cell>
          <cell r="AB208">
            <v>71.755725190839698</v>
          </cell>
          <cell r="AC208">
            <v>117.71225838831292</v>
          </cell>
          <cell r="AD208">
            <v>107.71421527128659</v>
          </cell>
          <cell r="AF208">
            <v>96.187620572281375</v>
          </cell>
          <cell r="AG208">
            <v>112.71323682979975</v>
          </cell>
        </row>
        <row r="209">
          <cell r="A209">
            <v>40385</v>
          </cell>
          <cell r="B209">
            <v>9.1762379999999997</v>
          </cell>
          <cell r="C209">
            <v>45.65</v>
          </cell>
          <cell r="D209">
            <v>57.657035999999998</v>
          </cell>
          <cell r="E209">
            <v>29.734065999999999</v>
          </cell>
          <cell r="F209">
            <v>74.400000000000006</v>
          </cell>
          <cell r="G209">
            <v>1.3711686999999999</v>
          </cell>
          <cell r="H209">
            <v>21.59</v>
          </cell>
          <cell r="I209">
            <v>17.899999999999999</v>
          </cell>
          <cell r="J209">
            <v>32.344999999999999</v>
          </cell>
          <cell r="K209">
            <v>5.3745250000000002</v>
          </cell>
          <cell r="L209">
            <v>2.08</v>
          </cell>
          <cell r="M209">
            <v>14.57</v>
          </cell>
          <cell r="N209">
            <v>9.4557979999999997</v>
          </cell>
          <cell r="O209">
            <v>11.31873</v>
          </cell>
          <cell r="Q209">
            <v>66.383792907036636</v>
          </cell>
          <cell r="R209">
            <v>75.60450480291486</v>
          </cell>
          <cell r="S209">
            <v>110.6717888751283</v>
          </cell>
          <cell r="T209">
            <v>108.76592756674985</v>
          </cell>
          <cell r="U209">
            <v>99.412079102084448</v>
          </cell>
          <cell r="V209">
            <v>132.7622162036343</v>
          </cell>
          <cell r="W209">
            <v>110.37832310838446</v>
          </cell>
          <cell r="X209">
            <v>50.379960596678849</v>
          </cell>
          <cell r="Y209">
            <v>123.76123971685477</v>
          </cell>
          <cell r="Z209">
            <v>117.87001571373588</v>
          </cell>
          <cell r="AA209">
            <v>101.96078431372548</v>
          </cell>
          <cell r="AB209">
            <v>79.443838604143949</v>
          </cell>
          <cell r="AC209">
            <v>115.6929114677053</v>
          </cell>
          <cell r="AD209">
            <v>107.29098447016243</v>
          </cell>
          <cell r="AF209">
            <v>98.116205959255993</v>
          </cell>
          <cell r="AG209">
            <v>111.49194796893386</v>
          </cell>
        </row>
        <row r="210">
          <cell r="A210">
            <v>40386</v>
          </cell>
          <cell r="B210">
            <v>9.2942049999999998</v>
          </cell>
          <cell r="C210">
            <v>46.17</v>
          </cell>
          <cell r="D210">
            <v>56.055087999999998</v>
          </cell>
          <cell r="E210">
            <v>29.729115</v>
          </cell>
          <cell r="F210">
            <v>74.510000000000005</v>
          </cell>
          <cell r="G210">
            <v>1.4391659999999999</v>
          </cell>
          <cell r="H210">
            <v>21.55</v>
          </cell>
          <cell r="I210">
            <v>17.86</v>
          </cell>
          <cell r="J210">
            <v>31.995000000000001</v>
          </cell>
          <cell r="K210">
            <v>5.4050760000000002</v>
          </cell>
          <cell r="L210">
            <v>2.08</v>
          </cell>
          <cell r="M210">
            <v>14.43</v>
          </cell>
          <cell r="N210">
            <v>9.5089854999999996</v>
          </cell>
          <cell r="O210">
            <v>11.399463000000001</v>
          </cell>
          <cell r="Q210">
            <v>67.237203302218674</v>
          </cell>
          <cell r="R210">
            <v>76.465717124875781</v>
          </cell>
          <cell r="S210">
            <v>107.59687446494368</v>
          </cell>
          <cell r="T210">
            <v>108.74781702285776</v>
          </cell>
          <cell r="U210">
            <v>99.559059326563343</v>
          </cell>
          <cell r="V210">
            <v>139.34599560573369</v>
          </cell>
          <cell r="W210">
            <v>110.17382413087935</v>
          </cell>
          <cell r="X210">
            <v>50.267379679144383</v>
          </cell>
          <cell r="Y210">
            <v>122.42203941075186</v>
          </cell>
          <cell r="Z210">
            <v>118.54003712959499</v>
          </cell>
          <cell r="AA210">
            <v>101.96078431372548</v>
          </cell>
          <cell r="AB210">
            <v>78.680479825517992</v>
          </cell>
          <cell r="AC210">
            <v>116.34366740905352</v>
          </cell>
          <cell r="AD210">
            <v>108.05625787532622</v>
          </cell>
          <cell r="AF210">
            <v>98.416434278067243</v>
          </cell>
          <cell r="AG210">
            <v>112.19996264218987</v>
          </cell>
        </row>
        <row r="211">
          <cell r="A211">
            <v>40387</v>
          </cell>
          <cell r="B211">
            <v>9.2877200000000002</v>
          </cell>
          <cell r="C211">
            <v>46.44</v>
          </cell>
          <cell r="D211">
            <v>57.110219999999998</v>
          </cell>
          <cell r="E211">
            <v>30.142776000000001</v>
          </cell>
          <cell r="F211">
            <v>73.63</v>
          </cell>
          <cell r="G211">
            <v>1.4276823999999999</v>
          </cell>
          <cell r="H211">
            <v>21.18</v>
          </cell>
          <cell r="I211">
            <v>17.399999999999999</v>
          </cell>
          <cell r="J211">
            <v>31.895</v>
          </cell>
          <cell r="K211">
            <v>5.3582999999999998</v>
          </cell>
          <cell r="L211">
            <v>2.04</v>
          </cell>
          <cell r="M211">
            <v>14.11</v>
          </cell>
          <cell r="N211">
            <v>9.3259249999999998</v>
          </cell>
          <cell r="O211">
            <v>11.253472</v>
          </cell>
          <cell r="Q211">
            <v>67.190288771775784</v>
          </cell>
          <cell r="R211">
            <v>76.912885061278558</v>
          </cell>
          <cell r="S211">
            <v>109.62218402021446</v>
          </cell>
          <cell r="T211">
            <v>110.26097107192692</v>
          </cell>
          <cell r="U211">
            <v>98.38321753073221</v>
          </cell>
          <cell r="V211">
            <v>138.2341060286189</v>
          </cell>
          <cell r="W211">
            <v>108.28220858895705</v>
          </cell>
          <cell r="X211">
            <v>48.972699127497883</v>
          </cell>
          <cell r="Y211">
            <v>122.0394107518653</v>
          </cell>
          <cell r="Z211">
            <v>117.51418129023696</v>
          </cell>
          <cell r="AA211">
            <v>100</v>
          </cell>
          <cell r="AB211">
            <v>76.935659760087233</v>
          </cell>
          <cell r="AC211">
            <v>114.10389851596446</v>
          </cell>
          <cell r="AD211">
            <v>106.67239960555715</v>
          </cell>
          <cell r="AF211">
            <v>97.862317666932597</v>
          </cell>
          <cell r="AG211">
            <v>110.38814906076081</v>
          </cell>
        </row>
        <row r="212">
          <cell r="A212">
            <v>40388</v>
          </cell>
          <cell r="B212">
            <v>9.3898200000000003</v>
          </cell>
          <cell r="C212">
            <v>46.31</v>
          </cell>
          <cell r="D212">
            <v>57.398690000000002</v>
          </cell>
          <cell r="E212">
            <v>29.962116000000002</v>
          </cell>
          <cell r="F212">
            <v>73.239999999999995</v>
          </cell>
          <cell r="G212">
            <v>1.4313503999999999</v>
          </cell>
          <cell r="H212">
            <v>21.04</v>
          </cell>
          <cell r="I212">
            <v>17.72</v>
          </cell>
          <cell r="J212">
            <v>32</v>
          </cell>
          <cell r="K212">
            <v>5.43004</v>
          </cell>
          <cell r="L212">
            <v>2.0299999999999998</v>
          </cell>
          <cell r="M212">
            <v>14.46</v>
          </cell>
          <cell r="N212">
            <v>9.3267190000000006</v>
          </cell>
          <cell r="O212">
            <v>11.362156000000001</v>
          </cell>
          <cell r="Q212">
            <v>67.928912296558877</v>
          </cell>
          <cell r="R212">
            <v>76.697581980788343</v>
          </cell>
          <cell r="S212">
            <v>110.17589772372168</v>
          </cell>
          <cell r="T212">
            <v>109.60012460463891</v>
          </cell>
          <cell r="U212">
            <v>97.862105825761617</v>
          </cell>
          <cell r="V212">
            <v>138.58925693677114</v>
          </cell>
          <cell r="W212">
            <v>107.56646216768917</v>
          </cell>
          <cell r="X212">
            <v>49.873346467773708</v>
          </cell>
          <cell r="Y212">
            <v>122.44117084369618</v>
          </cell>
          <cell r="Z212">
            <v>119.08752868880772</v>
          </cell>
          <cell r="AA212">
            <v>99.509803921568619</v>
          </cell>
          <cell r="AB212">
            <v>78.84405670665214</v>
          </cell>
          <cell r="AC212">
            <v>114.1136132086541</v>
          </cell>
          <cell r="AD212">
            <v>107.7026223740263</v>
          </cell>
          <cell r="AF212">
            <v>98.181354013702332</v>
          </cell>
          <cell r="AG212">
            <v>110.9081177913402</v>
          </cell>
        </row>
        <row r="213">
          <cell r="A213">
            <v>40389</v>
          </cell>
          <cell r="B213">
            <v>9.3240759999999998</v>
          </cell>
          <cell r="C213">
            <v>46.99</v>
          </cell>
          <cell r="D213">
            <v>57.350563000000001</v>
          </cell>
          <cell r="E213">
            <v>29.679205</v>
          </cell>
          <cell r="F213">
            <v>72.98</v>
          </cell>
          <cell r="G213">
            <v>1.4416534999999999</v>
          </cell>
          <cell r="H213">
            <v>20.97</v>
          </cell>
          <cell r="I213">
            <v>17.28</v>
          </cell>
          <cell r="J213">
            <v>32.844999999999999</v>
          </cell>
          <cell r="K213">
            <v>5.4314999999999998</v>
          </cell>
          <cell r="L213">
            <v>2.0499999999999998</v>
          </cell>
          <cell r="M213">
            <v>14.24</v>
          </cell>
          <cell r="N213">
            <v>9.61205</v>
          </cell>
          <cell r="O213">
            <v>11.59585</v>
          </cell>
          <cell r="Q213">
            <v>67.453299514841532</v>
          </cell>
          <cell r="R213">
            <v>77.82378270950646</v>
          </cell>
          <cell r="S213">
            <v>110.08351869155648</v>
          </cell>
          <cell r="T213">
            <v>108.56524840123514</v>
          </cell>
          <cell r="U213">
            <v>97.514698022447888</v>
          </cell>
          <cell r="V213">
            <v>139.58684562864227</v>
          </cell>
          <cell r="W213">
            <v>107.20858895705521</v>
          </cell>
          <cell r="X213">
            <v>48.634956374894458</v>
          </cell>
          <cell r="Y213">
            <v>125.67438301128753</v>
          </cell>
          <cell r="Z213">
            <v>119.11954830411177</v>
          </cell>
          <cell r="AA213">
            <v>100.49019607843137</v>
          </cell>
          <cell r="AB213">
            <v>77.644492911668479</v>
          </cell>
          <cell r="AC213">
            <v>117.60467489609621</v>
          </cell>
          <cell r="AD213">
            <v>109.91782313637069</v>
          </cell>
          <cell r="AF213">
            <v>98.316629883806556</v>
          </cell>
          <cell r="AG213">
            <v>113.76124901623345</v>
          </cell>
        </row>
        <row r="214">
          <cell r="A214">
            <v>40390</v>
          </cell>
          <cell r="B214">
            <v>9.3240759999999998</v>
          </cell>
          <cell r="C214">
            <v>46.99</v>
          </cell>
          <cell r="D214">
            <v>57.350563000000001</v>
          </cell>
          <cell r="E214">
            <v>29.679205</v>
          </cell>
          <cell r="F214">
            <v>72.98</v>
          </cell>
          <cell r="G214">
            <v>1.4416534999999999</v>
          </cell>
          <cell r="H214">
            <v>20.97</v>
          </cell>
          <cell r="I214">
            <v>17.28</v>
          </cell>
          <cell r="J214">
            <v>32.844999999999999</v>
          </cell>
          <cell r="K214">
            <v>5.4314999999999998</v>
          </cell>
          <cell r="L214">
            <v>2.0499999999999998</v>
          </cell>
          <cell r="M214">
            <v>14.24</v>
          </cell>
          <cell r="N214">
            <v>9.61205</v>
          </cell>
          <cell r="O214">
            <v>11.59585</v>
          </cell>
          <cell r="Q214">
            <v>67.453299514841532</v>
          </cell>
          <cell r="R214">
            <v>77.82378270950646</v>
          </cell>
          <cell r="S214">
            <v>110.08351869155648</v>
          </cell>
          <cell r="T214">
            <v>108.56524840123514</v>
          </cell>
          <cell r="U214">
            <v>97.514698022447888</v>
          </cell>
          <cell r="V214">
            <v>139.58684562864227</v>
          </cell>
          <cell r="W214">
            <v>107.20858895705521</v>
          </cell>
          <cell r="X214">
            <v>48.634956374894458</v>
          </cell>
          <cell r="Y214">
            <v>125.67438301128753</v>
          </cell>
          <cell r="Z214">
            <v>119.11954830411177</v>
          </cell>
          <cell r="AA214">
            <v>100.49019607843137</v>
          </cell>
          <cell r="AB214">
            <v>77.644492911668479</v>
          </cell>
          <cell r="AC214">
            <v>117.60467489609621</v>
          </cell>
          <cell r="AD214">
            <v>109.91782313637069</v>
          </cell>
          <cell r="AF214">
            <v>98.316629883806556</v>
          </cell>
          <cell r="AG214">
            <v>113.76124901623345</v>
          </cell>
        </row>
        <row r="215">
          <cell r="A215">
            <v>40391</v>
          </cell>
          <cell r="B215">
            <v>9.3240759999999998</v>
          </cell>
          <cell r="C215">
            <v>46.99</v>
          </cell>
          <cell r="D215">
            <v>57.350563000000001</v>
          </cell>
          <cell r="E215">
            <v>29.679205</v>
          </cell>
          <cell r="F215">
            <v>72.98</v>
          </cell>
          <cell r="G215">
            <v>1.4416534999999999</v>
          </cell>
          <cell r="H215">
            <v>20.97</v>
          </cell>
          <cell r="I215">
            <v>17.28</v>
          </cell>
          <cell r="J215">
            <v>32.844999999999999</v>
          </cell>
          <cell r="K215">
            <v>5.4314999999999998</v>
          </cell>
          <cell r="L215">
            <v>2.0499999999999998</v>
          </cell>
          <cell r="M215">
            <v>14.24</v>
          </cell>
          <cell r="N215">
            <v>9.61205</v>
          </cell>
          <cell r="O215">
            <v>11.59585</v>
          </cell>
          <cell r="Q215">
            <v>67.453299514841532</v>
          </cell>
          <cell r="R215">
            <v>77.82378270950646</v>
          </cell>
          <cell r="S215">
            <v>110.08351869155648</v>
          </cell>
          <cell r="T215">
            <v>108.56524840123514</v>
          </cell>
          <cell r="U215">
            <v>97.514698022447888</v>
          </cell>
          <cell r="V215">
            <v>139.58684562864227</v>
          </cell>
          <cell r="W215">
            <v>107.20858895705521</v>
          </cell>
          <cell r="X215">
            <v>48.634956374894458</v>
          </cell>
          <cell r="Y215">
            <v>125.67438301128753</v>
          </cell>
          <cell r="Z215">
            <v>119.11954830411177</v>
          </cell>
          <cell r="AA215">
            <v>100.49019607843137</v>
          </cell>
          <cell r="AB215">
            <v>77.644492911668479</v>
          </cell>
          <cell r="AC215">
            <v>117.60467489609621</v>
          </cell>
          <cell r="AD215">
            <v>109.91782313637069</v>
          </cell>
          <cell r="AF215">
            <v>98.316629883806556</v>
          </cell>
          <cell r="AG215">
            <v>113.76124901623345</v>
          </cell>
        </row>
        <row r="216">
          <cell r="A216">
            <v>40392</v>
          </cell>
          <cell r="B216">
            <v>9.6175750000000004</v>
          </cell>
          <cell r="C216">
            <v>48.12</v>
          </cell>
          <cell r="D216">
            <v>57.483226999999999</v>
          </cell>
          <cell r="E216">
            <v>29.747859999999999</v>
          </cell>
          <cell r="F216">
            <v>74.87</v>
          </cell>
          <cell r="G216">
            <v>1.480111</v>
          </cell>
          <cell r="H216">
            <v>20.94</v>
          </cell>
          <cell r="I216">
            <v>18.13</v>
          </cell>
          <cell r="J216">
            <v>33.47</v>
          </cell>
          <cell r="K216">
            <v>5.4892335000000001</v>
          </cell>
          <cell r="L216">
            <v>2.08</v>
          </cell>
          <cell r="M216">
            <v>14.75</v>
          </cell>
          <cell r="N216">
            <v>9.7012370000000008</v>
          </cell>
          <cell r="O216">
            <v>11.532738</v>
          </cell>
          <cell r="Q216">
            <v>69.576563627479246</v>
          </cell>
          <cell r="R216">
            <v>79.695263332229203</v>
          </cell>
          <cell r="S216">
            <v>110.3381651877678</v>
          </cell>
          <cell r="T216">
            <v>108.81638542222296</v>
          </cell>
          <cell r="U216">
            <v>100.04008551576698</v>
          </cell>
          <cell r="V216">
            <v>143.31045960090643</v>
          </cell>
          <cell r="W216">
            <v>107.05521472392638</v>
          </cell>
          <cell r="X216">
            <v>51.027300872502103</v>
          </cell>
          <cell r="Y216">
            <v>128.06581212932849</v>
          </cell>
          <cell r="Z216">
            <v>120.38571574257546</v>
          </cell>
          <cell r="AA216">
            <v>101.96078431372548</v>
          </cell>
          <cell r="AB216">
            <v>80.425299890948736</v>
          </cell>
          <cell r="AC216">
            <v>118.69588937583345</v>
          </cell>
          <cell r="AD216">
            <v>109.31958034659826</v>
          </cell>
          <cell r="AF216">
            <v>100.05808752994828</v>
          </cell>
          <cell r="AG216">
            <v>114.00773486121585</v>
          </cell>
        </row>
        <row r="217">
          <cell r="A217">
            <v>40393</v>
          </cell>
          <cell r="B217">
            <v>9.4709210000000006</v>
          </cell>
          <cell r="C217">
            <v>47.47</v>
          </cell>
          <cell r="D217">
            <v>59.070255000000003</v>
          </cell>
          <cell r="E217">
            <v>30.222532000000001</v>
          </cell>
          <cell r="F217">
            <v>75.040000000000006</v>
          </cell>
          <cell r="G217">
            <v>1.4661778999999999</v>
          </cell>
          <cell r="H217">
            <v>21.32</v>
          </cell>
          <cell r="I217">
            <v>17.97</v>
          </cell>
          <cell r="J217">
            <v>33.695</v>
          </cell>
          <cell r="K217">
            <v>5.4889330000000003</v>
          </cell>
          <cell r="L217">
            <v>2.0499999999999998</v>
          </cell>
          <cell r="M217">
            <v>14.55</v>
          </cell>
          <cell r="N217">
            <v>9.5373260000000002</v>
          </cell>
          <cell r="O217">
            <v>11.467499999999999</v>
          </cell>
          <cell r="Q217">
            <v>68.515622448208561</v>
          </cell>
          <cell r="R217">
            <v>78.618747929778067</v>
          </cell>
          <cell r="S217">
            <v>113.38444088870598</v>
          </cell>
          <cell r="T217">
            <v>110.55271507084767</v>
          </cell>
          <cell r="U217">
            <v>100.26723677177981</v>
          </cell>
          <cell r="V217">
            <v>141.9613993178159</v>
          </cell>
          <cell r="W217">
            <v>108.99795501022496</v>
          </cell>
          <cell r="X217">
            <v>50.576977202364191</v>
          </cell>
          <cell r="Y217">
            <v>128.92672661182323</v>
          </cell>
          <cell r="Z217">
            <v>120.37912540394609</v>
          </cell>
          <cell r="AA217">
            <v>100.49019607843137</v>
          </cell>
          <cell r="AB217">
            <v>79.334787350054526</v>
          </cell>
          <cell r="AC217">
            <v>116.69041709188839</v>
          </cell>
          <cell r="AD217">
            <v>108.70118506330546</v>
          </cell>
          <cell r="AF217">
            <v>100.16716084033169</v>
          </cell>
          <cell r="AG217">
            <v>112.69580107759693</v>
          </cell>
        </row>
        <row r="218">
          <cell r="A218">
            <v>40394</v>
          </cell>
          <cell r="B218">
            <v>9.6587040000000002</v>
          </cell>
          <cell r="C218">
            <v>48.28</v>
          </cell>
          <cell r="D218">
            <v>63.727477999999998</v>
          </cell>
          <cell r="E218">
            <v>29.685417000000001</v>
          </cell>
          <cell r="F218">
            <v>75.650000000000006</v>
          </cell>
          <cell r="G218">
            <v>1.4708055</v>
          </cell>
          <cell r="H218">
            <v>21.63</v>
          </cell>
          <cell r="I218">
            <v>18.05</v>
          </cell>
          <cell r="J218">
            <v>33.844999999999999</v>
          </cell>
          <cell r="K218">
            <v>5.4970464999999997</v>
          </cell>
          <cell r="L218">
            <v>2.09</v>
          </cell>
          <cell r="M218">
            <v>14.86</v>
          </cell>
          <cell r="N218">
            <v>9.7086830000000006</v>
          </cell>
          <cell r="O218">
            <v>11.311638</v>
          </cell>
          <cell r="Q218">
            <v>69.874103754323542</v>
          </cell>
          <cell r="R218">
            <v>79.960251738986415</v>
          </cell>
          <cell r="S218">
            <v>122.32390840834037</v>
          </cell>
          <cell r="T218">
            <v>108.58797162859479</v>
          </cell>
          <cell r="U218">
            <v>101.08230892570818</v>
          </cell>
          <cell r="V218">
            <v>142.40946266093624</v>
          </cell>
          <cell r="W218">
            <v>110.58282208588956</v>
          </cell>
          <cell r="X218">
            <v>50.802139037433157</v>
          </cell>
          <cell r="Y218">
            <v>129.50066960015303</v>
          </cell>
          <cell r="Z218">
            <v>120.55706454693889</v>
          </cell>
          <cell r="AA218">
            <v>102.45098039215685</v>
          </cell>
          <cell r="AB218">
            <v>81.025081788440573</v>
          </cell>
          <cell r="AC218">
            <v>118.78699214883986</v>
          </cell>
          <cell r="AD218">
            <v>107.22375893674459</v>
          </cell>
          <cell r="AF218">
            <v>101.59639704732513</v>
          </cell>
          <cell r="AG218">
            <v>113.00537554279222</v>
          </cell>
        </row>
        <row r="219">
          <cell r="A219">
            <v>40395</v>
          </cell>
          <cell r="B219">
            <v>9.7771760000000008</v>
          </cell>
          <cell r="C219">
            <v>48.2</v>
          </cell>
          <cell r="D219">
            <v>64.384674000000004</v>
          </cell>
          <cell r="E219">
            <v>30.201419999999999</v>
          </cell>
          <cell r="F219">
            <v>75.739999999999995</v>
          </cell>
          <cell r="G219">
            <v>1.470045</v>
          </cell>
          <cell r="H219">
            <v>21.65</v>
          </cell>
          <cell r="I219">
            <v>17.850000000000001</v>
          </cell>
          <cell r="J219">
            <v>34.015000000000001</v>
          </cell>
          <cell r="K219">
            <v>5.4814210000000001</v>
          </cell>
          <cell r="L219">
            <v>2.12</v>
          </cell>
          <cell r="M219">
            <v>14.67</v>
          </cell>
          <cell r="N219">
            <v>9.6506959999999999</v>
          </cell>
          <cell r="O219">
            <v>11.5295925</v>
          </cell>
          <cell r="Q219">
            <v>70.731167478398987</v>
          </cell>
          <cell r="R219">
            <v>79.82775753560783</v>
          </cell>
          <cell r="S219">
            <v>123.5853859661111</v>
          </cell>
          <cell r="T219">
            <v>110.47548828784433</v>
          </cell>
          <cell r="U219">
            <v>101.20256547300907</v>
          </cell>
          <cell r="V219">
            <v>142.33582791021385</v>
          </cell>
          <cell r="W219">
            <v>110.68507157464214</v>
          </cell>
          <cell r="X219">
            <v>50.239234449760772</v>
          </cell>
          <cell r="Y219">
            <v>130.15113832026017</v>
          </cell>
          <cell r="Z219">
            <v>120.21437790383369</v>
          </cell>
          <cell r="AA219">
            <v>103.92156862745099</v>
          </cell>
          <cell r="AB219">
            <v>79.989094874591061</v>
          </cell>
          <cell r="AC219">
            <v>118.07751370426247</v>
          </cell>
          <cell r="AD219">
            <v>109.28976394567245</v>
          </cell>
          <cell r="AF219">
            <v>101.94655653347701</v>
          </cell>
          <cell r="AG219">
            <v>113.68363882496746</v>
          </cell>
        </row>
        <row r="220">
          <cell r="A220">
            <v>40396</v>
          </cell>
          <cell r="B220">
            <v>9.8400130000000008</v>
          </cell>
          <cell r="C220">
            <v>48.11</v>
          </cell>
          <cell r="D220">
            <v>67.316730000000007</v>
          </cell>
          <cell r="E220">
            <v>30.509868999999998</v>
          </cell>
          <cell r="F220">
            <v>75.5</v>
          </cell>
          <cell r="G220">
            <v>1.4840648000000001</v>
          </cell>
          <cell r="H220">
            <v>21.33</v>
          </cell>
          <cell r="I220">
            <v>17.91</v>
          </cell>
          <cell r="J220">
            <v>32.49</v>
          </cell>
          <cell r="K220">
            <v>5.4921002000000003</v>
          </cell>
          <cell r="L220">
            <v>2.15</v>
          </cell>
          <cell r="M220">
            <v>14.49</v>
          </cell>
          <cell r="N220">
            <v>9.5408679999999997</v>
          </cell>
          <cell r="O220">
            <v>11.383084</v>
          </cell>
          <cell r="Q220">
            <v>71.185750107456712</v>
          </cell>
          <cell r="R220">
            <v>79.678701556806885</v>
          </cell>
          <cell r="S220">
            <v>129.21342211077268</v>
          </cell>
          <cell r="T220">
            <v>111.60378139084735</v>
          </cell>
          <cell r="U220">
            <v>100.88188134687333</v>
          </cell>
          <cell r="V220">
            <v>143.69328284535911</v>
          </cell>
          <cell r="W220">
            <v>109.04907975460122</v>
          </cell>
          <cell r="X220">
            <v>50.408105826062474</v>
          </cell>
          <cell r="Y220">
            <v>124.31605127224029</v>
          </cell>
          <cell r="Z220">
            <v>120.44858603791255</v>
          </cell>
          <cell r="AA220">
            <v>105.3921568627451</v>
          </cell>
          <cell r="AB220">
            <v>79.007633587786259</v>
          </cell>
          <cell r="AC220">
            <v>116.73375391998249</v>
          </cell>
          <cell r="AD220">
            <v>107.90100025944203</v>
          </cell>
          <cell r="AF220">
            <v>102.07320272495535</v>
          </cell>
          <cell r="AG220">
            <v>112.31737708971227</v>
          </cell>
        </row>
        <row r="221">
          <cell r="A221">
            <v>40397</v>
          </cell>
          <cell r="B221">
            <v>9.8400130000000008</v>
          </cell>
          <cell r="C221">
            <v>48.11</v>
          </cell>
          <cell r="D221">
            <v>67.316730000000007</v>
          </cell>
          <cell r="E221">
            <v>30.509868999999998</v>
          </cell>
          <cell r="F221">
            <v>75.5</v>
          </cell>
          <cell r="G221">
            <v>1.4840648000000001</v>
          </cell>
          <cell r="H221">
            <v>21.33</v>
          </cell>
          <cell r="I221">
            <v>17.91</v>
          </cell>
          <cell r="J221">
            <v>32.49</v>
          </cell>
          <cell r="K221">
            <v>5.4921002000000003</v>
          </cell>
          <cell r="L221">
            <v>2.15</v>
          </cell>
          <cell r="M221">
            <v>14.49</v>
          </cell>
          <cell r="N221">
            <v>9.5408679999999997</v>
          </cell>
          <cell r="O221">
            <v>11.383084</v>
          </cell>
          <cell r="Q221">
            <v>71.185750107456712</v>
          </cell>
          <cell r="R221">
            <v>79.678701556806885</v>
          </cell>
          <cell r="S221">
            <v>129.21342211077268</v>
          </cell>
          <cell r="T221">
            <v>111.60378139084735</v>
          </cell>
          <cell r="U221">
            <v>100.88188134687333</v>
          </cell>
          <cell r="V221">
            <v>143.69328284535911</v>
          </cell>
          <cell r="W221">
            <v>109.04907975460122</v>
          </cell>
          <cell r="X221">
            <v>50.408105826062474</v>
          </cell>
          <cell r="Y221">
            <v>124.31605127224029</v>
          </cell>
          <cell r="Z221">
            <v>120.44858603791255</v>
          </cell>
          <cell r="AA221">
            <v>105.3921568627451</v>
          </cell>
          <cell r="AB221">
            <v>79.007633587786259</v>
          </cell>
          <cell r="AC221">
            <v>116.73375391998249</v>
          </cell>
          <cell r="AD221">
            <v>107.90100025944203</v>
          </cell>
          <cell r="AF221">
            <v>102.07320272495535</v>
          </cell>
          <cell r="AG221">
            <v>112.31737708971227</v>
          </cell>
        </row>
        <row r="222">
          <cell r="A222">
            <v>40398</v>
          </cell>
          <cell r="B222">
            <v>9.8400130000000008</v>
          </cell>
          <cell r="C222">
            <v>48.11</v>
          </cell>
          <cell r="D222">
            <v>67.316730000000007</v>
          </cell>
          <cell r="E222">
            <v>30.509868999999998</v>
          </cell>
          <cell r="F222">
            <v>75.5</v>
          </cell>
          <cell r="G222">
            <v>1.4840648000000001</v>
          </cell>
          <cell r="H222">
            <v>21.33</v>
          </cell>
          <cell r="I222">
            <v>17.91</v>
          </cell>
          <cell r="J222">
            <v>32.49</v>
          </cell>
          <cell r="K222">
            <v>5.4921002000000003</v>
          </cell>
          <cell r="L222">
            <v>2.15</v>
          </cell>
          <cell r="M222">
            <v>14.49</v>
          </cell>
          <cell r="N222">
            <v>9.5408679999999997</v>
          </cell>
          <cell r="O222">
            <v>11.383084</v>
          </cell>
          <cell r="Q222">
            <v>71.185750107456712</v>
          </cell>
          <cell r="R222">
            <v>79.678701556806885</v>
          </cell>
          <cell r="S222">
            <v>129.21342211077268</v>
          </cell>
          <cell r="T222">
            <v>111.60378139084735</v>
          </cell>
          <cell r="U222">
            <v>100.88188134687333</v>
          </cell>
          <cell r="V222">
            <v>143.69328284535911</v>
          </cell>
          <cell r="W222">
            <v>109.04907975460122</v>
          </cell>
          <cell r="X222">
            <v>50.408105826062474</v>
          </cell>
          <cell r="Y222">
            <v>124.31605127224029</v>
          </cell>
          <cell r="Z222">
            <v>120.44858603791255</v>
          </cell>
          <cell r="AA222">
            <v>105.3921568627451</v>
          </cell>
          <cell r="AB222">
            <v>79.007633587786259</v>
          </cell>
          <cell r="AC222">
            <v>116.73375391998249</v>
          </cell>
          <cell r="AD222">
            <v>107.90100025944203</v>
          </cell>
          <cell r="AF222">
            <v>102.07320272495535</v>
          </cell>
          <cell r="AG222">
            <v>112.31737708971227</v>
          </cell>
        </row>
        <row r="223">
          <cell r="A223">
            <v>40399</v>
          </cell>
          <cell r="B223">
            <v>10.006962</v>
          </cell>
          <cell r="C223">
            <v>48.38</v>
          </cell>
          <cell r="D223">
            <v>64.828316000000001</v>
          </cell>
          <cell r="E223">
            <v>30.525274</v>
          </cell>
          <cell r="F223">
            <v>75.41</v>
          </cell>
          <cell r="G223">
            <v>1.4837346</v>
          </cell>
          <cell r="H223">
            <v>21.47</v>
          </cell>
          <cell r="I223">
            <v>18.16</v>
          </cell>
          <cell r="J223">
            <v>32.755000000000003</v>
          </cell>
          <cell r="K223">
            <v>5.5024556999999996</v>
          </cell>
          <cell r="L223">
            <v>2.21</v>
          </cell>
          <cell r="M223">
            <v>14.54</v>
          </cell>
          <cell r="N223">
            <v>9.4157879999999992</v>
          </cell>
          <cell r="O223">
            <v>11.627243</v>
          </cell>
          <cell r="Q223">
            <v>72.393511702353962</v>
          </cell>
          <cell r="R223">
            <v>80.125869493209677</v>
          </cell>
          <cell r="S223">
            <v>124.43694992371968</v>
          </cell>
          <cell r="T223">
            <v>111.66013221465212</v>
          </cell>
          <cell r="U223">
            <v>100.7616247995724</v>
          </cell>
          <cell r="V223">
            <v>143.66131151769503</v>
          </cell>
          <cell r="W223">
            <v>109.76482617586912</v>
          </cell>
          <cell r="X223">
            <v>51.111736560652965</v>
          </cell>
          <cell r="Y223">
            <v>125.33001721828964</v>
          </cell>
          <cell r="Z223">
            <v>120.67569502851609</v>
          </cell>
          <cell r="AA223">
            <v>108.33333333333333</v>
          </cell>
          <cell r="AB223">
            <v>79.280261723009815</v>
          </cell>
          <cell r="AC223">
            <v>115.20338394313012</v>
          </cell>
          <cell r="AD223">
            <v>110.21539944355989</v>
          </cell>
          <cell r="AF223">
            <v>102.29460580757281</v>
          </cell>
          <cell r="AG223">
            <v>112.709391693345</v>
          </cell>
        </row>
        <row r="224">
          <cell r="A224">
            <v>40400</v>
          </cell>
          <cell r="B224">
            <v>9.6519860000000008</v>
          </cell>
          <cell r="C224">
            <v>48.8</v>
          </cell>
          <cell r="D224">
            <v>64.076430000000002</v>
          </cell>
          <cell r="E224">
            <v>32.609076999999999</v>
          </cell>
          <cell r="F224">
            <v>76.540000000000006</v>
          </cell>
          <cell r="G224">
            <v>1.4373640999999999</v>
          </cell>
          <cell r="H224">
            <v>20.93</v>
          </cell>
          <cell r="I224">
            <v>17.93</v>
          </cell>
          <cell r="J224">
            <v>32.130000000000003</v>
          </cell>
          <cell r="K224">
            <v>5.4621881999999999</v>
          </cell>
          <cell r="L224">
            <v>2.15</v>
          </cell>
          <cell r="M224">
            <v>14.58</v>
          </cell>
          <cell r="N224">
            <v>9.3675490000000003</v>
          </cell>
          <cell r="O224">
            <v>11.479506000000001</v>
          </cell>
          <cell r="Q224">
            <v>69.825503628569464</v>
          </cell>
          <cell r="R224">
            <v>80.821464060947321</v>
          </cell>
          <cell r="S224">
            <v>122.99371637542966</v>
          </cell>
          <cell r="T224">
            <v>119.28259347378084</v>
          </cell>
          <cell r="U224">
            <v>102.27151256012827</v>
          </cell>
          <cell r="V224">
            <v>139.17152820622456</v>
          </cell>
          <cell r="W224">
            <v>107.00408997955012</v>
          </cell>
          <cell r="X224">
            <v>50.464396284829718</v>
          </cell>
          <cell r="Y224">
            <v>122.93858810024871</v>
          </cell>
          <cell r="Z224">
            <v>119.79257868655976</v>
          </cell>
          <cell r="AA224">
            <v>105.3921568627451</v>
          </cell>
          <cell r="AB224">
            <v>79.49836423118866</v>
          </cell>
          <cell r="AC224">
            <v>114.61317353928155</v>
          </cell>
          <cell r="AD224">
            <v>108.81499072520826</v>
          </cell>
          <cell r="AF224">
            <v>101.62137437085018</v>
          </cell>
          <cell r="AG224">
            <v>111.7140821322449</v>
          </cell>
        </row>
        <row r="225">
          <cell r="A225">
            <v>40401</v>
          </cell>
          <cell r="B225">
            <v>9.2715449999999997</v>
          </cell>
          <cell r="C225">
            <v>47.34</v>
          </cell>
          <cell r="D225">
            <v>63.203564</v>
          </cell>
          <cell r="E225">
            <v>33.337242000000003</v>
          </cell>
          <cell r="F225">
            <v>74.94</v>
          </cell>
          <cell r="G225">
            <v>1.4297236</v>
          </cell>
          <cell r="H225">
            <v>19.329999999999998</v>
          </cell>
          <cell r="I225">
            <v>17.18</v>
          </cell>
          <cell r="J225">
            <v>31.664999999999999</v>
          </cell>
          <cell r="K225">
            <v>5.4369063000000004</v>
          </cell>
          <cell r="L225">
            <v>2.06</v>
          </cell>
          <cell r="M225">
            <v>14.18</v>
          </cell>
          <cell r="N225">
            <v>9.0288360000000001</v>
          </cell>
          <cell r="O225">
            <v>11.359405000000001</v>
          </cell>
          <cell r="Q225">
            <v>67.073273732467598</v>
          </cell>
          <cell r="R225">
            <v>78.403444849287851</v>
          </cell>
          <cell r="S225">
            <v>121.31826358822295</v>
          </cell>
          <cell r="T225">
            <v>121.94618955400219</v>
          </cell>
          <cell r="U225">
            <v>100.1336183858899</v>
          </cell>
          <cell r="V225">
            <v>138.43174344239216</v>
          </cell>
          <cell r="W225">
            <v>98.824130879345603</v>
          </cell>
          <cell r="X225">
            <v>48.353504081058254</v>
          </cell>
          <cell r="Y225">
            <v>121.15936483642625</v>
          </cell>
          <cell r="Z225">
            <v>119.23811518508325</v>
          </cell>
          <cell r="AA225">
            <v>100.98039215686273</v>
          </cell>
          <cell r="AB225">
            <v>77.317339149400226</v>
          </cell>
          <cell r="AC225">
            <v>110.46897617783613</v>
          </cell>
          <cell r="AD225">
            <v>107.67654546448988</v>
          </cell>
          <cell r="AF225">
            <v>99.431614986703252</v>
          </cell>
          <cell r="AG225">
            <v>109.072760821163</v>
          </cell>
        </row>
        <row r="226">
          <cell r="A226">
            <v>40402</v>
          </cell>
          <cell r="B226">
            <v>9.1057100000000002</v>
          </cell>
          <cell r="C226">
            <v>47.41</v>
          </cell>
          <cell r="D226">
            <v>62.947234999999999</v>
          </cell>
          <cell r="E226">
            <v>32.718597000000003</v>
          </cell>
          <cell r="F226">
            <v>75.42</v>
          </cell>
          <cell r="G226">
            <v>1.4023496</v>
          </cell>
          <cell r="H226">
            <v>19.64</v>
          </cell>
          <cell r="I226">
            <v>17.739999999999998</v>
          </cell>
          <cell r="J226">
            <v>31.045000000000002</v>
          </cell>
          <cell r="K226">
            <v>5.3631463000000004</v>
          </cell>
          <cell r="L226">
            <v>2.0099</v>
          </cell>
          <cell r="M226">
            <v>14.25</v>
          </cell>
          <cell r="N226">
            <v>9.2355520000000002</v>
          </cell>
          <cell r="O226">
            <v>11.524656</v>
          </cell>
          <cell r="Q226">
            <v>65.873571164079721</v>
          </cell>
          <cell r="R226">
            <v>78.519377277244104</v>
          </cell>
          <cell r="S226">
            <v>120.82624403712128</v>
          </cell>
          <cell r="T226">
            <v>119.68321289754584</v>
          </cell>
          <cell r="U226">
            <v>100.77498663816141</v>
          </cell>
          <cell r="V226">
            <v>135.78127971290485</v>
          </cell>
          <cell r="W226">
            <v>100.40899795501024</v>
          </cell>
          <cell r="X226">
            <v>49.929636926540944</v>
          </cell>
          <cell r="Y226">
            <v>118.78706715132962</v>
          </cell>
          <cell r="Z226">
            <v>117.62046667492744</v>
          </cell>
          <cell r="AA226">
            <v>98.524509803921561</v>
          </cell>
          <cell r="AB226">
            <v>77.69901853871319</v>
          </cell>
          <cell r="AC226">
            <v>112.99817317283942</v>
          </cell>
          <cell r="AD226">
            <v>109.24297053821093</v>
          </cell>
          <cell r="AF226">
            <v>98.702364064791709</v>
          </cell>
          <cell r="AG226">
            <v>111.12057185552517</v>
          </cell>
        </row>
        <row r="227">
          <cell r="A227">
            <v>40403</v>
          </cell>
          <cell r="B227">
            <v>9.2080819999999992</v>
          </cell>
          <cell r="C227">
            <v>47.36</v>
          </cell>
          <cell r="D227">
            <v>63.115229999999997</v>
          </cell>
          <cell r="E227">
            <v>32.171399999999998</v>
          </cell>
          <cell r="F227">
            <v>75.010000000000005</v>
          </cell>
          <cell r="G227">
            <v>1.4381098999999999</v>
          </cell>
          <cell r="H227">
            <v>19.43</v>
          </cell>
          <cell r="I227">
            <v>17.21</v>
          </cell>
          <cell r="J227">
            <v>31.375</v>
          </cell>
          <cell r="K227">
            <v>5.3975315000000004</v>
          </cell>
          <cell r="L227">
            <v>2.0099999999999998</v>
          </cell>
          <cell r="M227">
            <v>13.74</v>
          </cell>
          <cell r="N227">
            <v>8.9215140000000002</v>
          </cell>
          <cell r="O227">
            <v>11.547148999999999</v>
          </cell>
          <cell r="Q227">
            <v>66.614162422444977</v>
          </cell>
          <cell r="R227">
            <v>78.436568400132487</v>
          </cell>
          <cell r="S227">
            <v>121.14870784140142</v>
          </cell>
          <cell r="T227">
            <v>117.68158993529295</v>
          </cell>
          <cell r="U227">
            <v>100.22715125601283</v>
          </cell>
          <cell r="V227">
            <v>139.24373964223869</v>
          </cell>
          <cell r="W227">
            <v>99.335378323108387</v>
          </cell>
          <cell r="X227">
            <v>48.437939769209123</v>
          </cell>
          <cell r="Y227">
            <v>120.04974172565524</v>
          </cell>
          <cell r="Z227">
            <v>118.37457686407345</v>
          </cell>
          <cell r="AA227">
            <v>98.52941176470587</v>
          </cell>
          <cell r="AB227">
            <v>74.918211559432933</v>
          </cell>
          <cell r="AC227">
            <v>109.15587762766225</v>
          </cell>
          <cell r="AD227">
            <v>109.45618316133094</v>
          </cell>
          <cell r="AF227">
            <v>98.583098291975702</v>
          </cell>
          <cell r="AG227">
            <v>109.30603039449659</v>
          </cell>
        </row>
        <row r="228">
          <cell r="A228">
            <v>40404</v>
          </cell>
          <cell r="B228">
            <v>9.2080819999999992</v>
          </cell>
          <cell r="C228">
            <v>47.36</v>
          </cell>
          <cell r="D228">
            <v>63.115229999999997</v>
          </cell>
          <cell r="E228">
            <v>32.171399999999998</v>
          </cell>
          <cell r="F228">
            <v>75.010000000000005</v>
          </cell>
          <cell r="G228">
            <v>1.4381098999999999</v>
          </cell>
          <cell r="H228">
            <v>19.43</v>
          </cell>
          <cell r="I228">
            <v>17.21</v>
          </cell>
          <cell r="J228">
            <v>31.375</v>
          </cell>
          <cell r="K228">
            <v>5.3975315000000004</v>
          </cell>
          <cell r="L228">
            <v>2.0099999999999998</v>
          </cell>
          <cell r="M228">
            <v>13.74</v>
          </cell>
          <cell r="N228">
            <v>8.9215140000000002</v>
          </cell>
          <cell r="O228">
            <v>11.547148999999999</v>
          </cell>
          <cell r="Q228">
            <v>66.614162422444977</v>
          </cell>
          <cell r="R228">
            <v>78.436568400132487</v>
          </cell>
          <cell r="S228">
            <v>121.14870784140142</v>
          </cell>
          <cell r="T228">
            <v>117.68158993529295</v>
          </cell>
          <cell r="U228">
            <v>100.22715125601283</v>
          </cell>
          <cell r="V228">
            <v>139.24373964223869</v>
          </cell>
          <cell r="W228">
            <v>99.335378323108387</v>
          </cell>
          <cell r="X228">
            <v>48.437939769209123</v>
          </cell>
          <cell r="Y228">
            <v>120.04974172565524</v>
          </cell>
          <cell r="Z228">
            <v>118.37457686407345</v>
          </cell>
          <cell r="AA228">
            <v>98.52941176470587</v>
          </cell>
          <cell r="AB228">
            <v>74.918211559432933</v>
          </cell>
          <cell r="AC228">
            <v>109.15587762766225</v>
          </cell>
          <cell r="AD228">
            <v>109.45618316133094</v>
          </cell>
          <cell r="AF228">
            <v>98.583098291975702</v>
          </cell>
          <cell r="AG228">
            <v>109.30603039449659</v>
          </cell>
        </row>
        <row r="229">
          <cell r="A229">
            <v>40405</v>
          </cell>
          <cell r="B229">
            <v>9.2080819999999992</v>
          </cell>
          <cell r="C229">
            <v>47.36</v>
          </cell>
          <cell r="D229">
            <v>63.115229999999997</v>
          </cell>
          <cell r="E229">
            <v>32.171399999999998</v>
          </cell>
          <cell r="F229">
            <v>75.010000000000005</v>
          </cell>
          <cell r="G229">
            <v>1.4381098999999999</v>
          </cell>
          <cell r="H229">
            <v>19.43</v>
          </cell>
          <cell r="I229">
            <v>17.21</v>
          </cell>
          <cell r="J229">
            <v>31.375</v>
          </cell>
          <cell r="K229">
            <v>5.3975315000000004</v>
          </cell>
          <cell r="L229">
            <v>2.0099999999999998</v>
          </cell>
          <cell r="M229">
            <v>13.74</v>
          </cell>
          <cell r="N229">
            <v>8.9215140000000002</v>
          </cell>
          <cell r="O229">
            <v>11.547148999999999</v>
          </cell>
          <cell r="Q229">
            <v>66.614162422444977</v>
          </cell>
          <cell r="R229">
            <v>78.436568400132487</v>
          </cell>
          <cell r="S229">
            <v>121.14870784140142</v>
          </cell>
          <cell r="T229">
            <v>117.68158993529295</v>
          </cell>
          <cell r="U229">
            <v>100.22715125601283</v>
          </cell>
          <cell r="V229">
            <v>139.24373964223869</v>
          </cell>
          <cell r="W229">
            <v>99.335378323108387</v>
          </cell>
          <cell r="X229">
            <v>48.437939769209123</v>
          </cell>
          <cell r="Y229">
            <v>120.04974172565524</v>
          </cell>
          <cell r="Z229">
            <v>118.37457686407345</v>
          </cell>
          <cell r="AA229">
            <v>98.52941176470587</v>
          </cell>
          <cell r="AB229">
            <v>74.918211559432933</v>
          </cell>
          <cell r="AC229">
            <v>109.15587762766225</v>
          </cell>
          <cell r="AD229">
            <v>109.45618316133094</v>
          </cell>
          <cell r="AF229">
            <v>98.583098291975702</v>
          </cell>
          <cell r="AG229">
            <v>109.30603039449659</v>
          </cell>
        </row>
        <row r="230">
          <cell r="A230">
            <v>40406</v>
          </cell>
          <cell r="B230">
            <v>9.1187349999999991</v>
          </cell>
          <cell r="C230">
            <v>47.08</v>
          </cell>
          <cell r="D230">
            <v>62.917400000000001</v>
          </cell>
          <cell r="E230">
            <v>33.591095000000003</v>
          </cell>
          <cell r="F230">
            <v>74.86</v>
          </cell>
          <cell r="G230">
            <v>1.4175542999999999</v>
          </cell>
          <cell r="H230">
            <v>19.57</v>
          </cell>
          <cell r="I230">
            <v>17</v>
          </cell>
          <cell r="J230">
            <v>31.405000000000001</v>
          </cell>
          <cell r="K230">
            <v>5.4013723999999996</v>
          </cell>
          <cell r="L230">
            <v>2</v>
          </cell>
          <cell r="M230">
            <v>13.85</v>
          </cell>
          <cell r="N230">
            <v>8.9442199999999996</v>
          </cell>
          <cell r="O230">
            <v>11.405723999999999</v>
          </cell>
          <cell r="Q230">
            <v>65.9677981122707</v>
          </cell>
          <cell r="R230">
            <v>77.972838688307377</v>
          </cell>
          <cell r="S230">
            <v>120.76897621605103</v>
          </cell>
          <cell r="T230">
            <v>122.87477285003045</v>
          </cell>
          <cell r="U230">
            <v>100.02672367717797</v>
          </cell>
          <cell r="V230">
            <v>137.25346155946491</v>
          </cell>
          <cell r="W230">
            <v>100.0511247443763</v>
          </cell>
          <cell r="X230">
            <v>47.846889952153113</v>
          </cell>
          <cell r="Y230">
            <v>120.16453032332122</v>
          </cell>
          <cell r="Z230">
            <v>118.4588125766908</v>
          </cell>
          <cell r="AA230">
            <v>98.039215686274503</v>
          </cell>
          <cell r="AB230">
            <v>75.517993456924742</v>
          </cell>
          <cell r="AC230">
            <v>109.43368847427568</v>
          </cell>
          <cell r="AD230">
            <v>108.11560630520904</v>
          </cell>
          <cell r="AF230">
            <v>98.745261486920256</v>
          </cell>
          <cell r="AG230">
            <v>108.77464738974237</v>
          </cell>
        </row>
        <row r="231">
          <cell r="A231">
            <v>40407</v>
          </cell>
          <cell r="B231">
            <v>9.2915770000000002</v>
          </cell>
          <cell r="C231">
            <v>47.7</v>
          </cell>
          <cell r="D231">
            <v>63.573684999999998</v>
          </cell>
          <cell r="E231">
            <v>33.329436999999999</v>
          </cell>
          <cell r="F231">
            <v>76.069999999999993</v>
          </cell>
          <cell r="G231">
            <v>1.4321041999999999</v>
          </cell>
          <cell r="H231">
            <v>19.46</v>
          </cell>
          <cell r="I231">
            <v>17.48</v>
          </cell>
          <cell r="J231">
            <v>32.094999999999999</v>
          </cell>
          <cell r="K231">
            <v>5.4682919999999999</v>
          </cell>
          <cell r="L231">
            <v>2.0099999999999998</v>
          </cell>
          <cell r="M231">
            <v>14.07</v>
          </cell>
          <cell r="N231">
            <v>9.3108269999999997</v>
          </cell>
          <cell r="O231">
            <v>11.624254000000001</v>
          </cell>
          <cell r="Q231">
            <v>67.218191523343734</v>
          </cell>
          <cell r="R231">
            <v>78.99966876449156</v>
          </cell>
          <cell r="S231">
            <v>122.02870512341133</v>
          </cell>
          <cell r="T231">
            <v>121.91763920153242</v>
          </cell>
          <cell r="U231">
            <v>101.64350614644573</v>
          </cell>
          <cell r="V231">
            <v>138.66224296582379</v>
          </cell>
          <cell r="W231">
            <v>99.48875255623723</v>
          </cell>
          <cell r="X231">
            <v>49.19786096256685</v>
          </cell>
          <cell r="Y231">
            <v>122.80466806963841</v>
          </cell>
          <cell r="Z231">
            <v>119.9264426097741</v>
          </cell>
          <cell r="AA231">
            <v>98.52941176470587</v>
          </cell>
          <cell r="AB231">
            <v>76.717557251908403</v>
          </cell>
          <cell r="AC231">
            <v>113.91917253330921</v>
          </cell>
          <cell r="AD231">
            <v>110.18706651640453</v>
          </cell>
          <cell r="AF231">
            <v>99.761220578323289</v>
          </cell>
          <cell r="AG231">
            <v>112.05311952485687</v>
          </cell>
        </row>
        <row r="232">
          <cell r="A232">
            <v>40408</v>
          </cell>
          <cell r="B232">
            <v>9.3110490000000006</v>
          </cell>
          <cell r="C232">
            <v>47.62</v>
          </cell>
          <cell r="D232">
            <v>63.620387999999998</v>
          </cell>
          <cell r="E232">
            <v>32.817810000000001</v>
          </cell>
          <cell r="F232">
            <v>76</v>
          </cell>
          <cell r="G232">
            <v>1.4504014999999999</v>
          </cell>
          <cell r="H232">
            <v>19.5</v>
          </cell>
          <cell r="I232">
            <v>17.170000000000002</v>
          </cell>
          <cell r="J232">
            <v>31.79</v>
          </cell>
          <cell r="K232">
            <v>5.4284499999999998</v>
          </cell>
          <cell r="L232">
            <v>2.09</v>
          </cell>
          <cell r="M232">
            <v>14.12</v>
          </cell>
          <cell r="N232">
            <v>9.5819310000000009</v>
          </cell>
          <cell r="O232">
            <v>12.023042999999999</v>
          </cell>
          <cell r="Q232">
            <v>67.359058098021279</v>
          </cell>
          <cell r="R232">
            <v>78.867174561112947</v>
          </cell>
          <cell r="S232">
            <v>122.11835080960019</v>
          </cell>
          <cell r="T232">
            <v>120.04612976104106</v>
          </cell>
          <cell r="U232">
            <v>101.54997327632283</v>
          </cell>
          <cell r="V232">
            <v>140.43386311624201</v>
          </cell>
          <cell r="W232">
            <v>99.693251533742327</v>
          </cell>
          <cell r="X232">
            <v>48.325358851674643</v>
          </cell>
          <cell r="Y232">
            <v>121.63765066003442</v>
          </cell>
          <cell r="Z232">
            <v>119.052658011867</v>
          </cell>
          <cell r="AA232">
            <v>102.45098039215685</v>
          </cell>
          <cell r="AB232">
            <v>76.990185387131945</v>
          </cell>
          <cell r="AC232">
            <v>117.23616503574432</v>
          </cell>
          <cell r="AD232">
            <v>113.96721361823235</v>
          </cell>
          <cell r="AF232">
            <v>99.877052871578954</v>
          </cell>
          <cell r="AG232">
            <v>115.60168932698834</v>
          </cell>
        </row>
        <row r="233">
          <cell r="A233">
            <v>40409</v>
          </cell>
          <cell r="B233">
            <v>9.2415599999999998</v>
          </cell>
          <cell r="C233">
            <v>46.26</v>
          </cell>
          <cell r="D233">
            <v>64.667839999999998</v>
          </cell>
          <cell r="E233">
            <v>32.992355000000003</v>
          </cell>
          <cell r="F233">
            <v>74.95</v>
          </cell>
          <cell r="G233">
            <v>1.4484186999999999</v>
          </cell>
          <cell r="H233">
            <v>19.12</v>
          </cell>
          <cell r="I233">
            <v>17.170000000000002</v>
          </cell>
          <cell r="J233">
            <v>31.715</v>
          </cell>
          <cell r="K233">
            <v>5.4894150000000002</v>
          </cell>
          <cell r="L233">
            <v>2.0598999999999998</v>
          </cell>
          <cell r="M233">
            <v>13.66</v>
          </cell>
          <cell r="N233">
            <v>10.151709</v>
          </cell>
          <cell r="O233">
            <v>13.140508000000001</v>
          </cell>
          <cell r="Q233">
            <v>66.856352807975711</v>
          </cell>
          <cell r="R233">
            <v>76.614773103676697</v>
          </cell>
          <cell r="S233">
            <v>124.12891872365026</v>
          </cell>
          <cell r="T233">
            <v>120.68460782277464</v>
          </cell>
          <cell r="U233">
            <v>100.14698022447888</v>
          </cell>
          <cell r="V233">
            <v>140.24188023164979</v>
          </cell>
          <cell r="W233">
            <v>97.750511247443768</v>
          </cell>
          <cell r="X233">
            <v>48.325358851674643</v>
          </cell>
          <cell r="Y233">
            <v>121.35067916586952</v>
          </cell>
          <cell r="Z233">
            <v>120.3896962632451</v>
          </cell>
          <cell r="AA233">
            <v>100.97549019607843</v>
          </cell>
          <cell r="AB233">
            <v>74.482006543075258</v>
          </cell>
          <cell r="AC233">
            <v>124.20747255629902</v>
          </cell>
          <cell r="AD233">
            <v>124.55973768771275</v>
          </cell>
          <cell r="AF233">
            <v>99.328937931799388</v>
          </cell>
          <cell r="AG233">
            <v>124.38360512200589</v>
          </cell>
        </row>
        <row r="234">
          <cell r="A234">
            <v>40410</v>
          </cell>
          <cell r="B234">
            <v>9.0378039999999995</v>
          </cell>
          <cell r="C234">
            <v>46.38</v>
          </cell>
          <cell r="D234">
            <v>63.214370000000002</v>
          </cell>
          <cell r="E234">
            <v>32.645206000000002</v>
          </cell>
          <cell r="F234">
            <v>75.760000000000005</v>
          </cell>
          <cell r="G234">
            <v>1.4355652000000001</v>
          </cell>
          <cell r="H234">
            <v>19.100000000000001</v>
          </cell>
          <cell r="I234">
            <v>17.28</v>
          </cell>
          <cell r="J234">
            <v>31.385000000000002</v>
          </cell>
          <cell r="K234">
            <v>5.4333359999999997</v>
          </cell>
          <cell r="L234">
            <v>1.96</v>
          </cell>
          <cell r="M234">
            <v>13.36</v>
          </cell>
          <cell r="N234">
            <v>10.402494000000001</v>
          </cell>
          <cell r="O234">
            <v>12.641723000000001</v>
          </cell>
          <cell r="Q234">
            <v>65.382317794109895</v>
          </cell>
          <cell r="R234">
            <v>76.813514408744624</v>
          </cell>
          <cell r="S234">
            <v>121.33900553809679</v>
          </cell>
          <cell r="T234">
            <v>119.41475179336818</v>
          </cell>
          <cell r="U234">
            <v>101.22928915018707</v>
          </cell>
          <cell r="V234">
            <v>138.99735127910486</v>
          </cell>
          <cell r="W234">
            <v>97.64826175869122</v>
          </cell>
          <cell r="X234">
            <v>48.634956374894458</v>
          </cell>
          <cell r="Y234">
            <v>120.08800459154389</v>
          </cell>
          <cell r="Z234">
            <v>119.1598140669188</v>
          </cell>
          <cell r="AA234">
            <v>96.078431372549005</v>
          </cell>
          <cell r="AB234">
            <v>72.846237731733908</v>
          </cell>
          <cell r="AC234">
            <v>127.27585946583628</v>
          </cell>
          <cell r="AD234">
            <v>119.8317219395723</v>
          </cell>
          <cell r="AF234">
            <v>98.13599465499523</v>
          </cell>
          <cell r="AG234">
            <v>123.55379070270429</v>
          </cell>
        </row>
        <row r="235">
          <cell r="A235">
            <v>40411</v>
          </cell>
          <cell r="B235">
            <v>9.0378039999999995</v>
          </cell>
          <cell r="C235">
            <v>46.38</v>
          </cell>
          <cell r="D235">
            <v>63.214370000000002</v>
          </cell>
          <cell r="E235">
            <v>32.645206000000002</v>
          </cell>
          <cell r="F235">
            <v>75.760000000000005</v>
          </cell>
          <cell r="G235">
            <v>1.4355652000000001</v>
          </cell>
          <cell r="H235">
            <v>19.100000000000001</v>
          </cell>
          <cell r="I235">
            <v>17.28</v>
          </cell>
          <cell r="J235">
            <v>31.385000000000002</v>
          </cell>
          <cell r="K235">
            <v>5.4333359999999997</v>
          </cell>
          <cell r="L235">
            <v>1.96</v>
          </cell>
          <cell r="M235">
            <v>13.36</v>
          </cell>
          <cell r="N235">
            <v>10.402494000000001</v>
          </cell>
          <cell r="O235">
            <v>12.641723000000001</v>
          </cell>
          <cell r="Q235">
            <v>65.382317794109895</v>
          </cell>
          <cell r="R235">
            <v>76.813514408744624</v>
          </cell>
          <cell r="S235">
            <v>121.33900553809679</v>
          </cell>
          <cell r="T235">
            <v>119.41475179336818</v>
          </cell>
          <cell r="U235">
            <v>101.22928915018707</v>
          </cell>
          <cell r="V235">
            <v>138.99735127910486</v>
          </cell>
          <cell r="W235">
            <v>97.64826175869122</v>
          </cell>
          <cell r="X235">
            <v>48.634956374894458</v>
          </cell>
          <cell r="Y235">
            <v>120.08800459154389</v>
          </cell>
          <cell r="Z235">
            <v>119.1598140669188</v>
          </cell>
          <cell r="AA235">
            <v>96.078431372549005</v>
          </cell>
          <cell r="AB235">
            <v>72.846237731733908</v>
          </cell>
          <cell r="AC235">
            <v>127.27585946583628</v>
          </cell>
          <cell r="AD235">
            <v>119.8317219395723</v>
          </cell>
          <cell r="AF235">
            <v>98.13599465499523</v>
          </cell>
          <cell r="AG235">
            <v>123.55379070270429</v>
          </cell>
        </row>
        <row r="236">
          <cell r="A236">
            <v>40412</v>
          </cell>
          <cell r="B236">
            <v>9.0378039999999995</v>
          </cell>
          <cell r="C236">
            <v>46.38</v>
          </cell>
          <cell r="D236">
            <v>63.214370000000002</v>
          </cell>
          <cell r="E236">
            <v>32.645206000000002</v>
          </cell>
          <cell r="F236">
            <v>75.760000000000005</v>
          </cell>
          <cell r="G236">
            <v>1.4355652000000001</v>
          </cell>
          <cell r="H236">
            <v>19.100000000000001</v>
          </cell>
          <cell r="I236">
            <v>17.28</v>
          </cell>
          <cell r="J236">
            <v>31.385000000000002</v>
          </cell>
          <cell r="K236">
            <v>5.4333359999999997</v>
          </cell>
          <cell r="L236">
            <v>1.96</v>
          </cell>
          <cell r="M236">
            <v>13.36</v>
          </cell>
          <cell r="N236">
            <v>10.402494000000001</v>
          </cell>
          <cell r="O236">
            <v>12.641723000000001</v>
          </cell>
          <cell r="Q236">
            <v>65.382317794109895</v>
          </cell>
          <cell r="R236">
            <v>76.813514408744624</v>
          </cell>
          <cell r="S236">
            <v>121.33900553809679</v>
          </cell>
          <cell r="T236">
            <v>119.41475179336818</v>
          </cell>
          <cell r="U236">
            <v>101.22928915018707</v>
          </cell>
          <cell r="V236">
            <v>138.99735127910486</v>
          </cell>
          <cell r="W236">
            <v>97.64826175869122</v>
          </cell>
          <cell r="X236">
            <v>48.634956374894458</v>
          </cell>
          <cell r="Y236">
            <v>120.08800459154389</v>
          </cell>
          <cell r="Z236">
            <v>119.1598140669188</v>
          </cell>
          <cell r="AA236">
            <v>96.078431372549005</v>
          </cell>
          <cell r="AB236">
            <v>72.846237731733908</v>
          </cell>
          <cell r="AC236">
            <v>127.27585946583628</v>
          </cell>
          <cell r="AD236">
            <v>119.8317219395723</v>
          </cell>
          <cell r="AF236">
            <v>98.13599465499523</v>
          </cell>
          <cell r="AG236">
            <v>123.55379070270429</v>
          </cell>
        </row>
        <row r="237">
          <cell r="A237">
            <v>40413</v>
          </cell>
          <cell r="B237">
            <v>9.3134689999999996</v>
          </cell>
          <cell r="C237">
            <v>46.19</v>
          </cell>
          <cell r="D237">
            <v>62.918182000000002</v>
          </cell>
          <cell r="E237">
            <v>32.914659999999998</v>
          </cell>
          <cell r="F237">
            <v>75.61</v>
          </cell>
          <cell r="G237">
            <v>1.4660921</v>
          </cell>
          <cell r="H237">
            <v>18.77</v>
          </cell>
          <cell r="I237">
            <v>17.18</v>
          </cell>
          <cell r="J237">
            <v>31.355</v>
          </cell>
          <cell r="K237">
            <v>5.4559245000000001</v>
          </cell>
          <cell r="L237">
            <v>1.94</v>
          </cell>
          <cell r="M237">
            <v>13.04</v>
          </cell>
          <cell r="N237">
            <v>10.440901</v>
          </cell>
          <cell r="O237">
            <v>12.370196999999999</v>
          </cell>
          <cell r="Q237">
            <v>67.376565139450989</v>
          </cell>
          <cell r="R237">
            <v>76.49884067572043</v>
          </cell>
          <cell r="S237">
            <v>120.77047725295658</v>
          </cell>
          <cell r="T237">
            <v>120.40040287272514</v>
          </cell>
          <cell r="U237">
            <v>101.02886157135219</v>
          </cell>
          <cell r="V237">
            <v>141.95309180747802</v>
          </cell>
          <cell r="W237">
            <v>95.961145194274039</v>
          </cell>
          <cell r="X237">
            <v>48.353504081058254</v>
          </cell>
          <cell r="Y237">
            <v>119.97321599387793</v>
          </cell>
          <cell r="Z237">
            <v>119.65520795753233</v>
          </cell>
          <cell r="AA237">
            <v>95.098039215686271</v>
          </cell>
          <cell r="AB237">
            <v>71.101417666303163</v>
          </cell>
          <cell r="AC237">
            <v>127.74577407809218</v>
          </cell>
          <cell r="AD237">
            <v>117.25790916647448</v>
          </cell>
          <cell r="AF237">
            <v>98.180897452367944</v>
          </cell>
          <cell r="AG237">
            <v>122.50184162228334</v>
          </cell>
        </row>
        <row r="238">
          <cell r="A238">
            <v>40414</v>
          </cell>
          <cell r="B238">
            <v>9.5612399999999997</v>
          </cell>
          <cell r="C238">
            <v>45.12</v>
          </cell>
          <cell r="D238">
            <v>63.218043999999999</v>
          </cell>
          <cell r="E238">
            <v>33.728194999999999</v>
          </cell>
          <cell r="F238">
            <v>75.53</v>
          </cell>
          <cell r="G238">
            <v>1.506799</v>
          </cell>
          <cell r="H238">
            <v>18.510000000000002</v>
          </cell>
          <cell r="I238">
            <v>17.34</v>
          </cell>
          <cell r="J238">
            <v>30.43</v>
          </cell>
          <cell r="K238">
            <v>5.4091829999999996</v>
          </cell>
          <cell r="L238">
            <v>1.9</v>
          </cell>
          <cell r="M238">
            <v>12.92</v>
          </cell>
          <cell r="N238">
            <v>10.322399000000001</v>
          </cell>
          <cell r="O238">
            <v>11.736425000000001</v>
          </cell>
          <cell r="Q238">
            <v>69.16901851221327</v>
          </cell>
          <cell r="R238">
            <v>74.726730705531637</v>
          </cell>
          <cell r="S238">
            <v>121.34605772427449</v>
          </cell>
          <cell r="T238">
            <v>123.3762787210876</v>
          </cell>
          <cell r="U238">
            <v>100.9219668626403</v>
          </cell>
          <cell r="V238">
            <v>145.8945019773424</v>
          </cell>
          <cell r="W238">
            <v>94.631901840490812</v>
          </cell>
          <cell r="X238">
            <v>48.803827751196174</v>
          </cell>
          <cell r="Y238">
            <v>116.43390089917733</v>
          </cell>
          <cell r="Z238">
            <v>118.63010874607018</v>
          </cell>
          <cell r="AA238">
            <v>93.137254901960773</v>
          </cell>
          <cell r="AB238">
            <v>70.447110141766629</v>
          </cell>
          <cell r="AC238">
            <v>126.29588678198603</v>
          </cell>
          <cell r="AD238">
            <v>111.2503427867107</v>
          </cell>
          <cell r="AF238">
            <v>98.126554898645963</v>
          </cell>
          <cell r="AG238">
            <v>118.77311478434837</v>
          </cell>
        </row>
        <row r="239">
          <cell r="A239">
            <v>40415</v>
          </cell>
          <cell r="B239">
            <v>9.6629500000000004</v>
          </cell>
          <cell r="C239">
            <v>45.38</v>
          </cell>
          <cell r="D239">
            <v>62.876730000000002</v>
          </cell>
          <cell r="E239">
            <v>33.849426000000001</v>
          </cell>
          <cell r="F239">
            <v>76.12</v>
          </cell>
          <cell r="G239">
            <v>1.5056921999999999</v>
          </cell>
          <cell r="H239">
            <v>19.190000000000001</v>
          </cell>
          <cell r="I239">
            <v>17.79</v>
          </cell>
          <cell r="J239">
            <v>30.335000000000001</v>
          </cell>
          <cell r="K239">
            <v>5.3761140000000003</v>
          </cell>
          <cell r="L239">
            <v>1.91</v>
          </cell>
          <cell r="M239">
            <v>13.15</v>
          </cell>
          <cell r="N239">
            <v>10.421373000000001</v>
          </cell>
          <cell r="O239">
            <v>12.200632000000001</v>
          </cell>
          <cell r="Q239">
            <v>69.90482065428661</v>
          </cell>
          <cell r="R239">
            <v>75.157336866512097</v>
          </cell>
          <cell r="S239">
            <v>120.69091078005548</v>
          </cell>
          <cell r="T239">
            <v>123.81973647640585</v>
          </cell>
          <cell r="U239">
            <v>101.7103153393907</v>
          </cell>
          <cell r="V239">
            <v>145.78733703046592</v>
          </cell>
          <cell r="W239">
            <v>98.108384458077722</v>
          </cell>
          <cell r="X239">
            <v>50.070363073459049</v>
          </cell>
          <cell r="Y239">
            <v>116.07040367323511</v>
          </cell>
          <cell r="Z239">
            <v>117.90486445943323</v>
          </cell>
          <cell r="AA239">
            <v>93.62745098039214</v>
          </cell>
          <cell r="AB239">
            <v>71.701199563794987</v>
          </cell>
          <cell r="AC239">
            <v>127.50684647249599</v>
          </cell>
          <cell r="AD239">
            <v>115.65059140364393</v>
          </cell>
          <cell r="AF239">
            <v>98.712760279625741</v>
          </cell>
          <cell r="AG239">
            <v>121.57871893806995</v>
          </cell>
        </row>
        <row r="240">
          <cell r="A240">
            <v>40416</v>
          </cell>
          <cell r="B240">
            <v>9.6717770000000005</v>
          </cell>
          <cell r="C240">
            <v>44.74</v>
          </cell>
          <cell r="D240">
            <v>62.389225000000003</v>
          </cell>
          <cell r="E240">
            <v>34.621291999999997</v>
          </cell>
          <cell r="F240">
            <v>75.08</v>
          </cell>
          <cell r="G240">
            <v>1.497547</v>
          </cell>
          <cell r="H240">
            <v>19.12</v>
          </cell>
          <cell r="I240">
            <v>17.47</v>
          </cell>
          <cell r="J240">
            <v>29.875</v>
          </cell>
          <cell r="K240">
            <v>5.4403743999999996</v>
          </cell>
          <cell r="L240">
            <v>1.86</v>
          </cell>
          <cell r="M240">
            <v>12.88</v>
          </cell>
          <cell r="N240">
            <v>10.359540000000001</v>
          </cell>
          <cell r="O240">
            <v>12.344977</v>
          </cell>
          <cell r="Q240">
            <v>69.968677949617273</v>
          </cell>
          <cell r="R240">
            <v>74.097383239483278</v>
          </cell>
          <cell r="S240">
            <v>119.75515247233446</v>
          </cell>
          <cell r="T240">
            <v>126.64318892476044</v>
          </cell>
          <cell r="U240">
            <v>100.32068412613575</v>
          </cell>
          <cell r="V240">
            <v>144.99868512831716</v>
          </cell>
          <cell r="W240">
            <v>97.750511247443768</v>
          </cell>
          <cell r="X240">
            <v>49.169715733183224</v>
          </cell>
          <cell r="Y240">
            <v>114.31031184235698</v>
          </cell>
          <cell r="Z240">
            <v>119.31417493017639</v>
          </cell>
          <cell r="AA240">
            <v>91.17647058823529</v>
          </cell>
          <cell r="AB240">
            <v>70.229007633587798</v>
          </cell>
          <cell r="AC240">
            <v>126.75031172050757</v>
          </cell>
          <cell r="AD240">
            <v>117.01884713139303</v>
          </cell>
          <cell r="AF240">
            <v>98.144496984635978</v>
          </cell>
          <cell r="AG240">
            <v>121.88457942595031</v>
          </cell>
        </row>
        <row r="241">
          <cell r="A241">
            <v>40417</v>
          </cell>
          <cell r="B241">
            <v>9.7074960000000008</v>
          </cell>
          <cell r="C241">
            <v>44.65</v>
          </cell>
          <cell r="D241">
            <v>64.132739999999998</v>
          </cell>
          <cell r="E241">
            <v>34.278652000000001</v>
          </cell>
          <cell r="F241">
            <v>75.22</v>
          </cell>
          <cell r="G241">
            <v>1.5125803</v>
          </cell>
          <cell r="H241">
            <v>19.690000000000001</v>
          </cell>
          <cell r="I241">
            <v>17.68</v>
          </cell>
          <cell r="J241">
            <v>30.594999999999999</v>
          </cell>
          <cell r="K241">
            <v>5.5024050000000004</v>
          </cell>
          <cell r="L241">
            <v>1.93</v>
          </cell>
          <cell r="M241">
            <v>13.09</v>
          </cell>
          <cell r="N241">
            <v>10.270163</v>
          </cell>
          <cell r="O241">
            <v>12.381251000000001</v>
          </cell>
          <cell r="Q241">
            <v>70.227080434257104</v>
          </cell>
          <cell r="R241">
            <v>73.948327260682348</v>
          </cell>
          <cell r="S241">
            <v>123.10180254953613</v>
          </cell>
          <cell r="T241">
            <v>125.38982662236053</v>
          </cell>
          <cell r="U241">
            <v>100.5077498663816</v>
          </cell>
          <cell r="V241">
            <v>146.45427131902738</v>
          </cell>
          <cell r="W241">
            <v>100.66462167689163</v>
          </cell>
          <cell r="X241">
            <v>49.760765550239235</v>
          </cell>
          <cell r="Y241">
            <v>117.06523818634014</v>
          </cell>
          <cell r="Z241">
            <v>120.67458311447781</v>
          </cell>
          <cell r="AA241">
            <v>94.607843137254903</v>
          </cell>
          <cell r="AB241">
            <v>71.374045801526719</v>
          </cell>
          <cell r="AC241">
            <v>125.65677256619725</v>
          </cell>
          <cell r="AD241">
            <v>117.36269075790156</v>
          </cell>
          <cell r="AF241">
            <v>99.481346293247967</v>
          </cell>
          <cell r="AG241">
            <v>121.5097316620494</v>
          </cell>
        </row>
        <row r="242">
          <cell r="A242">
            <v>40418</v>
          </cell>
          <cell r="B242">
            <v>9.7074960000000008</v>
          </cell>
          <cell r="C242">
            <v>44.65</v>
          </cell>
          <cell r="D242">
            <v>64.132739999999998</v>
          </cell>
          <cell r="E242">
            <v>34.278652000000001</v>
          </cell>
          <cell r="F242">
            <v>75.22</v>
          </cell>
          <cell r="G242">
            <v>1.5125803</v>
          </cell>
          <cell r="H242">
            <v>19.690000000000001</v>
          </cell>
          <cell r="I242">
            <v>17.68</v>
          </cell>
          <cell r="J242">
            <v>30.594999999999999</v>
          </cell>
          <cell r="K242">
            <v>5.5024050000000004</v>
          </cell>
          <cell r="L242">
            <v>1.93</v>
          </cell>
          <cell r="M242">
            <v>13.09</v>
          </cell>
          <cell r="N242">
            <v>10.270163</v>
          </cell>
          <cell r="O242">
            <v>12.381251000000001</v>
          </cell>
          <cell r="Q242">
            <v>70.227080434257104</v>
          </cell>
          <cell r="R242">
            <v>73.948327260682348</v>
          </cell>
          <cell r="S242">
            <v>123.10180254953613</v>
          </cell>
          <cell r="T242">
            <v>125.38982662236053</v>
          </cell>
          <cell r="U242">
            <v>100.5077498663816</v>
          </cell>
          <cell r="V242">
            <v>146.45427131902738</v>
          </cell>
          <cell r="W242">
            <v>100.66462167689163</v>
          </cell>
          <cell r="X242">
            <v>49.760765550239235</v>
          </cell>
          <cell r="Y242">
            <v>117.06523818634014</v>
          </cell>
          <cell r="Z242">
            <v>120.67458311447781</v>
          </cell>
          <cell r="AA242">
            <v>94.607843137254903</v>
          </cell>
          <cell r="AB242">
            <v>71.374045801526719</v>
          </cell>
          <cell r="AC242">
            <v>125.65677256619725</v>
          </cell>
          <cell r="AD242">
            <v>117.36269075790156</v>
          </cell>
          <cell r="AF242">
            <v>99.481346293247967</v>
          </cell>
          <cell r="AG242">
            <v>121.5097316620494</v>
          </cell>
        </row>
        <row r="243">
          <cell r="A243">
            <v>40419</v>
          </cell>
          <cell r="B243">
            <v>9.7074960000000008</v>
          </cell>
          <cell r="C243">
            <v>44.65</v>
          </cell>
          <cell r="D243">
            <v>64.132739999999998</v>
          </cell>
          <cell r="E243">
            <v>34.278652000000001</v>
          </cell>
          <cell r="F243">
            <v>75.22</v>
          </cell>
          <cell r="G243">
            <v>1.5125803</v>
          </cell>
          <cell r="H243">
            <v>19.690000000000001</v>
          </cell>
          <cell r="I243">
            <v>17.68</v>
          </cell>
          <cell r="J243">
            <v>30.594999999999999</v>
          </cell>
          <cell r="K243">
            <v>5.5024050000000004</v>
          </cell>
          <cell r="L243">
            <v>1.93</v>
          </cell>
          <cell r="M243">
            <v>13.09</v>
          </cell>
          <cell r="N243">
            <v>10.270163</v>
          </cell>
          <cell r="O243">
            <v>12.381251000000001</v>
          </cell>
          <cell r="Q243">
            <v>70.227080434257104</v>
          </cell>
          <cell r="R243">
            <v>73.948327260682348</v>
          </cell>
          <cell r="S243">
            <v>123.10180254953613</v>
          </cell>
          <cell r="T243">
            <v>125.38982662236053</v>
          </cell>
          <cell r="U243">
            <v>100.5077498663816</v>
          </cell>
          <cell r="V243">
            <v>146.45427131902738</v>
          </cell>
          <cell r="W243">
            <v>100.66462167689163</v>
          </cell>
          <cell r="X243">
            <v>49.760765550239235</v>
          </cell>
          <cell r="Y243">
            <v>117.06523818634014</v>
          </cell>
          <cell r="Z243">
            <v>120.67458311447781</v>
          </cell>
          <cell r="AA243">
            <v>94.607843137254903</v>
          </cell>
          <cell r="AB243">
            <v>71.374045801526719</v>
          </cell>
          <cell r="AC243">
            <v>125.65677256619725</v>
          </cell>
          <cell r="AD243">
            <v>117.36269075790156</v>
          </cell>
          <cell r="AF243">
            <v>99.481346293247967</v>
          </cell>
          <cell r="AG243">
            <v>121.5097316620494</v>
          </cell>
        </row>
        <row r="244">
          <cell r="A244">
            <v>40420</v>
          </cell>
          <cell r="B244">
            <v>9.9249100000000006</v>
          </cell>
          <cell r="C244">
            <v>44.33</v>
          </cell>
          <cell r="D244">
            <v>64.451400000000007</v>
          </cell>
          <cell r="E244">
            <v>34.409492</v>
          </cell>
          <cell r="F244">
            <v>73.97</v>
          </cell>
          <cell r="G244">
            <v>1.5362457</v>
          </cell>
          <cell r="H244">
            <v>19.89</v>
          </cell>
          <cell r="I244">
            <v>17.489999999999998</v>
          </cell>
          <cell r="J244">
            <v>30.19</v>
          </cell>
          <cell r="K244">
            <v>5.5357346999999999</v>
          </cell>
          <cell r="L244">
            <v>1.86</v>
          </cell>
          <cell r="M244">
            <v>12.57</v>
          </cell>
          <cell r="N244">
            <v>10.936432</v>
          </cell>
          <cell r="O244">
            <v>12.018682999999999</v>
          </cell>
          <cell r="Q244">
            <v>71.799921717481283</v>
          </cell>
          <cell r="R244">
            <v>73.418350447167938</v>
          </cell>
          <cell r="S244">
            <v>123.71346549112316</v>
          </cell>
          <cell r="T244">
            <v>125.86843368413383</v>
          </cell>
          <cell r="U244">
            <v>98.837520042757873</v>
          </cell>
          <cell r="V244">
            <v>148.74565308069208</v>
          </cell>
          <cell r="W244">
            <v>101.68711656441718</v>
          </cell>
          <cell r="X244">
            <v>49.226006191950461</v>
          </cell>
          <cell r="Y244">
            <v>115.51559211784964</v>
          </cell>
          <cell r="Z244">
            <v>121.40554487625843</v>
          </cell>
          <cell r="AA244">
            <v>91.17647058823529</v>
          </cell>
          <cell r="AB244">
            <v>68.538713195201751</v>
          </cell>
          <cell r="AC244">
            <v>133.80865995113044</v>
          </cell>
          <cell r="AD244">
            <v>113.92588489210407</v>
          </cell>
          <cell r="AF244">
            <v>99.161065666439114</v>
          </cell>
          <cell r="AG244">
            <v>123.86727242161726</v>
          </cell>
        </row>
        <row r="245">
          <cell r="A245">
            <v>40421</v>
          </cell>
          <cell r="B245">
            <v>9.8350524999999998</v>
          </cell>
          <cell r="C245">
            <v>43.5</v>
          </cell>
          <cell r="D245">
            <v>63.236865999999999</v>
          </cell>
          <cell r="E245">
            <v>33.511966999999999</v>
          </cell>
          <cell r="F245">
            <v>72.62</v>
          </cell>
          <cell r="G245">
            <v>1.5132501</v>
          </cell>
          <cell r="H245">
            <v>19.82</v>
          </cell>
          <cell r="I245">
            <v>17.18</v>
          </cell>
          <cell r="J245">
            <v>30.14</v>
          </cell>
          <cell r="K245">
            <v>5.4738072999999998</v>
          </cell>
          <cell r="L245">
            <v>1.84</v>
          </cell>
          <cell r="M245">
            <v>12.5</v>
          </cell>
          <cell r="N245">
            <v>10.490606</v>
          </cell>
          <cell r="O245">
            <v>12.315061</v>
          </cell>
          <cell r="Q245">
            <v>71.14986428968308</v>
          </cell>
          <cell r="R245">
            <v>72.043723087114927</v>
          </cell>
          <cell r="S245">
            <v>121.38218626217241</v>
          </cell>
          <cell r="T245">
            <v>122.58532604795155</v>
          </cell>
          <cell r="U245">
            <v>97.033671833244256</v>
          </cell>
          <cell r="V245">
            <v>146.51912412117579</v>
          </cell>
          <cell r="W245">
            <v>101.32924335378324</v>
          </cell>
          <cell r="X245">
            <v>48.353504081058254</v>
          </cell>
          <cell r="Y245">
            <v>115.32427778840635</v>
          </cell>
          <cell r="Z245">
            <v>120.04739999627168</v>
          </cell>
          <cell r="AA245">
            <v>90.196078431372555</v>
          </cell>
          <cell r="AB245">
            <v>68.157033805888773</v>
          </cell>
          <cell r="AC245">
            <v>128.35392118154155</v>
          </cell>
          <cell r="AD245">
            <v>116.73527140413304</v>
          </cell>
          <cell r="AF245">
            <v>97.843452758176909</v>
          </cell>
          <cell r="AG245">
            <v>122.5445962928373</v>
          </cell>
        </row>
        <row r="246">
          <cell r="A246">
            <v>40422</v>
          </cell>
          <cell r="B246">
            <v>10.427858000000001</v>
          </cell>
          <cell r="C246">
            <v>44.92</v>
          </cell>
          <cell r="D246">
            <v>62.208027000000001</v>
          </cell>
          <cell r="E246">
            <v>33.232807000000001</v>
          </cell>
          <cell r="F246">
            <v>74</v>
          </cell>
          <cell r="G246">
            <v>1.5228614</v>
          </cell>
          <cell r="H246">
            <v>19.989999999999998</v>
          </cell>
          <cell r="I246">
            <v>17.7</v>
          </cell>
          <cell r="J246">
            <v>30.83</v>
          </cell>
          <cell r="K246">
            <v>5.5863529999999999</v>
          </cell>
          <cell r="L246">
            <v>1.86</v>
          </cell>
          <cell r="M246">
            <v>13.36</v>
          </cell>
          <cell r="N246">
            <v>10.344530000000001</v>
          </cell>
          <cell r="O246">
            <v>12.442171</v>
          </cell>
          <cell r="Q246">
            <v>75.438405797232505</v>
          </cell>
          <cell r="R246">
            <v>74.395495197085125</v>
          </cell>
          <cell r="S246">
            <v>119.40734571375265</v>
          </cell>
          <cell r="T246">
            <v>121.56417084033437</v>
          </cell>
          <cell r="U246">
            <v>98.877605558524849</v>
          </cell>
          <cell r="V246">
            <v>147.44972988004267</v>
          </cell>
          <cell r="W246">
            <v>102.19836400817996</v>
          </cell>
          <cell r="X246">
            <v>49.817056009006471</v>
          </cell>
          <cell r="Y246">
            <v>117.96441553472354</v>
          </cell>
          <cell r="Z246">
            <v>122.51566713197455</v>
          </cell>
          <cell r="AA246">
            <v>91.17647058823529</v>
          </cell>
          <cell r="AB246">
            <v>72.846237731733908</v>
          </cell>
          <cell r="AC246">
            <v>126.56666242923353</v>
          </cell>
          <cell r="AD246">
            <v>117.94015543582232</v>
          </cell>
          <cell r="AF246">
            <v>99.470913665902174</v>
          </cell>
          <cell r="AG246">
            <v>122.25340893252792</v>
          </cell>
        </row>
        <row r="247">
          <cell r="A247">
            <v>40423</v>
          </cell>
          <cell r="B247">
            <v>10.4765</v>
          </cell>
          <cell r="C247">
            <v>45</v>
          </cell>
          <cell r="D247">
            <v>64.045550000000006</v>
          </cell>
          <cell r="E247">
            <v>33.896698000000001</v>
          </cell>
          <cell r="F247">
            <v>74.56</v>
          </cell>
          <cell r="G247">
            <v>1.5149827</v>
          </cell>
          <cell r="H247">
            <v>20.27</v>
          </cell>
          <cell r="I247">
            <v>17.95</v>
          </cell>
          <cell r="J247">
            <v>31.49</v>
          </cell>
          <cell r="K247">
            <v>5.6026496999999997</v>
          </cell>
          <cell r="L247">
            <v>1.87</v>
          </cell>
          <cell r="M247">
            <v>13.66</v>
          </cell>
          <cell r="N247">
            <v>10.596026</v>
          </cell>
          <cell r="O247">
            <v>12.669162</v>
          </cell>
          <cell r="Q247">
            <v>75.790297329970002</v>
          </cell>
          <cell r="R247">
            <v>74.527989400463724</v>
          </cell>
          <cell r="S247">
            <v>122.93444269302145</v>
          </cell>
          <cell r="T247">
            <v>123.99265540810983</v>
          </cell>
          <cell r="U247">
            <v>99.625868519508288</v>
          </cell>
          <cell r="V247">
            <v>146.68688160848893</v>
          </cell>
          <cell r="W247">
            <v>103.62985685071575</v>
          </cell>
          <cell r="X247">
            <v>50.520686743596954</v>
          </cell>
          <cell r="Y247">
            <v>120.48976468337477</v>
          </cell>
          <cell r="Z247">
            <v>122.87307402562226</v>
          </cell>
          <cell r="AA247">
            <v>91.666666666666671</v>
          </cell>
          <cell r="AB247">
            <v>74.482006543075258</v>
          </cell>
          <cell r="AC247">
            <v>129.64374851572586</v>
          </cell>
          <cell r="AD247">
            <v>120.09181802127729</v>
          </cell>
          <cell r="AF247">
            <v>100.6016825393845</v>
          </cell>
          <cell r="AG247">
            <v>124.86778326850157</v>
          </cell>
        </row>
        <row r="248">
          <cell r="A248">
            <v>40424</v>
          </cell>
          <cell r="B248">
            <v>10.642452</v>
          </cell>
          <cell r="C248">
            <v>45.93</v>
          </cell>
          <cell r="D248">
            <v>64.852683999999996</v>
          </cell>
          <cell r="E248">
            <v>33.268124</v>
          </cell>
          <cell r="F248">
            <v>75.05</v>
          </cell>
          <cell r="G248">
            <v>1.4946461</v>
          </cell>
          <cell r="H248">
            <v>20.27</v>
          </cell>
          <cell r="I248">
            <v>17.91</v>
          </cell>
          <cell r="J248">
            <v>32.229999999999997</v>
          </cell>
          <cell r="K248">
            <v>5.6138015000000001</v>
          </cell>
          <cell r="L248">
            <v>1.86</v>
          </cell>
          <cell r="M248">
            <v>13.57</v>
          </cell>
          <cell r="N248">
            <v>11.128822</v>
          </cell>
          <cell r="O248">
            <v>12.403999000000001</v>
          </cell>
          <cell r="Q248">
            <v>76.990846313170806</v>
          </cell>
          <cell r="R248">
            <v>76.06823451473997</v>
          </cell>
          <cell r="S248">
            <v>124.48372392284286</v>
          </cell>
          <cell r="T248">
            <v>121.69335889903697</v>
          </cell>
          <cell r="U248">
            <v>100.28059861036877</v>
          </cell>
          <cell r="V248">
            <v>144.71780801014407</v>
          </cell>
          <cell r="W248">
            <v>103.62985685071575</v>
          </cell>
          <cell r="X248">
            <v>50.408105826062474</v>
          </cell>
          <cell r="Y248">
            <v>123.32121675913524</v>
          </cell>
          <cell r="Z248">
            <v>123.11764686531257</v>
          </cell>
          <cell r="AA248">
            <v>91.17647058823529</v>
          </cell>
          <cell r="AB248">
            <v>73.991275899672843</v>
          </cell>
          <cell r="AC248">
            <v>136.16257648332285</v>
          </cell>
          <cell r="AD248">
            <v>117.57832054275615</v>
          </cell>
          <cell r="AF248">
            <v>100.82326192161982</v>
          </cell>
          <cell r="AG248">
            <v>126.87044851303949</v>
          </cell>
        </row>
        <row r="249">
          <cell r="A249">
            <v>40425</v>
          </cell>
          <cell r="B249">
            <v>10.642452</v>
          </cell>
          <cell r="C249">
            <v>45.93</v>
          </cell>
          <cell r="D249">
            <v>64.852683999999996</v>
          </cell>
          <cell r="E249">
            <v>33.268124</v>
          </cell>
          <cell r="F249">
            <v>75.05</v>
          </cell>
          <cell r="G249">
            <v>1.4946461</v>
          </cell>
          <cell r="H249">
            <v>20.27</v>
          </cell>
          <cell r="I249">
            <v>17.91</v>
          </cell>
          <cell r="J249">
            <v>32.229999999999997</v>
          </cell>
          <cell r="K249">
            <v>5.6138015000000001</v>
          </cell>
          <cell r="L249">
            <v>1.86</v>
          </cell>
          <cell r="M249">
            <v>13.57</v>
          </cell>
          <cell r="N249">
            <v>11.128822</v>
          </cell>
          <cell r="O249">
            <v>12.403999000000001</v>
          </cell>
          <cell r="Q249">
            <v>76.990846313170806</v>
          </cell>
          <cell r="R249">
            <v>76.06823451473997</v>
          </cell>
          <cell r="S249">
            <v>124.48372392284286</v>
          </cell>
          <cell r="T249">
            <v>121.69335889903697</v>
          </cell>
          <cell r="U249">
            <v>100.28059861036877</v>
          </cell>
          <cell r="V249">
            <v>144.71780801014407</v>
          </cell>
          <cell r="W249">
            <v>103.62985685071575</v>
          </cell>
          <cell r="X249">
            <v>50.408105826062474</v>
          </cell>
          <cell r="Y249">
            <v>123.32121675913524</v>
          </cell>
          <cell r="Z249">
            <v>123.11764686531257</v>
          </cell>
          <cell r="AA249">
            <v>91.17647058823529</v>
          </cell>
          <cell r="AB249">
            <v>73.991275899672843</v>
          </cell>
          <cell r="AC249">
            <v>136.16257648332285</v>
          </cell>
          <cell r="AD249">
            <v>117.57832054275615</v>
          </cell>
          <cell r="AF249">
            <v>100.82326192161982</v>
          </cell>
          <cell r="AG249">
            <v>126.87044851303949</v>
          </cell>
        </row>
        <row r="250">
          <cell r="A250">
            <v>40426</v>
          </cell>
          <cell r="B250">
            <v>10.642452</v>
          </cell>
          <cell r="C250">
            <v>45.93</v>
          </cell>
          <cell r="D250">
            <v>64.852683999999996</v>
          </cell>
          <cell r="E250">
            <v>33.268124</v>
          </cell>
          <cell r="F250">
            <v>75.05</v>
          </cell>
          <cell r="G250">
            <v>1.4946461</v>
          </cell>
          <cell r="H250">
            <v>20.27</v>
          </cell>
          <cell r="I250">
            <v>17.91</v>
          </cell>
          <cell r="J250">
            <v>32.229999999999997</v>
          </cell>
          <cell r="K250">
            <v>5.6138015000000001</v>
          </cell>
          <cell r="L250">
            <v>1.86</v>
          </cell>
          <cell r="M250">
            <v>13.57</v>
          </cell>
          <cell r="N250">
            <v>11.128822</v>
          </cell>
          <cell r="O250">
            <v>12.403999000000001</v>
          </cell>
          <cell r="Q250">
            <v>76.990846313170806</v>
          </cell>
          <cell r="R250">
            <v>76.06823451473997</v>
          </cell>
          <cell r="S250">
            <v>124.48372392284286</v>
          </cell>
          <cell r="T250">
            <v>121.69335889903697</v>
          </cell>
          <cell r="U250">
            <v>100.28059861036877</v>
          </cell>
          <cell r="V250">
            <v>144.71780801014407</v>
          </cell>
          <cell r="W250">
            <v>103.62985685071575</v>
          </cell>
          <cell r="X250">
            <v>50.408105826062474</v>
          </cell>
          <cell r="Y250">
            <v>123.32121675913524</v>
          </cell>
          <cell r="Z250">
            <v>123.11764686531257</v>
          </cell>
          <cell r="AA250">
            <v>91.17647058823529</v>
          </cell>
          <cell r="AB250">
            <v>73.991275899672843</v>
          </cell>
          <cell r="AC250">
            <v>136.16257648332285</v>
          </cell>
          <cell r="AD250">
            <v>117.57832054275615</v>
          </cell>
          <cell r="AF250">
            <v>100.82326192161982</v>
          </cell>
          <cell r="AG250">
            <v>126.87044851303949</v>
          </cell>
        </row>
        <row r="251">
          <cell r="A251">
            <v>40427</v>
          </cell>
          <cell r="B251">
            <v>10.642452</v>
          </cell>
          <cell r="C251">
            <v>45.93</v>
          </cell>
          <cell r="D251">
            <v>64.852683999999996</v>
          </cell>
          <cell r="E251">
            <v>33.268124</v>
          </cell>
          <cell r="F251">
            <v>75.05</v>
          </cell>
          <cell r="G251">
            <v>1.4946461</v>
          </cell>
          <cell r="H251">
            <v>20.27</v>
          </cell>
          <cell r="I251">
            <v>17.91</v>
          </cell>
          <cell r="J251">
            <v>32.229999999999997</v>
          </cell>
          <cell r="K251">
            <v>5.6138015000000001</v>
          </cell>
          <cell r="L251">
            <v>1.86</v>
          </cell>
          <cell r="M251">
            <v>13.57</v>
          </cell>
          <cell r="N251">
            <v>11.128822</v>
          </cell>
          <cell r="O251">
            <v>12.403999000000001</v>
          </cell>
          <cell r="Q251">
            <v>76.990846313170806</v>
          </cell>
          <cell r="R251">
            <v>76.06823451473997</v>
          </cell>
          <cell r="S251">
            <v>124.48372392284286</v>
          </cell>
          <cell r="T251">
            <v>121.69335889903697</v>
          </cell>
          <cell r="U251">
            <v>100.28059861036877</v>
          </cell>
          <cell r="V251">
            <v>144.71780801014407</v>
          </cell>
          <cell r="W251">
            <v>103.62985685071575</v>
          </cell>
          <cell r="X251">
            <v>50.408105826062474</v>
          </cell>
          <cell r="Y251">
            <v>123.32121675913524</v>
          </cell>
          <cell r="Z251">
            <v>123.11764686531257</v>
          </cell>
          <cell r="AA251">
            <v>91.17647058823529</v>
          </cell>
          <cell r="AB251">
            <v>73.991275899672843</v>
          </cell>
          <cell r="AC251">
            <v>136.16257648332285</v>
          </cell>
          <cell r="AD251">
            <v>117.57832054275615</v>
          </cell>
          <cell r="AF251">
            <v>100.82326192161982</v>
          </cell>
          <cell r="AG251">
            <v>126.87044851303949</v>
          </cell>
        </row>
        <row r="252">
          <cell r="A252">
            <v>40428</v>
          </cell>
          <cell r="B252">
            <v>10.570930000000001</v>
          </cell>
          <cell r="C252">
            <v>45.54</v>
          </cell>
          <cell r="D252">
            <v>65.209599999999995</v>
          </cell>
          <cell r="E252">
            <v>33.787170000000003</v>
          </cell>
          <cell r="F252">
            <v>74.599999999999994</v>
          </cell>
          <cell r="G252">
            <v>1.54234</v>
          </cell>
          <cell r="H252">
            <v>19.600000000000001</v>
          </cell>
          <cell r="I252">
            <v>17.77</v>
          </cell>
          <cell r="J252">
            <v>32.049999999999997</v>
          </cell>
          <cell r="K252">
            <v>5.6280837000000004</v>
          </cell>
          <cell r="L252">
            <v>1.83</v>
          </cell>
          <cell r="M252">
            <v>13.26</v>
          </cell>
          <cell r="N252">
            <v>11.1178665</v>
          </cell>
          <cell r="O252">
            <v>12.681316000000001</v>
          </cell>
          <cell r="Q252">
            <v>76.473433661461357</v>
          </cell>
          <cell r="R252">
            <v>75.42232527326928</v>
          </cell>
          <cell r="S252">
            <v>125.16881866476047</v>
          </cell>
          <cell r="T252">
            <v>123.59200672069079</v>
          </cell>
          <cell r="U252">
            <v>99.679315873864226</v>
          </cell>
          <cell r="V252">
            <v>149.33572837500839</v>
          </cell>
          <cell r="W252">
            <v>100.20449897750512</v>
          </cell>
          <cell r="X252">
            <v>50.014072614691806</v>
          </cell>
          <cell r="Y252">
            <v>122.63248517313944</v>
          </cell>
          <cell r="Z252">
            <v>123.43087326921369</v>
          </cell>
          <cell r="AA252">
            <v>89.705882352941174</v>
          </cell>
          <cell r="AB252">
            <v>72.30098146128681</v>
          </cell>
          <cell r="AC252">
            <v>136.0285345239256</v>
          </cell>
          <cell r="AD252">
            <v>120.20702658489269</v>
          </cell>
          <cell r="AF252">
            <v>100.66336853481938</v>
          </cell>
          <cell r="AG252">
            <v>128.11778055440914</v>
          </cell>
        </row>
        <row r="253">
          <cell r="A253">
            <v>40429</v>
          </cell>
          <cell r="B253">
            <v>10.114336</v>
          </cell>
          <cell r="C253">
            <v>45.45</v>
          </cell>
          <cell r="D253">
            <v>64.827510000000004</v>
          </cell>
          <cell r="E253">
            <v>33.796104</v>
          </cell>
          <cell r="F253">
            <v>74.31</v>
          </cell>
          <cell r="G253">
            <v>1.5570870000000001</v>
          </cell>
          <cell r="H253">
            <v>19.61</v>
          </cell>
          <cell r="I253">
            <v>17.95</v>
          </cell>
          <cell r="J253">
            <v>31.69</v>
          </cell>
          <cell r="K253">
            <v>5.6496972999999997</v>
          </cell>
          <cell r="L253">
            <v>1.9</v>
          </cell>
          <cell r="M253">
            <v>13.6</v>
          </cell>
          <cell r="N253">
            <v>11.485782</v>
          </cell>
          <cell r="O253">
            <v>12.681369999999999</v>
          </cell>
          <cell r="Q253">
            <v>73.170289002550419</v>
          </cell>
          <cell r="R253">
            <v>75.273269294468363</v>
          </cell>
          <cell r="S253">
            <v>124.43540281918533</v>
          </cell>
          <cell r="T253">
            <v>123.62468690633648</v>
          </cell>
          <cell r="U253">
            <v>99.291822554783536</v>
          </cell>
          <cell r="V253">
            <v>150.7635938173533</v>
          </cell>
          <cell r="W253">
            <v>100.25562372188139</v>
          </cell>
          <cell r="X253">
            <v>50.520686743596954</v>
          </cell>
          <cell r="Y253">
            <v>121.25502200114788</v>
          </cell>
          <cell r="Z253">
            <v>123.90488639067658</v>
          </cell>
          <cell r="AA253">
            <v>93.137254901960773</v>
          </cell>
          <cell r="AB253">
            <v>74.154852780806976</v>
          </cell>
          <cell r="AC253">
            <v>140.53002824969013</v>
          </cell>
          <cell r="AD253">
            <v>120.20753845443646</v>
          </cell>
          <cell r="AF253">
            <v>100.81561591122899</v>
          </cell>
          <cell r="AG253">
            <v>130.3687833520633</v>
          </cell>
        </row>
        <row r="254">
          <cell r="A254">
            <v>40430</v>
          </cell>
          <cell r="B254">
            <v>10.462104999999999</v>
          </cell>
          <cell r="C254">
            <v>46.61</v>
          </cell>
          <cell r="D254">
            <v>64.466064000000003</v>
          </cell>
          <cell r="E254">
            <v>34.226703999999998</v>
          </cell>
          <cell r="F254">
            <v>75.790000000000006</v>
          </cell>
          <cell r="G254">
            <v>1.6032214</v>
          </cell>
          <cell r="H254">
            <v>19.739999999999998</v>
          </cell>
          <cell r="I254">
            <v>18.18</v>
          </cell>
          <cell r="J254">
            <v>32.369999999999997</v>
          </cell>
          <cell r="K254">
            <v>5.6939773999999996</v>
          </cell>
          <cell r="L254">
            <v>2.14</v>
          </cell>
          <cell r="M254">
            <v>13.1</v>
          </cell>
          <cell r="N254">
            <v>11.701509</v>
          </cell>
          <cell r="O254">
            <v>12.659697</v>
          </cell>
          <cell r="Q254">
            <v>75.686159370721697</v>
          </cell>
          <cell r="R254">
            <v>77.194435243458088</v>
          </cell>
          <cell r="S254">
            <v>123.74161281232891</v>
          </cell>
          <cell r="T254">
            <v>125.19980308487197</v>
          </cell>
          <cell r="U254">
            <v>101.26937466595405</v>
          </cell>
          <cell r="V254">
            <v>155.230516951775</v>
          </cell>
          <cell r="W254">
            <v>100.92024539877301</v>
          </cell>
          <cell r="X254">
            <v>51.168027019420201</v>
          </cell>
          <cell r="Y254">
            <v>123.85689688157642</v>
          </cell>
          <cell r="Z254">
            <v>124.87600403973502</v>
          </cell>
          <cell r="AA254">
            <v>104.90196078431373</v>
          </cell>
          <cell r="AB254">
            <v>71.428571428571431</v>
          </cell>
          <cell r="AC254">
            <v>143.16947599510448</v>
          </cell>
          <cell r="AD254">
            <v>120.00209866512954</v>
          </cell>
          <cell r="AF254">
            <v>102.95613397345829</v>
          </cell>
          <cell r="AG254">
            <v>131.585787330117</v>
          </cell>
        </row>
        <row r="255">
          <cell r="A255">
            <v>40431</v>
          </cell>
          <cell r="B255">
            <v>10.182235</v>
          </cell>
          <cell r="C255">
            <v>47.74</v>
          </cell>
          <cell r="D255">
            <v>65.756675999999999</v>
          </cell>
          <cell r="E255">
            <v>33.946587000000001</v>
          </cell>
          <cell r="F255">
            <v>76.650000000000006</v>
          </cell>
          <cell r="G255">
            <v>1.6041783999999999</v>
          </cell>
          <cell r="H255">
            <v>19.64</v>
          </cell>
          <cell r="I255">
            <v>18</v>
          </cell>
          <cell r="J255">
            <v>32.31</v>
          </cell>
          <cell r="K255">
            <v>5.6887100000000004</v>
          </cell>
          <cell r="L255">
            <v>2.39</v>
          </cell>
          <cell r="M255">
            <v>13.2</v>
          </cell>
          <cell r="N255">
            <v>11.820193</v>
          </cell>
          <cell r="O255">
            <v>12.687785</v>
          </cell>
          <cell r="Q255">
            <v>73.661491732317771</v>
          </cell>
          <cell r="R255">
            <v>79.065915866180859</v>
          </cell>
          <cell r="S255">
            <v>126.21892258565315</v>
          </cell>
          <cell r="T255">
            <v>124.17514721264062</v>
          </cell>
          <cell r="U255">
            <v>102.41849278460717</v>
          </cell>
          <cell r="V255">
            <v>155.32317764400557</v>
          </cell>
          <cell r="W255">
            <v>100.40899795501024</v>
          </cell>
          <cell r="X255">
            <v>50.661412890515059</v>
          </cell>
          <cell r="Y255">
            <v>123.62731968624449</v>
          </cell>
          <cell r="Z255">
            <v>124.76048340846613</v>
          </cell>
          <cell r="AA255">
            <v>117.15686274509804</v>
          </cell>
          <cell r="AB255">
            <v>71.973827699018528</v>
          </cell>
          <cell r="AC255">
            <v>144.62159008474907</v>
          </cell>
          <cell r="AD255">
            <v>120.26834666042565</v>
          </cell>
          <cell r="AF255">
            <v>104.12100435081315</v>
          </cell>
          <cell r="AG255">
            <v>132.44496837258737</v>
          </cell>
        </row>
        <row r="256">
          <cell r="A256">
            <v>40432</v>
          </cell>
          <cell r="B256">
            <v>10.182235</v>
          </cell>
          <cell r="C256">
            <v>47.74</v>
          </cell>
          <cell r="D256">
            <v>65.756675999999999</v>
          </cell>
          <cell r="E256">
            <v>33.946587000000001</v>
          </cell>
          <cell r="F256">
            <v>76.650000000000006</v>
          </cell>
          <cell r="G256">
            <v>1.6041783999999999</v>
          </cell>
          <cell r="H256">
            <v>19.64</v>
          </cell>
          <cell r="I256">
            <v>18</v>
          </cell>
          <cell r="J256">
            <v>32.31</v>
          </cell>
          <cell r="K256">
            <v>5.6887100000000004</v>
          </cell>
          <cell r="L256">
            <v>2.39</v>
          </cell>
          <cell r="M256">
            <v>13.2</v>
          </cell>
          <cell r="N256">
            <v>11.820193</v>
          </cell>
          <cell r="O256">
            <v>12.687785</v>
          </cell>
          <cell r="Q256">
            <v>73.661491732317771</v>
          </cell>
          <cell r="R256">
            <v>79.065915866180859</v>
          </cell>
          <cell r="S256">
            <v>126.21892258565315</v>
          </cell>
          <cell r="T256">
            <v>124.17514721264062</v>
          </cell>
          <cell r="U256">
            <v>102.41849278460717</v>
          </cell>
          <cell r="V256">
            <v>155.32317764400557</v>
          </cell>
          <cell r="W256">
            <v>100.40899795501024</v>
          </cell>
          <cell r="X256">
            <v>50.661412890515059</v>
          </cell>
          <cell r="Y256">
            <v>123.62731968624449</v>
          </cell>
          <cell r="Z256">
            <v>124.76048340846613</v>
          </cell>
          <cell r="AA256">
            <v>117.15686274509804</v>
          </cell>
          <cell r="AB256">
            <v>71.973827699018528</v>
          </cell>
          <cell r="AC256">
            <v>144.62159008474907</v>
          </cell>
          <cell r="AD256">
            <v>120.26834666042565</v>
          </cell>
          <cell r="AF256">
            <v>104.12100435081315</v>
          </cell>
          <cell r="AG256">
            <v>132.44496837258737</v>
          </cell>
        </row>
        <row r="257">
          <cell r="A257">
            <v>40433</v>
          </cell>
          <cell r="B257">
            <v>10.182235</v>
          </cell>
          <cell r="C257">
            <v>47.74</v>
          </cell>
          <cell r="D257">
            <v>65.756675999999999</v>
          </cell>
          <cell r="E257">
            <v>33.946587000000001</v>
          </cell>
          <cell r="F257">
            <v>76.650000000000006</v>
          </cell>
          <cell r="G257">
            <v>1.6041783999999999</v>
          </cell>
          <cell r="H257">
            <v>19.64</v>
          </cell>
          <cell r="I257">
            <v>18</v>
          </cell>
          <cell r="J257">
            <v>32.31</v>
          </cell>
          <cell r="K257">
            <v>5.6887100000000004</v>
          </cell>
          <cell r="L257">
            <v>2.39</v>
          </cell>
          <cell r="M257">
            <v>13.2</v>
          </cell>
          <cell r="N257">
            <v>11.820193</v>
          </cell>
          <cell r="O257">
            <v>12.687785</v>
          </cell>
          <cell r="Q257">
            <v>73.661491732317771</v>
          </cell>
          <cell r="R257">
            <v>79.065915866180859</v>
          </cell>
          <cell r="S257">
            <v>126.21892258565315</v>
          </cell>
          <cell r="T257">
            <v>124.17514721264062</v>
          </cell>
          <cell r="U257">
            <v>102.41849278460717</v>
          </cell>
          <cell r="V257">
            <v>155.32317764400557</v>
          </cell>
          <cell r="W257">
            <v>100.40899795501024</v>
          </cell>
          <cell r="X257">
            <v>50.661412890515059</v>
          </cell>
          <cell r="Y257">
            <v>123.62731968624449</v>
          </cell>
          <cell r="Z257">
            <v>124.76048340846613</v>
          </cell>
          <cell r="AA257">
            <v>117.15686274509804</v>
          </cell>
          <cell r="AB257">
            <v>71.973827699018528</v>
          </cell>
          <cell r="AC257">
            <v>144.62159008474907</v>
          </cell>
          <cell r="AD257">
            <v>120.26834666042565</v>
          </cell>
          <cell r="AF257">
            <v>104.12100435081315</v>
          </cell>
          <cell r="AG257">
            <v>132.44496837258737</v>
          </cell>
        </row>
        <row r="258">
          <cell r="A258">
            <v>40434</v>
          </cell>
          <cell r="B258">
            <v>10.390155999999999</v>
          </cell>
          <cell r="C258">
            <v>47.02</v>
          </cell>
          <cell r="D258">
            <v>65.759636</v>
          </cell>
          <cell r="E258">
            <v>34.073276999999997</v>
          </cell>
          <cell r="F258">
            <v>73.05</v>
          </cell>
          <cell r="G258">
            <v>1.5940728</v>
          </cell>
          <cell r="H258">
            <v>19.72</v>
          </cell>
          <cell r="I258">
            <v>18.170000000000002</v>
          </cell>
          <cell r="J258">
            <v>33.06</v>
          </cell>
          <cell r="K258">
            <v>5.7473473999999998</v>
          </cell>
          <cell r="L258">
            <v>2.58</v>
          </cell>
          <cell r="M258">
            <v>13.26</v>
          </cell>
          <cell r="N258">
            <v>11.940299</v>
          </cell>
          <cell r="O258">
            <v>12.721549</v>
          </cell>
          <cell r="Q258">
            <v>75.165657666660792</v>
          </cell>
          <cell r="R258">
            <v>77.873468035773442</v>
          </cell>
          <cell r="S258">
            <v>126.22460425987363</v>
          </cell>
          <cell r="T258">
            <v>124.63857375388227</v>
          </cell>
          <cell r="U258">
            <v>97.608230892570816</v>
          </cell>
          <cell r="V258">
            <v>154.34471171777238</v>
          </cell>
          <cell r="W258">
            <v>100.81799591002046</v>
          </cell>
          <cell r="X258">
            <v>51.13988179003659</v>
          </cell>
          <cell r="Y258">
            <v>126.49703462789364</v>
          </cell>
          <cell r="Z258">
            <v>126.04647449780192</v>
          </cell>
          <cell r="AA258">
            <v>126.47058823529412</v>
          </cell>
          <cell r="AB258">
            <v>72.30098146128681</v>
          </cell>
          <cell r="AC258">
            <v>146.09110252830382</v>
          </cell>
          <cell r="AD258">
            <v>120.58839783221353</v>
          </cell>
          <cell r="AF258">
            <v>104.92735023740558</v>
          </cell>
          <cell r="AG258">
            <v>133.33975018025868</v>
          </cell>
        </row>
        <row r="259">
          <cell r="A259">
            <v>40435</v>
          </cell>
          <cell r="B259">
            <v>10.319553000000001</v>
          </cell>
          <cell r="C259">
            <v>47.48</v>
          </cell>
          <cell r="D259">
            <v>68.396649999999994</v>
          </cell>
          <cell r="E259">
            <v>35.137577</v>
          </cell>
          <cell r="F259">
            <v>74.819999999999993</v>
          </cell>
          <cell r="G259">
            <v>1.6058231999999999</v>
          </cell>
          <cell r="H259">
            <v>20</v>
          </cell>
          <cell r="I259">
            <v>17.329999999999998</v>
          </cell>
          <cell r="J259">
            <v>33.1</v>
          </cell>
          <cell r="K259">
            <v>5.7988749999999998</v>
          </cell>
          <cell r="L259">
            <v>2.52</v>
          </cell>
          <cell r="M259">
            <v>13.3</v>
          </cell>
          <cell r="N259">
            <v>11.89395</v>
          </cell>
          <cell r="O259">
            <v>12.778672</v>
          </cell>
          <cell r="Q259">
            <v>74.654893350105851</v>
          </cell>
          <cell r="R259">
            <v>78.635309705200385</v>
          </cell>
          <cell r="S259">
            <v>131.28631184867089</v>
          </cell>
          <cell r="T259">
            <v>128.53173712781481</v>
          </cell>
          <cell r="U259">
            <v>99.973276322822002</v>
          </cell>
          <cell r="V259">
            <v>155.48243397272114</v>
          </cell>
          <cell r="W259">
            <v>102.24948875255623</v>
          </cell>
          <cell r="X259">
            <v>48.775682521812548</v>
          </cell>
          <cell r="Y259">
            <v>126.65008609144826</v>
          </cell>
          <cell r="Z259">
            <v>127.17653883310433</v>
          </cell>
          <cell r="AA259">
            <v>123.52941176470588</v>
          </cell>
          <cell r="AB259">
            <v>72.519083969465655</v>
          </cell>
          <cell r="AC259">
            <v>145.52401651889281</v>
          </cell>
          <cell r="AD259">
            <v>121.12987049795333</v>
          </cell>
          <cell r="AF259">
            <v>105.78868785503566</v>
          </cell>
          <cell r="AG259">
            <v>133.32694350842308</v>
          </cell>
        </row>
        <row r="260">
          <cell r="A260">
            <v>40436</v>
          </cell>
          <cell r="B260">
            <v>10.399706999999999</v>
          </cell>
          <cell r="C260">
            <v>48.43</v>
          </cell>
          <cell r="D260">
            <v>67.141525000000001</v>
          </cell>
          <cell r="E260">
            <v>33.734237999999998</v>
          </cell>
          <cell r="F260">
            <v>75.45</v>
          </cell>
          <cell r="G260">
            <v>1.6376280999999999</v>
          </cell>
          <cell r="H260">
            <v>20.41</v>
          </cell>
          <cell r="I260">
            <v>16.88</v>
          </cell>
          <cell r="J260">
            <v>33.43</v>
          </cell>
          <cell r="K260">
            <v>5.8257184000000004</v>
          </cell>
          <cell r="L260">
            <v>2.46</v>
          </cell>
          <cell r="M260">
            <v>13.42</v>
          </cell>
          <cell r="N260">
            <v>11.977097499999999</v>
          </cell>
          <cell r="O260">
            <v>12.824259</v>
          </cell>
          <cell r="Q260">
            <v>75.234752605791087</v>
          </cell>
          <cell r="R260">
            <v>80.208678370321294</v>
          </cell>
          <cell r="S260">
            <v>128.8771188230028</v>
          </cell>
          <cell r="T260">
            <v>123.39838375375571</v>
          </cell>
          <cell r="U260">
            <v>100.81507215392837</v>
          </cell>
          <cell r="V260">
            <v>158.56191573899468</v>
          </cell>
          <cell r="W260">
            <v>104.34560327198366</v>
          </cell>
          <cell r="X260">
            <v>47.509147199549673</v>
          </cell>
          <cell r="Y260">
            <v>127.91276066577386</v>
          </cell>
          <cell r="Z260">
            <v>127.76524797108586</v>
          </cell>
          <cell r="AA260">
            <v>120.58823529411764</v>
          </cell>
          <cell r="AB260">
            <v>73.173391494002189</v>
          </cell>
          <cell r="AC260">
            <v>146.54133693502914</v>
          </cell>
          <cell r="AD260">
            <v>121.56199266263448</v>
          </cell>
          <cell r="AF260">
            <v>105.69919227852556</v>
          </cell>
          <cell r="AG260">
            <v>134.05166479883181</v>
          </cell>
        </row>
        <row r="261">
          <cell r="A261">
            <v>40437</v>
          </cell>
          <cell r="B261">
            <v>10.092879999999999</v>
          </cell>
          <cell r="C261">
            <v>47.8</v>
          </cell>
          <cell r="D261">
            <v>66.651110000000003</v>
          </cell>
          <cell r="E261">
            <v>33.652389999999997</v>
          </cell>
          <cell r="F261">
            <v>74.52</v>
          </cell>
          <cell r="G261">
            <v>1.6982756000000001</v>
          </cell>
          <cell r="H261">
            <v>20.34</v>
          </cell>
          <cell r="I261">
            <v>16.64</v>
          </cell>
          <cell r="J261">
            <v>33.270000000000003</v>
          </cell>
          <cell r="K261">
            <v>5.8343596</v>
          </cell>
          <cell r="L261">
            <v>2.4900000000000002</v>
          </cell>
          <cell r="M261">
            <v>13.29</v>
          </cell>
          <cell r="N261">
            <v>12.054859</v>
          </cell>
          <cell r="O261">
            <v>12.811927000000001</v>
          </cell>
          <cell r="Q261">
            <v>73.015069547626368</v>
          </cell>
          <cell r="R261">
            <v>79.165286518714794</v>
          </cell>
          <cell r="S261">
            <v>127.935774815288</v>
          </cell>
          <cell r="T261">
            <v>123.09898730930431</v>
          </cell>
          <cell r="U261">
            <v>99.572421165152321</v>
          </cell>
          <cell r="V261">
            <v>164.43405715179819</v>
          </cell>
          <cell r="W261">
            <v>103.98773006134969</v>
          </cell>
          <cell r="X261">
            <v>46.833661694342808</v>
          </cell>
          <cell r="Y261">
            <v>127.3005548115554</v>
          </cell>
          <cell r="Z261">
            <v>127.95476023119916</v>
          </cell>
          <cell r="AA261">
            <v>122.05882352941177</v>
          </cell>
          <cell r="AB261">
            <v>72.464558342420943</v>
          </cell>
          <cell r="AC261">
            <v>147.49275894458307</v>
          </cell>
          <cell r="AD261">
            <v>121.4450968253377</v>
          </cell>
          <cell r="AF261">
            <v>105.65180709818031</v>
          </cell>
          <cell r="AG261">
            <v>134.46892788496038</v>
          </cell>
        </row>
        <row r="262">
          <cell r="A262">
            <v>40438</v>
          </cell>
          <cell r="B262">
            <v>10.336213000000001</v>
          </cell>
          <cell r="C262">
            <v>48.27</v>
          </cell>
          <cell r="D262">
            <v>67.206339999999997</v>
          </cell>
          <cell r="E262">
            <v>32.96255</v>
          </cell>
          <cell r="F262">
            <v>74.959999999999994</v>
          </cell>
          <cell r="G262">
            <v>1.6913636000000001</v>
          </cell>
          <cell r="H262">
            <v>20.21</v>
          </cell>
          <cell r="I262">
            <v>16.190000000000001</v>
          </cell>
          <cell r="J262">
            <v>33.06</v>
          </cell>
          <cell r="K262">
            <v>5.838133</v>
          </cell>
          <cell r="L262">
            <v>2.4900000000000002</v>
          </cell>
          <cell r="M262">
            <v>12.72</v>
          </cell>
          <cell r="N262">
            <v>12.215164</v>
          </cell>
          <cell r="O262">
            <v>13.054375</v>
          </cell>
          <cell r="Q262">
            <v>74.77541703201463</v>
          </cell>
          <cell r="R262">
            <v>79.943689963564097</v>
          </cell>
          <cell r="S262">
            <v>129.00153021307042</v>
          </cell>
          <cell r="T262">
            <v>120.57558242170346</v>
          </cell>
          <cell r="U262">
            <v>100.16034206306787</v>
          </cell>
          <cell r="V262">
            <v>163.76480876653417</v>
          </cell>
          <cell r="W262">
            <v>103.32310838445808</v>
          </cell>
          <cell r="X262">
            <v>45.567126372079933</v>
          </cell>
          <cell r="Y262">
            <v>126.49703462789364</v>
          </cell>
          <cell r="Z262">
            <v>128.0375155848898</v>
          </cell>
          <cell r="AA262">
            <v>122.05882352941177</v>
          </cell>
          <cell r="AB262">
            <v>69.356597600872419</v>
          </cell>
          <cell r="AC262">
            <v>149.45411135215673</v>
          </cell>
          <cell r="AD262">
            <v>123.74327732816992</v>
          </cell>
          <cell r="AF262">
            <v>105.25513137996336</v>
          </cell>
          <cell r="AG262">
            <v>136.59869434016332</v>
          </cell>
        </row>
        <row r="263">
          <cell r="A263">
            <v>40439</v>
          </cell>
          <cell r="B263">
            <v>10.336213000000001</v>
          </cell>
          <cell r="C263">
            <v>48.27</v>
          </cell>
          <cell r="D263">
            <v>67.206339999999997</v>
          </cell>
          <cell r="E263">
            <v>32.96255</v>
          </cell>
          <cell r="F263">
            <v>74.959999999999994</v>
          </cell>
          <cell r="G263">
            <v>1.6913636000000001</v>
          </cell>
          <cell r="H263">
            <v>20.21</v>
          </cell>
          <cell r="I263">
            <v>16.190000000000001</v>
          </cell>
          <cell r="J263">
            <v>33.06</v>
          </cell>
          <cell r="K263">
            <v>5.838133</v>
          </cell>
          <cell r="L263">
            <v>2.4900000000000002</v>
          </cell>
          <cell r="M263">
            <v>12.72</v>
          </cell>
          <cell r="N263">
            <v>12.215164</v>
          </cell>
          <cell r="O263">
            <v>13.054375</v>
          </cell>
          <cell r="Q263">
            <v>74.77541703201463</v>
          </cell>
          <cell r="R263">
            <v>79.943689963564097</v>
          </cell>
          <cell r="S263">
            <v>129.00153021307042</v>
          </cell>
          <cell r="T263">
            <v>120.57558242170346</v>
          </cell>
          <cell r="U263">
            <v>100.16034206306787</v>
          </cell>
          <cell r="V263">
            <v>163.76480876653417</v>
          </cell>
          <cell r="W263">
            <v>103.32310838445808</v>
          </cell>
          <cell r="X263">
            <v>45.567126372079933</v>
          </cell>
          <cell r="Y263">
            <v>126.49703462789364</v>
          </cell>
          <cell r="Z263">
            <v>128.0375155848898</v>
          </cell>
          <cell r="AA263">
            <v>122.05882352941177</v>
          </cell>
          <cell r="AB263">
            <v>69.356597600872419</v>
          </cell>
          <cell r="AC263">
            <v>149.45411135215673</v>
          </cell>
          <cell r="AD263">
            <v>123.74327732816992</v>
          </cell>
          <cell r="AF263">
            <v>105.25513137996336</v>
          </cell>
          <cell r="AG263">
            <v>136.59869434016332</v>
          </cell>
        </row>
        <row r="264">
          <cell r="A264">
            <v>40440</v>
          </cell>
          <cell r="B264">
            <v>10.336213000000001</v>
          </cell>
          <cell r="C264">
            <v>48.27</v>
          </cell>
          <cell r="D264">
            <v>67.206339999999997</v>
          </cell>
          <cell r="E264">
            <v>32.96255</v>
          </cell>
          <cell r="F264">
            <v>74.959999999999994</v>
          </cell>
          <cell r="G264">
            <v>1.6913636000000001</v>
          </cell>
          <cell r="H264">
            <v>20.21</v>
          </cell>
          <cell r="I264">
            <v>16.190000000000001</v>
          </cell>
          <cell r="J264">
            <v>33.06</v>
          </cell>
          <cell r="K264">
            <v>5.838133</v>
          </cell>
          <cell r="L264">
            <v>2.4900000000000002</v>
          </cell>
          <cell r="M264">
            <v>12.72</v>
          </cell>
          <cell r="N264">
            <v>12.215164</v>
          </cell>
          <cell r="O264">
            <v>13.054375</v>
          </cell>
          <cell r="Q264">
            <v>74.77541703201463</v>
          </cell>
          <cell r="R264">
            <v>79.943689963564097</v>
          </cell>
          <cell r="S264">
            <v>129.00153021307042</v>
          </cell>
          <cell r="T264">
            <v>120.57558242170346</v>
          </cell>
          <cell r="U264">
            <v>100.16034206306787</v>
          </cell>
          <cell r="V264">
            <v>163.76480876653417</v>
          </cell>
          <cell r="W264">
            <v>103.32310838445808</v>
          </cell>
          <cell r="X264">
            <v>45.567126372079933</v>
          </cell>
          <cell r="Y264">
            <v>126.49703462789364</v>
          </cell>
          <cell r="Z264">
            <v>128.0375155848898</v>
          </cell>
          <cell r="AA264">
            <v>122.05882352941177</v>
          </cell>
          <cell r="AB264">
            <v>69.356597600872419</v>
          </cell>
          <cell r="AC264">
            <v>149.45411135215673</v>
          </cell>
          <cell r="AD264">
            <v>123.74327732816992</v>
          </cell>
          <cell r="AF264">
            <v>105.25513137996336</v>
          </cell>
          <cell r="AG264">
            <v>136.59869434016332</v>
          </cell>
        </row>
        <row r="265">
          <cell r="A265">
            <v>40441</v>
          </cell>
          <cell r="B265">
            <v>10.434049999999999</v>
          </cell>
          <cell r="C265">
            <v>49.71</v>
          </cell>
          <cell r="D265">
            <v>67.288634999999999</v>
          </cell>
          <cell r="E265">
            <v>33.002920000000003</v>
          </cell>
          <cell r="F265">
            <v>76.510000000000005</v>
          </cell>
          <cell r="G265">
            <v>1.6867832</v>
          </cell>
          <cell r="H265">
            <v>20.47</v>
          </cell>
          <cell r="I265">
            <v>16.39</v>
          </cell>
          <cell r="J265">
            <v>33.159999999999997</v>
          </cell>
          <cell r="K265">
            <v>5.8999804999999999</v>
          </cell>
          <cell r="L265">
            <v>2.4700000000000002</v>
          </cell>
          <cell r="M265">
            <v>13.2</v>
          </cell>
          <cell r="N265">
            <v>12.152799</v>
          </cell>
          <cell r="O265">
            <v>13.212600999999999</v>
          </cell>
          <cell r="Q265">
            <v>75.483200673485754</v>
          </cell>
          <cell r="R265">
            <v>82.328585624378931</v>
          </cell>
          <cell r="S265">
            <v>129.1594941927915</v>
          </cell>
          <cell r="T265">
            <v>120.72325413588712</v>
          </cell>
          <cell r="U265">
            <v>102.2314270443613</v>
          </cell>
          <cell r="V265">
            <v>163.32131552234102</v>
          </cell>
          <cell r="W265">
            <v>104.65235173824129</v>
          </cell>
          <cell r="X265">
            <v>46.130030959752318</v>
          </cell>
          <cell r="Y265">
            <v>126.87966328678016</v>
          </cell>
          <cell r="Z265">
            <v>129.39390815853218</v>
          </cell>
          <cell r="AA265">
            <v>121.07843137254903</v>
          </cell>
          <cell r="AB265">
            <v>71.973827699018528</v>
          </cell>
          <cell r="AC265">
            <v>148.69106751136368</v>
          </cell>
          <cell r="AD265">
            <v>125.24311196587006</v>
          </cell>
          <cell r="AF265">
            <v>106.11295753400992</v>
          </cell>
          <cell r="AG265">
            <v>136.96708973861686</v>
          </cell>
        </row>
        <row r="266">
          <cell r="A266">
            <v>40442</v>
          </cell>
          <cell r="B266">
            <v>10.309343999999999</v>
          </cell>
          <cell r="C266">
            <v>49.06</v>
          </cell>
          <cell r="D266">
            <v>68.088589999999996</v>
          </cell>
          <cell r="E266">
            <v>33.821632000000001</v>
          </cell>
          <cell r="F266">
            <v>76.38</v>
          </cell>
          <cell r="G266">
            <v>1.6818078999999999</v>
          </cell>
          <cell r="H266">
            <v>20.7</v>
          </cell>
          <cell r="I266">
            <v>14.65</v>
          </cell>
          <cell r="J266">
            <v>32.42</v>
          </cell>
          <cell r="K266">
            <v>5.8937606999999996</v>
          </cell>
          <cell r="L266">
            <v>2.4700000000000002</v>
          </cell>
          <cell r="M266">
            <v>12.81</v>
          </cell>
          <cell r="N266">
            <v>11.676975000000001</v>
          </cell>
          <cell r="O266">
            <v>12.746401000000001</v>
          </cell>
          <cell r="Q266">
            <v>74.581038231942173</v>
          </cell>
          <cell r="R266">
            <v>81.252070221927781</v>
          </cell>
          <cell r="S266">
            <v>130.69499544314368</v>
          </cell>
          <cell r="T266">
            <v>123.71806722636821</v>
          </cell>
          <cell r="U266">
            <v>102.05772314270443</v>
          </cell>
          <cell r="V266">
            <v>162.83958642928488</v>
          </cell>
          <cell r="W266">
            <v>105.82822085889572</v>
          </cell>
          <cell r="X266">
            <v>41.232761047002533</v>
          </cell>
          <cell r="Y266">
            <v>124.04821121101971</v>
          </cell>
          <cell r="Z266">
            <v>129.25750021108823</v>
          </cell>
          <cell r="AA266">
            <v>121.07843137254903</v>
          </cell>
          <cell r="AB266">
            <v>69.847328244274806</v>
          </cell>
          <cell r="AC266">
            <v>142.86929933207207</v>
          </cell>
          <cell r="AD266">
            <v>120.82397157114471</v>
          </cell>
          <cell r="AF266">
            <v>105.5363278033501</v>
          </cell>
          <cell r="AG266">
            <v>131.84663545160839</v>
          </cell>
        </row>
        <row r="267">
          <cell r="A267">
            <v>40443</v>
          </cell>
          <cell r="B267">
            <v>10.275494999999999</v>
          </cell>
          <cell r="C267">
            <v>48.93</v>
          </cell>
          <cell r="D267">
            <v>68.536934000000002</v>
          </cell>
          <cell r="E267">
            <v>34.552554999999998</v>
          </cell>
          <cell r="F267">
            <v>76.25</v>
          </cell>
          <cell r="G267">
            <v>1.6970246</v>
          </cell>
          <cell r="H267">
            <v>20.83</v>
          </cell>
          <cell r="I267">
            <v>13.99</v>
          </cell>
          <cell r="J267">
            <v>32.61</v>
          </cell>
          <cell r="K267">
            <v>5.9605519999999999</v>
          </cell>
          <cell r="L267">
            <v>2.4</v>
          </cell>
          <cell r="M267">
            <v>12.41</v>
          </cell>
          <cell r="N267">
            <v>11.460152000000001</v>
          </cell>
          <cell r="O267">
            <v>12.681791</v>
          </cell>
          <cell r="Q267">
            <v>74.336163915679862</v>
          </cell>
          <cell r="R267">
            <v>81.036767141437565</v>
          </cell>
          <cell r="S267">
            <v>131.55558481703088</v>
          </cell>
          <cell r="T267">
            <v>126.39175195131872</v>
          </cell>
          <cell r="U267">
            <v>101.88401924104757</v>
          </cell>
          <cell r="V267">
            <v>164.31293016540275</v>
          </cell>
          <cell r="W267">
            <v>106.49284253578732</v>
          </cell>
          <cell r="X267">
            <v>39.375175907683648</v>
          </cell>
          <cell r="Y267">
            <v>124.77520566290414</v>
          </cell>
          <cell r="Z267">
            <v>130.72231646564853</v>
          </cell>
          <cell r="AA267">
            <v>117.64705882352942</v>
          </cell>
          <cell r="AB267">
            <v>67.666303162486372</v>
          </cell>
          <cell r="AC267">
            <v>140.21644188490976</v>
          </cell>
          <cell r="AD267">
            <v>120.2115291410649</v>
          </cell>
          <cell r="AF267">
            <v>105.51634331582973</v>
          </cell>
          <cell r="AG267">
            <v>130.21398551298734</v>
          </cell>
        </row>
        <row r="268">
          <cell r="A268">
            <v>40444</v>
          </cell>
          <cell r="B268">
            <v>10.422756</v>
          </cell>
          <cell r="C268">
            <v>48.78</v>
          </cell>
          <cell r="D268">
            <v>68.687349999999995</v>
          </cell>
          <cell r="E268">
            <v>34.628390000000003</v>
          </cell>
          <cell r="F268">
            <v>75.900000000000006</v>
          </cell>
          <cell r="G268">
            <v>1.6512102</v>
          </cell>
          <cell r="H268">
            <v>20.5</v>
          </cell>
          <cell r="I268">
            <v>13.66</v>
          </cell>
          <cell r="J268">
            <v>32.35</v>
          </cell>
          <cell r="K268">
            <v>5.9300249999999997</v>
          </cell>
          <cell r="L268">
            <v>2.37</v>
          </cell>
          <cell r="M268">
            <v>12.26</v>
          </cell>
          <cell r="N268">
            <v>11.446168</v>
          </cell>
          <cell r="O268">
            <v>12.648887999999999</v>
          </cell>
          <cell r="Q268">
            <v>75.40149632393728</v>
          </cell>
          <cell r="R268">
            <v>80.788340510102685</v>
          </cell>
          <cell r="S268">
            <v>131.8443060026888</v>
          </cell>
          <cell r="T268">
            <v>126.66915310180468</v>
          </cell>
          <cell r="U268">
            <v>101.41635489043293</v>
          </cell>
          <cell r="V268">
            <v>159.87699075252101</v>
          </cell>
          <cell r="W268">
            <v>104.80572597137015</v>
          </cell>
          <cell r="X268">
            <v>38.446383338024205</v>
          </cell>
          <cell r="Y268">
            <v>123.78037114979912</v>
          </cell>
          <cell r="Z268">
            <v>130.05282139963001</v>
          </cell>
          <cell r="AA268">
            <v>116.1764705882353</v>
          </cell>
          <cell r="AB268">
            <v>66.848418756815704</v>
          </cell>
          <cell r="AC268">
            <v>140.04534583633043</v>
          </cell>
          <cell r="AD268">
            <v>119.89963944478079</v>
          </cell>
          <cell r="AF268">
            <v>104.67556939878015</v>
          </cell>
          <cell r="AG268">
            <v>129.9724926405556</v>
          </cell>
        </row>
        <row r="269">
          <cell r="A269">
            <v>40445</v>
          </cell>
          <cell r="B269">
            <v>10.548999999999999</v>
          </cell>
          <cell r="C269">
            <v>49.14</v>
          </cell>
          <cell r="D269">
            <v>67.204939999999993</v>
          </cell>
          <cell r="E269">
            <v>34.065544000000003</v>
          </cell>
          <cell r="F269">
            <v>76.83</v>
          </cell>
          <cell r="G269">
            <v>1.6560173</v>
          </cell>
          <cell r="H269">
            <v>20.83</v>
          </cell>
          <cell r="I269">
            <v>13.92</v>
          </cell>
          <cell r="J269">
            <v>32.83</v>
          </cell>
          <cell r="K269">
            <v>5.9745699999999999</v>
          </cell>
          <cell r="L269">
            <v>2.4500000000000002</v>
          </cell>
          <cell r="M269">
            <v>12.27</v>
          </cell>
          <cell r="N269">
            <v>11.386862000000001</v>
          </cell>
          <cell r="O269">
            <v>12.379562999999999</v>
          </cell>
          <cell r="Q269">
            <v>76.314785141397749</v>
          </cell>
          <cell r="R269">
            <v>81.384564425306394</v>
          </cell>
          <cell r="S269">
            <v>128.99884293472292</v>
          </cell>
          <cell r="T269">
            <v>124.61028677429888</v>
          </cell>
          <cell r="U269">
            <v>102.65900587920898</v>
          </cell>
          <cell r="V269">
            <v>160.34243402694267</v>
          </cell>
          <cell r="W269">
            <v>106.49284253578732</v>
          </cell>
          <cell r="X269">
            <v>39.178159301998313</v>
          </cell>
          <cell r="Y269">
            <v>125.61698871245454</v>
          </cell>
          <cell r="Z269">
            <v>131.02974863505423</v>
          </cell>
          <cell r="AA269">
            <v>120.0980392156863</v>
          </cell>
          <cell r="AB269">
            <v>66.902944383860401</v>
          </cell>
          <cell r="AC269">
            <v>139.31972925616409</v>
          </cell>
          <cell r="AD269">
            <v>117.34669009512527</v>
          </cell>
          <cell r="AF269">
            <v>105.30238683055988</v>
          </cell>
          <cell r="AG269">
            <v>128.3332096756447</v>
          </cell>
        </row>
        <row r="270">
          <cell r="A270">
            <v>40446</v>
          </cell>
          <cell r="B270">
            <v>10.548999999999999</v>
          </cell>
          <cell r="C270">
            <v>49.14</v>
          </cell>
          <cell r="D270">
            <v>67.204939999999993</v>
          </cell>
          <cell r="E270">
            <v>34.065544000000003</v>
          </cell>
          <cell r="F270">
            <v>76.83</v>
          </cell>
          <cell r="G270">
            <v>1.6560173</v>
          </cell>
          <cell r="H270">
            <v>20.83</v>
          </cell>
          <cell r="I270">
            <v>13.92</v>
          </cell>
          <cell r="J270">
            <v>32.83</v>
          </cell>
          <cell r="K270">
            <v>5.9745699999999999</v>
          </cell>
          <cell r="L270">
            <v>2.4500000000000002</v>
          </cell>
          <cell r="M270">
            <v>12.27</v>
          </cell>
          <cell r="N270">
            <v>11.386862000000001</v>
          </cell>
          <cell r="O270">
            <v>12.379562999999999</v>
          </cell>
          <cell r="Q270">
            <v>76.314785141397749</v>
          </cell>
          <cell r="R270">
            <v>81.384564425306394</v>
          </cell>
          <cell r="S270">
            <v>128.99884293472292</v>
          </cell>
          <cell r="T270">
            <v>124.61028677429888</v>
          </cell>
          <cell r="U270">
            <v>102.65900587920898</v>
          </cell>
          <cell r="V270">
            <v>160.34243402694267</v>
          </cell>
          <cell r="W270">
            <v>106.49284253578732</v>
          </cell>
          <cell r="X270">
            <v>39.178159301998313</v>
          </cell>
          <cell r="Y270">
            <v>125.61698871245454</v>
          </cell>
          <cell r="Z270">
            <v>131.02974863505423</v>
          </cell>
          <cell r="AA270">
            <v>120.0980392156863</v>
          </cell>
          <cell r="AB270">
            <v>66.902944383860401</v>
          </cell>
          <cell r="AC270">
            <v>139.31972925616409</v>
          </cell>
          <cell r="AD270">
            <v>117.34669009512527</v>
          </cell>
          <cell r="AF270">
            <v>105.30238683055988</v>
          </cell>
          <cell r="AG270">
            <v>128.3332096756447</v>
          </cell>
        </row>
        <row r="271">
          <cell r="A271">
            <v>40447</v>
          </cell>
          <cell r="B271">
            <v>10.548999999999999</v>
          </cell>
          <cell r="C271">
            <v>49.14</v>
          </cell>
          <cell r="D271">
            <v>67.204939999999993</v>
          </cell>
          <cell r="E271">
            <v>34.065544000000003</v>
          </cell>
          <cell r="F271">
            <v>76.83</v>
          </cell>
          <cell r="G271">
            <v>1.6560173</v>
          </cell>
          <cell r="H271">
            <v>20.83</v>
          </cell>
          <cell r="I271">
            <v>13.92</v>
          </cell>
          <cell r="J271">
            <v>32.83</v>
          </cell>
          <cell r="K271">
            <v>5.9745699999999999</v>
          </cell>
          <cell r="L271">
            <v>2.4500000000000002</v>
          </cell>
          <cell r="M271">
            <v>12.27</v>
          </cell>
          <cell r="N271">
            <v>11.386862000000001</v>
          </cell>
          <cell r="O271">
            <v>12.379562999999999</v>
          </cell>
          <cell r="Q271">
            <v>76.314785141397749</v>
          </cell>
          <cell r="R271">
            <v>81.384564425306394</v>
          </cell>
          <cell r="S271">
            <v>128.99884293472292</v>
          </cell>
          <cell r="T271">
            <v>124.61028677429888</v>
          </cell>
          <cell r="U271">
            <v>102.65900587920898</v>
          </cell>
          <cell r="V271">
            <v>160.34243402694267</v>
          </cell>
          <cell r="W271">
            <v>106.49284253578732</v>
          </cell>
          <cell r="X271">
            <v>39.178159301998313</v>
          </cell>
          <cell r="Y271">
            <v>125.61698871245454</v>
          </cell>
          <cell r="Z271">
            <v>131.02974863505423</v>
          </cell>
          <cell r="AA271">
            <v>120.0980392156863</v>
          </cell>
          <cell r="AB271">
            <v>66.902944383860401</v>
          </cell>
          <cell r="AC271">
            <v>139.31972925616409</v>
          </cell>
          <cell r="AD271">
            <v>117.34669009512527</v>
          </cell>
          <cell r="AF271">
            <v>105.30238683055988</v>
          </cell>
          <cell r="AG271">
            <v>128.3332096756447</v>
          </cell>
        </row>
        <row r="272">
          <cell r="A272">
            <v>40448</v>
          </cell>
          <cell r="B272">
            <v>10.610309000000001</v>
          </cell>
          <cell r="C272">
            <v>48.63</v>
          </cell>
          <cell r="D272">
            <v>69.456810000000004</v>
          </cell>
          <cell r="E272">
            <v>34.479073</v>
          </cell>
          <cell r="F272">
            <v>76.3</v>
          </cell>
          <cell r="G272">
            <v>1.664712</v>
          </cell>
          <cell r="H272">
            <v>21.03</v>
          </cell>
          <cell r="I272">
            <v>13.76</v>
          </cell>
          <cell r="J272">
            <v>32.86</v>
          </cell>
          <cell r="K272">
            <v>5.7909389999999998</v>
          </cell>
          <cell r="L272">
            <v>2.4</v>
          </cell>
          <cell r="M272">
            <v>12.1</v>
          </cell>
          <cell r="N272">
            <v>11.853367</v>
          </cell>
          <cell r="O272">
            <v>12.472616</v>
          </cell>
          <cell r="Q272">
            <v>76.758313737684986</v>
          </cell>
          <cell r="R272">
            <v>80.539913878767805</v>
          </cell>
          <cell r="S272">
            <v>133.32127257217837</v>
          </cell>
          <cell r="T272">
            <v>126.12295797307642</v>
          </cell>
          <cell r="U272">
            <v>101.9508284339925</v>
          </cell>
          <cell r="V272">
            <v>161.1842907884234</v>
          </cell>
          <cell r="W272">
            <v>107.5153374233129</v>
          </cell>
          <cell r="X272">
            <v>38.727835631860394</v>
          </cell>
          <cell r="Y272">
            <v>125.73177731012053</v>
          </cell>
          <cell r="Z272">
            <v>127.00249248580772</v>
          </cell>
          <cell r="AA272">
            <v>117.64705882352942</v>
          </cell>
          <cell r="AB272">
            <v>65.976008724100325</v>
          </cell>
          <cell r="AC272">
            <v>145.02747826521036</v>
          </cell>
          <cell r="AD272">
            <v>118.22874558879835</v>
          </cell>
          <cell r="AF272">
            <v>105.2065073152379</v>
          </cell>
          <cell r="AG272">
            <v>131.62811192700434</v>
          </cell>
        </row>
        <row r="273">
          <cell r="A273">
            <v>40449</v>
          </cell>
          <cell r="B273">
            <v>10.739894</v>
          </cell>
          <cell r="C273">
            <v>49.81</v>
          </cell>
          <cell r="D273">
            <v>68.747765000000001</v>
          </cell>
          <cell r="E273">
            <v>34.838560000000001</v>
          </cell>
          <cell r="F273">
            <v>78.13</v>
          </cell>
          <cell r="G273">
            <v>1.6592165999999999</v>
          </cell>
          <cell r="H273">
            <v>20.94</v>
          </cell>
          <cell r="I273">
            <v>13.59</v>
          </cell>
          <cell r="J273">
            <v>32.93</v>
          </cell>
          <cell r="K273">
            <v>5.808999</v>
          </cell>
          <cell r="L273">
            <v>2.39</v>
          </cell>
          <cell r="M273">
            <v>12.37</v>
          </cell>
          <cell r="N273">
            <v>11.879682000000001</v>
          </cell>
          <cell r="O273">
            <v>12.371255</v>
          </cell>
          <cell r="Q273">
            <v>77.695772400358976</v>
          </cell>
          <cell r="R273">
            <v>82.49420337860218</v>
          </cell>
          <cell r="S273">
            <v>131.96027166080711</v>
          </cell>
          <cell r="T273">
            <v>127.43794587292128</v>
          </cell>
          <cell r="U273">
            <v>104.39604489577765</v>
          </cell>
          <cell r="V273">
            <v>160.65220346545181</v>
          </cell>
          <cell r="W273">
            <v>107.05521472392638</v>
          </cell>
          <cell r="X273">
            <v>38.249366732338871</v>
          </cell>
          <cell r="Y273">
            <v>125.99961737134112</v>
          </cell>
          <cell r="Z273">
            <v>127.39857074087028</v>
          </cell>
          <cell r="AA273">
            <v>117.15686274509804</v>
          </cell>
          <cell r="AB273">
            <v>67.448200654307527</v>
          </cell>
          <cell r="AC273">
            <v>145.34944569358316</v>
          </cell>
          <cell r="AD273">
            <v>117.26793801790653</v>
          </cell>
          <cell r="AF273">
            <v>105.66202288681677</v>
          </cell>
          <cell r="AG273">
            <v>131.30869185574485</v>
          </cell>
        </row>
        <row r="274">
          <cell r="A274">
            <v>40450</v>
          </cell>
          <cell r="B274">
            <v>10.685312</v>
          </cell>
          <cell r="C274">
            <v>49.62</v>
          </cell>
          <cell r="D274">
            <v>70.181730000000002</v>
          </cell>
          <cell r="E274">
            <v>35.533237</v>
          </cell>
          <cell r="F274">
            <v>78.150000000000006</v>
          </cell>
          <cell r="G274">
            <v>1.6710341</v>
          </cell>
          <cell r="H274">
            <v>21.03</v>
          </cell>
          <cell r="I274">
            <v>13.75</v>
          </cell>
          <cell r="J274">
            <v>32.22</v>
          </cell>
          <cell r="K274">
            <v>5.8318750000000001</v>
          </cell>
          <cell r="L274">
            <v>2.33</v>
          </cell>
          <cell r="M274">
            <v>12.08</v>
          </cell>
          <cell r="N274">
            <v>11.94904</v>
          </cell>
          <cell r="O274">
            <v>12.476203999999999</v>
          </cell>
          <cell r="Q274">
            <v>77.300909038657608</v>
          </cell>
          <cell r="R274">
            <v>82.179529645578</v>
          </cell>
          <cell r="S274">
            <v>134.71274530052602</v>
          </cell>
          <cell r="T274">
            <v>129.97904429734419</v>
          </cell>
          <cell r="U274">
            <v>104.42276857295565</v>
          </cell>
          <cell r="V274">
            <v>161.79642261951099</v>
          </cell>
          <cell r="W274">
            <v>107.5153374233129</v>
          </cell>
          <cell r="X274">
            <v>38.699690402476776</v>
          </cell>
          <cell r="Y274">
            <v>123.2829538932466</v>
          </cell>
          <cell r="Z274">
            <v>127.90026986394953</v>
          </cell>
          <cell r="AA274">
            <v>114.21568627450979</v>
          </cell>
          <cell r="AB274">
            <v>65.866957470010902</v>
          </cell>
          <cell r="AC274">
            <v>146.19804979379524</v>
          </cell>
          <cell r="AD274">
            <v>118.26275647626352</v>
          </cell>
          <cell r="AF274">
            <v>105.65602623350658</v>
          </cell>
          <cell r="AG274">
            <v>132.23040313502938</v>
          </cell>
        </row>
        <row r="275">
          <cell r="A275">
            <v>40451</v>
          </cell>
          <cell r="B275">
            <v>10.65075</v>
          </cell>
          <cell r="C275">
            <v>50.47</v>
          </cell>
          <cell r="D275">
            <v>69.308109999999999</v>
          </cell>
          <cell r="E275">
            <v>35.372275999999999</v>
          </cell>
          <cell r="F275">
            <v>78.430000000000007</v>
          </cell>
          <cell r="G275">
            <v>1.6801611000000001</v>
          </cell>
          <cell r="H275">
            <v>20.86</v>
          </cell>
          <cell r="I275">
            <v>14.2</v>
          </cell>
          <cell r="J275">
            <v>32.81</v>
          </cell>
          <cell r="K275">
            <v>5.8288650000000004</v>
          </cell>
          <cell r="L275">
            <v>2.4</v>
          </cell>
          <cell r="M275">
            <v>11.64</v>
          </cell>
          <cell r="N275">
            <v>12.041079999999999</v>
          </cell>
          <cell r="O275">
            <v>12.39523</v>
          </cell>
          <cell r="Q275">
            <v>77.050876656056715</v>
          </cell>
          <cell r="R275">
            <v>83.587280556475648</v>
          </cell>
          <cell r="S275">
            <v>133.03584522198071</v>
          </cell>
          <cell r="T275">
            <v>129.39025592016523</v>
          </cell>
          <cell r="U275">
            <v>104.79690005344735</v>
          </cell>
          <cell r="V275">
            <v>162.68013645230968</v>
          </cell>
          <cell r="W275">
            <v>106.64621676891616</v>
          </cell>
          <cell r="X275">
            <v>39.966225724739651</v>
          </cell>
          <cell r="Y275">
            <v>125.54046298067725</v>
          </cell>
          <cell r="Z275">
            <v>127.83425682143911</v>
          </cell>
          <cell r="AA275">
            <v>117.64705882352942</v>
          </cell>
          <cell r="AB275">
            <v>63.467829880043624</v>
          </cell>
          <cell r="AC275">
            <v>147.3241710975168</v>
          </cell>
          <cell r="AD275">
            <v>117.49519861628393</v>
          </cell>
          <cell r="AF275">
            <v>105.97027882164838</v>
          </cell>
          <cell r="AG275">
            <v>132.40968485690036</v>
          </cell>
        </row>
        <row r="276">
          <cell r="A276">
            <v>40452</v>
          </cell>
          <cell r="B276">
            <v>10.632296</v>
          </cell>
          <cell r="C276">
            <v>50.13</v>
          </cell>
          <cell r="D276">
            <v>70.360810000000001</v>
          </cell>
          <cell r="E276">
            <v>35.996876</v>
          </cell>
          <cell r="F276">
            <v>78.03</v>
          </cell>
          <cell r="G276">
            <v>1.7224953000000001</v>
          </cell>
          <cell r="H276">
            <v>20.41</v>
          </cell>
          <cell r="I276">
            <v>14.53</v>
          </cell>
          <cell r="J276">
            <v>32.83</v>
          </cell>
          <cell r="K276">
            <v>5.8400020000000001</v>
          </cell>
          <cell r="L276">
            <v>2.42</v>
          </cell>
          <cell r="M276">
            <v>11.35</v>
          </cell>
          <cell r="N276">
            <v>12.222618000000001</v>
          </cell>
          <cell r="O276">
            <v>12.54895</v>
          </cell>
          <cell r="Q276">
            <v>76.91737461368308</v>
          </cell>
          <cell r="R276">
            <v>83.024180192116589</v>
          </cell>
          <cell r="S276">
            <v>135.05648659086492</v>
          </cell>
          <cell r="T276">
            <v>131.67501570909531</v>
          </cell>
          <cell r="U276">
            <v>104.26242650988775</v>
          </cell>
          <cell r="V276">
            <v>166.77910852861794</v>
          </cell>
          <cell r="W276">
            <v>104.34560327198366</v>
          </cell>
          <cell r="X276">
            <v>40.895018294399094</v>
          </cell>
          <cell r="Y276">
            <v>125.61698871245454</v>
          </cell>
          <cell r="Z276">
            <v>128.07850507872769</v>
          </cell>
          <cell r="AA276">
            <v>118.62745098039215</v>
          </cell>
          <cell r="AB276">
            <v>61.886586695747006</v>
          </cell>
          <cell r="AC276">
            <v>149.54531200619783</v>
          </cell>
          <cell r="AD276">
            <v>118.95232058427445</v>
          </cell>
          <cell r="AF276">
            <v>106.43039543149747</v>
          </cell>
          <cell r="AG276">
            <v>134.24881629523614</v>
          </cell>
        </row>
        <row r="277">
          <cell r="A277">
            <v>40453</v>
          </cell>
          <cell r="B277">
            <v>10.632296</v>
          </cell>
          <cell r="C277">
            <v>50.13</v>
          </cell>
          <cell r="D277">
            <v>70.360810000000001</v>
          </cell>
          <cell r="E277">
            <v>35.996876</v>
          </cell>
          <cell r="F277">
            <v>78.03</v>
          </cell>
          <cell r="G277">
            <v>1.7224953000000001</v>
          </cell>
          <cell r="H277">
            <v>20.41</v>
          </cell>
          <cell r="I277">
            <v>14.53</v>
          </cell>
          <cell r="J277">
            <v>32.83</v>
          </cell>
          <cell r="K277">
            <v>5.8400020000000001</v>
          </cell>
          <cell r="L277">
            <v>2.42</v>
          </cell>
          <cell r="M277">
            <v>11.35</v>
          </cell>
          <cell r="N277">
            <v>12.222618000000001</v>
          </cell>
          <cell r="O277">
            <v>12.54895</v>
          </cell>
          <cell r="Q277">
            <v>76.91737461368308</v>
          </cell>
          <cell r="R277">
            <v>83.024180192116589</v>
          </cell>
          <cell r="S277">
            <v>135.05648659086492</v>
          </cell>
          <cell r="T277">
            <v>131.67501570909531</v>
          </cell>
          <cell r="U277">
            <v>104.26242650988775</v>
          </cell>
          <cell r="V277">
            <v>166.77910852861794</v>
          </cell>
          <cell r="W277">
            <v>104.34560327198366</v>
          </cell>
          <cell r="X277">
            <v>40.895018294399094</v>
          </cell>
          <cell r="Y277">
            <v>125.61698871245454</v>
          </cell>
          <cell r="Z277">
            <v>128.07850507872769</v>
          </cell>
          <cell r="AA277">
            <v>118.62745098039215</v>
          </cell>
          <cell r="AB277">
            <v>61.886586695747006</v>
          </cell>
          <cell r="AC277">
            <v>149.54531200619783</v>
          </cell>
          <cell r="AD277">
            <v>118.95232058427445</v>
          </cell>
          <cell r="AF277">
            <v>106.43039543149747</v>
          </cell>
          <cell r="AG277">
            <v>134.24881629523614</v>
          </cell>
        </row>
        <row r="278">
          <cell r="A278">
            <v>40454</v>
          </cell>
          <cell r="B278">
            <v>10.632296</v>
          </cell>
          <cell r="C278">
            <v>50.13</v>
          </cell>
          <cell r="D278">
            <v>70.360810000000001</v>
          </cell>
          <cell r="E278">
            <v>35.996876</v>
          </cell>
          <cell r="F278">
            <v>78.03</v>
          </cell>
          <cell r="G278">
            <v>1.7224953000000001</v>
          </cell>
          <cell r="H278">
            <v>20.41</v>
          </cell>
          <cell r="I278">
            <v>14.53</v>
          </cell>
          <cell r="J278">
            <v>32.83</v>
          </cell>
          <cell r="K278">
            <v>5.8400020000000001</v>
          </cell>
          <cell r="L278">
            <v>2.42</v>
          </cell>
          <cell r="M278">
            <v>11.35</v>
          </cell>
          <cell r="N278">
            <v>12.222618000000001</v>
          </cell>
          <cell r="O278">
            <v>12.54895</v>
          </cell>
          <cell r="Q278">
            <v>76.91737461368308</v>
          </cell>
          <cell r="R278">
            <v>83.024180192116589</v>
          </cell>
          <cell r="S278">
            <v>135.05648659086492</v>
          </cell>
          <cell r="T278">
            <v>131.67501570909531</v>
          </cell>
          <cell r="U278">
            <v>104.26242650988775</v>
          </cell>
          <cell r="V278">
            <v>166.77910852861794</v>
          </cell>
          <cell r="W278">
            <v>104.34560327198366</v>
          </cell>
          <cell r="X278">
            <v>40.895018294399094</v>
          </cell>
          <cell r="Y278">
            <v>125.61698871245454</v>
          </cell>
          <cell r="Z278">
            <v>128.07850507872769</v>
          </cell>
          <cell r="AA278">
            <v>118.62745098039215</v>
          </cell>
          <cell r="AB278">
            <v>61.886586695747006</v>
          </cell>
          <cell r="AC278">
            <v>149.54531200619783</v>
          </cell>
          <cell r="AD278">
            <v>118.95232058427445</v>
          </cell>
          <cell r="AF278">
            <v>106.43039543149747</v>
          </cell>
          <cell r="AG278">
            <v>134.24881629523614</v>
          </cell>
        </row>
        <row r="279">
          <cell r="A279">
            <v>40455</v>
          </cell>
          <cell r="B279">
            <v>10.56237</v>
          </cell>
          <cell r="C279">
            <v>49.48</v>
          </cell>
          <cell r="D279">
            <v>70.503590000000003</v>
          </cell>
          <cell r="E279">
            <v>35.587530000000001</v>
          </cell>
          <cell r="F279">
            <v>77.92</v>
          </cell>
          <cell r="G279">
            <v>1.7737514999999999</v>
          </cell>
          <cell r="H279">
            <v>20.239999999999998</v>
          </cell>
          <cell r="I279">
            <v>14.38</v>
          </cell>
          <cell r="J279">
            <v>32.43</v>
          </cell>
          <cell r="K279">
            <v>5.822845</v>
          </cell>
          <cell r="L279">
            <v>2.39</v>
          </cell>
          <cell r="M279">
            <v>11.24</v>
          </cell>
          <cell r="N279">
            <v>11.947558000000001</v>
          </cell>
          <cell r="O279">
            <v>12.5170555</v>
          </cell>
          <cell r="Q279">
            <v>76.41150792813967</v>
          </cell>
          <cell r="R279">
            <v>81.947664789665438</v>
          </cell>
          <cell r="S279">
            <v>135.33055059262165</v>
          </cell>
          <cell r="T279">
            <v>130.17764574342229</v>
          </cell>
          <cell r="U279">
            <v>104.11544628540888</v>
          </cell>
          <cell r="V279">
            <v>171.74194549111328</v>
          </cell>
          <cell r="W279">
            <v>103.47648261758691</v>
          </cell>
          <cell r="X279">
            <v>40.472839853644807</v>
          </cell>
          <cell r="Y279">
            <v>124.08647407690836</v>
          </cell>
          <cell r="Z279">
            <v>127.70223073641824</v>
          </cell>
          <cell r="AA279">
            <v>117.15686274509804</v>
          </cell>
          <cell r="AB279">
            <v>61.286804798255176</v>
          </cell>
          <cell r="AC279">
            <v>146.17991733212517</v>
          </cell>
          <cell r="AD279">
            <v>118.64999052567391</v>
          </cell>
          <cell r="AF279">
            <v>106.1588713048569</v>
          </cell>
          <cell r="AG279">
            <v>132.41495392889954</v>
          </cell>
        </row>
        <row r="280">
          <cell r="A280">
            <v>40456</v>
          </cell>
          <cell r="B280">
            <v>10.635776999999999</v>
          </cell>
          <cell r="C280">
            <v>50.66</v>
          </cell>
          <cell r="D280">
            <v>70.431015000000002</v>
          </cell>
          <cell r="E280">
            <v>35.179389999999998</v>
          </cell>
          <cell r="F280">
            <v>79.349999999999994</v>
          </cell>
          <cell r="G280">
            <v>1.7699115000000001</v>
          </cell>
          <cell r="H280">
            <v>21.13</v>
          </cell>
          <cell r="I280">
            <v>14.89</v>
          </cell>
          <cell r="J280">
            <v>33.130000000000003</v>
          </cell>
          <cell r="K280">
            <v>5.8312730000000004</v>
          </cell>
          <cell r="L280">
            <v>2.31</v>
          </cell>
          <cell r="M280">
            <v>11.67</v>
          </cell>
          <cell r="N280">
            <v>11.770999</v>
          </cell>
          <cell r="O280">
            <v>12.484394</v>
          </cell>
          <cell r="Q280">
            <v>76.942557262946238</v>
          </cell>
          <cell r="R280">
            <v>83.901954289499827</v>
          </cell>
          <cell r="S280">
            <v>135.19124400257056</v>
          </cell>
          <cell r="T280">
            <v>128.68468727359533</v>
          </cell>
          <cell r="U280">
            <v>106.0261892036344</v>
          </cell>
          <cell r="V280">
            <v>171.3701408326333</v>
          </cell>
          <cell r="W280">
            <v>108.02658486707566</v>
          </cell>
          <cell r="X280">
            <v>41.908246552209398</v>
          </cell>
          <cell r="Y280">
            <v>126.76487468911421</v>
          </cell>
          <cell r="Z280">
            <v>127.88706725544745</v>
          </cell>
          <cell r="AA280">
            <v>113.23529411764706</v>
          </cell>
          <cell r="AB280">
            <v>63.631406761177757</v>
          </cell>
          <cell r="AC280">
            <v>144.01969513238836</v>
          </cell>
          <cell r="AD280">
            <v>118.34039002373844</v>
          </cell>
          <cell r="AF280">
            <v>106.96418725896261</v>
          </cell>
          <cell r="AG280">
            <v>131.18004257806339</v>
          </cell>
        </row>
        <row r="281">
          <cell r="A281">
            <v>40457</v>
          </cell>
          <cell r="B281">
            <v>10.692028000000001</v>
          </cell>
          <cell r="C281">
            <v>50.62</v>
          </cell>
          <cell r="D281">
            <v>70.23048</v>
          </cell>
          <cell r="E281">
            <v>35.416916000000001</v>
          </cell>
          <cell r="F281">
            <v>79.14</v>
          </cell>
          <cell r="G281">
            <v>1.7881020999999999</v>
          </cell>
          <cell r="H281">
            <v>20.92</v>
          </cell>
          <cell r="I281">
            <v>14.92</v>
          </cell>
          <cell r="J281">
            <v>33.24</v>
          </cell>
          <cell r="K281">
            <v>5.8728109999999996</v>
          </cell>
          <cell r="L281">
            <v>2.36</v>
          </cell>
          <cell r="M281">
            <v>11.71</v>
          </cell>
          <cell r="N281">
            <v>11.650601</v>
          </cell>
          <cell r="O281">
            <v>12.495538</v>
          </cell>
          <cell r="Q281">
            <v>77.349494695782425</v>
          </cell>
          <cell r="R281">
            <v>83.835707187810527</v>
          </cell>
          <cell r="S281">
            <v>134.80632017155585</v>
          </cell>
          <cell r="T281">
            <v>129.5535471096911</v>
          </cell>
          <cell r="U281">
            <v>105.74559059326563</v>
          </cell>
          <cell r="V281">
            <v>173.13142984840053</v>
          </cell>
          <cell r="W281">
            <v>106.95296523517383</v>
          </cell>
          <cell r="X281">
            <v>41.99268224036026</v>
          </cell>
          <cell r="Y281">
            <v>127.18576621388942</v>
          </cell>
          <cell r="Z281">
            <v>128.79804724209129</v>
          </cell>
          <cell r="AA281">
            <v>115.68627450980391</v>
          </cell>
          <cell r="AB281">
            <v>63.849509269356609</v>
          </cell>
          <cell r="AC281">
            <v>142.54661003106867</v>
          </cell>
          <cell r="AD281">
            <v>118.4460247310718</v>
          </cell>
          <cell r="AF281">
            <v>107.40727785976513</v>
          </cell>
          <cell r="AG281">
            <v>130.49631738107024</v>
          </cell>
        </row>
        <row r="282">
          <cell r="A282">
            <v>40458</v>
          </cell>
          <cell r="B282">
            <v>10.781317</v>
          </cell>
          <cell r="C282">
            <v>50.23</v>
          </cell>
          <cell r="D282">
            <v>71.202910000000003</v>
          </cell>
          <cell r="E282">
            <v>36.25759</v>
          </cell>
          <cell r="F282">
            <v>78.599999999999994</v>
          </cell>
          <cell r="G282">
            <v>1.7756007</v>
          </cell>
          <cell r="H282">
            <v>20.69</v>
          </cell>
          <cell r="I282">
            <v>15.59</v>
          </cell>
          <cell r="J282">
            <v>32.71</v>
          </cell>
          <cell r="K282">
            <v>5.9164560000000002</v>
          </cell>
          <cell r="L282">
            <v>2.4</v>
          </cell>
          <cell r="M282">
            <v>11.8</v>
          </cell>
          <cell r="N282">
            <v>11.773122000000001</v>
          </cell>
          <cell r="O282">
            <v>12.518255999999999</v>
          </cell>
          <cell r="Q282">
            <v>77.995439415707551</v>
          </cell>
          <cell r="R282">
            <v>83.189797946339837</v>
          </cell>
          <cell r="S282">
            <v>136.6728845169003</v>
          </cell>
          <cell r="T282">
            <v>132.62869624641695</v>
          </cell>
          <cell r="U282">
            <v>105.02405130946018</v>
          </cell>
          <cell r="V282">
            <v>171.92099267196258</v>
          </cell>
          <cell r="W282">
            <v>105.77709611451944</v>
          </cell>
          <cell r="X282">
            <v>43.878412609062764</v>
          </cell>
          <cell r="Y282">
            <v>125.1578343217907</v>
          </cell>
          <cell r="Z282">
            <v>129.75523635849248</v>
          </cell>
          <cell r="AA282">
            <v>117.64705882352942</v>
          </cell>
          <cell r="AB282">
            <v>64.340239912759003</v>
          </cell>
          <cell r="AC282">
            <v>144.04567031196032</v>
          </cell>
          <cell r="AD282">
            <v>118.66137014395764</v>
          </cell>
          <cell r="AF282">
            <v>107.83231168724511</v>
          </cell>
          <cell r="AG282">
            <v>131.353520227959</v>
          </cell>
        </row>
        <row r="283">
          <cell r="A283">
            <v>40459</v>
          </cell>
          <cell r="B283">
            <v>10.819050000000001</v>
          </cell>
          <cell r="C283">
            <v>50.42</v>
          </cell>
          <cell r="D283">
            <v>69.028720000000007</v>
          </cell>
          <cell r="E283">
            <v>36.18815</v>
          </cell>
          <cell r="F283">
            <v>79.39</v>
          </cell>
          <cell r="G283">
            <v>1.8078059</v>
          </cell>
          <cell r="H283">
            <v>20.51</v>
          </cell>
          <cell r="I283">
            <v>16.07</v>
          </cell>
          <cell r="J283">
            <v>32.659999999999997</v>
          </cell>
          <cell r="K283">
            <v>5.9209709999999998</v>
          </cell>
          <cell r="L283">
            <v>2.44</v>
          </cell>
          <cell r="M283">
            <v>12.06</v>
          </cell>
          <cell r="N283">
            <v>12.170964</v>
          </cell>
          <cell r="O283">
            <v>12.498142</v>
          </cell>
          <cell r="Q283">
            <v>78.268411810033129</v>
          </cell>
          <cell r="R283">
            <v>83.504471679364016</v>
          </cell>
          <cell r="S283">
            <v>132.49956043804175</v>
          </cell>
          <cell r="T283">
            <v>132.37468772937675</v>
          </cell>
          <cell r="U283">
            <v>106.07963655799037</v>
          </cell>
          <cell r="V283">
            <v>175.03923313740003</v>
          </cell>
          <cell r="W283">
            <v>104.85685071574645</v>
          </cell>
          <cell r="X283">
            <v>45.229383619476501</v>
          </cell>
          <cell r="Y283">
            <v>124.9665199923474</v>
          </cell>
          <cell r="Z283">
            <v>129.85425592225812</v>
          </cell>
          <cell r="AA283">
            <v>119.6078431372549</v>
          </cell>
          <cell r="AB283">
            <v>65.757906215921494</v>
          </cell>
          <cell r="AC283">
            <v>148.9133186356803</v>
          </cell>
          <cell r="AD283">
            <v>118.47070821796126</v>
          </cell>
          <cell r="AF283">
            <v>108.16989674626757</v>
          </cell>
          <cell r="AG283">
            <v>133.69201342682078</v>
          </cell>
        </row>
        <row r="284">
          <cell r="A284">
            <v>40460</v>
          </cell>
          <cell r="B284">
            <v>10.819050000000001</v>
          </cell>
          <cell r="C284">
            <v>50.42</v>
          </cell>
          <cell r="D284">
            <v>69.028720000000007</v>
          </cell>
          <cell r="E284">
            <v>36.18815</v>
          </cell>
          <cell r="F284">
            <v>79.39</v>
          </cell>
          <cell r="G284">
            <v>1.8078059</v>
          </cell>
          <cell r="H284">
            <v>20.51</v>
          </cell>
          <cell r="I284">
            <v>16.07</v>
          </cell>
          <cell r="J284">
            <v>32.659999999999997</v>
          </cell>
          <cell r="K284">
            <v>5.9209709999999998</v>
          </cell>
          <cell r="L284">
            <v>2.44</v>
          </cell>
          <cell r="M284">
            <v>12.06</v>
          </cell>
          <cell r="N284">
            <v>12.170964</v>
          </cell>
          <cell r="O284">
            <v>12.498142</v>
          </cell>
          <cell r="Q284">
            <v>78.268411810033129</v>
          </cell>
          <cell r="R284">
            <v>83.504471679364016</v>
          </cell>
          <cell r="S284">
            <v>132.49956043804175</v>
          </cell>
          <cell r="T284">
            <v>132.37468772937675</v>
          </cell>
          <cell r="U284">
            <v>106.07963655799037</v>
          </cell>
          <cell r="V284">
            <v>175.03923313740003</v>
          </cell>
          <cell r="W284">
            <v>104.85685071574645</v>
          </cell>
          <cell r="X284">
            <v>45.229383619476501</v>
          </cell>
          <cell r="Y284">
            <v>124.9665199923474</v>
          </cell>
          <cell r="Z284">
            <v>129.85425592225812</v>
          </cell>
          <cell r="AA284">
            <v>119.6078431372549</v>
          </cell>
          <cell r="AB284">
            <v>65.757906215921494</v>
          </cell>
          <cell r="AC284">
            <v>148.9133186356803</v>
          </cell>
          <cell r="AD284">
            <v>118.47070821796126</v>
          </cell>
          <cell r="AF284">
            <v>108.16989674626757</v>
          </cell>
          <cell r="AG284">
            <v>133.69201342682078</v>
          </cell>
        </row>
        <row r="285">
          <cell r="A285">
            <v>40461</v>
          </cell>
          <cell r="B285">
            <v>10.819050000000001</v>
          </cell>
          <cell r="C285">
            <v>50.42</v>
          </cell>
          <cell r="D285">
            <v>69.028720000000007</v>
          </cell>
          <cell r="E285">
            <v>36.18815</v>
          </cell>
          <cell r="F285">
            <v>79.39</v>
          </cell>
          <cell r="G285">
            <v>1.8078059</v>
          </cell>
          <cell r="H285">
            <v>20.51</v>
          </cell>
          <cell r="I285">
            <v>16.07</v>
          </cell>
          <cell r="J285">
            <v>32.659999999999997</v>
          </cell>
          <cell r="K285">
            <v>5.9209709999999998</v>
          </cell>
          <cell r="L285">
            <v>2.44</v>
          </cell>
          <cell r="M285">
            <v>12.06</v>
          </cell>
          <cell r="N285">
            <v>12.170964</v>
          </cell>
          <cell r="O285">
            <v>12.498142</v>
          </cell>
          <cell r="Q285">
            <v>78.268411810033129</v>
          </cell>
          <cell r="R285">
            <v>83.504471679364016</v>
          </cell>
          <cell r="S285">
            <v>132.49956043804175</v>
          </cell>
          <cell r="T285">
            <v>132.37468772937675</v>
          </cell>
          <cell r="U285">
            <v>106.07963655799037</v>
          </cell>
          <cell r="V285">
            <v>175.03923313740003</v>
          </cell>
          <cell r="W285">
            <v>104.85685071574645</v>
          </cell>
          <cell r="X285">
            <v>45.229383619476501</v>
          </cell>
          <cell r="Y285">
            <v>124.9665199923474</v>
          </cell>
          <cell r="Z285">
            <v>129.85425592225812</v>
          </cell>
          <cell r="AA285">
            <v>119.6078431372549</v>
          </cell>
          <cell r="AB285">
            <v>65.757906215921494</v>
          </cell>
          <cell r="AC285">
            <v>148.9133186356803</v>
          </cell>
          <cell r="AD285">
            <v>118.47070821796126</v>
          </cell>
          <cell r="AF285">
            <v>108.16989674626757</v>
          </cell>
          <cell r="AG285">
            <v>133.69201342682078</v>
          </cell>
        </row>
        <row r="286">
          <cell r="A286">
            <v>40462</v>
          </cell>
          <cell r="B286">
            <v>10.78575</v>
          </cell>
          <cell r="C286">
            <v>50.47</v>
          </cell>
          <cell r="D286">
            <v>68.839479999999995</v>
          </cell>
          <cell r="E286">
            <v>36.088943</v>
          </cell>
          <cell r="F286">
            <v>79.89</v>
          </cell>
          <cell r="G286">
            <v>1.7993873</v>
          </cell>
          <cell r="H286">
            <v>20.56</v>
          </cell>
          <cell r="I286">
            <v>15.86</v>
          </cell>
          <cell r="J286">
            <v>32.4</v>
          </cell>
          <cell r="K286">
            <v>5.9297000000000004</v>
          </cell>
          <cell r="L286">
            <v>2.4500000000000002</v>
          </cell>
          <cell r="M286">
            <v>12.02</v>
          </cell>
          <cell r="N286">
            <v>12.312961</v>
          </cell>
          <cell r="O286">
            <v>12.937924000000001</v>
          </cell>
          <cell r="Q286">
            <v>78.027509132508371</v>
          </cell>
          <cell r="R286">
            <v>83.587280556475648</v>
          </cell>
          <cell r="S286">
            <v>132.13631718483788</v>
          </cell>
          <cell r="T286">
            <v>132.01179281362207</v>
          </cell>
          <cell r="U286">
            <v>106.74772848743987</v>
          </cell>
          <cell r="V286">
            <v>174.22410951816053</v>
          </cell>
          <cell r="W286">
            <v>105.11247443762781</v>
          </cell>
          <cell r="X286">
            <v>44.63833380242049</v>
          </cell>
          <cell r="Y286">
            <v>123.97168547924238</v>
          </cell>
          <cell r="Z286">
            <v>130.04569374553836</v>
          </cell>
          <cell r="AA286">
            <v>120.0980392156863</v>
          </cell>
          <cell r="AB286">
            <v>65.539803707742635</v>
          </cell>
          <cell r="AC286">
            <v>150.65067029544286</v>
          </cell>
          <cell r="AD286">
            <v>122.63943065698552</v>
          </cell>
          <cell r="AF286">
            <v>108.01173067344185</v>
          </cell>
          <cell r="AG286">
            <v>136.64505047621418</v>
          </cell>
        </row>
        <row r="287">
          <cell r="A287">
            <v>40463</v>
          </cell>
          <cell r="B287">
            <v>10.553490999999999</v>
          </cell>
          <cell r="C287">
            <v>50.6</v>
          </cell>
          <cell r="D287">
            <v>69.070899999999995</v>
          </cell>
          <cell r="E287">
            <v>35.709045000000003</v>
          </cell>
          <cell r="F287">
            <v>79.53</v>
          </cell>
          <cell r="G287">
            <v>1.7834588</v>
          </cell>
          <cell r="H287">
            <v>20.71</v>
          </cell>
          <cell r="I287">
            <v>16.190000000000001</v>
          </cell>
          <cell r="J287">
            <v>32.270000000000003</v>
          </cell>
          <cell r="K287">
            <v>5.9209709999999998</v>
          </cell>
          <cell r="L287">
            <v>2.4</v>
          </cell>
          <cell r="M287">
            <v>11.88</v>
          </cell>
          <cell r="N287">
            <v>12.269829</v>
          </cell>
          <cell r="O287">
            <v>12.892602</v>
          </cell>
          <cell r="Q287">
            <v>76.347274448447706</v>
          </cell>
          <cell r="R287">
            <v>83.802583636965878</v>
          </cell>
          <cell r="S287">
            <v>132.58052429568352</v>
          </cell>
          <cell r="T287">
            <v>130.62214235845886</v>
          </cell>
          <cell r="U287">
            <v>106.26670229823623</v>
          </cell>
          <cell r="V287">
            <v>172.68184636644216</v>
          </cell>
          <cell r="W287">
            <v>105.87934560327199</v>
          </cell>
          <cell r="X287">
            <v>45.567126372079933</v>
          </cell>
          <cell r="Y287">
            <v>123.47426822268987</v>
          </cell>
          <cell r="Z287">
            <v>129.85425592225812</v>
          </cell>
          <cell r="AA287">
            <v>117.64705882352942</v>
          </cell>
          <cell r="AB287">
            <v>64.776444929116693</v>
          </cell>
          <cell r="AC287">
            <v>150.12294469709306</v>
          </cell>
          <cell r="AD287">
            <v>122.20982044469521</v>
          </cell>
          <cell r="AF287">
            <v>107.45829777309837</v>
          </cell>
          <cell r="AG287">
            <v>136.16638257089414</v>
          </cell>
        </row>
        <row r="288">
          <cell r="A288">
            <v>40464</v>
          </cell>
          <cell r="B288">
            <v>10.669617000000001</v>
          </cell>
          <cell r="C288">
            <v>50.62</v>
          </cell>
          <cell r="D288">
            <v>69.682149999999993</v>
          </cell>
          <cell r="E288">
            <v>35.378970000000002</v>
          </cell>
          <cell r="F288">
            <v>80.400000000000006</v>
          </cell>
          <cell r="G288">
            <v>1.8050541</v>
          </cell>
          <cell r="H288">
            <v>21.21</v>
          </cell>
          <cell r="I288">
            <v>16.22</v>
          </cell>
          <cell r="J288">
            <v>31.71</v>
          </cell>
          <cell r="K288">
            <v>5.9694323999999996</v>
          </cell>
          <cell r="L288">
            <v>2.36</v>
          </cell>
          <cell r="M288">
            <v>12.23</v>
          </cell>
          <cell r="N288">
            <v>12.434358</v>
          </cell>
          <cell r="O288">
            <v>12.826703</v>
          </cell>
          <cell r="Q288">
            <v>77.187366470376801</v>
          </cell>
          <cell r="R288">
            <v>83.835707187810527</v>
          </cell>
          <cell r="S288">
            <v>133.75380921705761</v>
          </cell>
          <cell r="T288">
            <v>129.41474228268061</v>
          </cell>
          <cell r="U288">
            <v>107.42918225547835</v>
          </cell>
          <cell r="V288">
            <v>174.77279249698202</v>
          </cell>
          <cell r="W288">
            <v>108.43558282208589</v>
          </cell>
          <cell r="X288">
            <v>45.651562060230788</v>
          </cell>
          <cell r="Y288">
            <v>121.33154773292519</v>
          </cell>
          <cell r="Z288">
            <v>130.91707467917331</v>
          </cell>
          <cell r="AA288">
            <v>115.68627450980391</v>
          </cell>
          <cell r="AB288">
            <v>66.68484187568157</v>
          </cell>
          <cell r="AC288">
            <v>152.13597829096531</v>
          </cell>
          <cell r="AD288">
            <v>121.58515949902382</v>
          </cell>
          <cell r="AF288">
            <v>107.92504029919054</v>
          </cell>
          <cell r="AG288">
            <v>136.86056889499457</v>
          </cell>
        </row>
        <row r="289">
          <cell r="A289">
            <v>40465</v>
          </cell>
          <cell r="B289">
            <v>10.754099999999999</v>
          </cell>
          <cell r="C289">
            <v>49.97</v>
          </cell>
          <cell r="D289">
            <v>70.164664999999999</v>
          </cell>
          <cell r="E289">
            <v>35.070045</v>
          </cell>
          <cell r="F289">
            <v>78.98</v>
          </cell>
          <cell r="G289">
            <v>1.7742804999999999</v>
          </cell>
          <cell r="H289">
            <v>21.37</v>
          </cell>
          <cell r="I289">
            <v>15.84</v>
          </cell>
          <cell r="J289">
            <v>31.68</v>
          </cell>
          <cell r="K289">
            <v>5.994415</v>
          </cell>
          <cell r="L289">
            <v>2.2799999999999998</v>
          </cell>
          <cell r="M289">
            <v>12.31</v>
          </cell>
          <cell r="N289">
            <v>12.124506</v>
          </cell>
          <cell r="O289">
            <v>12.680012</v>
          </cell>
          <cell r="Q289">
            <v>77.798543074140255</v>
          </cell>
          <cell r="R289">
            <v>82.759191785359391</v>
          </cell>
          <cell r="S289">
            <v>134.67998929695423</v>
          </cell>
          <cell r="T289">
            <v>128.28470799226241</v>
          </cell>
          <cell r="U289">
            <v>105.53180117584179</v>
          </cell>
          <cell r="V289">
            <v>171.79316545578411</v>
          </cell>
          <cell r="W289">
            <v>109.25357873210635</v>
          </cell>
          <cell r="X289">
            <v>44.582043343653247</v>
          </cell>
          <cell r="Y289">
            <v>121.21675913525922</v>
          </cell>
          <cell r="Z289">
            <v>131.46497415951251</v>
          </cell>
          <cell r="AA289">
            <v>111.76470588235293</v>
          </cell>
          <cell r="AB289">
            <v>67.12104689203926</v>
          </cell>
          <cell r="AC289">
            <v>148.34489899717209</v>
          </cell>
          <cell r="AD289">
            <v>120.19466588331669</v>
          </cell>
          <cell r="AF289">
            <v>107.18754224377214</v>
          </cell>
          <cell r="AG289">
            <v>134.2697824402444</v>
          </cell>
        </row>
        <row r="290">
          <cell r="A290">
            <v>40466</v>
          </cell>
          <cell r="B290">
            <v>10.701521</v>
          </cell>
          <cell r="C290">
            <v>50.34</v>
          </cell>
          <cell r="D290">
            <v>67.363240000000005</v>
          </cell>
          <cell r="E290">
            <v>35.464042999999997</v>
          </cell>
          <cell r="F290">
            <v>79.12</v>
          </cell>
          <cell r="G290">
            <v>1.7654768000000001</v>
          </cell>
          <cell r="H290">
            <v>21.44</v>
          </cell>
          <cell r="I290">
            <v>15.8</v>
          </cell>
          <cell r="J290">
            <v>31.59</v>
          </cell>
          <cell r="K290">
            <v>5.9540810000000004</v>
          </cell>
          <cell r="L290">
            <v>2.2200000000000002</v>
          </cell>
          <cell r="M290">
            <v>12.07</v>
          </cell>
          <cell r="N290">
            <v>12.241706000000001</v>
          </cell>
          <cell r="O290">
            <v>12.632719</v>
          </cell>
          <cell r="Q290">
            <v>77.418170044663569</v>
          </cell>
          <cell r="R290">
            <v>83.371977475985432</v>
          </cell>
          <cell r="S290">
            <v>129.30269733644647</v>
          </cell>
          <cell r="T290">
            <v>129.7259356376656</v>
          </cell>
          <cell r="U290">
            <v>105.71886691608765</v>
          </cell>
          <cell r="V290">
            <v>170.94075486415383</v>
          </cell>
          <cell r="W290">
            <v>109.61145194274029</v>
          </cell>
          <cell r="X290">
            <v>44.469462426118774</v>
          </cell>
          <cell r="Y290">
            <v>120.87239334226132</v>
          </cell>
          <cell r="Z290">
            <v>130.58039938987284</v>
          </cell>
          <cell r="AA290">
            <v>108.82352941176472</v>
          </cell>
          <cell r="AB290">
            <v>65.812431842966205</v>
          </cell>
          <cell r="AC290">
            <v>149.77885615488793</v>
          </cell>
          <cell r="AD290">
            <v>119.74637243267803</v>
          </cell>
          <cell r="AF290">
            <v>106.3873392192272</v>
          </cell>
          <cell r="AG290">
            <v>134.76261429378297</v>
          </cell>
        </row>
        <row r="291">
          <cell r="A291">
            <v>40467</v>
          </cell>
          <cell r="B291">
            <v>10.701521</v>
          </cell>
          <cell r="C291">
            <v>50.34</v>
          </cell>
          <cell r="D291">
            <v>67.363240000000005</v>
          </cell>
          <cell r="E291">
            <v>35.464042999999997</v>
          </cell>
          <cell r="F291">
            <v>79.12</v>
          </cell>
          <cell r="G291">
            <v>1.7654768000000001</v>
          </cell>
          <cell r="H291">
            <v>21.44</v>
          </cell>
          <cell r="I291">
            <v>15.8</v>
          </cell>
          <cell r="J291">
            <v>31.59</v>
          </cell>
          <cell r="K291">
            <v>5.9540810000000004</v>
          </cell>
          <cell r="L291">
            <v>2.2200000000000002</v>
          </cell>
          <cell r="M291">
            <v>12.07</v>
          </cell>
          <cell r="N291">
            <v>12.241706000000001</v>
          </cell>
          <cell r="O291">
            <v>12.632719</v>
          </cell>
          <cell r="Q291">
            <v>77.418170044663569</v>
          </cell>
          <cell r="R291">
            <v>83.371977475985432</v>
          </cell>
          <cell r="S291">
            <v>129.30269733644647</v>
          </cell>
          <cell r="T291">
            <v>129.7259356376656</v>
          </cell>
          <cell r="U291">
            <v>105.71886691608765</v>
          </cell>
          <cell r="V291">
            <v>170.94075486415383</v>
          </cell>
          <cell r="W291">
            <v>109.61145194274029</v>
          </cell>
          <cell r="X291">
            <v>44.469462426118774</v>
          </cell>
          <cell r="Y291">
            <v>120.87239334226132</v>
          </cell>
          <cell r="Z291">
            <v>130.58039938987284</v>
          </cell>
          <cell r="AA291">
            <v>108.82352941176472</v>
          </cell>
          <cell r="AB291">
            <v>65.812431842966205</v>
          </cell>
          <cell r="AC291">
            <v>149.77885615488793</v>
          </cell>
          <cell r="AD291">
            <v>119.74637243267803</v>
          </cell>
          <cell r="AF291">
            <v>106.3873392192272</v>
          </cell>
          <cell r="AG291">
            <v>134.76261429378297</v>
          </cell>
        </row>
        <row r="292">
          <cell r="A292">
            <v>40468</v>
          </cell>
          <cell r="B292">
            <v>10.701521</v>
          </cell>
          <cell r="C292">
            <v>50.34</v>
          </cell>
          <cell r="D292">
            <v>67.363240000000005</v>
          </cell>
          <cell r="E292">
            <v>35.464042999999997</v>
          </cell>
          <cell r="F292">
            <v>79.12</v>
          </cell>
          <cell r="G292">
            <v>1.7654768000000001</v>
          </cell>
          <cell r="H292">
            <v>21.44</v>
          </cell>
          <cell r="I292">
            <v>15.8</v>
          </cell>
          <cell r="J292">
            <v>31.59</v>
          </cell>
          <cell r="K292">
            <v>5.9540810000000004</v>
          </cell>
          <cell r="L292">
            <v>2.2200000000000002</v>
          </cell>
          <cell r="M292">
            <v>12.07</v>
          </cell>
          <cell r="N292">
            <v>12.241706000000001</v>
          </cell>
          <cell r="O292">
            <v>12.632719</v>
          </cell>
          <cell r="Q292">
            <v>77.418170044663569</v>
          </cell>
          <cell r="R292">
            <v>83.371977475985432</v>
          </cell>
          <cell r="S292">
            <v>129.30269733644647</v>
          </cell>
          <cell r="T292">
            <v>129.7259356376656</v>
          </cell>
          <cell r="U292">
            <v>105.71886691608765</v>
          </cell>
          <cell r="V292">
            <v>170.94075486415383</v>
          </cell>
          <cell r="W292">
            <v>109.61145194274029</v>
          </cell>
          <cell r="X292">
            <v>44.469462426118774</v>
          </cell>
          <cell r="Y292">
            <v>120.87239334226132</v>
          </cell>
          <cell r="Z292">
            <v>130.58039938987284</v>
          </cell>
          <cell r="AA292">
            <v>108.82352941176472</v>
          </cell>
          <cell r="AB292">
            <v>65.812431842966205</v>
          </cell>
          <cell r="AC292">
            <v>149.77885615488793</v>
          </cell>
          <cell r="AD292">
            <v>119.74637243267803</v>
          </cell>
          <cell r="AF292">
            <v>106.3873392192272</v>
          </cell>
          <cell r="AG292">
            <v>134.76261429378297</v>
          </cell>
        </row>
        <row r="293">
          <cell r="A293">
            <v>40469</v>
          </cell>
          <cell r="B293">
            <v>10.758317999999999</v>
          </cell>
          <cell r="C293">
            <v>51.57</v>
          </cell>
          <cell r="D293">
            <v>68.855090000000004</v>
          </cell>
          <cell r="E293">
            <v>36.312125999999999</v>
          </cell>
          <cell r="F293">
            <v>79.959999999999994</v>
          </cell>
          <cell r="G293">
            <v>1.7392642</v>
          </cell>
          <cell r="H293">
            <v>21.95</v>
          </cell>
          <cell r="I293">
            <v>16.440000000000001</v>
          </cell>
          <cell r="J293">
            <v>31.45</v>
          </cell>
          <cell r="K293">
            <v>5.969131</v>
          </cell>
          <cell r="L293">
            <v>2.17</v>
          </cell>
          <cell r="M293">
            <v>12.06</v>
          </cell>
          <cell r="N293">
            <v>11.973846</v>
          </cell>
          <cell r="O293">
            <v>12.648768</v>
          </cell>
          <cell r="Q293">
            <v>77.829057413293384</v>
          </cell>
          <cell r="R293">
            <v>85.409075852931423</v>
          </cell>
          <cell r="S293">
            <v>132.1662803384128</v>
          </cell>
          <cell r="T293">
            <v>132.82818657598639</v>
          </cell>
          <cell r="U293">
            <v>106.84126135756277</v>
          </cell>
          <cell r="V293">
            <v>168.40274267903072</v>
          </cell>
          <cell r="W293">
            <v>112.21881390593047</v>
          </cell>
          <cell r="X293">
            <v>46.270757106670423</v>
          </cell>
          <cell r="Y293">
            <v>120.33671321982015</v>
          </cell>
          <cell r="Z293">
            <v>130.91046460242492</v>
          </cell>
          <cell r="AA293">
            <v>106.37254901960785</v>
          </cell>
          <cell r="AB293">
            <v>65.757906215921494</v>
          </cell>
          <cell r="AC293">
            <v>146.50155441200599</v>
          </cell>
          <cell r="AD293">
            <v>119.89850195690572</v>
          </cell>
          <cell r="AF293">
            <v>107.11198402396606</v>
          </cell>
          <cell r="AG293">
            <v>133.20002818445585</v>
          </cell>
        </row>
        <row r="294">
          <cell r="A294">
            <v>40470</v>
          </cell>
          <cell r="B294">
            <v>10.646686000000001</v>
          </cell>
          <cell r="C294">
            <v>50.08</v>
          </cell>
          <cell r="D294">
            <v>67.465170000000001</v>
          </cell>
          <cell r="E294">
            <v>36.066980000000001</v>
          </cell>
          <cell r="F294">
            <v>78.989999999999995</v>
          </cell>
          <cell r="G294">
            <v>1.6797099</v>
          </cell>
          <cell r="H294">
            <v>21.75</v>
          </cell>
          <cell r="I294">
            <v>16.03</v>
          </cell>
          <cell r="J294">
            <v>30.51</v>
          </cell>
          <cell r="K294">
            <v>5.8532460000000004</v>
          </cell>
          <cell r="L294">
            <v>2.0699999999999998</v>
          </cell>
          <cell r="M294">
            <v>11.58</v>
          </cell>
          <cell r="N294">
            <v>11.776192999999999</v>
          </cell>
          <cell r="O294">
            <v>12.427137999999999</v>
          </cell>
          <cell r="Q294">
            <v>77.021476401358186</v>
          </cell>
          <cell r="R294">
            <v>82.941371315004957</v>
          </cell>
          <cell r="S294">
            <v>129.49835039499152</v>
          </cell>
          <cell r="T294">
            <v>131.93145310942054</v>
          </cell>
          <cell r="U294">
            <v>105.54516301443077</v>
          </cell>
          <cell r="V294">
            <v>162.63644940493828</v>
          </cell>
          <cell r="W294">
            <v>111.19631901840492</v>
          </cell>
          <cell r="X294">
            <v>45.116802701942021</v>
          </cell>
          <cell r="Y294">
            <v>116.7400038262866</v>
          </cell>
          <cell r="Z294">
            <v>128.36896246577356</v>
          </cell>
          <cell r="AA294">
            <v>101.47058823529412</v>
          </cell>
          <cell r="AB294">
            <v>63.140676117775349</v>
          </cell>
          <cell r="AC294">
            <v>144.08324439413903</v>
          </cell>
          <cell r="AD294">
            <v>117.7976566422704</v>
          </cell>
          <cell r="AF294">
            <v>104.63396800046841</v>
          </cell>
          <cell r="AG294">
            <v>130.94045051820473</v>
          </cell>
        </row>
        <row r="295">
          <cell r="A295">
            <v>40471</v>
          </cell>
          <cell r="B295">
            <v>10.73977</v>
          </cell>
          <cell r="C295">
            <v>47.79</v>
          </cell>
          <cell r="D295">
            <v>67.218580000000003</v>
          </cell>
          <cell r="E295">
            <v>36.265909999999998</v>
          </cell>
          <cell r="F295">
            <v>78.319999999999993</v>
          </cell>
          <cell r="G295">
            <v>1.6742188</v>
          </cell>
          <cell r="H295">
            <v>21.91</v>
          </cell>
          <cell r="I295">
            <v>16.07</v>
          </cell>
          <cell r="J295">
            <v>30.94</v>
          </cell>
          <cell r="K295">
            <v>5.9315059999999997</v>
          </cell>
          <cell r="L295">
            <v>2.04</v>
          </cell>
          <cell r="M295">
            <v>11.85</v>
          </cell>
          <cell r="N295">
            <v>11.953569999999999</v>
          </cell>
          <cell r="O295">
            <v>12.484707999999999</v>
          </cell>
          <cell r="Q295">
            <v>77.694875345343576</v>
          </cell>
          <cell r="R295">
            <v>79.148724743292476</v>
          </cell>
          <cell r="S295">
            <v>129.02502470376595</v>
          </cell>
          <cell r="T295">
            <v>132.65913044661531</v>
          </cell>
          <cell r="U295">
            <v>104.64991982896845</v>
          </cell>
          <cell r="V295">
            <v>162.10477842572487</v>
          </cell>
          <cell r="W295">
            <v>112.01431492842538</v>
          </cell>
          <cell r="X295">
            <v>45.229383619476501</v>
          </cell>
          <cell r="Y295">
            <v>118.38530705949874</v>
          </cell>
          <cell r="Z295">
            <v>130.0853015710446</v>
          </cell>
          <cell r="AA295">
            <v>100</v>
          </cell>
          <cell r="AB295">
            <v>64.612868047982559</v>
          </cell>
          <cell r="AC295">
            <v>146.25347492966941</v>
          </cell>
          <cell r="AD295">
            <v>118.34336645034492</v>
          </cell>
          <cell r="AF295">
            <v>104.6341357266782</v>
          </cell>
          <cell r="AG295">
            <v>132.29842069000716</v>
          </cell>
        </row>
        <row r="296">
          <cell r="A296">
            <v>40472</v>
          </cell>
          <cell r="B296">
            <v>10.859714</v>
          </cell>
          <cell r="C296">
            <v>47.79</v>
          </cell>
          <cell r="D296">
            <v>66.387479999999996</v>
          </cell>
          <cell r="E296">
            <v>36.199039999999997</v>
          </cell>
          <cell r="F296">
            <v>78.08</v>
          </cell>
          <cell r="G296">
            <v>1.6888375</v>
          </cell>
          <cell r="H296">
            <v>22.09</v>
          </cell>
          <cell r="I296">
            <v>16.73</v>
          </cell>
          <cell r="J296">
            <v>31.36</v>
          </cell>
          <cell r="K296">
            <v>5.9378270000000004</v>
          </cell>
          <cell r="L296">
            <v>2</v>
          </cell>
          <cell r="M296">
            <v>11.52</v>
          </cell>
          <cell r="N296">
            <v>12.064938</v>
          </cell>
          <cell r="O296">
            <v>12.331075999999999</v>
          </cell>
          <cell r="Q296">
            <v>78.56258798056966</v>
          </cell>
          <cell r="R296">
            <v>79.148724743292476</v>
          </cell>
          <cell r="S296">
            <v>127.42974110760399</v>
          </cell>
          <cell r="T296">
            <v>132.41452287843444</v>
          </cell>
          <cell r="U296">
            <v>104.3292357028327</v>
          </cell>
          <cell r="V296">
            <v>163.52022133221482</v>
          </cell>
          <cell r="W296">
            <v>112.93456032719837</v>
          </cell>
          <cell r="X296">
            <v>47.086968758795386</v>
          </cell>
          <cell r="Y296">
            <v>119.99234742682225</v>
          </cell>
          <cell r="Z296">
            <v>130.22392896031653</v>
          </cell>
          <cell r="AA296">
            <v>98.039215686274503</v>
          </cell>
          <cell r="AB296">
            <v>62.813522355507089</v>
          </cell>
          <cell r="AC296">
            <v>147.61607681312074</v>
          </cell>
          <cell r="AD296">
            <v>116.88707864012946</v>
          </cell>
          <cell r="AF296">
            <v>104.70796477165517</v>
          </cell>
          <cell r="AG296">
            <v>132.2515777266251</v>
          </cell>
        </row>
        <row r="297">
          <cell r="A297">
            <v>40473</v>
          </cell>
          <cell r="B297">
            <v>10.819753</v>
          </cell>
          <cell r="C297">
            <v>49.03</v>
          </cell>
          <cell r="D297">
            <v>66.691230000000004</v>
          </cell>
          <cell r="E297">
            <v>36.747729999999997</v>
          </cell>
          <cell r="F297">
            <v>79.16</v>
          </cell>
          <cell r="G297">
            <v>1.6855879</v>
          </cell>
          <cell r="H297">
            <v>22.79</v>
          </cell>
          <cell r="I297">
            <v>17.329999999999998</v>
          </cell>
          <cell r="J297">
            <v>31.59</v>
          </cell>
          <cell r="K297">
            <v>5.8999009999999998</v>
          </cell>
          <cell r="L297">
            <v>2.08</v>
          </cell>
          <cell r="M297">
            <v>10.029999999999999</v>
          </cell>
          <cell r="N297">
            <v>11.976754</v>
          </cell>
          <cell r="O297">
            <v>12.389747</v>
          </cell>
          <cell r="Q297">
            <v>78.27349753322531</v>
          </cell>
          <cell r="R297">
            <v>81.202384895660813</v>
          </cell>
          <cell r="S297">
            <v>128.01278453478989</v>
          </cell>
          <cell r="T297">
            <v>134.42160717012197</v>
          </cell>
          <cell r="U297">
            <v>105.7723142704436</v>
          </cell>
          <cell r="V297">
            <v>163.20558163997615</v>
          </cell>
          <cell r="W297">
            <v>116.51329243353783</v>
          </cell>
          <cell r="X297">
            <v>48.775682521812548</v>
          </cell>
          <cell r="Y297">
            <v>120.87239334226132</v>
          </cell>
          <cell r="Z297">
            <v>129.39216462468514</v>
          </cell>
          <cell r="AA297">
            <v>101.96078431372548</v>
          </cell>
          <cell r="AB297">
            <v>54.689203925845142</v>
          </cell>
          <cell r="AC297">
            <v>146.53713416810356</v>
          </cell>
          <cell r="AD297">
            <v>117.44322489945793</v>
          </cell>
          <cell r="AF297">
            <v>105.25764093384043</v>
          </cell>
          <cell r="AG297">
            <v>131.99017953378075</v>
          </cell>
          <cell r="AH297">
            <v>0.25397242768097961</v>
          </cell>
        </row>
      </sheetData>
      <sheetData sheetId="3" refreshError="1"/>
      <sheetData sheetId="4" refreshError="1"/>
      <sheetData sheetId="5" refreshError="1"/>
      <sheetData sheetId="6" refreshError="1"/>
      <sheetData sheetId="7">
        <row r="1">
          <cell r="D1" t="str">
            <v xml:space="preserve">P / E </v>
          </cell>
          <cell r="H1" t="str">
            <v>EV / EBITDA</v>
          </cell>
          <cell r="L1" t="str">
            <v>PBV</v>
          </cell>
          <cell r="P1" t="str">
            <v>ROE</v>
          </cell>
          <cell r="T1" t="str">
            <v>EPS</v>
          </cell>
        </row>
        <row r="2">
          <cell r="Q2" t="str">
            <v>(%)</v>
          </cell>
        </row>
        <row r="3">
          <cell r="D3">
            <v>2009</v>
          </cell>
          <cell r="E3">
            <v>2010</v>
          </cell>
          <cell r="F3">
            <v>2011</v>
          </cell>
          <cell r="H3">
            <v>2009</v>
          </cell>
          <cell r="I3">
            <v>2010</v>
          </cell>
          <cell r="J3">
            <v>2011</v>
          </cell>
          <cell r="L3">
            <v>2009</v>
          </cell>
          <cell r="M3">
            <v>2010</v>
          </cell>
          <cell r="N3">
            <v>2011</v>
          </cell>
          <cell r="P3">
            <v>2009</v>
          </cell>
          <cell r="Q3">
            <v>2010</v>
          </cell>
          <cell r="R3">
            <v>2011</v>
          </cell>
          <cell r="T3">
            <v>2010</v>
          </cell>
          <cell r="U3">
            <v>2011</v>
          </cell>
        </row>
        <row r="4">
          <cell r="B4" t="str">
            <v>Company</v>
          </cell>
        </row>
        <row r="6">
          <cell r="B6" t="str">
            <v>SONIC HEALTHCARE</v>
          </cell>
          <cell r="D6">
            <v>14.740912926668001</v>
          </cell>
          <cell r="E6">
            <v>14.740912926668001</v>
          </cell>
          <cell r="F6">
            <v>14.740912926668001</v>
          </cell>
          <cell r="H6">
            <v>11.8863835662785</v>
          </cell>
          <cell r="I6">
            <v>11.8863835662785</v>
          </cell>
          <cell r="J6">
            <v>11.8863835662785</v>
          </cell>
          <cell r="L6">
            <v>2.3431096945388901</v>
          </cell>
          <cell r="M6">
            <v>2.3431096945388901</v>
          </cell>
          <cell r="N6">
            <v>2.3431096945388901</v>
          </cell>
          <cell r="P6">
            <v>15.039405923785901</v>
          </cell>
          <cell r="Q6">
            <v>13.670283312467399</v>
          </cell>
          <cell r="R6">
            <v>14.5663999029987</v>
          </cell>
          <cell r="T6">
            <v>0.86550279498333105</v>
          </cell>
          <cell r="U6">
            <v>0.93767619469294505</v>
          </cell>
          <cell r="V6">
            <v>8.338898514013926E-2</v>
          </cell>
        </row>
        <row r="7">
          <cell r="B7" t="str">
            <v>QUEST DIAGNOSTICS INC</v>
          </cell>
          <cell r="D7">
            <v>15.403060999999999</v>
          </cell>
          <cell r="E7">
            <v>12.269428</v>
          </cell>
          <cell r="F7">
            <v>11.377336999999999</v>
          </cell>
          <cell r="H7">
            <v>6.7233792349212695</v>
          </cell>
          <cell r="I7">
            <v>7.0151956179253556</v>
          </cell>
          <cell r="J7">
            <v>6.8536460986135239</v>
          </cell>
          <cell r="L7">
            <v>2.27623</v>
          </cell>
          <cell r="M7">
            <v>2.2842539999999998</v>
          </cell>
          <cell r="N7">
            <v>1.9771909999999999</v>
          </cell>
          <cell r="P7">
            <v>20.237708043578401</v>
          </cell>
          <cell r="Q7">
            <v>18.316372504123901</v>
          </cell>
          <cell r="R7">
            <v>18.726876325526501</v>
          </cell>
          <cell r="T7">
            <v>4.1000000000000005</v>
          </cell>
          <cell r="U7">
            <v>3.95</v>
          </cell>
          <cell r="V7">
            <v>-3.6585365853658569E-2</v>
          </cell>
        </row>
        <row r="8">
          <cell r="B8" t="str">
            <v>SYSMEX CORP</v>
          </cell>
          <cell r="H8" t="str">
            <v>NA</v>
          </cell>
          <cell r="I8" t="str">
            <v>NA</v>
          </cell>
          <cell r="J8" t="str">
            <v>NA</v>
          </cell>
        </row>
        <row r="9">
          <cell r="B9" t="str">
            <v>MIRACA HLDGS INC</v>
          </cell>
          <cell r="D9">
            <v>12.342984</v>
          </cell>
          <cell r="E9">
            <v>13.759500000000001</v>
          </cell>
          <cell r="F9">
            <v>12.934211999999999</v>
          </cell>
          <cell r="H9" t="str">
            <v>NA</v>
          </cell>
          <cell r="I9">
            <v>4.630552322871079</v>
          </cell>
          <cell r="J9" t="str">
            <v>NA</v>
          </cell>
          <cell r="L9">
            <v>1.8315489999999999</v>
          </cell>
          <cell r="M9">
            <v>1.651214</v>
          </cell>
          <cell r="N9">
            <v>1.4963069999999998</v>
          </cell>
          <cell r="P9">
            <v>12.183536</v>
          </cell>
          <cell r="Q9">
            <v>12.000537999999999</v>
          </cell>
          <cell r="R9">
            <v>11.568596999999999</v>
          </cell>
          <cell r="T9">
            <v>199.49</v>
          </cell>
          <cell r="U9">
            <v>199.49</v>
          </cell>
          <cell r="V9">
            <v>0</v>
          </cell>
        </row>
        <row r="10">
          <cell r="B10" t="str">
            <v>LABORATORY CP OF AMER HLDGS</v>
          </cell>
          <cell r="D10">
            <v>14.790514999999999</v>
          </cell>
          <cell r="E10">
            <v>14.283272</v>
          </cell>
          <cell r="F10">
            <v>13.131705999999999</v>
          </cell>
          <cell r="H10">
            <v>1.0724415518055177</v>
          </cell>
          <cell r="I10">
            <v>7.7275082191769542</v>
          </cell>
          <cell r="J10">
            <v>7.1713633391080878</v>
          </cell>
          <cell r="L10">
            <v>4.1745939999999999</v>
          </cell>
          <cell r="M10">
            <v>3.8504259999999997</v>
          </cell>
          <cell r="N10">
            <v>3.068238</v>
          </cell>
          <cell r="P10">
            <v>25.788</v>
          </cell>
          <cell r="Q10">
            <v>26.957590000000003</v>
          </cell>
          <cell r="R10">
            <v>23.365110000000001</v>
          </cell>
          <cell r="T10">
            <v>5.3100000000000005</v>
          </cell>
          <cell r="U10">
            <v>5.38</v>
          </cell>
          <cell r="V10">
            <v>1.3182674199623268E-2</v>
          </cell>
        </row>
        <row r="11">
          <cell r="B11" t="str">
            <v>RAFFLES MEDICAL</v>
          </cell>
          <cell r="H11" t="str">
            <v>NA</v>
          </cell>
          <cell r="I11" t="str">
            <v>NA</v>
          </cell>
          <cell r="J11" t="str">
            <v>NA</v>
          </cell>
        </row>
        <row r="12">
          <cell r="B12" t="str">
            <v>BIO REFERENCE LABS</v>
          </cell>
          <cell r="D12">
            <v>21.106260000000002</v>
          </cell>
          <cell r="E12">
            <v>26.149570000000001</v>
          </cell>
          <cell r="F12">
            <v>22.56118</v>
          </cell>
          <cell r="H12">
            <v>22.756013818352518</v>
          </cell>
          <cell r="I12">
            <v>20.358060425960169</v>
          </cell>
          <cell r="J12">
            <v>16.943852170607222</v>
          </cell>
          <cell r="L12">
            <v>4.5091999999999999</v>
          </cell>
          <cell r="M12">
            <v>3.4897860000000001</v>
          </cell>
          <cell r="N12">
            <v>3.0647600000000002</v>
          </cell>
          <cell r="P12">
            <v>14.367215</v>
          </cell>
          <cell r="Q12">
            <v>13.345480999999999</v>
          </cell>
          <cell r="R12">
            <v>13.584214999999999</v>
          </cell>
          <cell r="T12">
            <v>7.8600000000000003E-2</v>
          </cell>
          <cell r="U12">
            <v>7.8600000000000003E-2</v>
          </cell>
          <cell r="V12">
            <v>0</v>
          </cell>
        </row>
        <row r="13">
          <cell r="B13" t="str">
            <v>GENOPTIX INC</v>
          </cell>
          <cell r="D13">
            <v>19.738900000000001</v>
          </cell>
          <cell r="E13">
            <v>16.554820000000003</v>
          </cell>
          <cell r="F13">
            <v>17.167950000000001</v>
          </cell>
          <cell r="H13">
            <v>2.3942270028289863</v>
          </cell>
          <cell r="I13">
            <v>3.5378179332437933</v>
          </cell>
          <cell r="J13">
            <v>3.6818058854461033</v>
          </cell>
          <cell r="L13">
            <v>2.0245329999999999</v>
          </cell>
          <cell r="M13">
            <v>2.0667519999999997</v>
          </cell>
          <cell r="N13">
            <v>1.248</v>
          </cell>
          <cell r="P13">
            <v>19.97663</v>
          </cell>
          <cell r="Q13">
            <v>12.484292</v>
          </cell>
          <cell r="R13">
            <v>7.2693689999999993</v>
          </cell>
          <cell r="T13">
            <v>1.61</v>
          </cell>
          <cell r="U13">
            <v>1.54</v>
          </cell>
          <cell r="V13">
            <v>-4.3478260869565299E-2</v>
          </cell>
        </row>
        <row r="14">
          <cell r="B14" t="str">
            <v>RESMED INC</v>
          </cell>
          <cell r="H14" t="str">
            <v>NA</v>
          </cell>
          <cell r="I14" t="str">
            <v>NA</v>
          </cell>
          <cell r="J14" t="str">
            <v>NA</v>
          </cell>
        </row>
        <row r="15">
          <cell r="B15" t="str">
            <v>HEALTHSCOPE</v>
          </cell>
          <cell r="D15">
            <v>12.276786999999999</v>
          </cell>
          <cell r="E15">
            <v>14.607090000000001</v>
          </cell>
          <cell r="F15">
            <v>16.050150000000002</v>
          </cell>
          <cell r="H15">
            <v>12.343122020698383</v>
          </cell>
          <cell r="I15" t="str">
            <v>NA</v>
          </cell>
          <cell r="J15" t="str">
            <v>NA</v>
          </cell>
          <cell r="L15">
            <v>1.699576</v>
          </cell>
          <cell r="M15">
            <v>1.5921449999999999</v>
          </cell>
          <cell r="N15">
            <v>1.563267</v>
          </cell>
          <cell r="P15">
            <v>8.1026300000000013</v>
          </cell>
          <cell r="Q15">
            <v>8.6377839999999999</v>
          </cell>
          <cell r="R15">
            <v>8.862603</v>
          </cell>
          <cell r="T15">
            <v>0.27729999999999999</v>
          </cell>
          <cell r="U15">
            <v>0.31790000000000002</v>
          </cell>
          <cell r="V15">
            <v>0.14641182834475308</v>
          </cell>
        </row>
        <row r="16">
          <cell r="B16" t="str">
            <v>RADNET</v>
          </cell>
          <cell r="H16">
            <v>5.3397265114521026</v>
          </cell>
          <cell r="I16">
            <v>5.4134587490424702</v>
          </cell>
          <cell r="J16">
            <v>4.9100277152260521</v>
          </cell>
        </row>
        <row r="17">
          <cell r="B17" t="str">
            <v>DIAGNOSTICOS DA AMERICA</v>
          </cell>
          <cell r="D17">
            <v>19.729117892189201</v>
          </cell>
          <cell r="E17">
            <v>19.729117892189201</v>
          </cell>
          <cell r="F17">
            <v>19.729117892189201</v>
          </cell>
          <cell r="H17">
            <v>9.3578548665922803</v>
          </cell>
          <cell r="I17">
            <v>9.3578548665922803</v>
          </cell>
          <cell r="J17">
            <v>9.3578548665922803</v>
          </cell>
          <cell r="L17">
            <v>5.8275990300307701</v>
          </cell>
          <cell r="M17">
            <v>5.8275990300307701</v>
          </cell>
          <cell r="N17">
            <v>5.8275990300307701</v>
          </cell>
          <cell r="P17">
            <v>34.624095471756696</v>
          </cell>
          <cell r="Q17">
            <v>41.778721373458602</v>
          </cell>
          <cell r="R17">
            <v>43.987697208679897</v>
          </cell>
          <cell r="T17">
            <v>0.59893251255024504</v>
          </cell>
          <cell r="U17">
            <v>0.77030027228360198</v>
          </cell>
          <cell r="V17">
            <v>0.28612198560347935</v>
          </cell>
        </row>
        <row r="18">
          <cell r="B18" t="str">
            <v>FLEURY</v>
          </cell>
          <cell r="D18">
            <v>28.173704612007601</v>
          </cell>
          <cell r="E18">
            <v>28.173704612007601</v>
          </cell>
          <cell r="F18">
            <v>28.173704612007601</v>
          </cell>
          <cell r="H18">
            <v>10.138243304727901</v>
          </cell>
          <cell r="I18">
            <v>10.138243304727901</v>
          </cell>
          <cell r="J18">
            <v>10.138243304727901</v>
          </cell>
          <cell r="L18">
            <v>2.3879125306398898</v>
          </cell>
          <cell r="M18">
            <v>2.3879125306398898</v>
          </cell>
          <cell r="N18">
            <v>2.3879125306398898</v>
          </cell>
          <cell r="P18">
            <v>56.531105533718893</v>
          </cell>
          <cell r="Q18">
            <v>15.277778737413</v>
          </cell>
          <cell r="R18">
            <v>15.355089845118099</v>
          </cell>
          <cell r="T18">
            <v>0.68568158173660698</v>
          </cell>
          <cell r="U18">
            <v>0.76811682156984795</v>
          </cell>
          <cell r="V18">
            <v>0.12022379195961408</v>
          </cell>
        </row>
        <row r="19">
          <cell r="B19" t="str">
            <v>HEALTHWAYS</v>
          </cell>
          <cell r="D19">
            <v>59.161290000000008</v>
          </cell>
          <cell r="E19">
            <v>8.9991839999999996</v>
          </cell>
          <cell r="F19">
            <v>9.4541550000000001</v>
          </cell>
          <cell r="H19">
            <v>602.45385999999996</v>
          </cell>
          <cell r="I19">
            <v>602.45385999999996</v>
          </cell>
          <cell r="J19">
            <v>602.45385999999996</v>
          </cell>
          <cell r="L19">
            <v>0.91486780000000001</v>
          </cell>
          <cell r="M19">
            <v>0.84992000000000012</v>
          </cell>
          <cell r="N19">
            <v>0.75508160000000002</v>
          </cell>
          <cell r="P19">
            <v>9.486165999999999</v>
          </cell>
          <cell r="Q19">
            <v>9.4444109999999988</v>
          </cell>
          <cell r="R19">
            <v>7.9867700000000008</v>
          </cell>
          <cell r="T19">
            <v>1.1000000000000001</v>
          </cell>
          <cell r="U19">
            <v>1.0900000000000001</v>
          </cell>
          <cell r="V19">
            <v>-9.0909090909091494E-3</v>
          </cell>
        </row>
        <row r="21">
          <cell r="B21" t="str">
            <v>DASA</v>
          </cell>
        </row>
        <row r="22">
          <cell r="B22" t="str">
            <v>FLRY</v>
          </cell>
        </row>
      </sheetData>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SLC BRL"/>
      <sheetName val="SLC USD"/>
      <sheetName val="AGRO BRL"/>
      <sheetName val="AGRO USD"/>
    </sheetNames>
    <sheetDataSet>
      <sheetData sheetId="0"/>
      <sheetData sheetId="1"/>
      <sheetData sheetId="2">
        <row r="1">
          <cell r="B1" t="str">
            <v>SLCE3-BR</v>
          </cell>
          <cell r="C1">
            <v>180264</v>
          </cell>
          <cell r="E1" t="str">
            <v>SLCE3 (base 100)</v>
          </cell>
          <cell r="F1" t="str">
            <v>Ibovespa (base 100)</v>
          </cell>
          <cell r="H1" t="str">
            <v>Soybean (USD/bu)</v>
          </cell>
        </row>
        <row r="2">
          <cell r="A2">
            <v>40239</v>
          </cell>
          <cell r="B2">
            <v>8.6978480000000005</v>
          </cell>
          <cell r="C2">
            <v>38034.375</v>
          </cell>
          <cell r="E2">
            <v>100</v>
          </cell>
          <cell r="F2">
            <v>100</v>
          </cell>
          <cell r="H2">
            <v>9.5425000000000004</v>
          </cell>
        </row>
        <row r="3">
          <cell r="A3">
            <v>40240</v>
          </cell>
          <cell r="B3">
            <v>8.5409050000000004</v>
          </cell>
          <cell r="C3">
            <v>38032.805</v>
          </cell>
          <cell r="E3">
            <v>98.19561114427384</v>
          </cell>
          <cell r="F3">
            <v>99.995872155122839</v>
          </cell>
          <cell r="H3">
            <v>9.5449999999999999</v>
          </cell>
        </row>
        <row r="4">
          <cell r="A4">
            <v>40241</v>
          </cell>
          <cell r="B4">
            <v>8.573264</v>
          </cell>
          <cell r="C4">
            <v>37875.792999999998</v>
          </cell>
          <cell r="E4">
            <v>98.567645698108308</v>
          </cell>
          <cell r="F4">
            <v>99.58305611699943</v>
          </cell>
          <cell r="H4">
            <v>9.3249999999999993</v>
          </cell>
        </row>
        <row r="5">
          <cell r="A5">
            <v>40242</v>
          </cell>
          <cell r="B5">
            <v>8.7179059999999993</v>
          </cell>
          <cell r="C5">
            <v>38722.406000000003</v>
          </cell>
          <cell r="E5">
            <v>100.23060876667422</v>
          </cell>
          <cell r="F5">
            <v>101.80897148960646</v>
          </cell>
          <cell r="H5">
            <v>9.3475000000000001</v>
          </cell>
        </row>
        <row r="6">
          <cell r="A6">
            <v>40243</v>
          </cell>
          <cell r="B6">
            <v>8.7179059999999993</v>
          </cell>
          <cell r="C6">
            <v>38722.406000000003</v>
          </cell>
          <cell r="E6">
            <v>100.23060876667422</v>
          </cell>
          <cell r="F6">
            <v>101.80897148960646</v>
          </cell>
          <cell r="H6">
            <v>9.3475000000000001</v>
          </cell>
        </row>
        <row r="7">
          <cell r="A7">
            <v>40244</v>
          </cell>
          <cell r="B7">
            <v>8.7179059999999993</v>
          </cell>
          <cell r="C7">
            <v>38722.406000000003</v>
          </cell>
          <cell r="E7">
            <v>100.23060876667422</v>
          </cell>
          <cell r="F7">
            <v>101.80897148960646</v>
          </cell>
          <cell r="H7">
            <v>9.3475000000000001</v>
          </cell>
        </row>
        <row r="8">
          <cell r="A8">
            <v>40245</v>
          </cell>
          <cell r="B8">
            <v>8.7530409999999996</v>
          </cell>
          <cell r="C8">
            <v>38354.241999999998</v>
          </cell>
          <cell r="E8">
            <v>100.63455926109538</v>
          </cell>
          <cell r="F8">
            <v>100.84099449511132</v>
          </cell>
          <cell r="H8">
            <v>9.4049999999999994</v>
          </cell>
        </row>
        <row r="9">
          <cell r="A9">
            <v>40246</v>
          </cell>
          <cell r="B9">
            <v>8.7851409999999994</v>
          </cell>
          <cell r="C9">
            <v>38808.78</v>
          </cell>
          <cell r="E9">
            <v>101.00361606687078</v>
          </cell>
          <cell r="F9">
            <v>102.03606605866405</v>
          </cell>
          <cell r="H9">
            <v>9.4149999999999991</v>
          </cell>
        </row>
        <row r="10">
          <cell r="A10">
            <v>40247</v>
          </cell>
          <cell r="B10">
            <v>8.9391789999999993</v>
          </cell>
          <cell r="C10">
            <v>39592.239999999998</v>
          </cell>
          <cell r="E10">
            <v>102.77460585652909</v>
          </cell>
          <cell r="F10">
            <v>104.09593952838713</v>
          </cell>
          <cell r="H10">
            <v>9.52</v>
          </cell>
        </row>
        <row r="11">
          <cell r="A11">
            <v>40248</v>
          </cell>
          <cell r="B11">
            <v>8.4614519999999995</v>
          </cell>
          <cell r="C11">
            <v>39500.684000000001</v>
          </cell>
          <cell r="E11">
            <v>97.282132315947564</v>
          </cell>
          <cell r="F11">
            <v>103.85522044203435</v>
          </cell>
          <cell r="H11">
            <v>9.2550000000000008</v>
          </cell>
        </row>
        <row r="12">
          <cell r="A12">
            <v>40249</v>
          </cell>
          <cell r="B12">
            <v>8.2724639999999994</v>
          </cell>
          <cell r="C12">
            <v>39262.43</v>
          </cell>
          <cell r="E12">
            <v>95.109318994767435</v>
          </cell>
          <cell r="F12">
            <v>103.22880289212063</v>
          </cell>
          <cell r="H12">
            <v>9.26</v>
          </cell>
        </row>
        <row r="13">
          <cell r="A13">
            <v>40250</v>
          </cell>
          <cell r="B13">
            <v>8.2724639999999994</v>
          </cell>
          <cell r="C13">
            <v>39262.43</v>
          </cell>
          <cell r="E13">
            <v>95.109318994767435</v>
          </cell>
          <cell r="F13">
            <v>103.22880289212063</v>
          </cell>
          <cell r="H13">
            <v>9.26</v>
          </cell>
        </row>
        <row r="14">
          <cell r="A14">
            <v>40251</v>
          </cell>
          <cell r="B14">
            <v>8.2724639999999994</v>
          </cell>
          <cell r="C14">
            <v>39262.43</v>
          </cell>
          <cell r="E14">
            <v>95.109318994767435</v>
          </cell>
          <cell r="F14">
            <v>103.22880289212063</v>
          </cell>
          <cell r="H14">
            <v>9.26</v>
          </cell>
        </row>
        <row r="15">
          <cell r="A15">
            <v>40252</v>
          </cell>
          <cell r="B15">
            <v>8.0305605</v>
          </cell>
          <cell r="C15">
            <v>39062.675999999999</v>
          </cell>
          <cell r="E15">
            <v>92.328131050347167</v>
          </cell>
          <cell r="F15">
            <v>102.70360956371702</v>
          </cell>
          <cell r="H15">
            <v>9.3000000000000007</v>
          </cell>
        </row>
        <row r="16">
          <cell r="A16">
            <v>40253</v>
          </cell>
          <cell r="B16">
            <v>8.3477560000000004</v>
          </cell>
          <cell r="C16">
            <v>39691.402000000002</v>
          </cell>
          <cell r="E16">
            <v>95.974958403503948</v>
          </cell>
          <cell r="F16">
            <v>104.35665631418946</v>
          </cell>
          <cell r="H16">
            <v>9.4499999999999993</v>
          </cell>
        </row>
        <row r="17">
          <cell r="A17">
            <v>40254</v>
          </cell>
          <cell r="B17">
            <v>8.2122729999999997</v>
          </cell>
          <cell r="C17">
            <v>39488.707000000002</v>
          </cell>
          <cell r="E17">
            <v>94.417297244099913</v>
          </cell>
          <cell r="F17">
            <v>103.82373050694274</v>
          </cell>
          <cell r="H17">
            <v>9.59</v>
          </cell>
        </row>
        <row r="18">
          <cell r="A18">
            <v>40255</v>
          </cell>
          <cell r="B18">
            <v>8.1575640000000007</v>
          </cell>
          <cell r="C18">
            <v>38942.495999999999</v>
          </cell>
          <cell r="E18">
            <v>93.788302577833051</v>
          </cell>
          <cell r="F18">
            <v>102.38763224057186</v>
          </cell>
          <cell r="H18">
            <v>9.5950000000000006</v>
          </cell>
        </row>
        <row r="19">
          <cell r="A19">
            <v>40256</v>
          </cell>
          <cell r="B19">
            <v>8.3076139999999992</v>
          </cell>
          <cell r="C19">
            <v>38273.402000000002</v>
          </cell>
          <cell r="E19">
            <v>95.513441945639883</v>
          </cell>
          <cell r="F19">
            <v>100.62844992194562</v>
          </cell>
          <cell r="H19">
            <v>9.6174999999999997</v>
          </cell>
        </row>
        <row r="20">
          <cell r="A20">
            <v>40257</v>
          </cell>
          <cell r="B20">
            <v>8.3076139999999992</v>
          </cell>
          <cell r="C20">
            <v>38273.402000000002</v>
          </cell>
          <cell r="E20">
            <v>95.513441945639883</v>
          </cell>
          <cell r="F20">
            <v>100.62844992194562</v>
          </cell>
          <cell r="H20">
            <v>9.6174999999999997</v>
          </cell>
        </row>
        <row r="21">
          <cell r="A21">
            <v>40258</v>
          </cell>
          <cell r="B21">
            <v>8.3076139999999992</v>
          </cell>
          <cell r="C21">
            <v>38273.402000000002</v>
          </cell>
          <cell r="E21">
            <v>95.513441945639883</v>
          </cell>
          <cell r="F21">
            <v>100.62844992194562</v>
          </cell>
          <cell r="H21">
            <v>9.6174999999999997</v>
          </cell>
        </row>
        <row r="22">
          <cell r="A22">
            <v>40259</v>
          </cell>
          <cell r="B22">
            <v>8.4151539999999994</v>
          </cell>
          <cell r="C22">
            <v>38299.063000000002</v>
          </cell>
          <cell r="E22">
            <v>96.749839730471251</v>
          </cell>
          <cell r="F22">
            <v>100.69591783748255</v>
          </cell>
          <cell r="H22">
            <v>9.6850000000000005</v>
          </cell>
        </row>
        <row r="23">
          <cell r="A23">
            <v>40260</v>
          </cell>
          <cell r="B23">
            <v>8.6093270000000004</v>
          </cell>
          <cell r="C23">
            <v>38916.805</v>
          </cell>
          <cell r="E23">
            <v>98.982265498316366</v>
          </cell>
          <cell r="F23">
            <v>102.32008544901817</v>
          </cell>
          <cell r="H23">
            <v>9.68</v>
          </cell>
        </row>
        <row r="24">
          <cell r="A24">
            <v>40261</v>
          </cell>
          <cell r="B24">
            <v>8.5877219999999994</v>
          </cell>
          <cell r="C24">
            <v>38529.241999999998</v>
          </cell>
          <cell r="E24">
            <v>98.733870722965023</v>
          </cell>
          <cell r="F24">
            <v>101.30110459288473</v>
          </cell>
          <cell r="H24">
            <v>9.6</v>
          </cell>
        </row>
        <row r="25">
          <cell r="A25">
            <v>40262</v>
          </cell>
          <cell r="B25">
            <v>8.5886849999999999</v>
          </cell>
          <cell r="C25">
            <v>37924.120000000003</v>
          </cell>
          <cell r="E25">
            <v>98.744942427138298</v>
          </cell>
          <cell r="F25">
            <v>99.710117492399974</v>
          </cell>
          <cell r="H25">
            <v>9.4250000000000007</v>
          </cell>
        </row>
        <row r="26">
          <cell r="A26">
            <v>40263</v>
          </cell>
          <cell r="B26">
            <v>8.3191469999999992</v>
          </cell>
          <cell r="C26">
            <v>37714.925999999999</v>
          </cell>
          <cell r="E26">
            <v>95.646037962493708</v>
          </cell>
          <cell r="F26">
            <v>99.160104510722206</v>
          </cell>
          <cell r="H26">
            <v>9.52</v>
          </cell>
        </row>
        <row r="27">
          <cell r="A27">
            <v>40264</v>
          </cell>
          <cell r="B27">
            <v>8.3191469999999992</v>
          </cell>
          <cell r="C27">
            <v>37714.925999999999</v>
          </cell>
          <cell r="E27">
            <v>95.646037962493708</v>
          </cell>
          <cell r="F27">
            <v>99.160104510722206</v>
          </cell>
          <cell r="H27">
            <v>9.52</v>
          </cell>
        </row>
        <row r="28">
          <cell r="A28">
            <v>40265</v>
          </cell>
          <cell r="B28">
            <v>8.3191469999999992</v>
          </cell>
          <cell r="C28">
            <v>37714.925999999999</v>
          </cell>
          <cell r="E28">
            <v>95.646037962493708</v>
          </cell>
          <cell r="F28">
            <v>99.160104510722206</v>
          </cell>
          <cell r="H28">
            <v>9.52</v>
          </cell>
        </row>
        <row r="29">
          <cell r="A29">
            <v>40266</v>
          </cell>
          <cell r="B29">
            <v>8.4210530000000006</v>
          </cell>
          <cell r="C29">
            <v>38645.733999999997</v>
          </cell>
          <cell r="E29">
            <v>96.817661104217962</v>
          </cell>
          <cell r="F29">
            <v>101.6073854243694</v>
          </cell>
          <cell r="H29">
            <v>9.6750000000000007</v>
          </cell>
        </row>
        <row r="30">
          <cell r="A30">
            <v>40267</v>
          </cell>
          <cell r="B30">
            <v>8.2063570000000006</v>
          </cell>
          <cell r="C30">
            <v>38975.78</v>
          </cell>
          <cell r="E30">
            <v>94.349280419708421</v>
          </cell>
          <cell r="F30">
            <v>102.47514255196779</v>
          </cell>
          <cell r="H30">
            <v>9.74</v>
          </cell>
        </row>
        <row r="31">
          <cell r="A31">
            <v>40268</v>
          </cell>
          <cell r="B31">
            <v>8.1470269999999996</v>
          </cell>
          <cell r="C31">
            <v>39430.457000000002</v>
          </cell>
          <cell r="E31">
            <v>93.667157669345329</v>
          </cell>
          <cell r="F31">
            <v>103.67057957439816</v>
          </cell>
          <cell r="H31">
            <v>9.41</v>
          </cell>
        </row>
        <row r="32">
          <cell r="A32">
            <v>40269</v>
          </cell>
          <cell r="B32">
            <v>8.0269069999999996</v>
          </cell>
          <cell r="C32">
            <v>40211.605000000003</v>
          </cell>
          <cell r="E32">
            <v>92.286126407359603</v>
          </cell>
          <cell r="F32">
            <v>105.72437433242956</v>
          </cell>
          <cell r="H32">
            <v>9.42</v>
          </cell>
        </row>
        <row r="33">
          <cell r="A33">
            <v>40270</v>
          </cell>
          <cell r="B33">
            <v>8.0269069999999996</v>
          </cell>
          <cell r="C33">
            <v>40211.605000000003</v>
          </cell>
          <cell r="E33">
            <v>92.286126407359603</v>
          </cell>
          <cell r="F33">
            <v>105.72437433242956</v>
          </cell>
          <cell r="H33">
            <v>9.42</v>
          </cell>
        </row>
        <row r="34">
          <cell r="A34">
            <v>40271</v>
          </cell>
          <cell r="B34">
            <v>8.0269069999999996</v>
          </cell>
          <cell r="C34">
            <v>40211.605000000003</v>
          </cell>
          <cell r="E34">
            <v>92.286126407359603</v>
          </cell>
          <cell r="F34">
            <v>105.72437433242956</v>
          </cell>
          <cell r="H34">
            <v>9.42</v>
          </cell>
        </row>
        <row r="35">
          <cell r="A35">
            <v>40272</v>
          </cell>
          <cell r="B35">
            <v>8.0269069999999996</v>
          </cell>
          <cell r="C35">
            <v>40211.605000000003</v>
          </cell>
          <cell r="E35">
            <v>92.286126407359603</v>
          </cell>
          <cell r="F35">
            <v>105.72437433242956</v>
          </cell>
          <cell r="H35">
            <v>9.42</v>
          </cell>
        </row>
        <row r="36">
          <cell r="A36">
            <v>40273</v>
          </cell>
          <cell r="B36">
            <v>8.0147790000000008</v>
          </cell>
          <cell r="C36">
            <v>40522.769999999997</v>
          </cell>
          <cell r="E36">
            <v>92.146689617937682</v>
          </cell>
          <cell r="F36">
            <v>106.54248952427901</v>
          </cell>
          <cell r="H36">
            <v>9.36</v>
          </cell>
        </row>
        <row r="37">
          <cell r="A37">
            <v>40274</v>
          </cell>
          <cell r="B37">
            <v>8.1572370000000003</v>
          </cell>
          <cell r="C37">
            <v>40386.074000000001</v>
          </cell>
          <cell r="E37">
            <v>93.784543027194772</v>
          </cell>
          <cell r="F37">
            <v>106.18308832470626</v>
          </cell>
          <cell r="H37">
            <v>9.4450000000000003</v>
          </cell>
        </row>
        <row r="38">
          <cell r="A38">
            <v>40275</v>
          </cell>
          <cell r="B38">
            <v>8.1360740000000007</v>
          </cell>
          <cell r="C38">
            <v>40137.741999999998</v>
          </cell>
          <cell r="E38">
            <v>93.541229968608334</v>
          </cell>
          <cell r="F38">
            <v>105.5301736915619</v>
          </cell>
          <cell r="H38">
            <v>9.5250000000000004</v>
          </cell>
        </row>
        <row r="39">
          <cell r="A39">
            <v>40276</v>
          </cell>
          <cell r="B39">
            <v>7.9878920000000004</v>
          </cell>
          <cell r="C39">
            <v>40239.233999999997</v>
          </cell>
          <cell r="E39">
            <v>91.837567177536329</v>
          </cell>
          <cell r="F39">
            <v>105.797016514666</v>
          </cell>
          <cell r="H39">
            <v>9.4649999999999999</v>
          </cell>
        </row>
        <row r="40">
          <cell r="A40">
            <v>40277</v>
          </cell>
          <cell r="B40">
            <v>8.0599710000000009</v>
          </cell>
          <cell r="C40">
            <v>40253.226999999999</v>
          </cell>
          <cell r="E40">
            <v>92.666266414405044</v>
          </cell>
          <cell r="F40">
            <v>105.83380691808398</v>
          </cell>
          <cell r="H40">
            <v>9.5225000000000009</v>
          </cell>
        </row>
        <row r="41">
          <cell r="A41">
            <v>40278</v>
          </cell>
          <cell r="B41">
            <v>8.0599710000000009</v>
          </cell>
          <cell r="C41">
            <v>40253.226999999999</v>
          </cell>
          <cell r="E41">
            <v>92.666266414405044</v>
          </cell>
          <cell r="F41">
            <v>105.83380691808398</v>
          </cell>
          <cell r="H41">
            <v>9.5225000000000009</v>
          </cell>
        </row>
        <row r="42">
          <cell r="A42">
            <v>40279</v>
          </cell>
          <cell r="B42">
            <v>8.0599710000000009</v>
          </cell>
          <cell r="C42">
            <v>40253.226999999999</v>
          </cell>
          <cell r="E42">
            <v>92.666266414405044</v>
          </cell>
          <cell r="F42">
            <v>105.83380691808398</v>
          </cell>
          <cell r="H42">
            <v>9.5225000000000009</v>
          </cell>
        </row>
        <row r="43">
          <cell r="A43">
            <v>40280</v>
          </cell>
          <cell r="B43">
            <v>7.9601990000000002</v>
          </cell>
          <cell r="C43">
            <v>40150.31</v>
          </cell>
          <cell r="E43">
            <v>91.519178077151949</v>
          </cell>
          <cell r="F43">
            <v>105.56321748418371</v>
          </cell>
          <cell r="H43">
            <v>9.6</v>
          </cell>
        </row>
        <row r="44">
          <cell r="A44">
            <v>40281</v>
          </cell>
          <cell r="B44">
            <v>8.0129110000000008</v>
          </cell>
          <cell r="C44">
            <v>40088.565999999999</v>
          </cell>
          <cell r="E44">
            <v>92.125213041202841</v>
          </cell>
          <cell r="F44">
            <v>105.40088012488702</v>
          </cell>
          <cell r="H44">
            <v>9.68</v>
          </cell>
        </row>
        <row r="45">
          <cell r="A45">
            <v>40282</v>
          </cell>
          <cell r="B45">
            <v>8.4808489999999992</v>
          </cell>
          <cell r="C45">
            <v>40760.207000000002</v>
          </cell>
          <cell r="E45">
            <v>97.505141501667978</v>
          </cell>
          <cell r="F45">
            <v>107.1667590173363</v>
          </cell>
          <cell r="H45">
            <v>9.69</v>
          </cell>
        </row>
        <row r="46">
          <cell r="A46">
            <v>40283</v>
          </cell>
          <cell r="B46">
            <v>8.5459770000000006</v>
          </cell>
          <cell r="C46">
            <v>40531.233999999997</v>
          </cell>
          <cell r="E46">
            <v>98.253924419005713</v>
          </cell>
          <cell r="F46">
            <v>106.5647430778079</v>
          </cell>
          <cell r="H46">
            <v>9.84</v>
          </cell>
        </row>
        <row r="47">
          <cell r="A47">
            <v>40284</v>
          </cell>
          <cell r="B47">
            <v>8.3913689999999992</v>
          </cell>
          <cell r="C47">
            <v>39628.582000000002</v>
          </cell>
          <cell r="E47">
            <v>96.476381284198098</v>
          </cell>
          <cell r="F47">
            <v>104.19148993509162</v>
          </cell>
          <cell r="H47">
            <v>9.8524999999999991</v>
          </cell>
        </row>
        <row r="48">
          <cell r="A48">
            <v>40285</v>
          </cell>
          <cell r="B48">
            <v>8.3913689999999992</v>
          </cell>
          <cell r="C48">
            <v>39628.582000000002</v>
          </cell>
          <cell r="E48">
            <v>96.476381284198098</v>
          </cell>
          <cell r="F48">
            <v>104.19148993509162</v>
          </cell>
          <cell r="H48">
            <v>9.8524999999999991</v>
          </cell>
        </row>
        <row r="49">
          <cell r="A49">
            <v>40286</v>
          </cell>
          <cell r="B49">
            <v>8.3913689999999992</v>
          </cell>
          <cell r="C49">
            <v>39628.582000000002</v>
          </cell>
          <cell r="E49">
            <v>96.476381284198098</v>
          </cell>
          <cell r="F49">
            <v>104.19148993509162</v>
          </cell>
          <cell r="H49">
            <v>9.8524999999999991</v>
          </cell>
        </row>
        <row r="50">
          <cell r="A50">
            <v>40287</v>
          </cell>
          <cell r="B50">
            <v>8.4777100000000001</v>
          </cell>
          <cell r="C50">
            <v>39314.714999999997</v>
          </cell>
          <cell r="E50">
            <v>97.469052114959936</v>
          </cell>
          <cell r="F50">
            <v>103.3662706433325</v>
          </cell>
          <cell r="H50">
            <v>9.7675000000000001</v>
          </cell>
        </row>
        <row r="51">
          <cell r="A51">
            <v>40288</v>
          </cell>
          <cell r="B51">
            <v>8.6231519999999993</v>
          </cell>
          <cell r="C51">
            <v>39585.656000000003</v>
          </cell>
          <cell r="E51">
            <v>99.141212860928334</v>
          </cell>
          <cell r="F51">
            <v>104.07862887190863</v>
          </cell>
          <cell r="H51">
            <v>9.84</v>
          </cell>
        </row>
        <row r="52">
          <cell r="A52">
            <v>40289</v>
          </cell>
          <cell r="B52">
            <v>8.6231519999999993</v>
          </cell>
          <cell r="C52">
            <v>39585.656000000003</v>
          </cell>
          <cell r="E52">
            <v>99.141212860928334</v>
          </cell>
          <cell r="F52">
            <v>104.07862887190863</v>
          </cell>
          <cell r="H52">
            <v>9.9550000000000001</v>
          </cell>
        </row>
        <row r="53">
          <cell r="A53">
            <v>40290</v>
          </cell>
          <cell r="B53">
            <v>8.8662419999999997</v>
          </cell>
          <cell r="C53">
            <v>39284.589999999997</v>
          </cell>
          <cell r="E53">
            <v>101.93604211064621</v>
          </cell>
          <cell r="F53">
            <v>103.28706597650151</v>
          </cell>
          <cell r="H53">
            <v>10.0425</v>
          </cell>
        </row>
        <row r="54">
          <cell r="A54">
            <v>40291</v>
          </cell>
          <cell r="B54">
            <v>8.8520690000000002</v>
          </cell>
          <cell r="C54">
            <v>39442.483999999997</v>
          </cell>
          <cell r="E54">
            <v>101.77309375836414</v>
          </cell>
          <cell r="F54">
            <v>103.7022009695177</v>
          </cell>
          <cell r="H54">
            <v>10</v>
          </cell>
        </row>
        <row r="55">
          <cell r="A55">
            <v>40292</v>
          </cell>
          <cell r="B55">
            <v>8.8520690000000002</v>
          </cell>
          <cell r="C55">
            <v>39442.483999999997</v>
          </cell>
          <cell r="E55">
            <v>101.77309375836414</v>
          </cell>
          <cell r="F55">
            <v>103.7022009695177</v>
          </cell>
          <cell r="H55">
            <v>10</v>
          </cell>
        </row>
        <row r="56">
          <cell r="A56">
            <v>40293</v>
          </cell>
          <cell r="B56">
            <v>8.8520690000000002</v>
          </cell>
          <cell r="C56">
            <v>39442.483999999997</v>
          </cell>
          <cell r="E56">
            <v>101.77309375836414</v>
          </cell>
          <cell r="F56">
            <v>103.7022009695177</v>
          </cell>
          <cell r="H56">
            <v>10</v>
          </cell>
        </row>
        <row r="57">
          <cell r="A57">
            <v>40294</v>
          </cell>
          <cell r="B57">
            <v>9.0755330000000001</v>
          </cell>
          <cell r="C57">
            <v>39485.129999999997</v>
          </cell>
          <cell r="E57">
            <v>104.3422809872051</v>
          </cell>
          <cell r="F57">
            <v>103.81432585654424</v>
          </cell>
          <cell r="H57">
            <v>9.9875000000000007</v>
          </cell>
        </row>
        <row r="58">
          <cell r="A58">
            <v>40295</v>
          </cell>
          <cell r="B58">
            <v>9.1293170000000003</v>
          </cell>
          <cell r="C58">
            <v>37973.792999999998</v>
          </cell>
          <cell r="E58">
            <v>104.96064083897534</v>
          </cell>
          <cell r="F58">
            <v>99.840717771752523</v>
          </cell>
          <cell r="H58">
            <v>9.8275000000000006</v>
          </cell>
        </row>
        <row r="59">
          <cell r="A59">
            <v>40296</v>
          </cell>
          <cell r="B59">
            <v>9.2737459999999992</v>
          </cell>
          <cell r="C59">
            <v>37923.199999999997</v>
          </cell>
          <cell r="E59">
            <v>106.62115502593284</v>
          </cell>
          <cell r="F59">
            <v>99.707698627885961</v>
          </cell>
          <cell r="H59">
            <v>9.8275000000000006</v>
          </cell>
        </row>
        <row r="60">
          <cell r="A60">
            <v>40297</v>
          </cell>
          <cell r="B60">
            <v>9.5268350000000002</v>
          </cell>
          <cell r="C60">
            <v>39273.24</v>
          </cell>
          <cell r="E60">
            <v>109.53094374608523</v>
          </cell>
          <cell r="F60">
            <v>103.25722455016022</v>
          </cell>
          <cell r="H60">
            <v>9.8574999999999999</v>
          </cell>
        </row>
        <row r="61">
          <cell r="A61">
            <v>40298</v>
          </cell>
          <cell r="B61">
            <v>9.5623269999999998</v>
          </cell>
          <cell r="C61">
            <v>39017.61</v>
          </cell>
          <cell r="E61">
            <v>109.93899870404724</v>
          </cell>
          <cell r="F61">
            <v>102.58512201133843</v>
          </cell>
          <cell r="H61">
            <v>9.8949999999999996</v>
          </cell>
        </row>
        <row r="62">
          <cell r="A62">
            <v>40299</v>
          </cell>
          <cell r="B62">
            <v>9.5623269999999998</v>
          </cell>
          <cell r="C62">
            <v>39017.61</v>
          </cell>
          <cell r="E62">
            <v>109.93899870404724</v>
          </cell>
          <cell r="F62">
            <v>102.58512201133843</v>
          </cell>
          <cell r="H62">
            <v>9.8949999999999996</v>
          </cell>
        </row>
        <row r="63">
          <cell r="A63">
            <v>40300</v>
          </cell>
          <cell r="B63">
            <v>9.5623269999999998</v>
          </cell>
          <cell r="C63">
            <v>39017.61</v>
          </cell>
          <cell r="E63">
            <v>109.93899870404724</v>
          </cell>
          <cell r="F63">
            <v>102.58512201133843</v>
          </cell>
          <cell r="H63">
            <v>9.8949999999999996</v>
          </cell>
        </row>
        <row r="64">
          <cell r="A64">
            <v>40301</v>
          </cell>
          <cell r="B64">
            <v>9.8010950000000001</v>
          </cell>
          <cell r="C64">
            <v>38696.688000000002</v>
          </cell>
          <cell r="E64">
            <v>112.68413750159809</v>
          </cell>
          <cell r="F64">
            <v>101.74135370963766</v>
          </cell>
          <cell r="H64">
            <v>9.7575000000000003</v>
          </cell>
        </row>
        <row r="65">
          <cell r="A65">
            <v>40302</v>
          </cell>
          <cell r="B65">
            <v>9.1142129999999995</v>
          </cell>
          <cell r="C65">
            <v>36952.050000000003</v>
          </cell>
          <cell r="E65">
            <v>104.78698868961609</v>
          </cell>
          <cell r="F65">
            <v>97.15435050529949</v>
          </cell>
          <cell r="H65">
            <v>9.77</v>
          </cell>
        </row>
        <row r="66">
          <cell r="A66">
            <v>40303</v>
          </cell>
          <cell r="B66">
            <v>8.893364</v>
          </cell>
          <cell r="C66">
            <v>36308.51</v>
          </cell>
          <cell r="E66">
            <v>102.24786636878456</v>
          </cell>
          <cell r="F66">
            <v>95.462354777750392</v>
          </cell>
          <cell r="H66">
            <v>9.6824999999999992</v>
          </cell>
        </row>
        <row r="67">
          <cell r="A67">
            <v>40304</v>
          </cell>
          <cell r="B67">
            <v>8.8473559999999996</v>
          </cell>
          <cell r="C67">
            <v>35065.51</v>
          </cell>
          <cell r="E67">
            <v>101.71890794136664</v>
          </cell>
          <cell r="F67">
            <v>92.194258483279938</v>
          </cell>
          <cell r="H67">
            <v>9.4550000000000001</v>
          </cell>
        </row>
        <row r="68">
          <cell r="A68">
            <v>40305</v>
          </cell>
          <cell r="B68">
            <v>8.9201239999999995</v>
          </cell>
          <cell r="C68">
            <v>33988.85</v>
          </cell>
          <cell r="E68">
            <v>102.55552867789825</v>
          </cell>
          <cell r="F68">
            <v>89.363503409744467</v>
          </cell>
          <cell r="H68">
            <v>9.5124999999999993</v>
          </cell>
        </row>
        <row r="69">
          <cell r="A69">
            <v>40306</v>
          </cell>
          <cell r="B69">
            <v>8.9201239999999995</v>
          </cell>
          <cell r="C69">
            <v>33988.85</v>
          </cell>
          <cell r="E69">
            <v>102.55552867789825</v>
          </cell>
          <cell r="F69">
            <v>89.363503409744467</v>
          </cell>
          <cell r="H69">
            <v>9.5124999999999993</v>
          </cell>
        </row>
        <row r="70">
          <cell r="A70">
            <v>40307</v>
          </cell>
          <cell r="B70">
            <v>8.9201239999999995</v>
          </cell>
          <cell r="C70">
            <v>33988.85</v>
          </cell>
          <cell r="E70">
            <v>102.55552867789825</v>
          </cell>
          <cell r="F70">
            <v>89.363503409744467</v>
          </cell>
          <cell r="H70">
            <v>9.5124999999999993</v>
          </cell>
        </row>
        <row r="71">
          <cell r="A71">
            <v>40308</v>
          </cell>
          <cell r="B71">
            <v>8.9449539999999992</v>
          </cell>
          <cell r="C71">
            <v>36614.836000000003</v>
          </cell>
          <cell r="E71">
            <v>102.84100159027841</v>
          </cell>
          <cell r="F71">
            <v>96.267747268096301</v>
          </cell>
          <cell r="H71">
            <v>9.5274999999999999</v>
          </cell>
        </row>
        <row r="72">
          <cell r="A72">
            <v>40309</v>
          </cell>
          <cell r="B72">
            <v>8.7444260000000007</v>
          </cell>
          <cell r="C72">
            <v>36135.9</v>
          </cell>
          <cell r="E72">
            <v>100.53551177256719</v>
          </cell>
          <cell r="F72">
            <v>95.00852846931231</v>
          </cell>
          <cell r="H72">
            <v>9.5824999999999996</v>
          </cell>
        </row>
        <row r="73">
          <cell r="A73">
            <v>40310</v>
          </cell>
          <cell r="B73">
            <v>9.0034150000000004</v>
          </cell>
          <cell r="C73">
            <v>36817.266000000003</v>
          </cell>
          <cell r="E73">
            <v>103.51313336356303</v>
          </cell>
          <cell r="F73">
            <v>96.799976337194977</v>
          </cell>
          <cell r="H73">
            <v>9.5950000000000006</v>
          </cell>
        </row>
        <row r="74">
          <cell r="A74">
            <v>40311</v>
          </cell>
          <cell r="B74">
            <v>9.0844970000000007</v>
          </cell>
          <cell r="C74">
            <v>36557.042999999998</v>
          </cell>
          <cell r="E74">
            <v>104.44534096250015</v>
          </cell>
          <cell r="F74">
            <v>96.11579788020704</v>
          </cell>
          <cell r="H74">
            <v>9.6050000000000004</v>
          </cell>
        </row>
        <row r="75">
          <cell r="A75">
            <v>40312</v>
          </cell>
          <cell r="B75">
            <v>8.6648840000000007</v>
          </cell>
          <cell r="C75">
            <v>35335.156000000003</v>
          </cell>
          <cell r="E75">
            <v>99.621009702629891</v>
          </cell>
          <cell r="F75">
            <v>92.903211897132536</v>
          </cell>
          <cell r="H75">
            <v>9.48</v>
          </cell>
        </row>
        <row r="76">
          <cell r="A76">
            <v>40313</v>
          </cell>
          <cell r="B76">
            <v>8.6648840000000007</v>
          </cell>
          <cell r="C76">
            <v>35335.156000000003</v>
          </cell>
          <cell r="E76">
            <v>99.621009702629891</v>
          </cell>
          <cell r="F76">
            <v>92.903211897132536</v>
          </cell>
          <cell r="H76">
            <v>9.48</v>
          </cell>
        </row>
        <row r="77">
          <cell r="A77">
            <v>40314</v>
          </cell>
          <cell r="B77">
            <v>8.6648840000000007</v>
          </cell>
          <cell r="C77">
            <v>35335.156000000003</v>
          </cell>
          <cell r="E77">
            <v>99.621009702629891</v>
          </cell>
          <cell r="F77">
            <v>92.903211897132536</v>
          </cell>
          <cell r="H77">
            <v>9.48</v>
          </cell>
        </row>
        <row r="78">
          <cell r="A78">
            <v>40315</v>
          </cell>
          <cell r="B78">
            <v>8.1940910000000002</v>
          </cell>
          <cell r="C78">
            <v>34782.703000000001</v>
          </cell>
          <cell r="E78">
            <v>94.208257030934547</v>
          </cell>
          <cell r="F78">
            <v>91.450702160874215</v>
          </cell>
          <cell r="H78">
            <v>9.41</v>
          </cell>
        </row>
        <row r="79">
          <cell r="A79">
            <v>40316</v>
          </cell>
          <cell r="B79">
            <v>8.2370950000000001</v>
          </cell>
          <cell r="C79">
            <v>33861.74</v>
          </cell>
          <cell r="E79">
            <v>94.702678179706055</v>
          </cell>
          <cell r="F79">
            <v>89.029305726727458</v>
          </cell>
          <cell r="H79">
            <v>9.3949999999999996</v>
          </cell>
        </row>
        <row r="80">
          <cell r="A80">
            <v>40317</v>
          </cell>
          <cell r="B80">
            <v>7.6782849999999998</v>
          </cell>
          <cell r="C80">
            <v>32481.333999999999</v>
          </cell>
          <cell r="E80">
            <v>88.277985543090651</v>
          </cell>
          <cell r="F80">
            <v>85.399941500287568</v>
          </cell>
          <cell r="H80">
            <v>9.3849999999999998</v>
          </cell>
        </row>
        <row r="81">
          <cell r="A81">
            <v>40318</v>
          </cell>
          <cell r="B81">
            <v>6.9444439999999998</v>
          </cell>
          <cell r="C81">
            <v>30848.217000000001</v>
          </cell>
          <cell r="E81">
            <v>79.840944564678523</v>
          </cell>
          <cell r="F81">
            <v>81.106149371456752</v>
          </cell>
          <cell r="H81">
            <v>9.44</v>
          </cell>
        </row>
        <row r="82">
          <cell r="A82">
            <v>40319</v>
          </cell>
          <cell r="B82">
            <v>7.2885520000000001</v>
          </cell>
          <cell r="C82">
            <v>32176.062999999998</v>
          </cell>
          <cell r="E82">
            <v>83.797187534203871</v>
          </cell>
          <cell r="F82">
            <v>84.59732281653109</v>
          </cell>
          <cell r="H82">
            <v>9.41</v>
          </cell>
        </row>
        <row r="83">
          <cell r="A83">
            <v>40320</v>
          </cell>
          <cell r="B83">
            <v>7.2885520000000001</v>
          </cell>
          <cell r="C83">
            <v>32176.062999999998</v>
          </cell>
          <cell r="E83">
            <v>83.797187534203871</v>
          </cell>
          <cell r="F83">
            <v>84.59732281653109</v>
          </cell>
          <cell r="H83">
            <v>9.41</v>
          </cell>
        </row>
        <row r="84">
          <cell r="A84">
            <v>40321</v>
          </cell>
          <cell r="B84">
            <v>7.2885520000000001</v>
          </cell>
          <cell r="C84">
            <v>32176.062999999998</v>
          </cell>
          <cell r="E84">
            <v>83.797187534203871</v>
          </cell>
          <cell r="F84">
            <v>84.59732281653109</v>
          </cell>
          <cell r="H84">
            <v>9.41</v>
          </cell>
        </row>
        <row r="85">
          <cell r="A85">
            <v>40322</v>
          </cell>
          <cell r="B85">
            <v>7.1192856000000004</v>
          </cell>
          <cell r="C85">
            <v>32412.842000000001</v>
          </cell>
          <cell r="E85">
            <v>81.851115356350206</v>
          </cell>
          <cell r="F85">
            <v>85.219862295620743</v>
          </cell>
          <cell r="H85">
            <v>9.4049999999999994</v>
          </cell>
        </row>
        <row r="86">
          <cell r="A86">
            <v>40323</v>
          </cell>
          <cell r="B86">
            <v>6.8641996000000001</v>
          </cell>
          <cell r="C86">
            <v>31370.76</v>
          </cell>
          <cell r="E86">
            <v>78.918366933981829</v>
          </cell>
          <cell r="F86">
            <v>82.48001971900419</v>
          </cell>
          <cell r="H86">
            <v>9.3049999999999997</v>
          </cell>
        </row>
        <row r="87">
          <cell r="A87">
            <v>40324</v>
          </cell>
          <cell r="B87">
            <v>7.1762275999999998</v>
          </cell>
          <cell r="C87">
            <v>32697.934000000001</v>
          </cell>
          <cell r="E87">
            <v>82.505783039666809</v>
          </cell>
          <cell r="F87">
            <v>85.969426341303105</v>
          </cell>
          <cell r="H87">
            <v>9.3800000000000008</v>
          </cell>
        </row>
        <row r="88">
          <cell r="A88">
            <v>40325</v>
          </cell>
          <cell r="B88">
            <v>7.2765979999999999</v>
          </cell>
          <cell r="C88">
            <v>33894.74</v>
          </cell>
          <cell r="E88">
            <v>83.659751239616966</v>
          </cell>
          <cell r="F88">
            <v>89.116069345164732</v>
          </cell>
          <cell r="H88">
            <v>9.5175000000000001</v>
          </cell>
        </row>
        <row r="89">
          <cell r="A89">
            <v>40326</v>
          </cell>
          <cell r="B89">
            <v>7.6404494999999999</v>
          </cell>
          <cell r="C89">
            <v>33952.86</v>
          </cell>
          <cell r="E89">
            <v>87.842987138887679</v>
          </cell>
          <cell r="F89">
            <v>89.268878481636676</v>
          </cell>
          <cell r="H89">
            <v>9.3774999999999995</v>
          </cell>
        </row>
        <row r="90">
          <cell r="A90">
            <v>40327</v>
          </cell>
          <cell r="B90">
            <v>7.6404494999999999</v>
          </cell>
          <cell r="C90">
            <v>33952.86</v>
          </cell>
          <cell r="E90">
            <v>87.842987138887679</v>
          </cell>
          <cell r="F90">
            <v>89.268878481636676</v>
          </cell>
          <cell r="H90">
            <v>9.3774999999999995</v>
          </cell>
        </row>
        <row r="91">
          <cell r="A91">
            <v>40328</v>
          </cell>
          <cell r="B91">
            <v>7.6404494999999999</v>
          </cell>
          <cell r="C91">
            <v>33952.86</v>
          </cell>
          <cell r="E91">
            <v>87.842987138887679</v>
          </cell>
          <cell r="F91">
            <v>89.268878481636676</v>
          </cell>
          <cell r="H91">
            <v>9.3774999999999995</v>
          </cell>
        </row>
        <row r="92">
          <cell r="A92">
            <v>40329</v>
          </cell>
          <cell r="B92">
            <v>7.6404494999999999</v>
          </cell>
          <cell r="C92">
            <v>33952.86</v>
          </cell>
          <cell r="E92">
            <v>87.842987138887679</v>
          </cell>
          <cell r="F92">
            <v>89.268878481636676</v>
          </cell>
          <cell r="H92">
            <v>9.3774999999999995</v>
          </cell>
        </row>
        <row r="93">
          <cell r="A93">
            <v>40330</v>
          </cell>
          <cell r="B93">
            <v>7.4708857999999996</v>
          </cell>
          <cell r="C93">
            <v>33971.097999999998</v>
          </cell>
          <cell r="E93">
            <v>85.89349687416933</v>
          </cell>
          <cell r="F93">
            <v>89.31682984142634</v>
          </cell>
          <cell r="H93">
            <v>9.32</v>
          </cell>
        </row>
        <row r="94">
          <cell r="A94">
            <v>40331</v>
          </cell>
          <cell r="B94">
            <v>7.3950863</v>
          </cell>
          <cell r="C94">
            <v>34326.565999999999</v>
          </cell>
          <cell r="E94">
            <v>85.022022688830617</v>
          </cell>
          <cell r="F94">
            <v>90.251426505628132</v>
          </cell>
          <cell r="H94">
            <v>9.3249999999999993</v>
          </cell>
        </row>
        <row r="95">
          <cell r="A95">
            <v>40332</v>
          </cell>
          <cell r="B95">
            <v>7.4538260000000003</v>
          </cell>
          <cell r="C95">
            <v>34599.222999999998</v>
          </cell>
          <cell r="E95">
            <v>85.697358702980324</v>
          </cell>
          <cell r="F95">
            <v>90.968296442362984</v>
          </cell>
          <cell r="H95">
            <v>9.5500000000000007</v>
          </cell>
        </row>
        <row r="96">
          <cell r="A96">
            <v>40333</v>
          </cell>
          <cell r="B96">
            <v>7.6151650000000002</v>
          </cell>
          <cell r="C96">
            <v>33523.983999999997</v>
          </cell>
          <cell r="E96">
            <v>87.552288796033224</v>
          </cell>
          <cell r="F96">
            <v>88.141277462821449</v>
          </cell>
          <cell r="H96">
            <v>9.35</v>
          </cell>
        </row>
        <row r="97">
          <cell r="A97">
            <v>40334</v>
          </cell>
          <cell r="B97">
            <v>7.6151650000000002</v>
          </cell>
          <cell r="C97">
            <v>33523.983999999997</v>
          </cell>
          <cell r="E97">
            <v>87.552288796033224</v>
          </cell>
          <cell r="F97">
            <v>88.141277462821449</v>
          </cell>
          <cell r="H97">
            <v>9.35</v>
          </cell>
        </row>
        <row r="98">
          <cell r="A98">
            <v>40335</v>
          </cell>
          <cell r="B98">
            <v>7.6151650000000002</v>
          </cell>
          <cell r="C98">
            <v>33523.983999999997</v>
          </cell>
          <cell r="E98">
            <v>87.552288796033224</v>
          </cell>
          <cell r="F98">
            <v>88.141277462821449</v>
          </cell>
          <cell r="H98">
            <v>9.35</v>
          </cell>
        </row>
        <row r="99">
          <cell r="A99">
            <v>40336</v>
          </cell>
          <cell r="B99">
            <v>7.5824819999999997</v>
          </cell>
          <cell r="C99">
            <v>32716.388999999999</v>
          </cell>
          <cell r="E99">
            <v>87.176529182850743</v>
          </cell>
          <cell r="F99">
            <v>86.017948237613993</v>
          </cell>
          <cell r="H99">
            <v>9.35</v>
          </cell>
        </row>
        <row r="100">
          <cell r="A100">
            <v>40337</v>
          </cell>
          <cell r="B100">
            <v>7.5687221999999998</v>
          </cell>
          <cell r="C100">
            <v>32982.656000000003</v>
          </cell>
          <cell r="E100">
            <v>87.018331430947043</v>
          </cell>
          <cell r="F100">
            <v>86.718017582778742</v>
          </cell>
          <cell r="H100">
            <v>9.31</v>
          </cell>
        </row>
        <row r="101">
          <cell r="A101">
            <v>40338</v>
          </cell>
          <cell r="B101">
            <v>7.5980987999999998</v>
          </cell>
          <cell r="C101">
            <v>33389.605000000003</v>
          </cell>
          <cell r="E101">
            <v>87.356077043424989</v>
          </cell>
          <cell r="F101">
            <v>87.787968120943233</v>
          </cell>
          <cell r="H101">
            <v>9.4350000000000005</v>
          </cell>
        </row>
        <row r="102">
          <cell r="A102">
            <v>40339</v>
          </cell>
          <cell r="B102">
            <v>7.7956320000000003</v>
          </cell>
          <cell r="C102">
            <v>34637.438000000002</v>
          </cell>
          <cell r="E102">
            <v>89.627135355779956</v>
          </cell>
          <cell r="F102">
            <v>91.068771341713912</v>
          </cell>
          <cell r="H102">
            <v>9.35</v>
          </cell>
        </row>
        <row r="103">
          <cell r="A103">
            <v>40340</v>
          </cell>
          <cell r="B103">
            <v>7.8488854999999997</v>
          </cell>
          <cell r="C103">
            <v>35181.913999999997</v>
          </cell>
          <cell r="E103">
            <v>90.239395997722653</v>
          </cell>
          <cell r="F103">
            <v>92.500307945115438</v>
          </cell>
          <cell r="H103">
            <v>9.4625000000000004</v>
          </cell>
        </row>
        <row r="104">
          <cell r="A104">
            <v>40341</v>
          </cell>
          <cell r="B104">
            <v>7.8488854999999997</v>
          </cell>
          <cell r="C104">
            <v>35181.913999999997</v>
          </cell>
          <cell r="E104">
            <v>90.239395997722653</v>
          </cell>
          <cell r="F104">
            <v>92.500307945115438</v>
          </cell>
          <cell r="H104">
            <v>9.4625000000000004</v>
          </cell>
        </row>
        <row r="105">
          <cell r="A105">
            <v>40342</v>
          </cell>
          <cell r="B105">
            <v>7.8488854999999997</v>
          </cell>
          <cell r="C105">
            <v>35181.913999999997</v>
          </cell>
          <cell r="E105">
            <v>90.239395997722653</v>
          </cell>
          <cell r="F105">
            <v>92.500307945115438</v>
          </cell>
          <cell r="H105">
            <v>9.4625000000000004</v>
          </cell>
        </row>
        <row r="106">
          <cell r="A106">
            <v>40343</v>
          </cell>
          <cell r="B106">
            <v>7.8840709999999996</v>
          </cell>
          <cell r="C106">
            <v>35274.472999999998</v>
          </cell>
          <cell r="E106">
            <v>90.643927095529833</v>
          </cell>
          <cell r="F106">
            <v>92.743664119628619</v>
          </cell>
          <cell r="H106">
            <v>9.5150000000000006</v>
          </cell>
        </row>
        <row r="107">
          <cell r="A107">
            <v>40344</v>
          </cell>
          <cell r="B107">
            <v>7.9150524000000004</v>
          </cell>
          <cell r="C107">
            <v>35919.995999999999</v>
          </cell>
          <cell r="E107">
            <v>91.000123248877202</v>
          </cell>
          <cell r="F107">
            <v>94.44087355188563</v>
          </cell>
          <cell r="H107">
            <v>9.4949999999999992</v>
          </cell>
        </row>
        <row r="108">
          <cell r="A108">
            <v>40345</v>
          </cell>
          <cell r="B108">
            <v>7.8197001999999998</v>
          </cell>
          <cell r="C108">
            <v>36166.508000000002</v>
          </cell>
          <cell r="E108">
            <v>89.903849779853587</v>
          </cell>
          <cell r="F108">
            <v>95.089003040013154</v>
          </cell>
          <cell r="H108">
            <v>9.5775000000000006</v>
          </cell>
        </row>
        <row r="109">
          <cell r="A109">
            <v>40346</v>
          </cell>
          <cell r="B109">
            <v>7.8488536</v>
          </cell>
          <cell r="C109">
            <v>36183.726999999999</v>
          </cell>
          <cell r="E109">
            <v>90.239029240336222</v>
          </cell>
          <cell r="F109">
            <v>95.134275244433482</v>
          </cell>
          <cell r="H109">
            <v>9.52</v>
          </cell>
        </row>
        <row r="110">
          <cell r="A110">
            <v>40347</v>
          </cell>
          <cell r="B110">
            <v>7.8614926000000001</v>
          </cell>
          <cell r="C110">
            <v>36339.71</v>
          </cell>
          <cell r="E110">
            <v>90.384341046199012</v>
          </cell>
          <cell r="F110">
            <v>95.544385835181984</v>
          </cell>
          <cell r="H110">
            <v>9.61</v>
          </cell>
        </row>
        <row r="111">
          <cell r="A111">
            <v>40348</v>
          </cell>
          <cell r="B111">
            <v>7.8614926000000001</v>
          </cell>
          <cell r="C111">
            <v>36339.71</v>
          </cell>
          <cell r="E111">
            <v>90.384341046199012</v>
          </cell>
          <cell r="F111">
            <v>95.544385835181984</v>
          </cell>
          <cell r="H111">
            <v>9.61</v>
          </cell>
        </row>
        <row r="112">
          <cell r="A112">
            <v>40349</v>
          </cell>
          <cell r="B112">
            <v>7.8614926000000001</v>
          </cell>
          <cell r="C112">
            <v>36339.71</v>
          </cell>
          <cell r="E112">
            <v>90.384341046199012</v>
          </cell>
          <cell r="F112">
            <v>95.544385835181984</v>
          </cell>
          <cell r="H112">
            <v>9.61</v>
          </cell>
        </row>
        <row r="113">
          <cell r="A113">
            <v>40350</v>
          </cell>
          <cell r="B113">
            <v>8.1079550000000005</v>
          </cell>
          <cell r="C113">
            <v>36757.402000000002</v>
          </cell>
          <cell r="E113">
            <v>93.217943105007123</v>
          </cell>
          <cell r="F113">
            <v>96.642581874948647</v>
          </cell>
          <cell r="H113">
            <v>9.6325000000000003</v>
          </cell>
        </row>
        <row r="114">
          <cell r="A114">
            <v>40351</v>
          </cell>
          <cell r="B114">
            <v>8.0718770000000006</v>
          </cell>
          <cell r="C114">
            <v>36737.593999999997</v>
          </cell>
          <cell r="E114">
            <v>92.803150848347784</v>
          </cell>
          <cell r="F114">
            <v>96.590502670281808</v>
          </cell>
          <cell r="H114">
            <v>9.6549999999999994</v>
          </cell>
        </row>
        <row r="115">
          <cell r="A115">
            <v>40352</v>
          </cell>
          <cell r="B115">
            <v>7.7635864999999997</v>
          </cell>
          <cell r="C115">
            <v>36263.644999999997</v>
          </cell>
          <cell r="E115">
            <v>89.258705141777597</v>
          </cell>
          <cell r="F115">
            <v>95.344395694684081</v>
          </cell>
          <cell r="H115">
            <v>9.58</v>
          </cell>
        </row>
        <row r="116">
          <cell r="A116">
            <v>40353</v>
          </cell>
          <cell r="B116">
            <v>7.7270700000000003</v>
          </cell>
          <cell r="C116">
            <v>35670.995999999999</v>
          </cell>
          <cell r="E116">
            <v>88.838871408192006</v>
          </cell>
          <cell r="F116">
            <v>93.786202612768051</v>
          </cell>
          <cell r="H116">
            <v>9.5549999999999997</v>
          </cell>
        </row>
        <row r="117">
          <cell r="A117">
            <v>40354</v>
          </cell>
          <cell r="B117">
            <v>7.667338</v>
          </cell>
          <cell r="C117">
            <v>36279.285000000003</v>
          </cell>
          <cell r="E117">
            <v>88.152126824934157</v>
          </cell>
          <cell r="F117">
            <v>95.385516391422243</v>
          </cell>
          <cell r="H117">
            <v>9.57</v>
          </cell>
        </row>
        <row r="118">
          <cell r="A118">
            <v>40355</v>
          </cell>
          <cell r="B118">
            <v>7.667338</v>
          </cell>
          <cell r="C118">
            <v>36279.285000000003</v>
          </cell>
          <cell r="E118">
            <v>88.152126824934157</v>
          </cell>
          <cell r="F118">
            <v>95.385516391422243</v>
          </cell>
          <cell r="H118">
            <v>9.57</v>
          </cell>
        </row>
        <row r="119">
          <cell r="A119">
            <v>40356</v>
          </cell>
          <cell r="B119">
            <v>7.667338</v>
          </cell>
          <cell r="C119">
            <v>36279.285000000003</v>
          </cell>
          <cell r="E119">
            <v>88.152126824934157</v>
          </cell>
          <cell r="F119">
            <v>95.385516391422243</v>
          </cell>
          <cell r="H119">
            <v>9.57</v>
          </cell>
        </row>
        <row r="120">
          <cell r="A120">
            <v>40357</v>
          </cell>
          <cell r="B120">
            <v>7.5885324000000001</v>
          </cell>
          <cell r="C120">
            <v>36101.862999999998</v>
          </cell>
          <cell r="E120">
            <v>87.246091217045858</v>
          </cell>
          <cell r="F120">
            <v>94.919038369895645</v>
          </cell>
          <cell r="H120">
            <v>9.5500000000000007</v>
          </cell>
        </row>
        <row r="121">
          <cell r="A121">
            <v>40358</v>
          </cell>
          <cell r="B121">
            <v>7.4238470000000003</v>
          </cell>
          <cell r="C121">
            <v>34388.230000000003</v>
          </cell>
          <cell r="E121">
            <v>85.352687239418302</v>
          </cell>
          <cell r="F121">
            <v>90.413553528880129</v>
          </cell>
          <cell r="H121">
            <v>9.4725000000000001</v>
          </cell>
        </row>
        <row r="122">
          <cell r="A122">
            <v>40359</v>
          </cell>
          <cell r="B122">
            <v>7.4341187</v>
          </cell>
          <cell r="C122">
            <v>33806.324000000001</v>
          </cell>
          <cell r="E122">
            <v>85.470781968137402</v>
          </cell>
          <cell r="F122">
            <v>88.88360594856627</v>
          </cell>
          <cell r="H122">
            <v>9.4849999999999994</v>
          </cell>
        </row>
        <row r="123">
          <cell r="A123">
            <v>40360</v>
          </cell>
          <cell r="B123">
            <v>7.4621909999999998</v>
          </cell>
          <cell r="C123">
            <v>33923.995999999999</v>
          </cell>
          <cell r="E123">
            <v>85.793531917320237</v>
          </cell>
          <cell r="F123">
            <v>89.192989236710204</v>
          </cell>
          <cell r="H123">
            <v>9.5350000000000001</v>
          </cell>
        </row>
        <row r="124">
          <cell r="A124">
            <v>40361</v>
          </cell>
          <cell r="B124">
            <v>7.5581402999999998</v>
          </cell>
          <cell r="C124">
            <v>34674.754000000001</v>
          </cell>
          <cell r="E124">
            <v>86.896670302815124</v>
          </cell>
          <cell r="F124">
            <v>91.166882589762551</v>
          </cell>
          <cell r="H124">
            <v>9.6274999999999995</v>
          </cell>
        </row>
        <row r="125">
          <cell r="A125">
            <v>40362</v>
          </cell>
          <cell r="B125">
            <v>7.5581402999999998</v>
          </cell>
          <cell r="C125">
            <v>34674.754000000001</v>
          </cell>
          <cell r="E125">
            <v>86.896670302815124</v>
          </cell>
          <cell r="F125">
            <v>91.166882589762551</v>
          </cell>
          <cell r="H125">
            <v>9.6274999999999995</v>
          </cell>
        </row>
        <row r="126">
          <cell r="A126">
            <v>40363</v>
          </cell>
          <cell r="B126">
            <v>7.5581402999999998</v>
          </cell>
          <cell r="C126">
            <v>34674.754000000001</v>
          </cell>
          <cell r="E126">
            <v>86.896670302815124</v>
          </cell>
          <cell r="F126">
            <v>91.166882589762551</v>
          </cell>
          <cell r="H126">
            <v>9.6274999999999995</v>
          </cell>
        </row>
        <row r="127">
          <cell r="A127">
            <v>40364</v>
          </cell>
          <cell r="B127">
            <v>7.5581402999999998</v>
          </cell>
          <cell r="C127">
            <v>34674.754000000001</v>
          </cell>
          <cell r="E127">
            <v>86.896670302815124</v>
          </cell>
          <cell r="F127">
            <v>91.166882589762551</v>
          </cell>
          <cell r="H127">
            <v>9.6274999999999995</v>
          </cell>
        </row>
        <row r="128">
          <cell r="A128">
            <v>40365</v>
          </cell>
          <cell r="B128">
            <v>7.763579</v>
          </cell>
          <cell r="C128">
            <v>35171.137000000002</v>
          </cell>
          <cell r="E128">
            <v>89.258618913551942</v>
          </cell>
          <cell r="F128">
            <v>92.471973050694274</v>
          </cell>
          <cell r="H128">
            <v>9.6425000000000001</v>
          </cell>
        </row>
        <row r="129">
          <cell r="A129">
            <v>40366</v>
          </cell>
          <cell r="B129">
            <v>7.7409882999999997</v>
          </cell>
          <cell r="C129">
            <v>35757.599999999999</v>
          </cell>
          <cell r="E129">
            <v>88.998891449931051</v>
          </cell>
          <cell r="F129">
            <v>94.013901897954142</v>
          </cell>
          <cell r="H129">
            <v>9.93</v>
          </cell>
        </row>
        <row r="130">
          <cell r="A130">
            <v>40367</v>
          </cell>
          <cell r="B130">
            <v>7.6892633000000004</v>
          </cell>
          <cell r="C130">
            <v>35888.688000000002</v>
          </cell>
          <cell r="E130">
            <v>88.404204120375525</v>
          </cell>
          <cell r="F130">
            <v>94.358558540793695</v>
          </cell>
          <cell r="H130">
            <v>10.125</v>
          </cell>
        </row>
        <row r="131">
          <cell r="A131">
            <v>40368</v>
          </cell>
          <cell r="B131">
            <v>7.7239810000000002</v>
          </cell>
          <cell r="C131">
            <v>36050.726999999999</v>
          </cell>
          <cell r="E131">
            <v>88.803356876321587</v>
          </cell>
          <cell r="F131">
            <v>94.784591570125713</v>
          </cell>
          <cell r="H131">
            <v>10.255000000000001</v>
          </cell>
        </row>
        <row r="132">
          <cell r="A132">
            <v>40369</v>
          </cell>
          <cell r="B132">
            <v>7.7239810000000002</v>
          </cell>
          <cell r="C132">
            <v>36050.726999999999</v>
          </cell>
          <cell r="E132">
            <v>88.803356876321587</v>
          </cell>
          <cell r="F132">
            <v>94.784591570125713</v>
          </cell>
          <cell r="H132">
            <v>10.255000000000001</v>
          </cell>
        </row>
        <row r="133">
          <cell r="A133">
            <v>40370</v>
          </cell>
          <cell r="B133">
            <v>7.7239810000000002</v>
          </cell>
          <cell r="C133">
            <v>36050.726999999999</v>
          </cell>
          <cell r="E133">
            <v>88.803356876321587</v>
          </cell>
          <cell r="F133">
            <v>94.784591570125713</v>
          </cell>
          <cell r="H133">
            <v>10.255000000000001</v>
          </cell>
        </row>
        <row r="134">
          <cell r="A134">
            <v>40371</v>
          </cell>
          <cell r="B134">
            <v>7.3845115000000003</v>
          </cell>
          <cell r="C134">
            <v>35708.875</v>
          </cell>
          <cell r="E134">
            <v>84.900443190085639</v>
          </cell>
          <cell r="F134">
            <v>93.885794100731246</v>
          </cell>
          <cell r="H134">
            <v>10.317500000000001</v>
          </cell>
        </row>
        <row r="135">
          <cell r="A135">
            <v>40372</v>
          </cell>
          <cell r="B135">
            <v>7.9981730000000004</v>
          </cell>
          <cell r="C135">
            <v>36357.47</v>
          </cell>
          <cell r="E135">
            <v>91.955768829255234</v>
          </cell>
          <cell r="F135">
            <v>95.591080437104594</v>
          </cell>
          <cell r="H135">
            <v>10.305</v>
          </cell>
        </row>
        <row r="136">
          <cell r="A136">
            <v>40373</v>
          </cell>
          <cell r="B136">
            <v>7.9886689999999998</v>
          </cell>
          <cell r="C136">
            <v>35965.699999999997</v>
          </cell>
          <cell r="E136">
            <v>91.8465004217135</v>
          </cell>
          <cell r="F136">
            <v>94.561038534220671</v>
          </cell>
          <cell r="H136">
            <v>10.36</v>
          </cell>
        </row>
        <row r="137">
          <cell r="A137">
            <v>40374</v>
          </cell>
          <cell r="B137">
            <v>8.0257729999999992</v>
          </cell>
          <cell r="C137">
            <v>35883.89</v>
          </cell>
          <cell r="E137">
            <v>92.273088699641548</v>
          </cell>
          <cell r="F137">
            <v>94.345943636513013</v>
          </cell>
          <cell r="H137">
            <v>10.19</v>
          </cell>
        </row>
        <row r="138">
          <cell r="A138">
            <v>40375</v>
          </cell>
          <cell r="B138">
            <v>7.9399439999999997</v>
          </cell>
          <cell r="C138">
            <v>35054.555</v>
          </cell>
          <cell r="E138">
            <v>91.286304382417342</v>
          </cell>
          <cell r="F138">
            <v>92.165455591159315</v>
          </cell>
          <cell r="H138">
            <v>10.195</v>
          </cell>
        </row>
        <row r="139">
          <cell r="A139">
            <v>40376</v>
          </cell>
          <cell r="B139">
            <v>7.9399439999999997</v>
          </cell>
          <cell r="C139">
            <v>35054.555</v>
          </cell>
          <cell r="E139">
            <v>91.286304382417342</v>
          </cell>
          <cell r="F139">
            <v>92.165455591159315</v>
          </cell>
          <cell r="H139">
            <v>10.195</v>
          </cell>
        </row>
        <row r="140">
          <cell r="A140">
            <v>40377</v>
          </cell>
          <cell r="B140">
            <v>7.9399439999999997</v>
          </cell>
          <cell r="C140">
            <v>35054.555</v>
          </cell>
          <cell r="E140">
            <v>91.286304382417342</v>
          </cell>
          <cell r="F140">
            <v>92.165455591159315</v>
          </cell>
          <cell r="H140">
            <v>10.195</v>
          </cell>
        </row>
        <row r="141">
          <cell r="A141">
            <v>40378</v>
          </cell>
          <cell r="B141">
            <v>8.0121020000000005</v>
          </cell>
          <cell r="C141">
            <v>35464.5</v>
          </cell>
          <cell r="E141">
            <v>92.115911889929563</v>
          </cell>
          <cell r="F141">
            <v>93.243283214197675</v>
          </cell>
          <cell r="H141">
            <v>10.08</v>
          </cell>
        </row>
        <row r="142">
          <cell r="A142">
            <v>40379</v>
          </cell>
          <cell r="B142">
            <v>8.0296479999999999</v>
          </cell>
          <cell r="C142">
            <v>36196.586000000003</v>
          </cell>
          <cell r="E142">
            <v>92.317639949559933</v>
          </cell>
          <cell r="F142">
            <v>95.168084134417882</v>
          </cell>
          <cell r="H142">
            <v>10.1175</v>
          </cell>
        </row>
        <row r="143">
          <cell r="A143">
            <v>40380</v>
          </cell>
          <cell r="B143">
            <v>7.8875460000000004</v>
          </cell>
          <cell r="C143">
            <v>36326.004000000001</v>
          </cell>
          <cell r="E143">
            <v>90.683879506746962</v>
          </cell>
          <cell r="F143">
            <v>95.508350012324385</v>
          </cell>
          <cell r="H143">
            <v>10.1525</v>
          </cell>
        </row>
        <row r="144">
          <cell r="A144">
            <v>40381</v>
          </cell>
          <cell r="B144">
            <v>8.1464660000000002</v>
          </cell>
          <cell r="C144">
            <v>37325.065999999999</v>
          </cell>
          <cell r="E144">
            <v>93.660707798066838</v>
          </cell>
          <cell r="F144">
            <v>98.135084380905425</v>
          </cell>
          <cell r="H144">
            <v>10.16</v>
          </cell>
        </row>
        <row r="145">
          <cell r="A145">
            <v>40382</v>
          </cell>
          <cell r="B145">
            <v>8.1734589999999994</v>
          </cell>
          <cell r="C145">
            <v>37645.019999999997</v>
          </cell>
          <cell r="E145">
            <v>93.971048930723995</v>
          </cell>
          <cell r="F145">
            <v>98.976307616465363</v>
          </cell>
          <cell r="H145">
            <v>10.17</v>
          </cell>
        </row>
        <row r="146">
          <cell r="A146">
            <v>40383</v>
          </cell>
          <cell r="B146">
            <v>8.1734589999999994</v>
          </cell>
          <cell r="C146">
            <v>37645.019999999997</v>
          </cell>
          <cell r="E146">
            <v>93.971048930723995</v>
          </cell>
          <cell r="F146">
            <v>98.976307616465363</v>
          </cell>
          <cell r="H146">
            <v>10.17</v>
          </cell>
        </row>
        <row r="147">
          <cell r="A147">
            <v>40384</v>
          </cell>
          <cell r="B147">
            <v>8.1734589999999994</v>
          </cell>
          <cell r="C147">
            <v>37645.019999999997</v>
          </cell>
          <cell r="E147">
            <v>93.971048930723995</v>
          </cell>
          <cell r="F147">
            <v>98.976307616465363</v>
          </cell>
          <cell r="H147">
            <v>10.17</v>
          </cell>
        </row>
        <row r="148">
          <cell r="A148">
            <v>40385</v>
          </cell>
          <cell r="B148">
            <v>8.0840019999999999</v>
          </cell>
          <cell r="C148">
            <v>37508.9</v>
          </cell>
          <cell r="E148">
            <v>92.94255314647944</v>
          </cell>
          <cell r="F148">
            <v>98.61842083641443</v>
          </cell>
          <cell r="H148">
            <v>9.9824999999999999</v>
          </cell>
        </row>
        <row r="149">
          <cell r="A149">
            <v>40386</v>
          </cell>
          <cell r="B149">
            <v>8.0430170000000007</v>
          </cell>
          <cell r="C149">
            <v>37738.47</v>
          </cell>
          <cell r="E149">
            <v>92.471344636052507</v>
          </cell>
          <cell r="F149">
            <v>99.222006408676364</v>
          </cell>
          <cell r="H149">
            <v>9.98</v>
          </cell>
        </row>
        <row r="150">
          <cell r="A150">
            <v>40387</v>
          </cell>
          <cell r="B150">
            <v>8.3338049999999999</v>
          </cell>
          <cell r="C150">
            <v>37875.300000000003</v>
          </cell>
          <cell r="E150">
            <v>95.814562406701057</v>
          </cell>
          <cell r="F150">
            <v>99.581759921123989</v>
          </cell>
          <cell r="H150">
            <v>10.105</v>
          </cell>
        </row>
        <row r="151">
          <cell r="A151">
            <v>40388</v>
          </cell>
          <cell r="B151">
            <v>8.6066629999999993</v>
          </cell>
          <cell r="C151">
            <v>37961.065999999999</v>
          </cell>
          <cell r="E151">
            <v>98.951637232566014</v>
          </cell>
          <cell r="F151">
            <v>99.807255936241873</v>
          </cell>
          <cell r="H151">
            <v>10.2675</v>
          </cell>
        </row>
        <row r="152">
          <cell r="A152">
            <v>40389</v>
          </cell>
          <cell r="B152">
            <v>8.5547819999999994</v>
          </cell>
          <cell r="C152">
            <v>38377.375</v>
          </cell>
          <cell r="E152">
            <v>98.355156355916989</v>
          </cell>
          <cell r="F152">
            <v>100.90181579163587</v>
          </cell>
          <cell r="H152">
            <v>10.525</v>
          </cell>
        </row>
        <row r="153">
          <cell r="A153">
            <v>40390</v>
          </cell>
          <cell r="B153">
            <v>8.5547819999999994</v>
          </cell>
          <cell r="C153">
            <v>38377.375</v>
          </cell>
          <cell r="E153">
            <v>98.355156355916989</v>
          </cell>
          <cell r="F153">
            <v>100.90181579163587</v>
          </cell>
          <cell r="H153">
            <v>10.525</v>
          </cell>
        </row>
        <row r="154">
          <cell r="A154">
            <v>40391</v>
          </cell>
          <cell r="B154">
            <v>8.5547819999999994</v>
          </cell>
          <cell r="C154">
            <v>38377.375</v>
          </cell>
          <cell r="E154">
            <v>98.355156355916989</v>
          </cell>
          <cell r="F154">
            <v>100.90181579163587</v>
          </cell>
          <cell r="H154">
            <v>10.525</v>
          </cell>
        </row>
        <row r="155">
          <cell r="A155">
            <v>40392</v>
          </cell>
          <cell r="B155">
            <v>8.6996339999999996</v>
          </cell>
          <cell r="C155">
            <v>39215.58</v>
          </cell>
          <cell r="E155">
            <v>100.02053381480107</v>
          </cell>
          <cell r="F155">
            <v>103.10562484594527</v>
          </cell>
          <cell r="H155">
            <v>10.532500000000001</v>
          </cell>
        </row>
        <row r="156">
          <cell r="A156">
            <v>40393</v>
          </cell>
          <cell r="B156">
            <v>8.9639509999999998</v>
          </cell>
          <cell r="C156">
            <v>38601.964999999997</v>
          </cell>
          <cell r="E156">
            <v>103.0594119372976</v>
          </cell>
          <cell r="F156">
            <v>101.49230794511543</v>
          </cell>
          <cell r="H156">
            <v>10.535</v>
          </cell>
        </row>
        <row r="157">
          <cell r="A157">
            <v>40394</v>
          </cell>
          <cell r="B157">
            <v>9.1686789999999991</v>
          </cell>
          <cell r="C157">
            <v>38807.445</v>
          </cell>
          <cell r="E157">
            <v>105.41318956137195</v>
          </cell>
          <cell r="F157">
            <v>102.03255607591817</v>
          </cell>
          <cell r="H157">
            <v>10.53</v>
          </cell>
        </row>
        <row r="158">
          <cell r="A158">
            <v>40395</v>
          </cell>
          <cell r="B158">
            <v>9.1098009999999991</v>
          </cell>
          <cell r="C158">
            <v>38951.074000000001</v>
          </cell>
          <cell r="E158">
            <v>104.73626349874128</v>
          </cell>
          <cell r="F158">
            <v>102.41018552296441</v>
          </cell>
          <cell r="H158">
            <v>10.55</v>
          </cell>
        </row>
        <row r="159">
          <cell r="A159">
            <v>40396</v>
          </cell>
          <cell r="B159">
            <v>9.3191185000000001</v>
          </cell>
          <cell r="C159">
            <v>38717.699999999997</v>
          </cell>
          <cell r="E159">
            <v>107.14280704836415</v>
          </cell>
          <cell r="F159">
            <v>101.79659847177717</v>
          </cell>
          <cell r="H159">
            <v>10.59</v>
          </cell>
        </row>
        <row r="160">
          <cell r="A160">
            <v>40397</v>
          </cell>
          <cell r="B160">
            <v>9.3191185000000001</v>
          </cell>
          <cell r="C160">
            <v>38717.699999999997</v>
          </cell>
          <cell r="E160">
            <v>107.14280704836415</v>
          </cell>
          <cell r="F160">
            <v>101.79659847177717</v>
          </cell>
          <cell r="H160">
            <v>10.59</v>
          </cell>
        </row>
        <row r="161">
          <cell r="A161">
            <v>40398</v>
          </cell>
          <cell r="B161">
            <v>9.3191185000000001</v>
          </cell>
          <cell r="C161">
            <v>38717.699999999997</v>
          </cell>
          <cell r="E161">
            <v>107.14280704836415</v>
          </cell>
          <cell r="F161">
            <v>101.79659847177717</v>
          </cell>
          <cell r="H161">
            <v>10.59</v>
          </cell>
        </row>
        <row r="162">
          <cell r="A162">
            <v>40399</v>
          </cell>
          <cell r="B162">
            <v>9.6323729999999994</v>
          </cell>
          <cell r="C162">
            <v>38678.983999999997</v>
          </cell>
          <cell r="E162">
            <v>110.74432434321683</v>
          </cell>
          <cell r="F162">
            <v>101.69480634294634</v>
          </cell>
          <cell r="H162">
            <v>10.484999999999999</v>
          </cell>
        </row>
        <row r="163">
          <cell r="A163">
            <v>40400</v>
          </cell>
          <cell r="B163">
            <v>9.4527079999999994</v>
          </cell>
          <cell r="C163">
            <v>38164.660000000003</v>
          </cell>
          <cell r="E163">
            <v>108.67869845506613</v>
          </cell>
          <cell r="F163">
            <v>100.3425453947909</v>
          </cell>
          <cell r="H163">
            <v>10.362500000000001</v>
          </cell>
        </row>
        <row r="164">
          <cell r="A164">
            <v>40401</v>
          </cell>
          <cell r="B164">
            <v>9.085267</v>
          </cell>
          <cell r="C164">
            <v>37125.61</v>
          </cell>
          <cell r="E164">
            <v>104.45419372700005</v>
          </cell>
          <cell r="F164">
            <v>97.610674554268343</v>
          </cell>
          <cell r="H164">
            <v>10.445</v>
          </cell>
        </row>
        <row r="165">
          <cell r="A165">
            <v>40402</v>
          </cell>
          <cell r="B165">
            <v>9.4672879999999999</v>
          </cell>
          <cell r="C165">
            <v>37284.82</v>
          </cell>
          <cell r="E165">
            <v>108.84632612572673</v>
          </cell>
          <cell r="F165">
            <v>98.029269575219786</v>
          </cell>
          <cell r="H165">
            <v>10.57</v>
          </cell>
        </row>
        <row r="166">
          <cell r="A166">
            <v>40403</v>
          </cell>
          <cell r="B166">
            <v>9.5143989999999992</v>
          </cell>
          <cell r="C166">
            <v>37416.39</v>
          </cell>
          <cell r="E166">
            <v>109.38796585086332</v>
          </cell>
          <cell r="F166">
            <v>98.375193492728613</v>
          </cell>
          <cell r="H166">
            <v>10.52</v>
          </cell>
        </row>
        <row r="167">
          <cell r="A167">
            <v>40404</v>
          </cell>
          <cell r="B167">
            <v>9.5143989999999992</v>
          </cell>
          <cell r="C167">
            <v>37416.39</v>
          </cell>
          <cell r="E167">
            <v>109.38796585086332</v>
          </cell>
          <cell r="F167">
            <v>98.375193492728613</v>
          </cell>
          <cell r="H167">
            <v>10.52</v>
          </cell>
        </row>
        <row r="168">
          <cell r="A168">
            <v>40405</v>
          </cell>
          <cell r="B168">
            <v>9.5143989999999992</v>
          </cell>
          <cell r="C168">
            <v>37416.39</v>
          </cell>
          <cell r="E168">
            <v>109.38796585086332</v>
          </cell>
          <cell r="F168">
            <v>98.375193492728613</v>
          </cell>
          <cell r="H168">
            <v>10.52</v>
          </cell>
        </row>
        <row r="169">
          <cell r="A169">
            <v>40406</v>
          </cell>
          <cell r="B169">
            <v>9.0803390000000004</v>
          </cell>
          <cell r="C169">
            <v>37831.093999999997</v>
          </cell>
          <cell r="E169">
            <v>104.39753603420063</v>
          </cell>
          <cell r="F169">
            <v>99.465533481225847</v>
          </cell>
          <cell r="H169">
            <v>10.34</v>
          </cell>
        </row>
        <row r="170">
          <cell r="A170">
            <v>40407</v>
          </cell>
          <cell r="B170">
            <v>9.1851599999999998</v>
          </cell>
          <cell r="C170">
            <v>38604.959999999999</v>
          </cell>
          <cell r="E170">
            <v>105.60267321296027</v>
          </cell>
          <cell r="F170">
            <v>101.50018240078876</v>
          </cell>
          <cell r="H170">
            <v>10.452500000000001</v>
          </cell>
        </row>
        <row r="171">
          <cell r="A171">
            <v>40408</v>
          </cell>
          <cell r="B171">
            <v>9.0629109999999997</v>
          </cell>
          <cell r="C171">
            <v>38577.760000000002</v>
          </cell>
          <cell r="E171">
            <v>104.19716463198712</v>
          </cell>
          <cell r="F171">
            <v>101.428668145592</v>
          </cell>
          <cell r="H171">
            <v>10.352499999999999</v>
          </cell>
        </row>
        <row r="172">
          <cell r="A172">
            <v>40409</v>
          </cell>
          <cell r="B172">
            <v>8.9437119999999997</v>
          </cell>
          <cell r="C172">
            <v>37934.004000000001</v>
          </cell>
          <cell r="E172">
            <v>102.82672219611102</v>
          </cell>
          <cell r="F172">
            <v>99.736104510722214</v>
          </cell>
          <cell r="H172">
            <v>10.1675</v>
          </cell>
        </row>
        <row r="173">
          <cell r="A173">
            <v>40410</v>
          </cell>
          <cell r="B173">
            <v>8.8435369999999995</v>
          </cell>
          <cell r="C173">
            <v>37798.839999999997</v>
          </cell>
          <cell r="E173">
            <v>101.67500052886645</v>
          </cell>
          <cell r="F173">
            <v>99.380731246405389</v>
          </cell>
          <cell r="H173">
            <v>10.092499999999999</v>
          </cell>
        </row>
        <row r="174">
          <cell r="A174">
            <v>40411</v>
          </cell>
          <cell r="B174">
            <v>8.8435369999999995</v>
          </cell>
          <cell r="C174">
            <v>37798.839999999997</v>
          </cell>
          <cell r="E174">
            <v>101.67500052886645</v>
          </cell>
          <cell r="F174">
            <v>99.380731246405389</v>
          </cell>
          <cell r="H174">
            <v>10.092499999999999</v>
          </cell>
        </row>
        <row r="175">
          <cell r="A175">
            <v>40412</v>
          </cell>
          <cell r="B175">
            <v>8.8435369999999995</v>
          </cell>
          <cell r="C175">
            <v>37798.839999999997</v>
          </cell>
          <cell r="E175">
            <v>101.67500052886645</v>
          </cell>
          <cell r="F175">
            <v>99.380731246405389</v>
          </cell>
          <cell r="H175">
            <v>10.092499999999999</v>
          </cell>
        </row>
        <row r="176">
          <cell r="A176">
            <v>40413</v>
          </cell>
          <cell r="B176">
            <v>8.8804400000000001</v>
          </cell>
          <cell r="C176">
            <v>37440.766000000003</v>
          </cell>
          <cell r="E176">
            <v>102.09927789034711</v>
          </cell>
          <cell r="F176">
            <v>98.439282885547613</v>
          </cell>
          <cell r="H176">
            <v>10.07</v>
          </cell>
        </row>
        <row r="177">
          <cell r="A177">
            <v>40414</v>
          </cell>
          <cell r="B177">
            <v>8.4106339999999999</v>
          </cell>
          <cell r="C177">
            <v>36853.144999999997</v>
          </cell>
          <cell r="E177">
            <v>96.697872853147118</v>
          </cell>
          <cell r="F177">
            <v>96.894309424040742</v>
          </cell>
          <cell r="H177">
            <v>9.9949999999999992</v>
          </cell>
        </row>
        <row r="178">
          <cell r="A178">
            <v>40415</v>
          </cell>
          <cell r="B178">
            <v>8.3879350000000006</v>
          </cell>
          <cell r="C178">
            <v>36603.832000000002</v>
          </cell>
          <cell r="E178">
            <v>96.436900253947883</v>
          </cell>
          <cell r="F178">
            <v>96.238815545148299</v>
          </cell>
          <cell r="H178">
            <v>10</v>
          </cell>
        </row>
        <row r="179">
          <cell r="A179">
            <v>40416</v>
          </cell>
          <cell r="B179">
            <v>8.8178409999999996</v>
          </cell>
          <cell r="C179">
            <v>36333.758000000002</v>
          </cell>
          <cell r="E179">
            <v>101.37957113069807</v>
          </cell>
          <cell r="F179">
            <v>95.528736833456591</v>
          </cell>
          <cell r="H179">
            <v>10.130000000000001</v>
          </cell>
        </row>
        <row r="180">
          <cell r="A180">
            <v>40417</v>
          </cell>
          <cell r="B180">
            <v>9.1005050000000001</v>
          </cell>
          <cell r="C180">
            <v>37420.559999999998</v>
          </cell>
          <cell r="E180">
            <v>104.62938648732421</v>
          </cell>
          <cell r="F180">
            <v>98.386157259058422</v>
          </cell>
          <cell r="H180">
            <v>10.220000000000001</v>
          </cell>
        </row>
        <row r="181">
          <cell r="A181">
            <v>40418</v>
          </cell>
          <cell r="B181">
            <v>9.1005050000000001</v>
          </cell>
          <cell r="C181">
            <v>37420.559999999998</v>
          </cell>
          <cell r="E181">
            <v>104.62938648732421</v>
          </cell>
          <cell r="F181">
            <v>98.386157259058422</v>
          </cell>
          <cell r="H181">
            <v>10.220000000000001</v>
          </cell>
        </row>
        <row r="182">
          <cell r="A182">
            <v>40419</v>
          </cell>
          <cell r="B182">
            <v>9.1005050000000001</v>
          </cell>
          <cell r="C182">
            <v>37420.559999999998</v>
          </cell>
          <cell r="E182">
            <v>104.62938648732421</v>
          </cell>
          <cell r="F182">
            <v>98.386157259058422</v>
          </cell>
          <cell r="H182">
            <v>10.220000000000001</v>
          </cell>
        </row>
        <row r="183">
          <cell r="A183">
            <v>40420</v>
          </cell>
          <cell r="B183">
            <v>9.0852129999999995</v>
          </cell>
          <cell r="C183">
            <v>36603.32</v>
          </cell>
          <cell r="E183">
            <v>104.45357288377537</v>
          </cell>
          <cell r="F183">
            <v>96.237469394462252</v>
          </cell>
          <cell r="H183">
            <v>10.18</v>
          </cell>
        </row>
        <row r="184">
          <cell r="A184">
            <v>40421</v>
          </cell>
          <cell r="B184">
            <v>9.1222670000000008</v>
          </cell>
          <cell r="C184">
            <v>37142.137000000002</v>
          </cell>
          <cell r="E184">
            <v>104.8795863068658</v>
          </cell>
          <cell r="F184">
            <v>97.654127351902062</v>
          </cell>
          <cell r="H184">
            <v>10.08</v>
          </cell>
        </row>
        <row r="185">
          <cell r="A185">
            <v>40422</v>
          </cell>
          <cell r="B185">
            <v>9.3100780000000007</v>
          </cell>
          <cell r="C185">
            <v>38546.324000000001</v>
          </cell>
          <cell r="E185">
            <v>107.03886754516749</v>
          </cell>
          <cell r="F185">
            <v>101.34601659682853</v>
          </cell>
          <cell r="H185">
            <v>10.045</v>
          </cell>
        </row>
        <row r="186">
          <cell r="A186">
            <v>40423</v>
          </cell>
          <cell r="B186">
            <v>9.2715230000000002</v>
          </cell>
          <cell r="C186">
            <v>38472.836000000003</v>
          </cell>
          <cell r="E186">
            <v>106.59559697985064</v>
          </cell>
          <cell r="F186">
            <v>101.15280190617042</v>
          </cell>
          <cell r="H186">
            <v>10.074999999999999</v>
          </cell>
        </row>
        <row r="187">
          <cell r="A187">
            <v>40424</v>
          </cell>
          <cell r="B187">
            <v>9.5638310000000004</v>
          </cell>
          <cell r="C187">
            <v>38648.667999999998</v>
          </cell>
          <cell r="E187">
            <v>109.95629033756396</v>
          </cell>
          <cell r="F187">
            <v>101.61509949880865</v>
          </cell>
          <cell r="H187">
            <v>10.297499999999999</v>
          </cell>
        </row>
        <row r="188">
          <cell r="A188">
            <v>40425</v>
          </cell>
          <cell r="B188">
            <v>9.5638310000000004</v>
          </cell>
          <cell r="C188">
            <v>38648.667999999998</v>
          </cell>
          <cell r="E188">
            <v>109.95629033756396</v>
          </cell>
          <cell r="F188">
            <v>101.61509949880865</v>
          </cell>
          <cell r="H188">
            <v>10.297499999999999</v>
          </cell>
        </row>
        <row r="189">
          <cell r="A189">
            <v>40426</v>
          </cell>
          <cell r="B189">
            <v>9.5638310000000004</v>
          </cell>
          <cell r="C189">
            <v>38648.667999999998</v>
          </cell>
          <cell r="E189">
            <v>109.95629033756396</v>
          </cell>
          <cell r="F189">
            <v>101.61509949880865</v>
          </cell>
          <cell r="H189">
            <v>10.297499999999999</v>
          </cell>
        </row>
        <row r="190">
          <cell r="A190">
            <v>40427</v>
          </cell>
          <cell r="B190">
            <v>9.5638310000000004</v>
          </cell>
          <cell r="C190">
            <v>38648.667999999998</v>
          </cell>
          <cell r="E190">
            <v>109.95629033756396</v>
          </cell>
          <cell r="F190">
            <v>101.61509949880865</v>
          </cell>
          <cell r="H190">
            <v>10.297499999999999</v>
          </cell>
        </row>
        <row r="191">
          <cell r="A191">
            <v>40428</v>
          </cell>
          <cell r="B191">
            <v>9.7281329999999997</v>
          </cell>
          <cell r="C191">
            <v>38650.39</v>
          </cell>
          <cell r="E191">
            <v>111.84528632829638</v>
          </cell>
          <cell r="F191">
            <v>101.61962698217073</v>
          </cell>
          <cell r="H191">
            <v>10.4375</v>
          </cell>
        </row>
        <row r="192">
          <cell r="A192">
            <v>40429</v>
          </cell>
          <cell r="B192">
            <v>10.145096000000001</v>
          </cell>
          <cell r="C192">
            <v>38541.660000000003</v>
          </cell>
          <cell r="E192">
            <v>116.63915028177085</v>
          </cell>
          <cell r="F192">
            <v>101.33375400542273</v>
          </cell>
          <cell r="H192">
            <v>10.4125</v>
          </cell>
        </row>
        <row r="193">
          <cell r="A193">
            <v>40430</v>
          </cell>
          <cell r="B193">
            <v>10.156794</v>
          </cell>
          <cell r="C193">
            <v>38689.953000000001</v>
          </cell>
          <cell r="E193">
            <v>116.77364331958893</v>
          </cell>
          <cell r="F193">
            <v>101.72364604387478</v>
          </cell>
          <cell r="H193">
            <v>10.3775</v>
          </cell>
        </row>
        <row r="194">
          <cell r="A194">
            <v>40431</v>
          </cell>
          <cell r="B194">
            <v>10.055899999999999</v>
          </cell>
          <cell r="C194">
            <v>38899.96</v>
          </cell>
          <cell r="E194">
            <v>115.61365523977885</v>
          </cell>
          <cell r="F194">
            <v>102.27579656560677</v>
          </cell>
          <cell r="H194">
            <v>10.234999999999999</v>
          </cell>
        </row>
        <row r="195">
          <cell r="A195">
            <v>40432</v>
          </cell>
          <cell r="B195">
            <v>10.055899999999999</v>
          </cell>
          <cell r="C195">
            <v>38899.96</v>
          </cell>
          <cell r="E195">
            <v>115.61365523977885</v>
          </cell>
          <cell r="F195">
            <v>102.27579656560677</v>
          </cell>
          <cell r="H195">
            <v>10.234999999999999</v>
          </cell>
        </row>
        <row r="196">
          <cell r="A196">
            <v>40433</v>
          </cell>
          <cell r="B196">
            <v>10.055899999999999</v>
          </cell>
          <cell r="C196">
            <v>38899.96</v>
          </cell>
          <cell r="E196">
            <v>115.61365523977885</v>
          </cell>
          <cell r="F196">
            <v>102.27579656560677</v>
          </cell>
          <cell r="H196">
            <v>10.234999999999999</v>
          </cell>
        </row>
        <row r="197">
          <cell r="A197">
            <v>40434</v>
          </cell>
          <cell r="B197">
            <v>10.027986</v>
          </cell>
          <cell r="C197">
            <v>39663.35</v>
          </cell>
          <cell r="E197">
            <v>115.29272528101204</v>
          </cell>
          <cell r="F197">
            <v>104.28290198011668</v>
          </cell>
          <cell r="H197">
            <v>10.2525</v>
          </cell>
        </row>
        <row r="198">
          <cell r="A198">
            <v>40435</v>
          </cell>
          <cell r="B198">
            <v>9.9604510000000008</v>
          </cell>
          <cell r="C198">
            <v>39661.258000000002</v>
          </cell>
          <cell r="E198">
            <v>114.51626885178956</v>
          </cell>
          <cell r="F198">
            <v>104.27740169254787</v>
          </cell>
          <cell r="H198">
            <v>10.25</v>
          </cell>
        </row>
        <row r="199">
          <cell r="A199">
            <v>40436</v>
          </cell>
          <cell r="B199">
            <v>9.6985279999999996</v>
          </cell>
          <cell r="C199">
            <v>39791.336000000003</v>
          </cell>
          <cell r="E199">
            <v>111.50491477892001</v>
          </cell>
          <cell r="F199">
            <v>104.61940284282312</v>
          </cell>
          <cell r="H199">
            <v>10.425000000000001</v>
          </cell>
        </row>
        <row r="200">
          <cell r="A200">
            <v>40437</v>
          </cell>
          <cell r="B200">
            <v>9.6555339999999994</v>
          </cell>
          <cell r="C200">
            <v>39404.241999999998</v>
          </cell>
          <cell r="E200">
            <v>111.01060860111602</v>
          </cell>
          <cell r="F200">
            <v>103.6016550817517</v>
          </cell>
          <cell r="H200">
            <v>10.362500000000001</v>
          </cell>
        </row>
        <row r="201">
          <cell r="A201">
            <v>40438</v>
          </cell>
          <cell r="B201">
            <v>9.6159459999999992</v>
          </cell>
          <cell r="C201">
            <v>39098.504000000001</v>
          </cell>
          <cell r="E201">
            <v>110.55546153485321</v>
          </cell>
          <cell r="F201">
            <v>102.79780856133431</v>
          </cell>
          <cell r="H201">
            <v>10.69</v>
          </cell>
        </row>
        <row r="202">
          <cell r="A202">
            <v>40439</v>
          </cell>
          <cell r="B202">
            <v>9.6159459999999992</v>
          </cell>
          <cell r="C202">
            <v>39098.504000000001</v>
          </cell>
          <cell r="E202">
            <v>110.55546153485321</v>
          </cell>
          <cell r="F202">
            <v>102.79780856133431</v>
          </cell>
          <cell r="H202">
            <v>10.69</v>
          </cell>
        </row>
        <row r="203">
          <cell r="A203">
            <v>40440</v>
          </cell>
          <cell r="B203">
            <v>9.6159459999999992</v>
          </cell>
          <cell r="C203">
            <v>39098.504000000001</v>
          </cell>
          <cell r="E203">
            <v>110.55546153485321</v>
          </cell>
          <cell r="F203">
            <v>102.79780856133431</v>
          </cell>
          <cell r="H203">
            <v>10.69</v>
          </cell>
        </row>
        <row r="204">
          <cell r="A204">
            <v>40441</v>
          </cell>
          <cell r="B204">
            <v>9.7886209999999991</v>
          </cell>
          <cell r="C204">
            <v>39707.949999999997</v>
          </cell>
          <cell r="E204">
            <v>112.54072271669958</v>
          </cell>
          <cell r="F204">
            <v>104.40016432503492</v>
          </cell>
          <cell r="H204">
            <v>10.845000000000001</v>
          </cell>
        </row>
        <row r="205">
          <cell r="A205">
            <v>40442</v>
          </cell>
          <cell r="B205">
            <v>9.9138669999999998</v>
          </cell>
          <cell r="C205">
            <v>39146.269999999997</v>
          </cell>
          <cell r="E205">
            <v>113.98068809664184</v>
          </cell>
          <cell r="F205">
            <v>102.92339495522143</v>
          </cell>
          <cell r="H205">
            <v>10.8</v>
          </cell>
        </row>
        <row r="206">
          <cell r="A206">
            <v>40443</v>
          </cell>
          <cell r="B206">
            <v>9.9185569999999998</v>
          </cell>
          <cell r="C206">
            <v>39747.050000000003</v>
          </cell>
          <cell r="E206">
            <v>114.03460948041399</v>
          </cell>
          <cell r="F206">
            <v>104.5029660668803</v>
          </cell>
          <cell r="H206">
            <v>10.885</v>
          </cell>
        </row>
        <row r="207">
          <cell r="A207">
            <v>40444</v>
          </cell>
          <cell r="B207">
            <v>10.022659000000001</v>
          </cell>
          <cell r="C207">
            <v>39971.133000000002</v>
          </cell>
          <cell r="E207">
            <v>115.23148024660811</v>
          </cell>
          <cell r="F207">
            <v>105.09212521567662</v>
          </cell>
          <cell r="H207">
            <v>10.935</v>
          </cell>
        </row>
        <row r="208">
          <cell r="A208">
            <v>40445</v>
          </cell>
          <cell r="B208">
            <v>10.499269999999999</v>
          </cell>
          <cell r="C208">
            <v>39822.76</v>
          </cell>
          <cell r="E208">
            <v>120.71112302721316</v>
          </cell>
          <cell r="F208">
            <v>104.70202284117987</v>
          </cell>
          <cell r="H208">
            <v>11.26</v>
          </cell>
        </row>
        <row r="209">
          <cell r="A209">
            <v>40446</v>
          </cell>
          <cell r="B209">
            <v>10.499269999999999</v>
          </cell>
          <cell r="C209">
            <v>39822.76</v>
          </cell>
          <cell r="E209">
            <v>120.71112302721316</v>
          </cell>
          <cell r="F209">
            <v>104.70202284117987</v>
          </cell>
          <cell r="H209">
            <v>11.26</v>
          </cell>
        </row>
        <row r="210">
          <cell r="A210">
            <v>40447</v>
          </cell>
          <cell r="B210">
            <v>10.499269999999999</v>
          </cell>
          <cell r="C210">
            <v>39822.76</v>
          </cell>
          <cell r="E210">
            <v>120.71112302721316</v>
          </cell>
          <cell r="F210">
            <v>104.70202284117987</v>
          </cell>
          <cell r="H210">
            <v>11.26</v>
          </cell>
        </row>
        <row r="211">
          <cell r="A211">
            <v>40448</v>
          </cell>
          <cell r="B211">
            <v>10.690813</v>
          </cell>
          <cell r="C211">
            <v>40202.112999999998</v>
          </cell>
          <cell r="E211">
            <v>122.91331143059753</v>
          </cell>
          <cell r="F211">
            <v>105.69941796072631</v>
          </cell>
          <cell r="H211">
            <v>11.285</v>
          </cell>
        </row>
        <row r="212">
          <cell r="A212">
            <v>40449</v>
          </cell>
          <cell r="B212">
            <v>10.609785</v>
          </cell>
          <cell r="C212">
            <v>40512.43</v>
          </cell>
          <cell r="E212">
            <v>121.9817246748851</v>
          </cell>
          <cell r="F212">
            <v>106.51530359050201</v>
          </cell>
          <cell r="H212">
            <v>11.1</v>
          </cell>
        </row>
        <row r="213">
          <cell r="A213">
            <v>40450</v>
          </cell>
          <cell r="B213">
            <v>10.83614</v>
          </cell>
          <cell r="C213">
            <v>40549.563000000002</v>
          </cell>
          <cell r="E213">
            <v>124.58415001043936</v>
          </cell>
          <cell r="F213">
            <v>106.61293369484841</v>
          </cell>
          <cell r="H213">
            <v>10.99</v>
          </cell>
        </row>
        <row r="214">
          <cell r="A214">
            <v>40451</v>
          </cell>
          <cell r="B214">
            <v>11.014048000000001</v>
          </cell>
          <cell r="C214">
            <v>40980.862999999998</v>
          </cell>
          <cell r="E214">
            <v>126.62957549959484</v>
          </cell>
          <cell r="F214">
            <v>107.74690789581791</v>
          </cell>
          <cell r="H214">
            <v>11.067500000000001</v>
          </cell>
        </row>
        <row r="215">
          <cell r="A215">
            <v>40452</v>
          </cell>
          <cell r="B215">
            <v>11.154622</v>
          </cell>
          <cell r="C215">
            <v>41669.25</v>
          </cell>
          <cell r="E215">
            <v>128.24576837856904</v>
          </cell>
          <cell r="F215">
            <v>109.55681538082327</v>
          </cell>
          <cell r="H215">
            <v>10.57</v>
          </cell>
        </row>
        <row r="216">
          <cell r="A216">
            <v>40453</v>
          </cell>
          <cell r="B216">
            <v>11.154622</v>
          </cell>
          <cell r="C216">
            <v>41669.25</v>
          </cell>
          <cell r="E216">
            <v>128.24576837856904</v>
          </cell>
          <cell r="F216">
            <v>109.55681538082327</v>
          </cell>
          <cell r="H216">
            <v>10.57</v>
          </cell>
        </row>
        <row r="217">
          <cell r="A217">
            <v>40454</v>
          </cell>
          <cell r="B217">
            <v>11.154622</v>
          </cell>
          <cell r="C217">
            <v>41669.25</v>
          </cell>
          <cell r="E217">
            <v>128.24576837856904</v>
          </cell>
          <cell r="F217">
            <v>109.55681538082327</v>
          </cell>
          <cell r="H217">
            <v>10.57</v>
          </cell>
        </row>
        <row r="218">
          <cell r="A218">
            <v>40455</v>
          </cell>
          <cell r="B218">
            <v>11.122975</v>
          </cell>
          <cell r="C218">
            <v>41754.120000000003</v>
          </cell>
          <cell r="E218">
            <v>127.8819197576228</v>
          </cell>
          <cell r="F218">
            <v>109.77995563224059</v>
          </cell>
          <cell r="H218">
            <v>10.54</v>
          </cell>
        </row>
        <row r="219">
          <cell r="A219">
            <v>40456</v>
          </cell>
          <cell r="B219">
            <v>11.360799</v>
          </cell>
          <cell r="C219">
            <v>42377.45</v>
          </cell>
          <cell r="E219">
            <v>130.61620529583868</v>
          </cell>
          <cell r="F219">
            <v>111.41881521649823</v>
          </cell>
          <cell r="H219">
            <v>10.717499999999999</v>
          </cell>
        </row>
        <row r="220">
          <cell r="A220">
            <v>40457</v>
          </cell>
          <cell r="B220">
            <v>11.305486999999999</v>
          </cell>
          <cell r="C220">
            <v>41973.917999999998</v>
          </cell>
          <cell r="E220">
            <v>129.98027788022966</v>
          </cell>
          <cell r="F220">
            <v>110.35784865664284</v>
          </cell>
          <cell r="H220">
            <v>10.62</v>
          </cell>
        </row>
        <row r="221">
          <cell r="A221">
            <v>40458</v>
          </cell>
          <cell r="B221">
            <v>11.236625</v>
          </cell>
          <cell r="C221">
            <v>41678.875</v>
          </cell>
          <cell r="E221">
            <v>129.18856480361578</v>
          </cell>
          <cell r="F221">
            <v>109.58212143620081</v>
          </cell>
          <cell r="H221">
            <v>10.65</v>
          </cell>
        </row>
        <row r="222">
          <cell r="A222">
            <v>40459</v>
          </cell>
          <cell r="B222">
            <v>11.867584000000001</v>
          </cell>
          <cell r="C222">
            <v>42121.77</v>
          </cell>
          <cell r="E222">
            <v>136.44276147387262</v>
          </cell>
          <cell r="F222">
            <v>110.74658121764851</v>
          </cell>
          <cell r="H222">
            <v>11.35</v>
          </cell>
        </row>
        <row r="223">
          <cell r="A223">
            <v>40460</v>
          </cell>
          <cell r="B223">
            <v>11.867584000000001</v>
          </cell>
          <cell r="C223">
            <v>42121.77</v>
          </cell>
          <cell r="E223">
            <v>136.44276147387262</v>
          </cell>
          <cell r="F223">
            <v>110.74658121764851</v>
          </cell>
          <cell r="H223">
            <v>11.35</v>
          </cell>
        </row>
        <row r="224">
          <cell r="A224">
            <v>40461</v>
          </cell>
          <cell r="B224">
            <v>11.867584000000001</v>
          </cell>
          <cell r="C224">
            <v>42121.77</v>
          </cell>
          <cell r="E224">
            <v>136.44276147387262</v>
          </cell>
          <cell r="F224">
            <v>110.74658121764851</v>
          </cell>
          <cell r="H224">
            <v>11.35</v>
          </cell>
        </row>
        <row r="225">
          <cell r="A225">
            <v>40462</v>
          </cell>
          <cell r="B225">
            <v>12.619433000000001</v>
          </cell>
          <cell r="C225">
            <v>42633.546999999999</v>
          </cell>
          <cell r="E225">
            <v>145.08684217061506</v>
          </cell>
          <cell r="F225">
            <v>112.09214559198092</v>
          </cell>
          <cell r="H225">
            <v>11.525</v>
          </cell>
        </row>
        <row r="226">
          <cell r="A226">
            <v>40463</v>
          </cell>
          <cell r="B226">
            <v>12.575227</v>
          </cell>
          <cell r="C226">
            <v>42484.203000000001</v>
          </cell>
          <cell r="E226">
            <v>144.57860151154628</v>
          </cell>
          <cell r="F226">
            <v>111.69949026374168</v>
          </cell>
          <cell r="H226">
            <v>11.785</v>
          </cell>
        </row>
        <row r="227">
          <cell r="A227">
            <v>40464</v>
          </cell>
          <cell r="B227">
            <v>12.162732</v>
          </cell>
          <cell r="C227">
            <v>43263.652000000002</v>
          </cell>
          <cell r="E227">
            <v>139.83610658636479</v>
          </cell>
          <cell r="F227">
            <v>113.74881801002384</v>
          </cell>
          <cell r="H227">
            <v>11.765000000000001</v>
          </cell>
        </row>
        <row r="228">
          <cell r="A228">
            <v>40465</v>
          </cell>
          <cell r="B228">
            <v>12.861154000000001</v>
          </cell>
          <cell r="C228">
            <v>43288.527000000002</v>
          </cell>
          <cell r="E228">
            <v>147.86593189487792</v>
          </cell>
          <cell r="F228">
            <v>113.81421937392162</v>
          </cell>
          <cell r="H228">
            <v>11.885</v>
          </cell>
        </row>
        <row r="229">
          <cell r="A229">
            <v>40466</v>
          </cell>
          <cell r="B229">
            <v>12.410142</v>
          </cell>
          <cell r="C229">
            <v>43210.02</v>
          </cell>
          <cell r="E229">
            <v>142.6806032940562</v>
          </cell>
          <cell r="F229">
            <v>113.60780872565934</v>
          </cell>
          <cell r="H229">
            <v>11.85</v>
          </cell>
        </row>
        <row r="230">
          <cell r="A230">
            <v>40467</v>
          </cell>
          <cell r="B230">
            <v>12.410142</v>
          </cell>
          <cell r="C230">
            <v>43210.02</v>
          </cell>
          <cell r="E230">
            <v>142.6806032940562</v>
          </cell>
          <cell r="F230">
            <v>113.60780872565934</v>
          </cell>
          <cell r="H230">
            <v>11.85</v>
          </cell>
        </row>
        <row r="231">
          <cell r="A231">
            <v>40468</v>
          </cell>
          <cell r="B231">
            <v>12.410142</v>
          </cell>
          <cell r="C231">
            <v>43210.02</v>
          </cell>
          <cell r="E231">
            <v>142.6806032940562</v>
          </cell>
          <cell r="F231">
            <v>113.60780872565934</v>
          </cell>
          <cell r="H231">
            <v>11.85</v>
          </cell>
        </row>
        <row r="232">
          <cell r="A232">
            <v>40469</v>
          </cell>
          <cell r="B232">
            <v>12.504142999999999</v>
          </cell>
          <cell r="C232">
            <v>43228.495999999999</v>
          </cell>
          <cell r="E232">
            <v>143.76134188594693</v>
          </cell>
          <cell r="F232">
            <v>113.65638583518198</v>
          </cell>
          <cell r="H232">
            <v>11.84</v>
          </cell>
        </row>
      </sheetData>
      <sheetData sheetId="3">
        <row r="1">
          <cell r="B1" t="str">
            <v>AGRO3-BR</v>
          </cell>
          <cell r="C1">
            <v>180264</v>
          </cell>
          <cell r="D1" t="str">
            <v>USDBRL</v>
          </cell>
          <cell r="F1" t="str">
            <v>AGRO3 (base 100)</v>
          </cell>
          <cell r="G1" t="str">
            <v>Ibovespa (base 100)</v>
          </cell>
          <cell r="I1" t="str">
            <v>Soybean (USD/bu)</v>
          </cell>
        </row>
        <row r="2">
          <cell r="A2">
            <v>40239</v>
          </cell>
          <cell r="B2">
            <v>9.25</v>
          </cell>
          <cell r="C2">
            <v>67779.16</v>
          </cell>
          <cell r="D2">
            <v>1.7820499999999999</v>
          </cell>
          <cell r="F2">
            <v>100</v>
          </cell>
          <cell r="G2">
            <v>100</v>
          </cell>
          <cell r="I2">
            <v>9.5425000000000004</v>
          </cell>
        </row>
        <row r="3">
          <cell r="A3">
            <v>40240</v>
          </cell>
          <cell r="B3">
            <v>9.25</v>
          </cell>
          <cell r="C3">
            <v>67641.34</v>
          </cell>
          <cell r="D3">
            <v>1.7785</v>
          </cell>
          <cell r="F3">
            <v>100</v>
          </cell>
          <cell r="G3">
            <v>99.796663163131555</v>
          </cell>
          <cell r="I3">
            <v>9.5449999999999999</v>
          </cell>
        </row>
        <row r="4">
          <cell r="A4">
            <v>40241</v>
          </cell>
          <cell r="B4">
            <v>9.4</v>
          </cell>
          <cell r="C4">
            <v>67814.710000000006</v>
          </cell>
          <cell r="D4">
            <v>1.7904500000000001</v>
          </cell>
          <cell r="F4">
            <v>101.62162162162163</v>
          </cell>
          <cell r="G4">
            <v>100.05244975004118</v>
          </cell>
          <cell r="I4">
            <v>9.3249999999999993</v>
          </cell>
        </row>
        <row r="5">
          <cell r="A5">
            <v>40242</v>
          </cell>
          <cell r="B5">
            <v>9.5</v>
          </cell>
          <cell r="C5">
            <v>68846.5</v>
          </cell>
          <cell r="D5">
            <v>1.7779499999999999</v>
          </cell>
          <cell r="F5">
            <v>102.70270270270269</v>
          </cell>
          <cell r="G5">
            <v>101.57473182022321</v>
          </cell>
          <cell r="I5">
            <v>9.3475000000000001</v>
          </cell>
        </row>
        <row r="6">
          <cell r="A6">
            <v>40243</v>
          </cell>
          <cell r="B6">
            <v>9.5</v>
          </cell>
          <cell r="C6">
            <v>68846.5</v>
          </cell>
          <cell r="D6">
            <v>1.7779499999999999</v>
          </cell>
          <cell r="F6">
            <v>102.70270270270269</v>
          </cell>
          <cell r="G6">
            <v>101.57473182022321</v>
          </cell>
          <cell r="I6">
            <v>9.3475000000000001</v>
          </cell>
        </row>
        <row r="7">
          <cell r="A7">
            <v>40244</v>
          </cell>
          <cell r="B7">
            <v>9.5</v>
          </cell>
          <cell r="C7">
            <v>68846.5</v>
          </cell>
          <cell r="D7">
            <v>1.7779499999999999</v>
          </cell>
          <cell r="F7">
            <v>102.70270270270269</v>
          </cell>
          <cell r="G7">
            <v>101.57473182022321</v>
          </cell>
          <cell r="I7">
            <v>9.3475000000000001</v>
          </cell>
        </row>
        <row r="8">
          <cell r="A8">
            <v>40245</v>
          </cell>
          <cell r="B8">
            <v>9.4</v>
          </cell>
          <cell r="C8">
            <v>68575.47</v>
          </cell>
          <cell r="D8">
            <v>1.7879499999999999</v>
          </cell>
          <cell r="F8">
            <v>101.62162162162163</v>
          </cell>
          <cell r="G8">
            <v>101.17485964712456</v>
          </cell>
          <cell r="I8">
            <v>9.4049999999999994</v>
          </cell>
        </row>
        <row r="9">
          <cell r="A9">
            <v>40246</v>
          </cell>
          <cell r="B9">
            <v>9.3000000000000007</v>
          </cell>
          <cell r="C9">
            <v>69576.38</v>
          </cell>
          <cell r="D9">
            <v>1.7927999999999999</v>
          </cell>
          <cell r="F9">
            <v>100.54054054054056</v>
          </cell>
          <cell r="G9">
            <v>102.65158199068858</v>
          </cell>
          <cell r="I9">
            <v>9.4149999999999991</v>
          </cell>
        </row>
        <row r="10">
          <cell r="A10">
            <v>40247</v>
          </cell>
          <cell r="B10">
            <v>9.1999999999999993</v>
          </cell>
          <cell r="C10">
            <v>69979.28</v>
          </cell>
          <cell r="D10">
            <v>1.7675000000000001</v>
          </cell>
          <cell r="F10">
            <v>99.459459459459453</v>
          </cell>
          <cell r="G10">
            <v>103.24601249115508</v>
          </cell>
          <cell r="I10">
            <v>9.52</v>
          </cell>
        </row>
        <row r="11">
          <cell r="A11">
            <v>40248</v>
          </cell>
          <cell r="B11">
            <v>9.2100000000000009</v>
          </cell>
          <cell r="C11">
            <v>69884.61</v>
          </cell>
          <cell r="D11">
            <v>1.7692000000000001</v>
          </cell>
          <cell r="F11">
            <v>99.567567567567579</v>
          </cell>
          <cell r="G11">
            <v>103.10633829041255</v>
          </cell>
          <cell r="I11">
            <v>9.2550000000000008</v>
          </cell>
        </row>
        <row r="12">
          <cell r="A12">
            <v>40249</v>
          </cell>
          <cell r="B12">
            <v>9.2100000000000009</v>
          </cell>
          <cell r="C12">
            <v>69341.38</v>
          </cell>
          <cell r="D12">
            <v>1.7661</v>
          </cell>
          <cell r="F12">
            <v>99.567567567567579</v>
          </cell>
          <cell r="G12">
            <v>102.30486774991014</v>
          </cell>
          <cell r="I12">
            <v>9.26</v>
          </cell>
        </row>
        <row r="13">
          <cell r="A13">
            <v>40250</v>
          </cell>
          <cell r="B13">
            <v>9.2100000000000009</v>
          </cell>
          <cell r="C13">
            <v>69341.38</v>
          </cell>
          <cell r="D13">
            <v>1.7661</v>
          </cell>
          <cell r="F13">
            <v>99.567567567567579</v>
          </cell>
          <cell r="G13">
            <v>102.30486774991014</v>
          </cell>
          <cell r="I13">
            <v>9.26</v>
          </cell>
        </row>
        <row r="14">
          <cell r="A14">
            <v>40251</v>
          </cell>
          <cell r="B14">
            <v>9.2100000000000009</v>
          </cell>
          <cell r="C14">
            <v>69341.38</v>
          </cell>
          <cell r="D14">
            <v>1.7661</v>
          </cell>
          <cell r="F14">
            <v>99.567567567567579</v>
          </cell>
          <cell r="G14">
            <v>102.30486774991014</v>
          </cell>
          <cell r="I14">
            <v>9.26</v>
          </cell>
        </row>
        <row r="15">
          <cell r="A15">
            <v>40252</v>
          </cell>
          <cell r="B15">
            <v>9.15</v>
          </cell>
          <cell r="C15">
            <v>69023.75</v>
          </cell>
          <cell r="D15">
            <v>1.7669999999999999</v>
          </cell>
          <cell r="F15">
            <v>98.918918918918919</v>
          </cell>
          <cell r="G15">
            <v>101.83624288055502</v>
          </cell>
          <cell r="I15">
            <v>9.3000000000000007</v>
          </cell>
        </row>
        <row r="16">
          <cell r="A16">
            <v>40253</v>
          </cell>
          <cell r="B16">
            <v>9.25</v>
          </cell>
          <cell r="C16">
            <v>69942.210000000006</v>
          </cell>
          <cell r="D16">
            <v>1.7621500000000001</v>
          </cell>
          <cell r="F16">
            <v>100</v>
          </cell>
          <cell r="G16">
            <v>103.19132016389699</v>
          </cell>
          <cell r="I16">
            <v>9.4499999999999993</v>
          </cell>
        </row>
        <row r="17">
          <cell r="A17">
            <v>40254</v>
          </cell>
          <cell r="B17">
            <v>9.25</v>
          </cell>
          <cell r="C17">
            <v>69723.240000000005</v>
          </cell>
          <cell r="D17">
            <v>1.7656499999999999</v>
          </cell>
          <cell r="F17">
            <v>100</v>
          </cell>
          <cell r="G17">
            <v>102.86825626047889</v>
          </cell>
          <cell r="I17">
            <v>9.59</v>
          </cell>
        </row>
        <row r="18">
          <cell r="A18">
            <v>40255</v>
          </cell>
          <cell r="B18">
            <v>9.17</v>
          </cell>
          <cell r="C18">
            <v>69697.33</v>
          </cell>
          <cell r="D18">
            <v>1.78975</v>
          </cell>
          <cell r="F18">
            <v>99.13513513513513</v>
          </cell>
          <cell r="G18">
            <v>102.83002917120838</v>
          </cell>
          <cell r="I18">
            <v>9.5950000000000006</v>
          </cell>
        </row>
        <row r="19">
          <cell r="A19">
            <v>40256</v>
          </cell>
          <cell r="B19">
            <v>9</v>
          </cell>
          <cell r="C19">
            <v>68828.98</v>
          </cell>
          <cell r="D19">
            <v>1.7983499999999999</v>
          </cell>
          <cell r="F19">
            <v>97.297297297297305</v>
          </cell>
          <cell r="G19">
            <v>101.54888316703835</v>
          </cell>
          <cell r="I19">
            <v>9.6174999999999997</v>
          </cell>
        </row>
        <row r="20">
          <cell r="A20">
            <v>40257</v>
          </cell>
          <cell r="B20">
            <v>9</v>
          </cell>
          <cell r="C20">
            <v>68828.98</v>
          </cell>
          <cell r="D20">
            <v>1.7983499999999999</v>
          </cell>
          <cell r="F20">
            <v>97.297297297297305</v>
          </cell>
          <cell r="G20">
            <v>101.54888316703835</v>
          </cell>
          <cell r="I20">
            <v>9.6174999999999997</v>
          </cell>
        </row>
        <row r="21">
          <cell r="A21">
            <v>40258</v>
          </cell>
          <cell r="B21">
            <v>9</v>
          </cell>
          <cell r="C21">
            <v>68828.98</v>
          </cell>
          <cell r="D21">
            <v>1.7983499999999999</v>
          </cell>
          <cell r="F21">
            <v>97.297297297297305</v>
          </cell>
          <cell r="G21">
            <v>101.54888316703835</v>
          </cell>
          <cell r="I21">
            <v>9.6174999999999997</v>
          </cell>
        </row>
        <row r="22">
          <cell r="A22">
            <v>40259</v>
          </cell>
          <cell r="B22">
            <v>8.7899999999999991</v>
          </cell>
          <cell r="C22">
            <v>69041.73</v>
          </cell>
          <cell r="D22">
            <v>1.8027</v>
          </cell>
          <cell r="F22">
            <v>95.027027027027017</v>
          </cell>
          <cell r="G22">
            <v>101.86277020842394</v>
          </cell>
          <cell r="I22">
            <v>9.6850000000000005</v>
          </cell>
        </row>
        <row r="23">
          <cell r="A23">
            <v>40260</v>
          </cell>
          <cell r="B23">
            <v>8.8000000000000007</v>
          </cell>
          <cell r="C23">
            <v>69386.720000000001</v>
          </cell>
          <cell r="D23">
            <v>1.78295</v>
          </cell>
          <cell r="F23">
            <v>95.135135135135144</v>
          </cell>
          <cell r="G23">
            <v>102.37176146768417</v>
          </cell>
          <cell r="I23">
            <v>9.68</v>
          </cell>
        </row>
        <row r="24">
          <cell r="A24">
            <v>40261</v>
          </cell>
          <cell r="B24">
            <v>8.8000000000000007</v>
          </cell>
          <cell r="C24">
            <v>68913.399999999994</v>
          </cell>
          <cell r="D24">
            <v>1.7886</v>
          </cell>
          <cell r="F24">
            <v>95.135135135135144</v>
          </cell>
          <cell r="G24">
            <v>101.67343472536395</v>
          </cell>
          <cell r="I24">
            <v>9.6</v>
          </cell>
        </row>
        <row r="25">
          <cell r="A25">
            <v>40262</v>
          </cell>
          <cell r="B25">
            <v>8.8000000000000007</v>
          </cell>
          <cell r="C25">
            <v>68441.66</v>
          </cell>
          <cell r="D25">
            <v>1.8047</v>
          </cell>
          <cell r="F25">
            <v>95.135135135135144</v>
          </cell>
          <cell r="G25">
            <v>100.9774390830456</v>
          </cell>
          <cell r="I25">
            <v>9.4250000000000007</v>
          </cell>
        </row>
        <row r="26">
          <cell r="A26">
            <v>40263</v>
          </cell>
          <cell r="B26">
            <v>8.7200000000000006</v>
          </cell>
          <cell r="C26">
            <v>68682.66</v>
          </cell>
          <cell r="D26">
            <v>1.8210999999999999</v>
          </cell>
          <cell r="F26">
            <v>94.270270270270274</v>
          </cell>
          <cell r="G26">
            <v>101.33300560231197</v>
          </cell>
          <cell r="I26">
            <v>9.52</v>
          </cell>
        </row>
        <row r="27">
          <cell r="A27">
            <v>40264</v>
          </cell>
          <cell r="B27">
            <v>8.7200000000000006</v>
          </cell>
          <cell r="C27">
            <v>68682.66</v>
          </cell>
          <cell r="D27">
            <v>1.8210999999999999</v>
          </cell>
          <cell r="F27">
            <v>94.270270270270274</v>
          </cell>
          <cell r="G27">
            <v>101.33300560231197</v>
          </cell>
          <cell r="I27">
            <v>9.52</v>
          </cell>
        </row>
        <row r="28">
          <cell r="A28">
            <v>40265</v>
          </cell>
          <cell r="B28">
            <v>8.7200000000000006</v>
          </cell>
          <cell r="C28">
            <v>68682.66</v>
          </cell>
          <cell r="D28">
            <v>1.8210999999999999</v>
          </cell>
          <cell r="F28">
            <v>94.270270270270274</v>
          </cell>
          <cell r="G28">
            <v>101.33300560231197</v>
          </cell>
          <cell r="I28">
            <v>9.52</v>
          </cell>
        </row>
        <row r="29">
          <cell r="A29">
            <v>40266</v>
          </cell>
          <cell r="B29">
            <v>9</v>
          </cell>
          <cell r="C29">
            <v>69939.12</v>
          </cell>
          <cell r="D29">
            <v>1.80975</v>
          </cell>
          <cell r="F29">
            <v>97.297297297297305</v>
          </cell>
          <cell r="G29">
            <v>103.18676124047568</v>
          </cell>
          <cell r="I29">
            <v>9.6750000000000007</v>
          </cell>
        </row>
        <row r="30">
          <cell r="A30">
            <v>40267</v>
          </cell>
          <cell r="B30">
            <v>8.81</v>
          </cell>
          <cell r="C30">
            <v>69959.58</v>
          </cell>
          <cell r="D30">
            <v>1.79495</v>
          </cell>
          <cell r="F30">
            <v>95.243243243243242</v>
          </cell>
          <cell r="G30">
            <v>103.21694751011962</v>
          </cell>
          <cell r="I30">
            <v>9.74</v>
          </cell>
        </row>
        <row r="31">
          <cell r="A31">
            <v>40268</v>
          </cell>
          <cell r="B31">
            <v>8.8000000000000007</v>
          </cell>
          <cell r="C31">
            <v>70371.539999999994</v>
          </cell>
          <cell r="D31">
            <v>1.7847</v>
          </cell>
          <cell r="F31">
            <v>95.135135135135144</v>
          </cell>
          <cell r="G31">
            <v>103.82474495110294</v>
          </cell>
          <cell r="I31">
            <v>9.41</v>
          </cell>
        </row>
        <row r="32">
          <cell r="A32">
            <v>40269</v>
          </cell>
          <cell r="B32">
            <v>8.5</v>
          </cell>
          <cell r="C32">
            <v>71136.34</v>
          </cell>
          <cell r="D32">
            <v>1.76905</v>
          </cell>
          <cell r="F32">
            <v>91.891891891891902</v>
          </cell>
          <cell r="G32">
            <v>104.95311538236827</v>
          </cell>
          <cell r="I32">
            <v>9.42</v>
          </cell>
        </row>
        <row r="33">
          <cell r="A33">
            <v>40270</v>
          </cell>
          <cell r="B33">
            <v>8.5</v>
          </cell>
          <cell r="C33">
            <v>71136.34</v>
          </cell>
          <cell r="D33">
            <v>1.76905</v>
          </cell>
          <cell r="F33">
            <v>91.891891891891902</v>
          </cell>
          <cell r="G33">
            <v>104.95311538236827</v>
          </cell>
          <cell r="I33">
            <v>9.42</v>
          </cell>
        </row>
        <row r="34">
          <cell r="A34">
            <v>40271</v>
          </cell>
          <cell r="B34">
            <v>8.5</v>
          </cell>
          <cell r="C34">
            <v>71136.34</v>
          </cell>
          <cell r="D34">
            <v>1.76905</v>
          </cell>
          <cell r="F34">
            <v>91.891891891891902</v>
          </cell>
          <cell r="G34">
            <v>104.95311538236827</v>
          </cell>
          <cell r="I34">
            <v>9.42</v>
          </cell>
        </row>
        <row r="35">
          <cell r="A35">
            <v>40272</v>
          </cell>
          <cell r="B35">
            <v>8.5</v>
          </cell>
          <cell r="C35">
            <v>71136.34</v>
          </cell>
          <cell r="D35">
            <v>1.76905</v>
          </cell>
          <cell r="F35">
            <v>91.891891891891902</v>
          </cell>
          <cell r="G35">
            <v>104.95311538236827</v>
          </cell>
          <cell r="I35">
            <v>9.42</v>
          </cell>
        </row>
        <row r="36">
          <cell r="A36">
            <v>40273</v>
          </cell>
          <cell r="B36">
            <v>8.5</v>
          </cell>
          <cell r="C36">
            <v>71289.679999999993</v>
          </cell>
          <cell r="D36">
            <v>1.75925</v>
          </cell>
          <cell r="F36">
            <v>91.891891891891902</v>
          </cell>
          <cell r="G36">
            <v>105.17935011292553</v>
          </cell>
          <cell r="I36">
            <v>9.36</v>
          </cell>
        </row>
        <row r="37">
          <cell r="A37">
            <v>40274</v>
          </cell>
          <cell r="B37">
            <v>8.6999999999999993</v>
          </cell>
          <cell r="C37">
            <v>71095.649999999994</v>
          </cell>
          <cell r="D37">
            <v>1.7604</v>
          </cell>
          <cell r="F37">
            <v>94.054054054054049</v>
          </cell>
          <cell r="G37">
            <v>104.89308218042241</v>
          </cell>
          <cell r="I37">
            <v>9.4450000000000003</v>
          </cell>
        </row>
        <row r="38">
          <cell r="A38">
            <v>40275</v>
          </cell>
          <cell r="B38">
            <v>8.6999999999999993</v>
          </cell>
          <cell r="C38">
            <v>70792.94</v>
          </cell>
          <cell r="D38">
            <v>1.7637499999999999</v>
          </cell>
          <cell r="F38">
            <v>94.054054054054049</v>
          </cell>
          <cell r="G38">
            <v>104.44646997690737</v>
          </cell>
          <cell r="I38">
            <v>9.5250000000000004</v>
          </cell>
        </row>
        <row r="39">
          <cell r="A39">
            <v>40276</v>
          </cell>
          <cell r="B39">
            <v>8.6999999999999993</v>
          </cell>
          <cell r="C39">
            <v>71784.78</v>
          </cell>
          <cell r="D39">
            <v>1.7839499999999999</v>
          </cell>
          <cell r="F39">
            <v>94.054054054054049</v>
          </cell>
          <cell r="G39">
            <v>105.90981062615705</v>
          </cell>
          <cell r="I39">
            <v>9.4649999999999999</v>
          </cell>
        </row>
        <row r="40">
          <cell r="A40">
            <v>40277</v>
          </cell>
          <cell r="B40">
            <v>8.42</v>
          </cell>
          <cell r="C40">
            <v>71417.27</v>
          </cell>
          <cell r="D40">
            <v>1.7742</v>
          </cell>
          <cell r="F40">
            <v>91.027027027027032</v>
          </cell>
          <cell r="G40">
            <v>105.36759381497203</v>
          </cell>
          <cell r="I40">
            <v>9.5225000000000009</v>
          </cell>
        </row>
        <row r="41">
          <cell r="A41">
            <v>40278</v>
          </cell>
          <cell r="B41">
            <v>8.42</v>
          </cell>
          <cell r="C41">
            <v>71417.27</v>
          </cell>
          <cell r="D41">
            <v>1.7742</v>
          </cell>
          <cell r="F41">
            <v>91.027027027027032</v>
          </cell>
          <cell r="G41">
            <v>105.36759381497203</v>
          </cell>
          <cell r="I41">
            <v>9.5225000000000009</v>
          </cell>
        </row>
        <row r="42">
          <cell r="A42">
            <v>40279</v>
          </cell>
          <cell r="B42">
            <v>8.42</v>
          </cell>
          <cell r="C42">
            <v>71417.27</v>
          </cell>
          <cell r="D42">
            <v>1.7742</v>
          </cell>
          <cell r="F42">
            <v>91.027027027027032</v>
          </cell>
          <cell r="G42">
            <v>105.36759381497203</v>
          </cell>
          <cell r="I42">
            <v>9.5225000000000009</v>
          </cell>
        </row>
        <row r="43">
          <cell r="A43">
            <v>40280</v>
          </cell>
          <cell r="B43">
            <v>8.65</v>
          </cell>
          <cell r="C43">
            <v>70614.36</v>
          </cell>
          <cell r="D43">
            <v>1.75875</v>
          </cell>
          <cell r="F43">
            <v>93.513513513513516</v>
          </cell>
          <cell r="G43">
            <v>104.1829966615107</v>
          </cell>
          <cell r="I43">
            <v>9.6</v>
          </cell>
        </row>
        <row r="44">
          <cell r="A44">
            <v>40281</v>
          </cell>
          <cell r="B44">
            <v>8.65</v>
          </cell>
          <cell r="C44">
            <v>70792.399999999994</v>
          </cell>
          <cell r="D44">
            <v>1.7659</v>
          </cell>
          <cell r="F44">
            <v>93.513513513513516</v>
          </cell>
          <cell r="G44">
            <v>104.44567327184342</v>
          </cell>
          <cell r="I44">
            <v>9.68</v>
          </cell>
        </row>
        <row r="45">
          <cell r="A45">
            <v>40282</v>
          </cell>
          <cell r="B45">
            <v>8.65</v>
          </cell>
          <cell r="C45">
            <v>71034.850000000006</v>
          </cell>
          <cell r="D45">
            <v>1.74275</v>
          </cell>
          <cell r="F45">
            <v>93.513513513513516</v>
          </cell>
          <cell r="G45">
            <v>104.80337909174442</v>
          </cell>
          <cell r="I45">
            <v>9.69</v>
          </cell>
        </row>
        <row r="46">
          <cell r="A46">
            <v>40283</v>
          </cell>
          <cell r="B46">
            <v>8.66</v>
          </cell>
          <cell r="C46">
            <v>70524.350000000006</v>
          </cell>
          <cell r="D46">
            <v>1.74</v>
          </cell>
          <cell r="F46">
            <v>93.621621621621614</v>
          </cell>
          <cell r="G46">
            <v>104.05019773039383</v>
          </cell>
          <cell r="I46">
            <v>9.84</v>
          </cell>
        </row>
        <row r="47">
          <cell r="A47">
            <v>40284</v>
          </cell>
          <cell r="B47">
            <v>8.75</v>
          </cell>
          <cell r="C47">
            <v>69421.350000000006</v>
          </cell>
          <cell r="D47">
            <v>1.7518</v>
          </cell>
          <cell r="F47">
            <v>94.594594594594597</v>
          </cell>
          <cell r="G47">
            <v>102.42285386835719</v>
          </cell>
          <cell r="I47">
            <v>9.8524999999999991</v>
          </cell>
        </row>
        <row r="48">
          <cell r="A48">
            <v>40285</v>
          </cell>
          <cell r="B48">
            <v>8.75</v>
          </cell>
          <cell r="C48">
            <v>69421.350000000006</v>
          </cell>
          <cell r="D48">
            <v>1.7518</v>
          </cell>
          <cell r="F48">
            <v>94.594594594594597</v>
          </cell>
          <cell r="G48">
            <v>102.42285386835719</v>
          </cell>
          <cell r="I48">
            <v>9.8524999999999991</v>
          </cell>
        </row>
        <row r="49">
          <cell r="A49">
            <v>40286</v>
          </cell>
          <cell r="B49">
            <v>8.75</v>
          </cell>
          <cell r="C49">
            <v>69421.350000000006</v>
          </cell>
          <cell r="D49">
            <v>1.7518</v>
          </cell>
          <cell r="F49">
            <v>94.594594594594597</v>
          </cell>
          <cell r="G49">
            <v>102.42285386835719</v>
          </cell>
          <cell r="I49">
            <v>9.8524999999999991</v>
          </cell>
        </row>
        <row r="50">
          <cell r="A50">
            <v>40287</v>
          </cell>
          <cell r="B50">
            <v>8.6999999999999993</v>
          </cell>
          <cell r="C50">
            <v>69097.58</v>
          </cell>
          <cell r="D50">
            <v>1.7575499999999999</v>
          </cell>
          <cell r="F50">
            <v>94.054054054054049</v>
          </cell>
          <cell r="G50">
            <v>101.94517016734936</v>
          </cell>
          <cell r="I50">
            <v>9.7675000000000001</v>
          </cell>
        </row>
        <row r="51">
          <cell r="A51">
            <v>40288</v>
          </cell>
          <cell r="B51">
            <v>8.6999999999999993</v>
          </cell>
          <cell r="C51">
            <v>69318.44</v>
          </cell>
          <cell r="D51">
            <v>1.7511000000000001</v>
          </cell>
          <cell r="F51">
            <v>94.054054054054049</v>
          </cell>
          <cell r="G51">
            <v>102.27102253849118</v>
          </cell>
          <cell r="I51">
            <v>9.84</v>
          </cell>
        </row>
        <row r="52">
          <cell r="A52">
            <v>40289</v>
          </cell>
          <cell r="B52">
            <v>8.6999999999999993</v>
          </cell>
          <cell r="C52">
            <v>69318.44</v>
          </cell>
          <cell r="D52">
            <v>1.7511000000000001</v>
          </cell>
          <cell r="F52">
            <v>94.054054054054049</v>
          </cell>
          <cell r="G52">
            <v>102.27102253849118</v>
          </cell>
          <cell r="I52">
            <v>9.9550000000000001</v>
          </cell>
        </row>
        <row r="53">
          <cell r="A53">
            <v>40290</v>
          </cell>
          <cell r="B53">
            <v>9</v>
          </cell>
          <cell r="C53">
            <v>69386.41</v>
          </cell>
          <cell r="D53">
            <v>1.7662500000000001</v>
          </cell>
          <cell r="F53">
            <v>97.297297297297305</v>
          </cell>
          <cell r="G53">
            <v>102.37130409996229</v>
          </cell>
          <cell r="I53">
            <v>10.0425</v>
          </cell>
        </row>
        <row r="54">
          <cell r="A54">
            <v>40291</v>
          </cell>
          <cell r="B54">
            <v>8.92</v>
          </cell>
          <cell r="C54">
            <v>69509.490000000005</v>
          </cell>
          <cell r="D54">
            <v>1.7623</v>
          </cell>
          <cell r="F54">
            <v>96.432432432432435</v>
          </cell>
          <cell r="G54">
            <v>102.55289383934532</v>
          </cell>
          <cell r="I54">
            <v>10</v>
          </cell>
        </row>
        <row r="55">
          <cell r="A55">
            <v>40292</v>
          </cell>
          <cell r="B55">
            <v>8.92</v>
          </cell>
          <cell r="C55">
            <v>69509.490000000005</v>
          </cell>
          <cell r="D55">
            <v>1.7623</v>
          </cell>
          <cell r="F55">
            <v>96.432432432432435</v>
          </cell>
          <cell r="G55">
            <v>102.55289383934532</v>
          </cell>
          <cell r="I55">
            <v>10</v>
          </cell>
        </row>
        <row r="56">
          <cell r="A56">
            <v>40293</v>
          </cell>
          <cell r="B56">
            <v>8.92</v>
          </cell>
          <cell r="C56">
            <v>69509.490000000005</v>
          </cell>
          <cell r="D56">
            <v>1.7623</v>
          </cell>
          <cell r="F56">
            <v>96.432432432432435</v>
          </cell>
          <cell r="G56">
            <v>102.55289383934532</v>
          </cell>
          <cell r="I56">
            <v>10</v>
          </cell>
        </row>
        <row r="57">
          <cell r="A57">
            <v>40294</v>
          </cell>
          <cell r="B57">
            <v>9.1</v>
          </cell>
          <cell r="C57">
            <v>68871.94</v>
          </cell>
          <cell r="D57">
            <v>1.7442500000000001</v>
          </cell>
          <cell r="F57">
            <v>98.378378378378372</v>
          </cell>
          <cell r="G57">
            <v>101.61226548101216</v>
          </cell>
          <cell r="I57">
            <v>9.9875000000000007</v>
          </cell>
        </row>
        <row r="58">
          <cell r="A58">
            <v>40295</v>
          </cell>
          <cell r="B58">
            <v>9.1</v>
          </cell>
          <cell r="C58">
            <v>66511.100000000006</v>
          </cell>
          <cell r="D58">
            <v>1.7515000000000001</v>
          </cell>
          <cell r="F58">
            <v>98.378378378378372</v>
          </cell>
          <cell r="G58">
            <v>98.12912995675957</v>
          </cell>
          <cell r="I58">
            <v>9.8275000000000006</v>
          </cell>
        </row>
        <row r="59">
          <cell r="A59">
            <v>40296</v>
          </cell>
          <cell r="B59">
            <v>9.1</v>
          </cell>
          <cell r="C59">
            <v>66655.710000000006</v>
          </cell>
          <cell r="D59">
            <v>1.7576499999999999</v>
          </cell>
          <cell r="F59">
            <v>98.378378378378372</v>
          </cell>
          <cell r="G59">
            <v>98.342484622116885</v>
          </cell>
          <cell r="I59">
            <v>9.8275000000000006</v>
          </cell>
        </row>
        <row r="60">
          <cell r="A60">
            <v>40297</v>
          </cell>
          <cell r="B60">
            <v>9.1</v>
          </cell>
          <cell r="C60">
            <v>67978.05</v>
          </cell>
          <cell r="D60">
            <v>1.7309000000000001</v>
          </cell>
          <cell r="F60">
            <v>98.378378378378372</v>
          </cell>
          <cell r="G60">
            <v>100.2934382780784</v>
          </cell>
          <cell r="I60">
            <v>9.8574999999999999</v>
          </cell>
        </row>
        <row r="61">
          <cell r="A61">
            <v>40298</v>
          </cell>
          <cell r="B61">
            <v>9.19</v>
          </cell>
          <cell r="C61">
            <v>67529.73</v>
          </cell>
          <cell r="D61">
            <v>1.73075</v>
          </cell>
          <cell r="F61">
            <v>99.35135135135134</v>
          </cell>
          <cell r="G61">
            <v>99.631996029458008</v>
          </cell>
          <cell r="I61">
            <v>9.8949999999999996</v>
          </cell>
        </row>
        <row r="62">
          <cell r="A62">
            <v>40299</v>
          </cell>
          <cell r="B62">
            <v>9.19</v>
          </cell>
          <cell r="C62">
            <v>67529.73</v>
          </cell>
          <cell r="D62">
            <v>1.73075</v>
          </cell>
          <cell r="F62">
            <v>99.35135135135134</v>
          </cell>
          <cell r="G62">
            <v>99.631996029458008</v>
          </cell>
          <cell r="I62">
            <v>9.8949999999999996</v>
          </cell>
        </row>
        <row r="63">
          <cell r="A63">
            <v>40300</v>
          </cell>
          <cell r="B63">
            <v>9.19</v>
          </cell>
          <cell r="C63">
            <v>67529.73</v>
          </cell>
          <cell r="D63">
            <v>1.73075</v>
          </cell>
          <cell r="F63">
            <v>99.35135135135134</v>
          </cell>
          <cell r="G63">
            <v>99.631996029458008</v>
          </cell>
          <cell r="I63">
            <v>9.8949999999999996</v>
          </cell>
        </row>
        <row r="64">
          <cell r="A64">
            <v>40301</v>
          </cell>
          <cell r="B64">
            <v>9.19</v>
          </cell>
          <cell r="C64">
            <v>67119.41</v>
          </cell>
          <cell r="D64">
            <v>1.7344999999999999</v>
          </cell>
          <cell r="F64">
            <v>99.35135135135134</v>
          </cell>
          <cell r="G64">
            <v>99.026618211261393</v>
          </cell>
          <cell r="I64">
            <v>9.7575000000000003</v>
          </cell>
        </row>
        <row r="65">
          <cell r="A65">
            <v>40302</v>
          </cell>
          <cell r="B65">
            <v>8.5</v>
          </cell>
          <cell r="C65">
            <v>64869.32</v>
          </cell>
          <cell r="D65">
            <v>1.7555000000000001</v>
          </cell>
          <cell r="F65">
            <v>91.891891891891902</v>
          </cell>
          <cell r="G65">
            <v>95.706880994099066</v>
          </cell>
          <cell r="I65">
            <v>9.77</v>
          </cell>
        </row>
        <row r="66">
          <cell r="A66">
            <v>40303</v>
          </cell>
          <cell r="B66">
            <v>8.5</v>
          </cell>
          <cell r="C66">
            <v>64914.17</v>
          </cell>
          <cell r="D66">
            <v>1.7878499999999999</v>
          </cell>
          <cell r="F66">
            <v>91.891891891891902</v>
          </cell>
          <cell r="G66">
            <v>95.773051775796574</v>
          </cell>
          <cell r="I66">
            <v>9.6824999999999992</v>
          </cell>
        </row>
        <row r="67">
          <cell r="A67">
            <v>40304</v>
          </cell>
          <cell r="B67">
            <v>8.5</v>
          </cell>
          <cell r="C67">
            <v>63414.22</v>
          </cell>
          <cell r="D67">
            <v>1.8084499999999999</v>
          </cell>
          <cell r="F67">
            <v>91.891891891891902</v>
          </cell>
          <cell r="G67">
            <v>93.560055922793964</v>
          </cell>
          <cell r="I67">
            <v>9.4550000000000001</v>
          </cell>
        </row>
        <row r="68">
          <cell r="A68">
            <v>40305</v>
          </cell>
          <cell r="B68">
            <v>8.49</v>
          </cell>
          <cell r="C68">
            <v>62870.879999999997</v>
          </cell>
          <cell r="D68">
            <v>1.84975</v>
          </cell>
          <cell r="F68">
            <v>91.78378378378379</v>
          </cell>
          <cell r="G68">
            <v>92.758423090519258</v>
          </cell>
          <cell r="I68">
            <v>9.5124999999999993</v>
          </cell>
        </row>
        <row r="69">
          <cell r="A69">
            <v>40306</v>
          </cell>
          <cell r="B69">
            <v>8.49</v>
          </cell>
          <cell r="C69">
            <v>62870.879999999997</v>
          </cell>
          <cell r="D69">
            <v>1.84975</v>
          </cell>
          <cell r="F69">
            <v>91.78378378378379</v>
          </cell>
          <cell r="G69">
            <v>92.758423090519258</v>
          </cell>
          <cell r="I69">
            <v>9.5124999999999993</v>
          </cell>
        </row>
        <row r="70">
          <cell r="A70">
            <v>40307</v>
          </cell>
          <cell r="B70">
            <v>8.49</v>
          </cell>
          <cell r="C70">
            <v>62870.879999999997</v>
          </cell>
          <cell r="D70">
            <v>1.84975</v>
          </cell>
          <cell r="F70">
            <v>91.78378378378379</v>
          </cell>
          <cell r="G70">
            <v>92.758423090519258</v>
          </cell>
          <cell r="I70">
            <v>9.5124999999999993</v>
          </cell>
        </row>
        <row r="71">
          <cell r="A71">
            <v>40308</v>
          </cell>
          <cell r="B71">
            <v>8.49</v>
          </cell>
          <cell r="C71">
            <v>65452.68</v>
          </cell>
          <cell r="D71">
            <v>1.7876000000000001</v>
          </cell>
          <cell r="F71">
            <v>91.78378378378379</v>
          </cell>
          <cell r="G71">
            <v>96.567558523888465</v>
          </cell>
          <cell r="I71">
            <v>9.5274999999999999</v>
          </cell>
        </row>
        <row r="72">
          <cell r="A72">
            <v>40309</v>
          </cell>
          <cell r="B72">
            <v>8.49</v>
          </cell>
          <cell r="C72">
            <v>64424.89</v>
          </cell>
          <cell r="D72">
            <v>1.78285</v>
          </cell>
          <cell r="F72">
            <v>91.78378378378379</v>
          </cell>
          <cell r="G72">
            <v>95.051177972698383</v>
          </cell>
          <cell r="I72">
            <v>9.5824999999999996</v>
          </cell>
        </row>
        <row r="73">
          <cell r="A73">
            <v>40310</v>
          </cell>
          <cell r="B73">
            <v>8.49</v>
          </cell>
          <cell r="C73">
            <v>65223.63</v>
          </cell>
          <cell r="D73">
            <v>1.77155</v>
          </cell>
          <cell r="F73">
            <v>91.78378378378379</v>
          </cell>
          <cell r="G73">
            <v>96.229622792610584</v>
          </cell>
          <cell r="I73">
            <v>9.5950000000000006</v>
          </cell>
        </row>
        <row r="74">
          <cell r="A74">
            <v>40311</v>
          </cell>
          <cell r="B74">
            <v>8.49</v>
          </cell>
          <cell r="C74">
            <v>64788.22</v>
          </cell>
          <cell r="D74">
            <v>1.7722500000000001</v>
          </cell>
          <cell r="F74">
            <v>91.78378378378379</v>
          </cell>
          <cell r="G74">
            <v>95.587227696536814</v>
          </cell>
          <cell r="I74">
            <v>9.6050000000000004</v>
          </cell>
        </row>
        <row r="75">
          <cell r="A75">
            <v>40312</v>
          </cell>
          <cell r="B75">
            <v>8.5</v>
          </cell>
          <cell r="C75">
            <v>63412.47</v>
          </cell>
          <cell r="D75">
            <v>1.7946</v>
          </cell>
          <cell r="F75">
            <v>91.891891891891902</v>
          </cell>
          <cell r="G75">
            <v>93.557474008234976</v>
          </cell>
          <cell r="I75">
            <v>9.48</v>
          </cell>
        </row>
        <row r="76">
          <cell r="A76">
            <v>40313</v>
          </cell>
          <cell r="B76">
            <v>8.5</v>
          </cell>
          <cell r="C76">
            <v>63412.47</v>
          </cell>
          <cell r="D76">
            <v>1.7946</v>
          </cell>
          <cell r="F76">
            <v>91.891891891891902</v>
          </cell>
          <cell r="G76">
            <v>93.557474008234976</v>
          </cell>
          <cell r="I76">
            <v>9.48</v>
          </cell>
        </row>
        <row r="77">
          <cell r="A77">
            <v>40314</v>
          </cell>
          <cell r="B77">
            <v>8.5</v>
          </cell>
          <cell r="C77">
            <v>63412.47</v>
          </cell>
          <cell r="D77">
            <v>1.7946</v>
          </cell>
          <cell r="F77">
            <v>91.891891891891902</v>
          </cell>
          <cell r="G77">
            <v>93.557474008234976</v>
          </cell>
          <cell r="I77">
            <v>9.48</v>
          </cell>
        </row>
        <row r="78">
          <cell r="A78">
            <v>40315</v>
          </cell>
          <cell r="B78">
            <v>8.4499999999999993</v>
          </cell>
          <cell r="C78">
            <v>62866.26</v>
          </cell>
          <cell r="D78">
            <v>1.8073999999999999</v>
          </cell>
          <cell r="F78">
            <v>91.35135135135134</v>
          </cell>
          <cell r="G78">
            <v>92.751606836083539</v>
          </cell>
          <cell r="I78">
            <v>9.41</v>
          </cell>
        </row>
        <row r="79">
          <cell r="A79">
            <v>40316</v>
          </cell>
          <cell r="B79">
            <v>8.3000000000000007</v>
          </cell>
          <cell r="C79">
            <v>60841.08</v>
          </cell>
          <cell r="D79">
            <v>1.7967500000000001</v>
          </cell>
          <cell r="F79">
            <v>89.72972972972974</v>
          </cell>
          <cell r="G79">
            <v>89.7636972780424</v>
          </cell>
          <cell r="I79">
            <v>9.3949999999999996</v>
          </cell>
        </row>
        <row r="80">
          <cell r="A80">
            <v>40317</v>
          </cell>
          <cell r="B80">
            <v>8.15</v>
          </cell>
          <cell r="C80">
            <v>59689.32</v>
          </cell>
          <cell r="D80">
            <v>1.83765</v>
          </cell>
          <cell r="F80">
            <v>88.108108108108112</v>
          </cell>
          <cell r="G80">
            <v>88.064413899493587</v>
          </cell>
          <cell r="I80">
            <v>9.3849999999999998</v>
          </cell>
        </row>
        <row r="81">
          <cell r="A81">
            <v>40318</v>
          </cell>
          <cell r="B81">
            <v>8</v>
          </cell>
          <cell r="C81">
            <v>58192.08</v>
          </cell>
          <cell r="D81">
            <v>1.8864000000000001</v>
          </cell>
          <cell r="F81">
            <v>86.486486486486484</v>
          </cell>
          <cell r="G81">
            <v>85.855416325608047</v>
          </cell>
          <cell r="I81">
            <v>9.44</v>
          </cell>
        </row>
        <row r="82">
          <cell r="A82">
            <v>40319</v>
          </cell>
          <cell r="B82">
            <v>7.99</v>
          </cell>
          <cell r="C82">
            <v>60259.33</v>
          </cell>
          <cell r="D82">
            <v>1.8728</v>
          </cell>
          <cell r="F82">
            <v>86.378378378378386</v>
          </cell>
          <cell r="G82">
            <v>88.905395109647273</v>
          </cell>
          <cell r="I82">
            <v>9.41</v>
          </cell>
        </row>
        <row r="83">
          <cell r="A83">
            <v>40320</v>
          </cell>
          <cell r="B83">
            <v>7.99</v>
          </cell>
          <cell r="C83">
            <v>60259.33</v>
          </cell>
          <cell r="D83">
            <v>1.8728</v>
          </cell>
          <cell r="F83">
            <v>86.378378378378386</v>
          </cell>
          <cell r="G83">
            <v>88.905395109647273</v>
          </cell>
          <cell r="I83">
            <v>9.41</v>
          </cell>
        </row>
        <row r="84">
          <cell r="A84">
            <v>40321</v>
          </cell>
          <cell r="B84">
            <v>7.99</v>
          </cell>
          <cell r="C84">
            <v>60259.33</v>
          </cell>
          <cell r="D84">
            <v>1.8728</v>
          </cell>
          <cell r="F84">
            <v>86.378378378378386</v>
          </cell>
          <cell r="G84">
            <v>88.905395109647273</v>
          </cell>
          <cell r="I84">
            <v>9.41</v>
          </cell>
        </row>
        <row r="85">
          <cell r="A85">
            <v>40322</v>
          </cell>
          <cell r="B85">
            <v>7.99</v>
          </cell>
          <cell r="C85">
            <v>59915.14</v>
          </cell>
          <cell r="D85">
            <v>1.8485</v>
          </cell>
          <cell r="F85">
            <v>86.378378378378386</v>
          </cell>
          <cell r="G85">
            <v>88.397584154185438</v>
          </cell>
          <cell r="I85">
            <v>9.4049999999999994</v>
          </cell>
        </row>
        <row r="86">
          <cell r="A86">
            <v>40323</v>
          </cell>
          <cell r="B86">
            <v>7.99</v>
          </cell>
          <cell r="C86">
            <v>59184.08</v>
          </cell>
          <cell r="D86">
            <v>1.8866000000000001</v>
          </cell>
          <cell r="F86">
            <v>86.378378378378386</v>
          </cell>
          <cell r="G86">
            <v>87.318993035617439</v>
          </cell>
          <cell r="I86">
            <v>9.3049999999999997</v>
          </cell>
        </row>
        <row r="87">
          <cell r="A87">
            <v>40324</v>
          </cell>
          <cell r="B87">
            <v>7.99</v>
          </cell>
          <cell r="C87">
            <v>60190.36</v>
          </cell>
          <cell r="D87">
            <v>1.8408</v>
          </cell>
          <cell r="F87">
            <v>86.378378378378386</v>
          </cell>
          <cell r="G87">
            <v>88.803638168428165</v>
          </cell>
          <cell r="I87">
            <v>9.3800000000000008</v>
          </cell>
        </row>
        <row r="88">
          <cell r="A88">
            <v>40325</v>
          </cell>
          <cell r="B88">
            <v>8</v>
          </cell>
          <cell r="C88">
            <v>62091.77</v>
          </cell>
          <cell r="D88">
            <v>1.8319000000000001</v>
          </cell>
          <cell r="F88">
            <v>86.486486486486484</v>
          </cell>
          <cell r="G88">
            <v>91.608939975060167</v>
          </cell>
          <cell r="I88">
            <v>9.5175000000000001</v>
          </cell>
        </row>
        <row r="89">
          <cell r="A89">
            <v>40326</v>
          </cell>
          <cell r="B89">
            <v>8.5</v>
          </cell>
          <cell r="C89">
            <v>61946.99</v>
          </cell>
          <cell r="D89">
            <v>1.8245</v>
          </cell>
          <cell r="F89">
            <v>91.891891891891902</v>
          </cell>
          <cell r="G89">
            <v>91.395334495145704</v>
          </cell>
          <cell r="I89">
            <v>9.3774999999999995</v>
          </cell>
        </row>
        <row r="90">
          <cell r="A90">
            <v>40327</v>
          </cell>
          <cell r="B90">
            <v>8.5</v>
          </cell>
          <cell r="C90">
            <v>61946.99</v>
          </cell>
          <cell r="D90">
            <v>1.8245</v>
          </cell>
          <cell r="F90">
            <v>91.891891891891902</v>
          </cell>
          <cell r="G90">
            <v>91.395334495145704</v>
          </cell>
          <cell r="I90">
            <v>9.3774999999999995</v>
          </cell>
        </row>
        <row r="91">
          <cell r="A91">
            <v>40328</v>
          </cell>
          <cell r="B91">
            <v>8.5</v>
          </cell>
          <cell r="C91">
            <v>61946.99</v>
          </cell>
          <cell r="D91">
            <v>1.8245</v>
          </cell>
          <cell r="F91">
            <v>91.891891891891902</v>
          </cell>
          <cell r="G91">
            <v>91.395334495145704</v>
          </cell>
          <cell r="I91">
            <v>9.3774999999999995</v>
          </cell>
        </row>
        <row r="92">
          <cell r="A92">
            <v>40329</v>
          </cell>
          <cell r="B92">
            <v>8.5</v>
          </cell>
          <cell r="C92">
            <v>61946.99</v>
          </cell>
          <cell r="D92">
            <v>1.8245</v>
          </cell>
          <cell r="F92">
            <v>91.891891891891902</v>
          </cell>
          <cell r="G92">
            <v>91.395334495145704</v>
          </cell>
          <cell r="I92">
            <v>9.3774999999999995</v>
          </cell>
        </row>
        <row r="93">
          <cell r="A93">
            <v>40330</v>
          </cell>
          <cell r="B93">
            <v>8.99</v>
          </cell>
          <cell r="C93">
            <v>61840.99</v>
          </cell>
          <cell r="D93">
            <v>1.8204</v>
          </cell>
          <cell r="F93">
            <v>97.189189189189193</v>
          </cell>
          <cell r="G93">
            <v>91.238944241858405</v>
          </cell>
          <cell r="I93">
            <v>9.32</v>
          </cell>
        </row>
        <row r="94">
          <cell r="A94">
            <v>40331</v>
          </cell>
          <cell r="B94">
            <v>8.99</v>
          </cell>
          <cell r="C94">
            <v>62942.91</v>
          </cell>
          <cell r="D94">
            <v>1.83365</v>
          </cell>
          <cell r="F94">
            <v>97.189189189189193</v>
          </cell>
          <cell r="G94">
            <v>92.86469469376722</v>
          </cell>
          <cell r="I94">
            <v>9.3249999999999993</v>
          </cell>
        </row>
        <row r="95">
          <cell r="A95">
            <v>40332</v>
          </cell>
          <cell r="B95">
            <v>8.99</v>
          </cell>
          <cell r="C95">
            <v>62942.91</v>
          </cell>
          <cell r="D95">
            <v>1.8191999999999999</v>
          </cell>
          <cell r="F95">
            <v>97.189189189189193</v>
          </cell>
          <cell r="G95">
            <v>92.86469469376722</v>
          </cell>
          <cell r="I95">
            <v>9.5500000000000007</v>
          </cell>
        </row>
        <row r="96">
          <cell r="A96">
            <v>40333</v>
          </cell>
          <cell r="B96">
            <v>8.99</v>
          </cell>
          <cell r="C96">
            <v>61675.75</v>
          </cell>
          <cell r="D96">
            <v>1.83975</v>
          </cell>
          <cell r="F96">
            <v>97.189189189189193</v>
          </cell>
          <cell r="G96">
            <v>90.995152492299994</v>
          </cell>
          <cell r="I96">
            <v>9.35</v>
          </cell>
        </row>
        <row r="97">
          <cell r="A97">
            <v>40334</v>
          </cell>
          <cell r="B97">
            <v>8.99</v>
          </cell>
          <cell r="C97">
            <v>61675.75</v>
          </cell>
          <cell r="D97">
            <v>1.83975</v>
          </cell>
          <cell r="F97">
            <v>97.189189189189193</v>
          </cell>
          <cell r="G97">
            <v>90.995152492299994</v>
          </cell>
          <cell r="I97">
            <v>9.35</v>
          </cell>
        </row>
        <row r="98">
          <cell r="A98">
            <v>40335</v>
          </cell>
          <cell r="B98">
            <v>8.99</v>
          </cell>
          <cell r="C98">
            <v>61675.75</v>
          </cell>
          <cell r="D98">
            <v>1.83975</v>
          </cell>
          <cell r="F98">
            <v>97.189189189189193</v>
          </cell>
          <cell r="G98">
            <v>90.995152492299994</v>
          </cell>
          <cell r="I98">
            <v>9.35</v>
          </cell>
        </row>
        <row r="99">
          <cell r="A99">
            <v>40336</v>
          </cell>
          <cell r="B99">
            <v>8.5</v>
          </cell>
          <cell r="C99">
            <v>61182.92</v>
          </cell>
          <cell r="D99">
            <v>1.8701000000000001</v>
          </cell>
          <cell r="F99">
            <v>91.891891891891902</v>
          </cell>
          <cell r="G99">
            <v>90.268041091096435</v>
          </cell>
          <cell r="I99">
            <v>9.35</v>
          </cell>
        </row>
        <row r="100">
          <cell r="A100">
            <v>40337</v>
          </cell>
          <cell r="B100">
            <v>8.2100000000000009</v>
          </cell>
          <cell r="C100">
            <v>61793</v>
          </cell>
          <cell r="D100">
            <v>1.8734999999999999</v>
          </cell>
          <cell r="F100">
            <v>88.756756756756758</v>
          </cell>
          <cell r="G100">
            <v>91.168140767752206</v>
          </cell>
          <cell r="I100">
            <v>9.31</v>
          </cell>
        </row>
        <row r="101">
          <cell r="A101">
            <v>40338</v>
          </cell>
          <cell r="B101">
            <v>8.25</v>
          </cell>
          <cell r="C101">
            <v>61478.61</v>
          </cell>
          <cell r="D101">
            <v>1.8412500000000001</v>
          </cell>
          <cell r="F101">
            <v>89.189189189189193</v>
          </cell>
          <cell r="G101">
            <v>90.704296128780584</v>
          </cell>
          <cell r="I101">
            <v>9.4350000000000005</v>
          </cell>
        </row>
        <row r="102">
          <cell r="A102">
            <v>40339</v>
          </cell>
          <cell r="B102">
            <v>8.49</v>
          </cell>
          <cell r="C102">
            <v>63048.800000000003</v>
          </cell>
          <cell r="D102">
            <v>1.8202499999999999</v>
          </cell>
          <cell r="F102">
            <v>91.78378378378379</v>
          </cell>
          <cell r="G102">
            <v>93.020922655282249</v>
          </cell>
          <cell r="I102">
            <v>9.35</v>
          </cell>
        </row>
        <row r="103">
          <cell r="A103">
            <v>40340</v>
          </cell>
          <cell r="B103">
            <v>8.5</v>
          </cell>
          <cell r="C103">
            <v>63605.38</v>
          </cell>
          <cell r="D103">
            <v>1.8079000000000001</v>
          </cell>
          <cell r="F103">
            <v>91.891891891891902</v>
          </cell>
          <cell r="G103">
            <v>93.842089515420369</v>
          </cell>
          <cell r="I103">
            <v>9.4625000000000004</v>
          </cell>
        </row>
        <row r="104">
          <cell r="A104">
            <v>40341</v>
          </cell>
          <cell r="B104">
            <v>8.5</v>
          </cell>
          <cell r="C104">
            <v>63605.38</v>
          </cell>
          <cell r="D104">
            <v>1.8079000000000001</v>
          </cell>
          <cell r="F104">
            <v>91.891891891891902</v>
          </cell>
          <cell r="G104">
            <v>93.842089515420369</v>
          </cell>
          <cell r="I104">
            <v>9.4625000000000004</v>
          </cell>
        </row>
        <row r="105">
          <cell r="A105">
            <v>40342</v>
          </cell>
          <cell r="B105">
            <v>8.5</v>
          </cell>
          <cell r="C105">
            <v>63605.38</v>
          </cell>
          <cell r="D105">
            <v>1.8079000000000001</v>
          </cell>
          <cell r="F105">
            <v>91.891891891891902</v>
          </cell>
          <cell r="G105">
            <v>93.842089515420369</v>
          </cell>
          <cell r="I105">
            <v>9.4625000000000004</v>
          </cell>
        </row>
        <row r="106">
          <cell r="A106">
            <v>40343</v>
          </cell>
          <cell r="B106">
            <v>8.6</v>
          </cell>
          <cell r="C106">
            <v>63532.85</v>
          </cell>
          <cell r="D106">
            <v>1.8010999999999999</v>
          </cell>
          <cell r="F106">
            <v>92.972972972972968</v>
          </cell>
          <cell r="G106">
            <v>93.735080222298407</v>
          </cell>
          <cell r="I106">
            <v>9.5150000000000006</v>
          </cell>
        </row>
        <row r="107">
          <cell r="A107">
            <v>40344</v>
          </cell>
          <cell r="B107">
            <v>9</v>
          </cell>
          <cell r="C107">
            <v>64442.27</v>
          </cell>
          <cell r="D107">
            <v>1.7940499999999999</v>
          </cell>
          <cell r="F107">
            <v>97.297297297297305</v>
          </cell>
          <cell r="G107">
            <v>95.076820072718505</v>
          </cell>
          <cell r="I107">
            <v>9.4949999999999992</v>
          </cell>
        </row>
        <row r="108">
          <cell r="A108">
            <v>40345</v>
          </cell>
          <cell r="B108">
            <v>9</v>
          </cell>
          <cell r="C108">
            <v>64750.71</v>
          </cell>
          <cell r="D108">
            <v>1.7903500000000001</v>
          </cell>
          <cell r="F108">
            <v>97.297297297297305</v>
          </cell>
          <cell r="G108">
            <v>95.531886202189582</v>
          </cell>
          <cell r="I108">
            <v>9.5775000000000006</v>
          </cell>
        </row>
        <row r="109">
          <cell r="A109">
            <v>40346</v>
          </cell>
          <cell r="B109">
            <v>9</v>
          </cell>
          <cell r="C109">
            <v>64540.91</v>
          </cell>
          <cell r="D109">
            <v>1.7837000000000001</v>
          </cell>
          <cell r="F109">
            <v>97.297297297297305</v>
          </cell>
          <cell r="G109">
            <v>95.222351531060582</v>
          </cell>
          <cell r="I109">
            <v>9.52</v>
          </cell>
        </row>
        <row r="110">
          <cell r="A110">
            <v>40347</v>
          </cell>
          <cell r="B110">
            <v>9</v>
          </cell>
          <cell r="C110">
            <v>64437.58</v>
          </cell>
          <cell r="D110">
            <v>1.7732000000000001</v>
          </cell>
          <cell r="F110">
            <v>97.297297297297305</v>
          </cell>
          <cell r="G110">
            <v>95.06990054170042</v>
          </cell>
          <cell r="I110">
            <v>9.61</v>
          </cell>
        </row>
        <row r="111">
          <cell r="A111">
            <v>40348</v>
          </cell>
          <cell r="B111">
            <v>9</v>
          </cell>
          <cell r="C111">
            <v>64437.58</v>
          </cell>
          <cell r="D111">
            <v>1.7732000000000001</v>
          </cell>
          <cell r="F111">
            <v>97.297297297297305</v>
          </cell>
          <cell r="G111">
            <v>95.06990054170042</v>
          </cell>
          <cell r="I111">
            <v>9.61</v>
          </cell>
        </row>
        <row r="112">
          <cell r="A112">
            <v>40349</v>
          </cell>
          <cell r="B112">
            <v>9</v>
          </cell>
          <cell r="C112">
            <v>64437.58</v>
          </cell>
          <cell r="D112">
            <v>1.7732000000000001</v>
          </cell>
          <cell r="F112">
            <v>97.297297297297305</v>
          </cell>
          <cell r="G112">
            <v>95.06990054170042</v>
          </cell>
          <cell r="I112">
            <v>9.61</v>
          </cell>
        </row>
        <row r="113">
          <cell r="A113">
            <v>40350</v>
          </cell>
          <cell r="B113">
            <v>9</v>
          </cell>
          <cell r="C113">
            <v>64829.03</v>
          </cell>
          <cell r="D113">
            <v>1.7637</v>
          </cell>
          <cell r="F113">
            <v>97.297297297297305</v>
          </cell>
          <cell r="G113">
            <v>95.647437944052413</v>
          </cell>
          <cell r="I113">
            <v>9.6325000000000003</v>
          </cell>
        </row>
        <row r="114">
          <cell r="A114">
            <v>40351</v>
          </cell>
          <cell r="B114">
            <v>9.1</v>
          </cell>
          <cell r="C114">
            <v>64810.62</v>
          </cell>
          <cell r="D114">
            <v>1.7641500000000001</v>
          </cell>
          <cell r="F114">
            <v>98.378378378378372</v>
          </cell>
          <cell r="G114">
            <v>95.620276202891858</v>
          </cell>
          <cell r="I114">
            <v>9.6549999999999994</v>
          </cell>
        </row>
        <row r="115">
          <cell r="A115">
            <v>40352</v>
          </cell>
          <cell r="B115">
            <v>9.1</v>
          </cell>
          <cell r="C115">
            <v>65160.33</v>
          </cell>
          <cell r="D115">
            <v>1.7968500000000001</v>
          </cell>
          <cell r="F115">
            <v>98.378378378378372</v>
          </cell>
          <cell r="G115">
            <v>96.136231254562603</v>
          </cell>
          <cell r="I115">
            <v>9.58</v>
          </cell>
        </row>
        <row r="116">
          <cell r="A116">
            <v>40353</v>
          </cell>
          <cell r="B116">
            <v>9.15</v>
          </cell>
          <cell r="C116">
            <v>63936.7</v>
          </cell>
          <cell r="D116">
            <v>1.7924</v>
          </cell>
          <cell r="F116">
            <v>98.918918918918919</v>
          </cell>
          <cell r="G116">
            <v>94.330912333525518</v>
          </cell>
          <cell r="I116">
            <v>9.5549999999999997</v>
          </cell>
        </row>
        <row r="117">
          <cell r="A117">
            <v>40354</v>
          </cell>
          <cell r="B117">
            <v>8.5</v>
          </cell>
          <cell r="C117">
            <v>64823.83</v>
          </cell>
          <cell r="D117">
            <v>1.7867999999999999</v>
          </cell>
          <cell r="F117">
            <v>91.891891891891902</v>
          </cell>
          <cell r="G117">
            <v>95.639765969362855</v>
          </cell>
          <cell r="I117">
            <v>9.57</v>
          </cell>
        </row>
        <row r="118">
          <cell r="A118">
            <v>40355</v>
          </cell>
          <cell r="B118">
            <v>8.5</v>
          </cell>
          <cell r="C118">
            <v>64823.83</v>
          </cell>
          <cell r="D118">
            <v>1.7867999999999999</v>
          </cell>
          <cell r="F118">
            <v>91.891891891891902</v>
          </cell>
          <cell r="G118">
            <v>95.639765969362855</v>
          </cell>
          <cell r="I118">
            <v>9.57</v>
          </cell>
        </row>
        <row r="119">
          <cell r="A119">
            <v>40356</v>
          </cell>
          <cell r="B119">
            <v>8.5</v>
          </cell>
          <cell r="C119">
            <v>64823.83</v>
          </cell>
          <cell r="D119">
            <v>1.7867999999999999</v>
          </cell>
          <cell r="F119">
            <v>91.891891891891902</v>
          </cell>
          <cell r="G119">
            <v>95.639765969362855</v>
          </cell>
          <cell r="I119">
            <v>9.57</v>
          </cell>
        </row>
        <row r="120">
          <cell r="A120">
            <v>40357</v>
          </cell>
          <cell r="B120">
            <v>8.9</v>
          </cell>
          <cell r="C120">
            <v>64225.22</v>
          </cell>
          <cell r="D120">
            <v>1.7789999999999999</v>
          </cell>
          <cell r="F120">
            <v>96.216216216216225</v>
          </cell>
          <cell r="G120">
            <v>94.756588898416567</v>
          </cell>
          <cell r="I120">
            <v>9.5500000000000007</v>
          </cell>
        </row>
        <row r="121">
          <cell r="A121">
            <v>40358</v>
          </cell>
          <cell r="B121">
            <v>8.75</v>
          </cell>
          <cell r="C121">
            <v>61977.91</v>
          </cell>
          <cell r="D121">
            <v>1.8023</v>
          </cell>
          <cell r="F121">
            <v>94.594594594594597</v>
          </cell>
          <cell r="G121">
            <v>91.440953236953661</v>
          </cell>
          <cell r="I121">
            <v>9.4725000000000001</v>
          </cell>
        </row>
        <row r="122">
          <cell r="A122">
            <v>40359</v>
          </cell>
          <cell r="B122">
            <v>8.64</v>
          </cell>
          <cell r="C122">
            <v>60935.9</v>
          </cell>
          <cell r="D122">
            <v>1.8025</v>
          </cell>
          <cell r="F122">
            <v>93.405405405405403</v>
          </cell>
          <cell r="G122">
            <v>89.903592785747122</v>
          </cell>
          <cell r="I122">
            <v>9.4849999999999994</v>
          </cell>
        </row>
        <row r="123">
          <cell r="A123">
            <v>40360</v>
          </cell>
          <cell r="B123">
            <v>8.6</v>
          </cell>
          <cell r="C123">
            <v>61236.2</v>
          </cell>
          <cell r="D123">
            <v>1.8050999999999999</v>
          </cell>
          <cell r="F123">
            <v>92.972972972972968</v>
          </cell>
          <cell r="G123">
            <v>90.346649324069517</v>
          </cell>
          <cell r="I123">
            <v>9.5350000000000001</v>
          </cell>
        </row>
        <row r="124">
          <cell r="A124">
            <v>40361</v>
          </cell>
          <cell r="B124">
            <v>8.49</v>
          </cell>
          <cell r="C124">
            <v>61429.79</v>
          </cell>
          <cell r="D124">
            <v>1.7716000000000001</v>
          </cell>
          <cell r="F124">
            <v>91.78378378378379</v>
          </cell>
          <cell r="G124">
            <v>90.632268089483546</v>
          </cell>
          <cell r="I124">
            <v>9.6274999999999995</v>
          </cell>
        </row>
        <row r="125">
          <cell r="A125">
            <v>40362</v>
          </cell>
          <cell r="B125">
            <v>8.49</v>
          </cell>
          <cell r="C125">
            <v>61429.79</v>
          </cell>
          <cell r="D125">
            <v>1.7716000000000001</v>
          </cell>
          <cell r="F125">
            <v>91.78378378378379</v>
          </cell>
          <cell r="G125">
            <v>90.632268089483546</v>
          </cell>
          <cell r="I125">
            <v>9.6274999999999995</v>
          </cell>
        </row>
        <row r="126">
          <cell r="A126">
            <v>40363</v>
          </cell>
          <cell r="B126">
            <v>8.49</v>
          </cell>
          <cell r="C126">
            <v>61429.79</v>
          </cell>
          <cell r="D126">
            <v>1.7716000000000001</v>
          </cell>
          <cell r="F126">
            <v>91.78378378378379</v>
          </cell>
          <cell r="G126">
            <v>90.632268089483546</v>
          </cell>
          <cell r="I126">
            <v>9.6274999999999995</v>
          </cell>
        </row>
        <row r="127">
          <cell r="A127">
            <v>40364</v>
          </cell>
          <cell r="B127">
            <v>8.49</v>
          </cell>
          <cell r="C127">
            <v>61429.79</v>
          </cell>
          <cell r="D127">
            <v>1.7716000000000001</v>
          </cell>
          <cell r="F127">
            <v>91.78378378378379</v>
          </cell>
          <cell r="G127">
            <v>90.632268089483546</v>
          </cell>
          <cell r="I127">
            <v>9.6274999999999995</v>
          </cell>
        </row>
        <row r="128">
          <cell r="A128">
            <v>40365</v>
          </cell>
          <cell r="B128">
            <v>8.9</v>
          </cell>
          <cell r="C128">
            <v>62064.75</v>
          </cell>
          <cell r="D128">
            <v>1.7646500000000001</v>
          </cell>
          <cell r="F128">
            <v>96.216216216216225</v>
          </cell>
          <cell r="G128">
            <v>91.56907521426939</v>
          </cell>
          <cell r="I128">
            <v>9.6425000000000001</v>
          </cell>
        </row>
        <row r="129">
          <cell r="A129">
            <v>40366</v>
          </cell>
          <cell r="B129">
            <v>8.9</v>
          </cell>
          <cell r="C129">
            <v>63283.8</v>
          </cell>
          <cell r="D129">
            <v>1.7698</v>
          </cell>
          <cell r="F129">
            <v>96.216216216216225</v>
          </cell>
          <cell r="G129">
            <v>93.367636896060674</v>
          </cell>
          <cell r="I129">
            <v>9.93</v>
          </cell>
        </row>
        <row r="130">
          <cell r="A130">
            <v>40367</v>
          </cell>
          <cell r="B130">
            <v>9.08</v>
          </cell>
          <cell r="C130">
            <v>63476.32</v>
          </cell>
          <cell r="D130">
            <v>1.7686999999999999</v>
          </cell>
          <cell r="F130">
            <v>98.162162162162161</v>
          </cell>
          <cell r="G130">
            <v>93.65167700514435</v>
          </cell>
          <cell r="I130">
            <v>10.125</v>
          </cell>
        </row>
        <row r="131">
          <cell r="A131">
            <v>40368</v>
          </cell>
          <cell r="B131">
            <v>9.08</v>
          </cell>
          <cell r="C131">
            <v>63476.32</v>
          </cell>
          <cell r="D131">
            <v>1.76075</v>
          </cell>
          <cell r="F131">
            <v>98.162162162162161</v>
          </cell>
          <cell r="G131">
            <v>93.65167700514435</v>
          </cell>
          <cell r="I131">
            <v>10.255000000000001</v>
          </cell>
        </row>
        <row r="132">
          <cell r="A132">
            <v>40369</v>
          </cell>
          <cell r="B132">
            <v>9.08</v>
          </cell>
          <cell r="C132">
            <v>63476.32</v>
          </cell>
          <cell r="D132">
            <v>1.76075</v>
          </cell>
          <cell r="F132">
            <v>98.162162162162161</v>
          </cell>
          <cell r="G132">
            <v>93.65167700514435</v>
          </cell>
          <cell r="I132">
            <v>10.255000000000001</v>
          </cell>
        </row>
        <row r="133">
          <cell r="A133">
            <v>40370</v>
          </cell>
          <cell r="B133">
            <v>9.08</v>
          </cell>
          <cell r="C133">
            <v>63476.32</v>
          </cell>
          <cell r="D133">
            <v>1.76075</v>
          </cell>
          <cell r="F133">
            <v>98.162162162162161</v>
          </cell>
          <cell r="G133">
            <v>93.65167700514435</v>
          </cell>
          <cell r="I133">
            <v>10.255000000000001</v>
          </cell>
        </row>
        <row r="134">
          <cell r="A134">
            <v>40371</v>
          </cell>
          <cell r="B134">
            <v>8.6999999999999993</v>
          </cell>
          <cell r="C134">
            <v>62960.1</v>
          </cell>
          <cell r="D134">
            <v>1.76315</v>
          </cell>
          <cell r="F134">
            <v>94.054054054054049</v>
          </cell>
          <cell r="G134">
            <v>92.890056471635233</v>
          </cell>
          <cell r="I134">
            <v>10.317500000000001</v>
          </cell>
        </row>
        <row r="135">
          <cell r="A135">
            <v>40372</v>
          </cell>
          <cell r="B135">
            <v>8.6999999999999993</v>
          </cell>
          <cell r="C135">
            <v>63685.56</v>
          </cell>
          <cell r="D135">
            <v>1.7516499999999999</v>
          </cell>
          <cell r="F135">
            <v>94.054054054054049</v>
          </cell>
          <cell r="G135">
            <v>93.960385463614472</v>
          </cell>
          <cell r="I135">
            <v>10.305</v>
          </cell>
        </row>
        <row r="136">
          <cell r="A136">
            <v>40373</v>
          </cell>
          <cell r="B136">
            <v>8.89</v>
          </cell>
          <cell r="C136">
            <v>63479.46</v>
          </cell>
          <cell r="D136">
            <v>1.7649999999999999</v>
          </cell>
          <cell r="F136">
            <v>96.108108108108112</v>
          </cell>
          <cell r="G136">
            <v>93.656309697553041</v>
          </cell>
          <cell r="I136">
            <v>10.36</v>
          </cell>
        </row>
        <row r="137">
          <cell r="A137">
            <v>40374</v>
          </cell>
          <cell r="B137">
            <v>8.81</v>
          </cell>
          <cell r="C137">
            <v>63489.37</v>
          </cell>
          <cell r="D137">
            <v>1.7693000000000001</v>
          </cell>
          <cell r="F137">
            <v>95.243243243243242</v>
          </cell>
          <cell r="G137">
            <v>93.670930710855671</v>
          </cell>
          <cell r="I137">
            <v>10.19</v>
          </cell>
        </row>
        <row r="138">
          <cell r="A138">
            <v>40375</v>
          </cell>
          <cell r="B138">
            <v>9.08</v>
          </cell>
          <cell r="C138">
            <v>62339.27</v>
          </cell>
          <cell r="D138">
            <v>1.7783500000000001</v>
          </cell>
          <cell r="F138">
            <v>98.162162162162161</v>
          </cell>
          <cell r="G138">
            <v>91.974096462688522</v>
          </cell>
          <cell r="I138">
            <v>10.195</v>
          </cell>
        </row>
        <row r="139">
          <cell r="A139">
            <v>40376</v>
          </cell>
          <cell r="B139">
            <v>9.08</v>
          </cell>
          <cell r="C139">
            <v>62339.27</v>
          </cell>
          <cell r="D139">
            <v>1.7783500000000001</v>
          </cell>
          <cell r="F139">
            <v>98.162162162162161</v>
          </cell>
          <cell r="G139">
            <v>91.974096462688522</v>
          </cell>
          <cell r="I139">
            <v>10.195</v>
          </cell>
        </row>
        <row r="140">
          <cell r="A140">
            <v>40377</v>
          </cell>
          <cell r="B140">
            <v>9.08</v>
          </cell>
          <cell r="C140">
            <v>62339.27</v>
          </cell>
          <cell r="D140">
            <v>1.7783500000000001</v>
          </cell>
          <cell r="F140">
            <v>98.162162162162161</v>
          </cell>
          <cell r="G140">
            <v>91.974096462688522</v>
          </cell>
          <cell r="I140">
            <v>10.195</v>
          </cell>
        </row>
        <row r="141">
          <cell r="A141">
            <v>40378</v>
          </cell>
          <cell r="B141">
            <v>9.35</v>
          </cell>
          <cell r="C141">
            <v>63297.04</v>
          </cell>
          <cell r="D141">
            <v>1.7847999999999999</v>
          </cell>
          <cell r="F141">
            <v>101.08108108108107</v>
          </cell>
          <cell r="G141">
            <v>93.387170923924103</v>
          </cell>
          <cell r="I141">
            <v>10.08</v>
          </cell>
        </row>
        <row r="142">
          <cell r="A142">
            <v>40379</v>
          </cell>
          <cell r="B142">
            <v>9.35</v>
          </cell>
          <cell r="C142">
            <v>64462.5</v>
          </cell>
          <cell r="D142">
            <v>1.7808999999999999</v>
          </cell>
          <cell r="F142">
            <v>101.08108108108107</v>
          </cell>
          <cell r="G142">
            <v>95.106667005020412</v>
          </cell>
          <cell r="I142">
            <v>10.1175</v>
          </cell>
        </row>
        <row r="143">
          <cell r="A143">
            <v>40380</v>
          </cell>
          <cell r="B143">
            <v>8.82</v>
          </cell>
          <cell r="C143">
            <v>64476.84</v>
          </cell>
          <cell r="D143">
            <v>1.77495</v>
          </cell>
          <cell r="F143">
            <v>95.351351351351354</v>
          </cell>
          <cell r="G143">
            <v>95.12782395060664</v>
          </cell>
          <cell r="I143">
            <v>10.1525</v>
          </cell>
        </row>
        <row r="144">
          <cell r="A144">
            <v>40381</v>
          </cell>
          <cell r="B144">
            <v>9</v>
          </cell>
          <cell r="C144">
            <v>65748.100000000006</v>
          </cell>
          <cell r="D144">
            <v>1.7615000000000001</v>
          </cell>
          <cell r="F144">
            <v>97.297297297297305</v>
          </cell>
          <cell r="G144">
            <v>97.003415209040654</v>
          </cell>
          <cell r="I144">
            <v>10.16</v>
          </cell>
        </row>
        <row r="145">
          <cell r="A145">
            <v>40382</v>
          </cell>
          <cell r="B145">
            <v>9</v>
          </cell>
          <cell r="C145">
            <v>66322.990000000005</v>
          </cell>
          <cell r="D145">
            <v>1.7618</v>
          </cell>
          <cell r="F145">
            <v>97.297297297297305</v>
          </cell>
          <cell r="G145">
            <v>97.851596272364546</v>
          </cell>
          <cell r="I145">
            <v>10.17</v>
          </cell>
        </row>
        <row r="146">
          <cell r="A146">
            <v>40383</v>
          </cell>
          <cell r="B146">
            <v>9</v>
          </cell>
          <cell r="C146">
            <v>66322.990000000005</v>
          </cell>
          <cell r="D146">
            <v>1.7618</v>
          </cell>
          <cell r="F146">
            <v>97.297297297297305</v>
          </cell>
          <cell r="G146">
            <v>97.851596272364546</v>
          </cell>
          <cell r="I146">
            <v>10.17</v>
          </cell>
        </row>
        <row r="147">
          <cell r="A147">
            <v>40384</v>
          </cell>
          <cell r="B147">
            <v>9</v>
          </cell>
          <cell r="C147">
            <v>66322.990000000005</v>
          </cell>
          <cell r="D147">
            <v>1.7618</v>
          </cell>
          <cell r="F147">
            <v>97.297297297297305</v>
          </cell>
          <cell r="G147">
            <v>97.851596272364546</v>
          </cell>
          <cell r="I147">
            <v>10.17</v>
          </cell>
        </row>
        <row r="148">
          <cell r="A148">
            <v>40385</v>
          </cell>
          <cell r="B148">
            <v>9.4</v>
          </cell>
          <cell r="C148">
            <v>66443.259999999995</v>
          </cell>
          <cell r="D148">
            <v>1.7714000000000001</v>
          </cell>
          <cell r="F148">
            <v>101.62162162162163</v>
          </cell>
          <cell r="G148">
            <v>98.029040194655693</v>
          </cell>
          <cell r="I148">
            <v>9.9824999999999999</v>
          </cell>
        </row>
        <row r="149">
          <cell r="A149">
            <v>40386</v>
          </cell>
          <cell r="B149">
            <v>9.4</v>
          </cell>
          <cell r="C149">
            <v>66674.44</v>
          </cell>
          <cell r="D149">
            <v>1.76675</v>
          </cell>
          <cell r="F149">
            <v>101.62162162162163</v>
          </cell>
          <cell r="G149">
            <v>98.370118484796791</v>
          </cell>
          <cell r="I149">
            <v>9.98</v>
          </cell>
        </row>
        <row r="150">
          <cell r="A150">
            <v>40387</v>
          </cell>
          <cell r="B150">
            <v>9.3800000000000008</v>
          </cell>
          <cell r="C150">
            <v>66808.25</v>
          </cell>
          <cell r="D150">
            <v>1.7639</v>
          </cell>
          <cell r="F150">
            <v>101.40540540540542</v>
          </cell>
          <cell r="G150">
            <v>98.567539048875787</v>
          </cell>
          <cell r="I150">
            <v>10.105</v>
          </cell>
        </row>
        <row r="151">
          <cell r="A151">
            <v>40388</v>
          </cell>
          <cell r="B151">
            <v>9.25</v>
          </cell>
          <cell r="C151">
            <v>66953.83</v>
          </cell>
          <cell r="D151">
            <v>1.7637499999999999</v>
          </cell>
          <cell r="F151">
            <v>100</v>
          </cell>
          <cell r="G151">
            <v>98.782324832588657</v>
          </cell>
          <cell r="I151">
            <v>10.2675</v>
          </cell>
        </row>
        <row r="152">
          <cell r="A152">
            <v>40389</v>
          </cell>
          <cell r="B152">
            <v>9.24</v>
          </cell>
          <cell r="C152">
            <v>67515.399999999994</v>
          </cell>
          <cell r="D152">
            <v>1.75925</v>
          </cell>
          <cell r="F152">
            <v>99.891891891891888</v>
          </cell>
          <cell r="G152">
            <v>99.610853837669268</v>
          </cell>
          <cell r="I152">
            <v>10.525</v>
          </cell>
        </row>
        <row r="153">
          <cell r="A153">
            <v>40390</v>
          </cell>
          <cell r="B153">
            <v>9.24</v>
          </cell>
          <cell r="C153">
            <v>67515.399999999994</v>
          </cell>
          <cell r="D153">
            <v>1.75925</v>
          </cell>
          <cell r="F153">
            <v>99.891891891891888</v>
          </cell>
          <cell r="G153">
            <v>99.610853837669268</v>
          </cell>
          <cell r="I153">
            <v>10.525</v>
          </cell>
        </row>
        <row r="154">
          <cell r="A154">
            <v>40391</v>
          </cell>
          <cell r="B154">
            <v>9.24</v>
          </cell>
          <cell r="C154">
            <v>67515.399999999994</v>
          </cell>
          <cell r="D154">
            <v>1.75925</v>
          </cell>
          <cell r="F154">
            <v>99.891891891891888</v>
          </cell>
          <cell r="G154">
            <v>99.610853837669268</v>
          </cell>
          <cell r="I154">
            <v>10.525</v>
          </cell>
        </row>
        <row r="155">
          <cell r="A155">
            <v>40392</v>
          </cell>
          <cell r="B155">
            <v>9.24</v>
          </cell>
          <cell r="C155">
            <v>68517.460000000006</v>
          </cell>
          <cell r="D155">
            <v>1.7472000000000001</v>
          </cell>
          <cell r="F155">
            <v>99.891891891891888</v>
          </cell>
          <cell r="G155">
            <v>101.08927286794349</v>
          </cell>
          <cell r="I155">
            <v>10.532500000000001</v>
          </cell>
        </row>
        <row r="156">
          <cell r="A156">
            <v>40393</v>
          </cell>
          <cell r="B156">
            <v>9.24</v>
          </cell>
          <cell r="C156">
            <v>67997.36</v>
          </cell>
          <cell r="D156">
            <v>1.7615000000000001</v>
          </cell>
          <cell r="F156">
            <v>99.891891891891888</v>
          </cell>
          <cell r="G156">
            <v>100.32192786101216</v>
          </cell>
          <cell r="I156">
            <v>10.535</v>
          </cell>
        </row>
        <row r="157">
          <cell r="A157">
            <v>40394</v>
          </cell>
          <cell r="B157">
            <v>9.25</v>
          </cell>
          <cell r="C157">
            <v>68272</v>
          </cell>
          <cell r="D157">
            <v>1.75925</v>
          </cell>
          <cell r="F157">
            <v>100</v>
          </cell>
          <cell r="G157">
            <v>100.72712615500103</v>
          </cell>
          <cell r="I157">
            <v>10.53</v>
          </cell>
        </row>
        <row r="158">
          <cell r="A158">
            <v>40395</v>
          </cell>
          <cell r="B158">
            <v>9.35</v>
          </cell>
          <cell r="C158">
            <v>68411.72</v>
          </cell>
          <cell r="D158">
            <v>1.7563500000000001</v>
          </cell>
          <cell r="F158">
            <v>101.08108108108107</v>
          </cell>
          <cell r="G158">
            <v>100.93326621339067</v>
          </cell>
          <cell r="I158">
            <v>10.55</v>
          </cell>
        </row>
        <row r="159">
          <cell r="A159">
            <v>40396</v>
          </cell>
          <cell r="B159">
            <v>9.35</v>
          </cell>
          <cell r="C159">
            <v>68094.759999999995</v>
          </cell>
          <cell r="D159">
            <v>1.75875</v>
          </cell>
          <cell r="F159">
            <v>101.08108108108107</v>
          </cell>
          <cell r="G159">
            <v>100.46562984846668</v>
          </cell>
          <cell r="I159">
            <v>10.59</v>
          </cell>
        </row>
        <row r="160">
          <cell r="A160">
            <v>40397</v>
          </cell>
          <cell r="B160">
            <v>9.35</v>
          </cell>
          <cell r="C160">
            <v>68094.759999999995</v>
          </cell>
          <cell r="D160">
            <v>1.75875</v>
          </cell>
          <cell r="F160">
            <v>101.08108108108107</v>
          </cell>
          <cell r="G160">
            <v>100.46562984846668</v>
          </cell>
          <cell r="I160">
            <v>10.59</v>
          </cell>
        </row>
        <row r="161">
          <cell r="A161">
            <v>40398</v>
          </cell>
          <cell r="B161">
            <v>9.35</v>
          </cell>
          <cell r="C161">
            <v>68094.759999999995</v>
          </cell>
          <cell r="D161">
            <v>1.75875</v>
          </cell>
          <cell r="F161">
            <v>101.08108108108107</v>
          </cell>
          <cell r="G161">
            <v>100.46562984846668</v>
          </cell>
          <cell r="I161">
            <v>10.59</v>
          </cell>
        </row>
        <row r="162">
          <cell r="A162">
            <v>40399</v>
          </cell>
          <cell r="B162">
            <v>9.35</v>
          </cell>
          <cell r="C162">
            <v>67862.28</v>
          </cell>
          <cell r="D162">
            <v>1.7544999999999999</v>
          </cell>
          <cell r="F162">
            <v>101.08108108108107</v>
          </cell>
          <cell r="G162">
            <v>100.12263356465321</v>
          </cell>
          <cell r="I162">
            <v>10.484999999999999</v>
          </cell>
        </row>
        <row r="163">
          <cell r="A163">
            <v>40400</v>
          </cell>
          <cell r="B163">
            <v>9.4</v>
          </cell>
          <cell r="C163">
            <v>67223.23</v>
          </cell>
          <cell r="D163">
            <v>1.7614000000000001</v>
          </cell>
          <cell r="F163">
            <v>101.62162162162163</v>
          </cell>
          <cell r="G163">
            <v>99.179792136698055</v>
          </cell>
          <cell r="I163">
            <v>10.362500000000001</v>
          </cell>
        </row>
        <row r="164">
          <cell r="A164">
            <v>40401</v>
          </cell>
          <cell r="B164">
            <v>9.4</v>
          </cell>
          <cell r="C164">
            <v>65790.289999999994</v>
          </cell>
          <cell r="D164">
            <v>1.7721</v>
          </cell>
          <cell r="F164">
            <v>101.62162162162163</v>
          </cell>
          <cell r="G164">
            <v>97.065661480608483</v>
          </cell>
          <cell r="I164">
            <v>10.445</v>
          </cell>
        </row>
        <row r="165">
          <cell r="A165">
            <v>40402</v>
          </cell>
          <cell r="B165">
            <v>9.4</v>
          </cell>
          <cell r="C165">
            <v>65966.17</v>
          </cell>
          <cell r="D165">
            <v>1.76925</v>
          </cell>
          <cell r="F165">
            <v>101.62162162162163</v>
          </cell>
          <cell r="G165">
            <v>97.325151270685552</v>
          </cell>
          <cell r="I165">
            <v>10.57</v>
          </cell>
        </row>
        <row r="166">
          <cell r="A166">
            <v>40403</v>
          </cell>
          <cell r="B166">
            <v>9.6</v>
          </cell>
          <cell r="C166">
            <v>66264.429999999993</v>
          </cell>
          <cell r="D166">
            <v>1.7709999999999999</v>
          </cell>
          <cell r="F166">
            <v>103.78378378378379</v>
          </cell>
          <cell r="G166">
            <v>97.76519803432204</v>
          </cell>
          <cell r="I166">
            <v>10.52</v>
          </cell>
        </row>
        <row r="167">
          <cell r="A167">
            <v>40404</v>
          </cell>
          <cell r="B167">
            <v>9.6</v>
          </cell>
          <cell r="C167">
            <v>66264.429999999993</v>
          </cell>
          <cell r="D167">
            <v>1.7709999999999999</v>
          </cell>
          <cell r="F167">
            <v>103.78378378378379</v>
          </cell>
          <cell r="G167">
            <v>97.76519803432204</v>
          </cell>
          <cell r="I167">
            <v>10.52</v>
          </cell>
        </row>
        <row r="168">
          <cell r="A168">
            <v>40405</v>
          </cell>
          <cell r="B168">
            <v>9.6</v>
          </cell>
          <cell r="C168">
            <v>66264.429999999993</v>
          </cell>
          <cell r="D168">
            <v>1.7709999999999999</v>
          </cell>
          <cell r="F168">
            <v>103.78378378378379</v>
          </cell>
          <cell r="G168">
            <v>97.76519803432204</v>
          </cell>
          <cell r="I168">
            <v>10.52</v>
          </cell>
        </row>
        <row r="169">
          <cell r="A169">
            <v>40406</v>
          </cell>
          <cell r="B169">
            <v>9.5</v>
          </cell>
          <cell r="C169">
            <v>66701.89</v>
          </cell>
          <cell r="D169">
            <v>1.76315</v>
          </cell>
          <cell r="F169">
            <v>102.70270270270269</v>
          </cell>
          <cell r="G169">
            <v>98.410617658879218</v>
          </cell>
          <cell r="I169">
            <v>10.34</v>
          </cell>
        </row>
        <row r="170">
          <cell r="A170">
            <v>40407</v>
          </cell>
          <cell r="B170">
            <v>9.6</v>
          </cell>
          <cell r="C170">
            <v>67583.77</v>
          </cell>
          <cell r="D170">
            <v>1.75065</v>
          </cell>
          <cell r="F170">
            <v>103.78378378378379</v>
          </cell>
          <cell r="G170">
            <v>99.711725551039592</v>
          </cell>
          <cell r="I170">
            <v>10.452500000000001</v>
          </cell>
        </row>
        <row r="171">
          <cell r="A171">
            <v>40408</v>
          </cell>
          <cell r="B171">
            <v>9.6</v>
          </cell>
          <cell r="C171">
            <v>67638.38</v>
          </cell>
          <cell r="D171">
            <v>1.7533000000000001</v>
          </cell>
          <cell r="F171">
            <v>103.78378378378379</v>
          </cell>
          <cell r="G171">
            <v>99.792296039077499</v>
          </cell>
          <cell r="I171">
            <v>10.352499999999999</v>
          </cell>
        </row>
        <row r="172">
          <cell r="A172">
            <v>40409</v>
          </cell>
          <cell r="B172">
            <v>9.75</v>
          </cell>
          <cell r="C172">
            <v>66887.13</v>
          </cell>
          <cell r="D172">
            <v>1.76325</v>
          </cell>
          <cell r="F172">
            <v>105.40540540540539</v>
          </cell>
          <cell r="G172">
            <v>98.683917003397497</v>
          </cell>
          <cell r="I172">
            <v>10.1675</v>
          </cell>
        </row>
        <row r="173">
          <cell r="A173">
            <v>40410</v>
          </cell>
          <cell r="B173">
            <v>9.75</v>
          </cell>
          <cell r="C173">
            <v>66677.16</v>
          </cell>
          <cell r="D173">
            <v>1.764</v>
          </cell>
          <cell r="F173">
            <v>105.40540540540539</v>
          </cell>
          <cell r="G173">
            <v>98.374131517711334</v>
          </cell>
          <cell r="I173">
            <v>10.092499999999999</v>
          </cell>
        </row>
        <row r="174">
          <cell r="A174">
            <v>40411</v>
          </cell>
          <cell r="B174">
            <v>9.75</v>
          </cell>
          <cell r="C174">
            <v>66677.16</v>
          </cell>
          <cell r="D174">
            <v>1.764</v>
          </cell>
          <cell r="F174">
            <v>105.40540540540539</v>
          </cell>
          <cell r="G174">
            <v>98.374131517711334</v>
          </cell>
          <cell r="I174">
            <v>10.092499999999999</v>
          </cell>
        </row>
        <row r="175">
          <cell r="A175">
            <v>40412</v>
          </cell>
          <cell r="B175">
            <v>9.75</v>
          </cell>
          <cell r="C175">
            <v>66677.16</v>
          </cell>
          <cell r="D175">
            <v>1.764</v>
          </cell>
          <cell r="F175">
            <v>105.40540540540539</v>
          </cell>
          <cell r="G175">
            <v>98.374131517711334</v>
          </cell>
          <cell r="I175">
            <v>10.092499999999999</v>
          </cell>
        </row>
        <row r="176">
          <cell r="A176">
            <v>40413</v>
          </cell>
          <cell r="B176">
            <v>9.7200000000000006</v>
          </cell>
          <cell r="C176">
            <v>65981.86</v>
          </cell>
          <cell r="D176">
            <v>1.7623</v>
          </cell>
          <cell r="F176">
            <v>105.08108108108109</v>
          </cell>
          <cell r="G176">
            <v>97.348299978931578</v>
          </cell>
          <cell r="I176">
            <v>10.07</v>
          </cell>
        </row>
        <row r="177">
          <cell r="A177">
            <v>40414</v>
          </cell>
          <cell r="B177">
            <v>9.7200000000000006</v>
          </cell>
          <cell r="C177">
            <v>65156.36</v>
          </cell>
          <cell r="D177">
            <v>1.768</v>
          </cell>
          <cell r="F177">
            <v>105.08108108108109</v>
          </cell>
          <cell r="G177">
            <v>96.130373996963073</v>
          </cell>
          <cell r="I177">
            <v>9.9949999999999992</v>
          </cell>
        </row>
        <row r="178">
          <cell r="A178">
            <v>40415</v>
          </cell>
          <cell r="B178">
            <v>9.65</v>
          </cell>
          <cell r="C178">
            <v>64803.43</v>
          </cell>
          <cell r="D178">
            <v>1.7704</v>
          </cell>
          <cell r="F178">
            <v>104.32432432432432</v>
          </cell>
          <cell r="G178">
            <v>95.609668222503785</v>
          </cell>
          <cell r="I178">
            <v>10</v>
          </cell>
        </row>
        <row r="179">
          <cell r="A179">
            <v>40416</v>
          </cell>
          <cell r="B179">
            <v>9.6</v>
          </cell>
          <cell r="C179">
            <v>63867.48</v>
          </cell>
          <cell r="D179">
            <v>1.7578</v>
          </cell>
          <cell r="F179">
            <v>103.78378378378379</v>
          </cell>
          <cell r="G179">
            <v>94.228786547369424</v>
          </cell>
          <cell r="I179">
            <v>10.130000000000001</v>
          </cell>
        </row>
        <row r="180">
          <cell r="A180">
            <v>40417</v>
          </cell>
          <cell r="B180">
            <v>9.6999999999999993</v>
          </cell>
          <cell r="C180">
            <v>65585.14</v>
          </cell>
          <cell r="D180">
            <v>1.75265</v>
          </cell>
          <cell r="F180">
            <v>104.86486486486486</v>
          </cell>
          <cell r="G180">
            <v>96.762987325307662</v>
          </cell>
          <cell r="I180">
            <v>10.220000000000001</v>
          </cell>
        </row>
        <row r="181">
          <cell r="A181">
            <v>40418</v>
          </cell>
          <cell r="B181">
            <v>9.6999999999999993</v>
          </cell>
          <cell r="C181">
            <v>65585.14</v>
          </cell>
          <cell r="D181">
            <v>1.75265</v>
          </cell>
          <cell r="F181">
            <v>104.86486486486486</v>
          </cell>
          <cell r="G181">
            <v>96.762987325307662</v>
          </cell>
          <cell r="I181">
            <v>10.220000000000001</v>
          </cell>
        </row>
        <row r="182">
          <cell r="A182">
            <v>40419</v>
          </cell>
          <cell r="B182">
            <v>9.6999999999999993</v>
          </cell>
          <cell r="C182">
            <v>65585.14</v>
          </cell>
          <cell r="D182">
            <v>1.75265</v>
          </cell>
          <cell r="F182">
            <v>104.86486486486486</v>
          </cell>
          <cell r="G182">
            <v>96.762987325307662</v>
          </cell>
          <cell r="I182">
            <v>10.220000000000001</v>
          </cell>
        </row>
        <row r="183">
          <cell r="A183">
            <v>40420</v>
          </cell>
          <cell r="B183">
            <v>9.8000000000000007</v>
          </cell>
          <cell r="C183">
            <v>64260.79</v>
          </cell>
          <cell r="D183">
            <v>1.7556</v>
          </cell>
          <cell r="F183">
            <v>105.94594594594595</v>
          </cell>
          <cell r="G183">
            <v>94.809068156052675</v>
          </cell>
          <cell r="I183">
            <v>10.18</v>
          </cell>
        </row>
        <row r="184">
          <cell r="A184">
            <v>40421</v>
          </cell>
          <cell r="B184">
            <v>9.8000000000000007</v>
          </cell>
          <cell r="C184">
            <v>65145.45</v>
          </cell>
          <cell r="D184">
            <v>1.7539499999999999</v>
          </cell>
          <cell r="F184">
            <v>105.94594594594595</v>
          </cell>
          <cell r="G184">
            <v>96.114277603912456</v>
          </cell>
          <cell r="I184">
            <v>10.08</v>
          </cell>
        </row>
        <row r="185">
          <cell r="A185">
            <v>40422</v>
          </cell>
          <cell r="B185">
            <v>9.8000000000000007</v>
          </cell>
          <cell r="C185">
            <v>67072.53</v>
          </cell>
          <cell r="D185">
            <v>1.7400500000000001</v>
          </cell>
          <cell r="F185">
            <v>105.94594594594595</v>
          </cell>
          <cell r="G185">
            <v>98.957452408675465</v>
          </cell>
          <cell r="I185">
            <v>10.045</v>
          </cell>
        </row>
        <row r="186">
          <cell r="A186">
            <v>40423</v>
          </cell>
          <cell r="B186">
            <v>9.5</v>
          </cell>
          <cell r="C186">
            <v>66808.08</v>
          </cell>
          <cell r="D186">
            <v>1.7364999999999999</v>
          </cell>
          <cell r="F186">
            <v>102.70270270270269</v>
          </cell>
          <cell r="G186">
            <v>98.567288234318625</v>
          </cell>
          <cell r="I186">
            <v>10.074999999999999</v>
          </cell>
        </row>
        <row r="187">
          <cell r="A187">
            <v>40424</v>
          </cell>
          <cell r="B187">
            <v>9.5</v>
          </cell>
          <cell r="C187">
            <v>66678.62</v>
          </cell>
          <cell r="D187">
            <v>1.72525</v>
          </cell>
          <cell r="F187">
            <v>102.70270270270269</v>
          </cell>
          <cell r="G187">
            <v>98.376285572143402</v>
          </cell>
          <cell r="I187">
            <v>10.297499999999999</v>
          </cell>
        </row>
        <row r="188">
          <cell r="A188">
            <v>40425</v>
          </cell>
          <cell r="B188">
            <v>9.5</v>
          </cell>
          <cell r="C188">
            <v>66678.62</v>
          </cell>
          <cell r="D188">
            <v>1.72525</v>
          </cell>
          <cell r="F188">
            <v>102.70270270270269</v>
          </cell>
          <cell r="G188">
            <v>98.376285572143402</v>
          </cell>
          <cell r="I188">
            <v>10.297499999999999</v>
          </cell>
        </row>
        <row r="189">
          <cell r="A189">
            <v>40426</v>
          </cell>
          <cell r="B189">
            <v>9.5</v>
          </cell>
          <cell r="C189">
            <v>66678.62</v>
          </cell>
          <cell r="D189">
            <v>1.72525</v>
          </cell>
          <cell r="F189">
            <v>102.70270270270269</v>
          </cell>
          <cell r="G189">
            <v>98.376285572143402</v>
          </cell>
          <cell r="I189">
            <v>10.297499999999999</v>
          </cell>
        </row>
        <row r="190">
          <cell r="A190">
            <v>40427</v>
          </cell>
          <cell r="B190">
            <v>9.5</v>
          </cell>
          <cell r="C190">
            <v>66678.62</v>
          </cell>
          <cell r="D190">
            <v>1.72525</v>
          </cell>
          <cell r="F190">
            <v>102.70270270270269</v>
          </cell>
          <cell r="G190">
            <v>98.376285572143402</v>
          </cell>
          <cell r="I190">
            <v>10.297499999999999</v>
          </cell>
        </row>
        <row r="191">
          <cell r="A191">
            <v>40428</v>
          </cell>
          <cell r="B191">
            <v>9.5</v>
          </cell>
          <cell r="C191">
            <v>66747.3</v>
          </cell>
          <cell r="D191">
            <v>1.72695</v>
          </cell>
          <cell r="F191">
            <v>102.70270270270269</v>
          </cell>
          <cell r="G191">
            <v>98.477614653235591</v>
          </cell>
          <cell r="I191">
            <v>10.4375</v>
          </cell>
        </row>
        <row r="192">
          <cell r="A192">
            <v>40429</v>
          </cell>
          <cell r="B192">
            <v>9.8000000000000007</v>
          </cell>
          <cell r="C192">
            <v>66407.28</v>
          </cell>
          <cell r="D192">
            <v>1.7230000000000001</v>
          </cell>
          <cell r="F192">
            <v>105.94594594594595</v>
          </cell>
          <cell r="G192">
            <v>97.975956031322895</v>
          </cell>
          <cell r="I192">
            <v>10.4125</v>
          </cell>
        </row>
        <row r="193">
          <cell r="A193">
            <v>40430</v>
          </cell>
          <cell r="B193">
            <v>9.4</v>
          </cell>
          <cell r="C193">
            <v>66624.100000000006</v>
          </cell>
          <cell r="D193">
            <v>1.722</v>
          </cell>
          <cell r="F193">
            <v>101.62162162162163</v>
          </cell>
          <cell r="G193">
            <v>98.29584786828282</v>
          </cell>
          <cell r="I193">
            <v>10.3775</v>
          </cell>
        </row>
        <row r="194">
          <cell r="A194">
            <v>40431</v>
          </cell>
          <cell r="B194">
            <v>9.74</v>
          </cell>
          <cell r="C194">
            <v>66806.789999999994</v>
          </cell>
          <cell r="D194">
            <v>1.7174</v>
          </cell>
          <cell r="F194">
            <v>105.29729729729731</v>
          </cell>
          <cell r="G194">
            <v>98.565384994443704</v>
          </cell>
          <cell r="I194">
            <v>10.234999999999999</v>
          </cell>
        </row>
        <row r="195">
          <cell r="A195">
            <v>40432</v>
          </cell>
          <cell r="B195">
            <v>9.74</v>
          </cell>
          <cell r="C195">
            <v>66806.789999999994</v>
          </cell>
          <cell r="D195">
            <v>1.7174</v>
          </cell>
          <cell r="F195">
            <v>105.29729729729731</v>
          </cell>
          <cell r="G195">
            <v>98.565384994443704</v>
          </cell>
          <cell r="I195">
            <v>10.234999999999999</v>
          </cell>
        </row>
        <row r="196">
          <cell r="A196">
            <v>40433</v>
          </cell>
          <cell r="B196">
            <v>9.74</v>
          </cell>
          <cell r="C196">
            <v>66806.789999999994</v>
          </cell>
          <cell r="D196">
            <v>1.7174</v>
          </cell>
          <cell r="F196">
            <v>105.29729729729731</v>
          </cell>
          <cell r="G196">
            <v>98.565384994443704</v>
          </cell>
          <cell r="I196">
            <v>10.234999999999999</v>
          </cell>
        </row>
        <row r="197">
          <cell r="A197">
            <v>40434</v>
          </cell>
          <cell r="B197">
            <v>9.65</v>
          </cell>
          <cell r="C197">
            <v>68030.58</v>
          </cell>
          <cell r="D197">
            <v>1.7152000000000001</v>
          </cell>
          <cell r="F197">
            <v>104.32432432432432</v>
          </cell>
          <cell r="G197">
            <v>100.37093997624049</v>
          </cell>
          <cell r="I197">
            <v>10.2525</v>
          </cell>
        </row>
        <row r="198">
          <cell r="A198">
            <v>40435</v>
          </cell>
          <cell r="B198">
            <v>9.3000000000000007</v>
          </cell>
          <cell r="C198">
            <v>67691.850000000006</v>
          </cell>
          <cell r="D198">
            <v>1.70675</v>
          </cell>
          <cell r="F198">
            <v>100.54054054054056</v>
          </cell>
          <cell r="G198">
            <v>99.871184594202703</v>
          </cell>
          <cell r="I198">
            <v>10.25</v>
          </cell>
        </row>
        <row r="199">
          <cell r="A199">
            <v>40436</v>
          </cell>
          <cell r="B199">
            <v>9.3000000000000007</v>
          </cell>
          <cell r="C199">
            <v>68106.850000000006</v>
          </cell>
          <cell r="D199">
            <v>1.7116</v>
          </cell>
          <cell r="F199">
            <v>100.54054054054056</v>
          </cell>
          <cell r="G199">
            <v>100.48346718961993</v>
          </cell>
          <cell r="I199">
            <v>10.425000000000001</v>
          </cell>
        </row>
        <row r="200">
          <cell r="A200">
            <v>40437</v>
          </cell>
          <cell r="B200">
            <v>9.74</v>
          </cell>
          <cell r="C200">
            <v>67662.990000000005</v>
          </cell>
          <cell r="D200">
            <v>1.71715</v>
          </cell>
          <cell r="F200">
            <v>105.29729729729731</v>
          </cell>
          <cell r="G200">
            <v>99.828605134675612</v>
          </cell>
          <cell r="I200">
            <v>10.362500000000001</v>
          </cell>
        </row>
        <row r="201">
          <cell r="A201">
            <v>40438</v>
          </cell>
          <cell r="B201">
            <v>9.49</v>
          </cell>
          <cell r="C201">
            <v>67089.119999999995</v>
          </cell>
          <cell r="D201">
            <v>1.7159</v>
          </cell>
          <cell r="F201">
            <v>102.5945945945946</v>
          </cell>
          <cell r="G201">
            <v>98.981928958694667</v>
          </cell>
          <cell r="I201">
            <v>10.69</v>
          </cell>
        </row>
        <row r="202">
          <cell r="A202">
            <v>40439</v>
          </cell>
          <cell r="B202">
            <v>9.49</v>
          </cell>
          <cell r="C202">
            <v>67089.119999999995</v>
          </cell>
          <cell r="D202">
            <v>1.7159</v>
          </cell>
          <cell r="F202">
            <v>102.5945945945946</v>
          </cell>
          <cell r="G202">
            <v>98.981928958694667</v>
          </cell>
          <cell r="I202">
            <v>10.69</v>
          </cell>
        </row>
        <row r="203">
          <cell r="A203">
            <v>40440</v>
          </cell>
          <cell r="B203">
            <v>9.49</v>
          </cell>
          <cell r="C203">
            <v>67089.119999999995</v>
          </cell>
          <cell r="D203">
            <v>1.7159</v>
          </cell>
          <cell r="F203">
            <v>102.5945945945946</v>
          </cell>
          <cell r="G203">
            <v>98.981928958694667</v>
          </cell>
          <cell r="I203">
            <v>10.69</v>
          </cell>
        </row>
        <row r="204">
          <cell r="A204">
            <v>40441</v>
          </cell>
          <cell r="B204">
            <v>9.5</v>
          </cell>
          <cell r="C204">
            <v>68190.460000000006</v>
          </cell>
          <cell r="D204">
            <v>1.7173</v>
          </cell>
          <cell r="F204">
            <v>102.70270270270269</v>
          </cell>
          <cell r="G204">
            <v>100.60682369034966</v>
          </cell>
          <cell r="I204">
            <v>10.845000000000001</v>
          </cell>
        </row>
        <row r="205">
          <cell r="A205">
            <v>40442</v>
          </cell>
          <cell r="B205">
            <v>9.5</v>
          </cell>
          <cell r="C205">
            <v>67719.13</v>
          </cell>
          <cell r="D205">
            <v>1.7299</v>
          </cell>
          <cell r="F205">
            <v>102.70270270270269</v>
          </cell>
          <cell r="G205">
            <v>99.911432953727967</v>
          </cell>
          <cell r="I205">
            <v>10.8</v>
          </cell>
        </row>
        <row r="206">
          <cell r="A206">
            <v>40443</v>
          </cell>
          <cell r="B206">
            <v>9.5</v>
          </cell>
          <cell r="C206">
            <v>68325.179999999993</v>
          </cell>
          <cell r="D206">
            <v>1.7190000000000001</v>
          </cell>
          <cell r="F206">
            <v>102.70270270270269</v>
          </cell>
          <cell r="G206">
            <v>100.8055868499993</v>
          </cell>
          <cell r="I206">
            <v>10.885</v>
          </cell>
        </row>
        <row r="207">
          <cell r="A207">
            <v>40444</v>
          </cell>
          <cell r="B207">
            <v>9.6</v>
          </cell>
          <cell r="C207">
            <v>68794.320000000007</v>
          </cell>
          <cell r="D207">
            <v>1.7211000000000001</v>
          </cell>
          <cell r="F207">
            <v>103.78378378378379</v>
          </cell>
          <cell r="G207">
            <v>101.49774650497292</v>
          </cell>
          <cell r="I207">
            <v>10.935</v>
          </cell>
        </row>
        <row r="208">
          <cell r="A208">
            <v>40445</v>
          </cell>
          <cell r="B208">
            <v>9.77</v>
          </cell>
          <cell r="C208">
            <v>68196.479999999996</v>
          </cell>
          <cell r="D208">
            <v>1.7124999999999999</v>
          </cell>
          <cell r="F208">
            <v>105.62162162162161</v>
          </cell>
          <cell r="G208">
            <v>100.61570547643257</v>
          </cell>
          <cell r="I208">
            <v>11.26</v>
          </cell>
        </row>
        <row r="209">
          <cell r="A209">
            <v>40446</v>
          </cell>
          <cell r="B209">
            <v>9.77</v>
          </cell>
          <cell r="C209">
            <v>68196.479999999996</v>
          </cell>
          <cell r="D209">
            <v>1.7124999999999999</v>
          </cell>
          <cell r="F209">
            <v>105.62162162162161</v>
          </cell>
          <cell r="G209">
            <v>100.61570547643257</v>
          </cell>
          <cell r="I209">
            <v>11.26</v>
          </cell>
        </row>
        <row r="210">
          <cell r="A210">
            <v>40447</v>
          </cell>
          <cell r="B210">
            <v>9.77</v>
          </cell>
          <cell r="C210">
            <v>68196.479999999996</v>
          </cell>
          <cell r="D210">
            <v>1.7124999999999999</v>
          </cell>
          <cell r="F210">
            <v>105.62162162162161</v>
          </cell>
          <cell r="G210">
            <v>100.61570547643257</v>
          </cell>
          <cell r="I210">
            <v>11.26</v>
          </cell>
        </row>
        <row r="211">
          <cell r="A211">
            <v>40448</v>
          </cell>
          <cell r="B211">
            <v>9.77</v>
          </cell>
          <cell r="C211">
            <v>68815.97</v>
          </cell>
          <cell r="D211">
            <v>1.7117500000000001</v>
          </cell>
          <cell r="F211">
            <v>105.62162162162161</v>
          </cell>
          <cell r="G211">
            <v>101.52968847651698</v>
          </cell>
          <cell r="I211">
            <v>11.285</v>
          </cell>
        </row>
        <row r="212">
          <cell r="A212">
            <v>40449</v>
          </cell>
          <cell r="B212">
            <v>9.8000000000000007</v>
          </cell>
          <cell r="C212">
            <v>69227.63</v>
          </cell>
          <cell r="D212">
            <v>1.7088000000000001</v>
          </cell>
          <cell r="F212">
            <v>105.94594594594595</v>
          </cell>
          <cell r="G212">
            <v>102.13704330357591</v>
          </cell>
          <cell r="I212">
            <v>11.1</v>
          </cell>
        </row>
        <row r="213">
          <cell r="A213">
            <v>40450</v>
          </cell>
          <cell r="B213">
            <v>9.8000000000000007</v>
          </cell>
          <cell r="C213">
            <v>69228.240000000005</v>
          </cell>
          <cell r="D213">
            <v>1.7072499999999999</v>
          </cell>
          <cell r="F213">
            <v>105.94594594594595</v>
          </cell>
          <cell r="G213">
            <v>102.13794328522219</v>
          </cell>
          <cell r="I213">
            <v>10.99</v>
          </cell>
        </row>
        <row r="214">
          <cell r="A214">
            <v>40451</v>
          </cell>
          <cell r="B214">
            <v>9.85</v>
          </cell>
          <cell r="C214">
            <v>69429.78</v>
          </cell>
          <cell r="D214">
            <v>1.6941999999999999</v>
          </cell>
          <cell r="F214">
            <v>106.48648648648648</v>
          </cell>
          <cell r="G214">
            <v>102.43529131963275</v>
          </cell>
          <cell r="I214">
            <v>11.067500000000001</v>
          </cell>
        </row>
        <row r="215">
          <cell r="A215">
            <v>40452</v>
          </cell>
          <cell r="B215">
            <v>9.85</v>
          </cell>
          <cell r="C215">
            <v>70229.350000000006</v>
          </cell>
          <cell r="D215">
            <v>1.6854</v>
          </cell>
          <cell r="F215">
            <v>106.48648648648648</v>
          </cell>
          <cell r="G215">
            <v>103.61496070473579</v>
          </cell>
          <cell r="I215">
            <v>10.57</v>
          </cell>
        </row>
        <row r="216">
          <cell r="A216">
            <v>40453</v>
          </cell>
          <cell r="B216">
            <v>9.85</v>
          </cell>
          <cell r="C216">
            <v>70229.350000000006</v>
          </cell>
          <cell r="D216">
            <v>1.6854</v>
          </cell>
          <cell r="F216">
            <v>106.48648648648648</v>
          </cell>
          <cell r="G216">
            <v>103.61496070473579</v>
          </cell>
          <cell r="I216">
            <v>10.57</v>
          </cell>
        </row>
        <row r="217">
          <cell r="A217">
            <v>40454</v>
          </cell>
          <cell r="B217">
            <v>9.85</v>
          </cell>
          <cell r="C217">
            <v>70229.350000000006</v>
          </cell>
          <cell r="D217">
            <v>1.6854</v>
          </cell>
          <cell r="F217">
            <v>106.48648648648648</v>
          </cell>
          <cell r="G217">
            <v>103.61496070473579</v>
          </cell>
          <cell r="I217">
            <v>10.57</v>
          </cell>
        </row>
        <row r="218">
          <cell r="A218">
            <v>40455</v>
          </cell>
          <cell r="B218">
            <v>9.85</v>
          </cell>
          <cell r="C218">
            <v>70384.92</v>
          </cell>
          <cell r="D218">
            <v>1.6857</v>
          </cell>
          <cell r="F218">
            <v>106.48648648648648</v>
          </cell>
          <cell r="G218">
            <v>103.8444855321311</v>
          </cell>
          <cell r="I218">
            <v>10.54</v>
          </cell>
        </row>
        <row r="219">
          <cell r="A219">
            <v>40456</v>
          </cell>
          <cell r="B219">
            <v>9.85</v>
          </cell>
          <cell r="C219">
            <v>71283.11</v>
          </cell>
          <cell r="D219">
            <v>1.6820999999999999</v>
          </cell>
          <cell r="F219">
            <v>106.48648648648648</v>
          </cell>
          <cell r="G219">
            <v>105.16965686798126</v>
          </cell>
          <cell r="I219">
            <v>10.717499999999999</v>
          </cell>
        </row>
        <row r="220">
          <cell r="A220">
            <v>40457</v>
          </cell>
          <cell r="B220">
            <v>9.8000000000000007</v>
          </cell>
          <cell r="C220">
            <v>70541.37</v>
          </cell>
          <cell r="D220">
            <v>1.6806000000000001</v>
          </cell>
          <cell r="F220">
            <v>105.94594594594595</v>
          </cell>
          <cell r="G220">
            <v>104.07530869370467</v>
          </cell>
          <cell r="I220">
            <v>10.62</v>
          </cell>
        </row>
        <row r="221">
          <cell r="A221">
            <v>40458</v>
          </cell>
          <cell r="B221">
            <v>9.8000000000000007</v>
          </cell>
          <cell r="C221">
            <v>69918.399999999994</v>
          </cell>
          <cell r="D221">
            <v>1.6775500000000001</v>
          </cell>
          <cell r="F221">
            <v>105.94594594594595</v>
          </cell>
          <cell r="G221">
            <v>103.15619137209725</v>
          </cell>
          <cell r="I221">
            <v>10.65</v>
          </cell>
        </row>
        <row r="222">
          <cell r="A222">
            <v>40459</v>
          </cell>
          <cell r="B222">
            <v>10</v>
          </cell>
          <cell r="C222">
            <v>70808.800000000003</v>
          </cell>
          <cell r="D222">
            <v>1.6810499999999999</v>
          </cell>
          <cell r="F222">
            <v>108.10810810810811</v>
          </cell>
          <cell r="G222">
            <v>104.46986949971053</v>
          </cell>
          <cell r="I222">
            <v>11.35</v>
          </cell>
        </row>
        <row r="223">
          <cell r="A223">
            <v>40460</v>
          </cell>
          <cell r="B223">
            <v>10</v>
          </cell>
          <cell r="C223">
            <v>70808.800000000003</v>
          </cell>
          <cell r="D223">
            <v>1.6810499999999999</v>
          </cell>
          <cell r="F223">
            <v>108.10810810810811</v>
          </cell>
          <cell r="G223">
            <v>104.46986949971053</v>
          </cell>
          <cell r="I223">
            <v>11.35</v>
          </cell>
        </row>
        <row r="224">
          <cell r="A224">
            <v>40461</v>
          </cell>
          <cell r="B224">
            <v>10</v>
          </cell>
          <cell r="C224">
            <v>70808.800000000003</v>
          </cell>
          <cell r="D224">
            <v>1.6810499999999999</v>
          </cell>
          <cell r="F224">
            <v>108.10810810810811</v>
          </cell>
          <cell r="G224">
            <v>104.46986949971053</v>
          </cell>
          <cell r="I224">
            <v>11.35</v>
          </cell>
        </row>
        <row r="225">
          <cell r="A225">
            <v>40462</v>
          </cell>
          <cell r="B225">
            <v>10.050000000000001</v>
          </cell>
          <cell r="C225">
            <v>70946.490000000005</v>
          </cell>
          <cell r="D225">
            <v>1.6640999999999999</v>
          </cell>
          <cell r="F225">
            <v>108.64864864864865</v>
          </cell>
          <cell r="G225">
            <v>104.67301453721174</v>
          </cell>
          <cell r="I225">
            <v>11.525</v>
          </cell>
        </row>
        <row r="226">
          <cell r="A226">
            <v>40463</v>
          </cell>
          <cell r="B226">
            <v>10.050000000000001</v>
          </cell>
          <cell r="C226">
            <v>70946.490000000005</v>
          </cell>
          <cell r="D226">
            <v>1.66995</v>
          </cell>
          <cell r="F226">
            <v>108.64864864864865</v>
          </cell>
          <cell r="G226">
            <v>104.67301453721174</v>
          </cell>
          <cell r="I226">
            <v>11.785</v>
          </cell>
        </row>
        <row r="227">
          <cell r="A227">
            <v>40464</v>
          </cell>
          <cell r="B227">
            <v>10.06</v>
          </cell>
          <cell r="C227">
            <v>71674.899999999994</v>
          </cell>
          <cell r="D227">
            <v>1.6567000000000001</v>
          </cell>
          <cell r="F227">
            <v>108.75675675675676</v>
          </cell>
          <cell r="G227">
            <v>105.74769589944755</v>
          </cell>
          <cell r="I227">
            <v>11.765000000000001</v>
          </cell>
        </row>
        <row r="228">
          <cell r="A228">
            <v>40465</v>
          </cell>
          <cell r="B228">
            <v>10.06</v>
          </cell>
          <cell r="C228">
            <v>71692.289999999994</v>
          </cell>
          <cell r="D228">
            <v>1.65615</v>
          </cell>
          <cell r="F228">
            <v>108.75675675675676</v>
          </cell>
          <cell r="G228">
            <v>105.77335275326514</v>
          </cell>
          <cell r="I228">
            <v>11.885</v>
          </cell>
        </row>
        <row r="229">
          <cell r="A229">
            <v>40466</v>
          </cell>
          <cell r="B229">
            <v>10.28</v>
          </cell>
          <cell r="C229">
            <v>71830.179999999993</v>
          </cell>
          <cell r="D229">
            <v>1.66235</v>
          </cell>
          <cell r="F229">
            <v>111.13513513513513</v>
          </cell>
          <cell r="G229">
            <v>105.97679286671595</v>
          </cell>
          <cell r="I229">
            <v>11.85</v>
          </cell>
        </row>
        <row r="230">
          <cell r="A230">
            <v>40467</v>
          </cell>
          <cell r="B230">
            <v>10.28</v>
          </cell>
          <cell r="C230">
            <v>71830.179999999993</v>
          </cell>
          <cell r="D230">
            <v>1.66235</v>
          </cell>
          <cell r="F230">
            <v>111.13513513513513</v>
          </cell>
          <cell r="G230">
            <v>105.97679286671595</v>
          </cell>
          <cell r="I230">
            <v>11.85</v>
          </cell>
        </row>
        <row r="231">
          <cell r="A231">
            <v>40468</v>
          </cell>
          <cell r="B231">
            <v>10.28</v>
          </cell>
          <cell r="C231">
            <v>71830.179999999993</v>
          </cell>
          <cell r="D231">
            <v>1.66235</v>
          </cell>
          <cell r="F231">
            <v>111.13513513513513</v>
          </cell>
          <cell r="G231">
            <v>105.97679286671595</v>
          </cell>
          <cell r="I231">
            <v>11.85</v>
          </cell>
        </row>
        <row r="232">
          <cell r="A232">
            <v>40469</v>
          </cell>
          <cell r="B232">
            <v>10.19</v>
          </cell>
          <cell r="C232">
            <v>71735.53</v>
          </cell>
          <cell r="D232">
            <v>1.6594500000000001</v>
          </cell>
          <cell r="F232">
            <v>110.16216216216215</v>
          </cell>
          <cell r="G232">
            <v>105.83714817356839</v>
          </cell>
          <cell r="I232">
            <v>11.84</v>
          </cell>
        </row>
        <row r="233">
          <cell r="A233">
            <v>40470</v>
          </cell>
          <cell r="B233">
            <v>10.5</v>
          </cell>
          <cell r="C233">
            <v>69863.58</v>
          </cell>
          <cell r="D233">
            <v>1.6898500000000001</v>
          </cell>
          <cell r="F233">
            <v>113.51351351351352</v>
          </cell>
          <cell r="G233">
            <v>103.07531105431227</v>
          </cell>
          <cell r="I233">
            <v>11.8</v>
          </cell>
        </row>
        <row r="234">
          <cell r="A234">
            <v>40471</v>
          </cell>
          <cell r="B234">
            <v>10.199999999999999</v>
          </cell>
          <cell r="C234">
            <v>70404.679999999993</v>
          </cell>
          <cell r="D234">
            <v>1.6756500000000001</v>
          </cell>
          <cell r="F234">
            <v>110.27027027027026</v>
          </cell>
          <cell r="G234">
            <v>103.87363903595144</v>
          </cell>
          <cell r="I234">
            <v>12.12</v>
          </cell>
        </row>
        <row r="235">
          <cell r="A235">
            <v>40472</v>
          </cell>
          <cell r="B235">
            <v>10.3</v>
          </cell>
          <cell r="C235">
            <v>69652.100000000006</v>
          </cell>
          <cell r="D235">
            <v>1.69085</v>
          </cell>
          <cell r="F235">
            <v>111.35135135135137</v>
          </cell>
          <cell r="G235">
            <v>102.76329774520664</v>
          </cell>
          <cell r="I235">
            <v>12.015000000000001</v>
          </cell>
        </row>
        <row r="236">
          <cell r="A236">
            <v>40473</v>
          </cell>
          <cell r="B236">
            <v>10.5</v>
          </cell>
          <cell r="C236">
            <v>69529.73</v>
          </cell>
          <cell r="D236">
            <v>1.69495</v>
          </cell>
          <cell r="F236">
            <v>113.51351351351352</v>
          </cell>
          <cell r="G236">
            <v>102.5827555254447</v>
          </cell>
          <cell r="I236">
            <v>11.994999999999999</v>
          </cell>
        </row>
        <row r="237">
          <cell r="A237">
            <v>40474</v>
          </cell>
          <cell r="B237">
            <v>10.5</v>
          </cell>
          <cell r="C237">
            <v>69529.73</v>
          </cell>
          <cell r="D237">
            <v>1.69495</v>
          </cell>
          <cell r="F237">
            <v>113.51351351351352</v>
          </cell>
          <cell r="G237">
            <v>102.5827555254447</v>
          </cell>
          <cell r="I237">
            <v>11.994999999999999</v>
          </cell>
        </row>
        <row r="238">
          <cell r="A238">
            <v>40475</v>
          </cell>
          <cell r="B238">
            <v>10.5</v>
          </cell>
          <cell r="C238">
            <v>69529.73</v>
          </cell>
          <cell r="D238">
            <v>1.69495</v>
          </cell>
          <cell r="F238">
            <v>113.51351351351352</v>
          </cell>
          <cell r="G238">
            <v>102.5827555254447</v>
          </cell>
          <cell r="I238">
            <v>11.994999999999999</v>
          </cell>
        </row>
        <row r="239">
          <cell r="A239">
            <v>40476</v>
          </cell>
          <cell r="B239">
            <v>10.7</v>
          </cell>
          <cell r="C239">
            <v>69580.28</v>
          </cell>
          <cell r="D239">
            <v>1.7056500000000001</v>
          </cell>
          <cell r="F239">
            <v>115.67567567567568</v>
          </cell>
          <cell r="G239">
            <v>102.65733597170575</v>
          </cell>
          <cell r="I239">
            <v>12.1775</v>
          </cell>
        </row>
        <row r="240">
          <cell r="A240">
            <v>40477</v>
          </cell>
          <cell r="B240">
            <v>10.7</v>
          </cell>
          <cell r="C240">
            <v>70740.39</v>
          </cell>
          <cell r="D240">
            <v>1.70705</v>
          </cell>
          <cell r="F240">
            <v>115.67567567567568</v>
          </cell>
          <cell r="G240">
            <v>104.3689387711503</v>
          </cell>
          <cell r="I240">
            <v>12.19</v>
          </cell>
        </row>
        <row r="241">
          <cell r="A241">
            <v>40478</v>
          </cell>
          <cell r="B241">
            <v>10.75</v>
          </cell>
          <cell r="C241">
            <v>70568.94</v>
          </cell>
          <cell r="D241">
            <v>1.7161500000000001</v>
          </cell>
          <cell r="F241">
            <v>116.21621621621621</v>
          </cell>
          <cell r="G241">
            <v>104.11598491335685</v>
          </cell>
          <cell r="I241">
            <v>12.237500000000001</v>
          </cell>
        </row>
        <row r="242">
          <cell r="A242">
            <v>40479</v>
          </cell>
          <cell r="B242">
            <v>10.5</v>
          </cell>
          <cell r="C242">
            <v>70320.13</v>
          </cell>
          <cell r="D242">
            <v>1.7134</v>
          </cell>
          <cell r="F242">
            <v>113.51351351351352</v>
          </cell>
          <cell r="G242">
            <v>103.74889567825862</v>
          </cell>
          <cell r="I242">
            <v>12.25</v>
          </cell>
        </row>
        <row r="243">
          <cell r="A243">
            <v>40480</v>
          </cell>
          <cell r="B243">
            <v>10.01</v>
          </cell>
          <cell r="C243">
            <v>70673.3</v>
          </cell>
          <cell r="D243">
            <v>1.69665</v>
          </cell>
          <cell r="F243">
            <v>108.21621621621622</v>
          </cell>
          <cell r="G243">
            <v>104.26995554385744</v>
          </cell>
          <cell r="I243">
            <v>12.26</v>
          </cell>
        </row>
        <row r="244">
          <cell r="A244">
            <v>40481</v>
          </cell>
          <cell r="B244">
            <v>10.01</v>
          </cell>
          <cell r="C244">
            <v>70673.3</v>
          </cell>
          <cell r="D244">
            <v>1.69665</v>
          </cell>
          <cell r="F244">
            <v>108.21621621621622</v>
          </cell>
          <cell r="G244">
            <v>104.26995554385744</v>
          </cell>
          <cell r="I244">
            <v>12.26</v>
          </cell>
        </row>
        <row r="245">
          <cell r="A245">
            <v>40482</v>
          </cell>
          <cell r="B245">
            <v>10.01</v>
          </cell>
          <cell r="C245">
            <v>70673.3</v>
          </cell>
          <cell r="D245">
            <v>1.69665</v>
          </cell>
          <cell r="F245">
            <v>108.21621621621622</v>
          </cell>
          <cell r="G245">
            <v>104.26995554385744</v>
          </cell>
          <cell r="I245">
            <v>12.26</v>
          </cell>
        </row>
        <row r="246">
          <cell r="A246">
            <v>40483</v>
          </cell>
          <cell r="B246">
            <v>10.01</v>
          </cell>
          <cell r="C246">
            <v>71560.929999999993</v>
          </cell>
          <cell r="D246">
            <v>1.7047000000000001</v>
          </cell>
          <cell r="F246">
            <v>108.21621621621622</v>
          </cell>
          <cell r="G246">
            <v>105.57954686956874</v>
          </cell>
          <cell r="I246">
            <v>12.2525</v>
          </cell>
        </row>
        <row r="247">
          <cell r="A247">
            <v>40484</v>
          </cell>
          <cell r="B247">
            <v>10.01</v>
          </cell>
          <cell r="C247">
            <v>71560.929999999993</v>
          </cell>
          <cell r="D247">
            <v>1.7038</v>
          </cell>
          <cell r="F247">
            <v>108.21621621621622</v>
          </cell>
          <cell r="G247">
            <v>105.57954686956874</v>
          </cell>
          <cell r="I247">
            <v>12.237500000000001</v>
          </cell>
        </row>
        <row r="248">
          <cell r="A248">
            <v>40485</v>
          </cell>
          <cell r="B248">
            <v>10.35</v>
          </cell>
          <cell r="C248">
            <v>71904.77</v>
          </cell>
          <cell r="D248">
            <v>1.6991499999999999</v>
          </cell>
          <cell r="F248">
            <v>111.89189189189189</v>
          </cell>
          <cell r="G248">
            <v>106.0868414421188</v>
          </cell>
          <cell r="I248">
            <v>12.275</v>
          </cell>
        </row>
      </sheetData>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contribution analysis"/>
      <sheetName val="rev change analysis"/>
      <sheetName val="2015 rev change"/>
      <sheetName val="short IS"/>
      <sheetName val="Product Mix 100%"/>
      <sheetName val="cost savings"/>
      <sheetName val="Per Pharma Traditional &amp; Biolog"/>
    </sheetNames>
    <sheetDataSet>
      <sheetData sheetId="0" refreshError="1"/>
      <sheetData sheetId="1">
        <row r="1">
          <cell r="R1" t="str">
            <v>SmartCharts</v>
          </cell>
          <cell r="BA1" t="str">
            <v>.</v>
          </cell>
        </row>
        <row r="2">
          <cell r="BA2" t="str">
            <v>.</v>
          </cell>
        </row>
        <row r="3">
          <cell r="BA3" t="str">
            <v>.</v>
          </cell>
        </row>
        <row r="4">
          <cell r="BA4" t="str">
            <v>.</v>
          </cell>
        </row>
        <row r="5">
          <cell r="C5" t="str">
            <v>Define value axis here:</v>
          </cell>
        </row>
        <row r="6">
          <cell r="C6" t="str">
            <v>Eli Lilly YOY revenue change 2010E-2015E</v>
          </cell>
        </row>
        <row r="10">
          <cell r="C10" t="str">
            <v>Input your data here:</v>
          </cell>
          <cell r="BA10" t="str">
            <v>.</v>
          </cell>
        </row>
        <row r="11">
          <cell r="C11" t="str">
            <v>Sales ($M)</v>
          </cell>
          <cell r="D11" t="str">
            <v>2011E</v>
          </cell>
          <cell r="E11" t="str">
            <v>2012E</v>
          </cell>
          <cell r="F11" t="str">
            <v>2013E</v>
          </cell>
          <cell r="G11" t="str">
            <v>2014E</v>
          </cell>
          <cell r="H11" t="str">
            <v>2015E</v>
          </cell>
          <cell r="BA11" t="str">
            <v>.</v>
          </cell>
        </row>
        <row r="12">
          <cell r="C12" t="str">
            <v>In-line products</v>
          </cell>
          <cell r="D12">
            <v>781.72624304999954</v>
          </cell>
          <cell r="E12">
            <v>628.01563373899808</v>
          </cell>
          <cell r="F12">
            <v>619.00336252127454</v>
          </cell>
          <cell r="G12">
            <v>650.37276247114823</v>
          </cell>
          <cell r="H12">
            <v>535.71762648130425</v>
          </cell>
          <cell r="BA12" t="str">
            <v>.</v>
          </cell>
        </row>
        <row r="13">
          <cell r="C13" t="str">
            <v>Pipeline products launching 2010–2015</v>
          </cell>
          <cell r="D13">
            <v>94.75</v>
          </cell>
          <cell r="E13">
            <v>176.17500000000001</v>
          </cell>
          <cell r="F13">
            <v>330.42500000000001</v>
          </cell>
          <cell r="G13">
            <v>642.0732999999999</v>
          </cell>
          <cell r="H13">
            <v>950.38365750000003</v>
          </cell>
          <cell r="BA13" t="str">
            <v>.</v>
          </cell>
        </row>
        <row r="14">
          <cell r="C14" t="str">
            <v>Products expiring 2010–2015</v>
          </cell>
          <cell r="D14">
            <v>-371.49615019999874</v>
          </cell>
          <cell r="E14">
            <v>-2226.0126789459991</v>
          </cell>
          <cell r="F14">
            <v>-713.0858879557818</v>
          </cell>
          <cell r="G14">
            <v>-2566.7028729389294</v>
          </cell>
          <cell r="H14">
            <v>-2382.3369144914741</v>
          </cell>
          <cell r="BA14" t="str">
            <v>.</v>
          </cell>
        </row>
        <row r="15">
          <cell r="C15" t="str">
            <v>Net YOY change</v>
          </cell>
          <cell r="D15">
            <v>504.9800928500008</v>
          </cell>
          <cell r="E15">
            <v>-1421.8220452070018</v>
          </cell>
          <cell r="F15">
            <v>236.34247456549201</v>
          </cell>
          <cell r="G15">
            <v>-1274.2568104677812</v>
          </cell>
          <cell r="H15">
            <v>-896.23563051016754</v>
          </cell>
          <cell r="BA15" t="str">
            <v>.</v>
          </cell>
        </row>
        <row r="16">
          <cell r="BA16" t="str">
            <v>.</v>
          </cell>
        </row>
        <row r="17">
          <cell r="BA17" t="str">
            <v>.</v>
          </cell>
        </row>
        <row r="18">
          <cell r="BA18" t="str">
            <v>.</v>
          </cell>
        </row>
        <row r="20">
          <cell r="BA20" t="str">
            <v>.</v>
          </cell>
        </row>
        <row r="21">
          <cell r="BA21" t="str">
            <v>.</v>
          </cell>
        </row>
        <row r="22">
          <cell r="BA22" t="str">
            <v>.</v>
          </cell>
        </row>
        <row r="23">
          <cell r="BA23" t="str">
            <v>.</v>
          </cell>
        </row>
        <row r="24">
          <cell r="BA24" t="str">
            <v>.</v>
          </cell>
        </row>
        <row r="25">
          <cell r="BA25" t="str">
            <v>.</v>
          </cell>
        </row>
        <row r="26">
          <cell r="BA26" t="str">
            <v>.</v>
          </cell>
        </row>
        <row r="27">
          <cell r="BA27" t="str">
            <v>.</v>
          </cell>
        </row>
        <row r="28">
          <cell r="BA28" t="str">
            <v>.</v>
          </cell>
        </row>
        <row r="29">
          <cell r="BA29" t="str">
            <v>.</v>
          </cell>
        </row>
        <row r="30">
          <cell r="BA30" t="str">
            <v>.</v>
          </cell>
        </row>
        <row r="31">
          <cell r="BA31" t="str">
            <v>.</v>
          </cell>
        </row>
        <row r="32">
          <cell r="BA32" t="str">
            <v>.</v>
          </cell>
        </row>
        <row r="33">
          <cell r="BA33" t="str">
            <v>.</v>
          </cell>
        </row>
        <row r="34">
          <cell r="BA34" t="str">
            <v>.</v>
          </cell>
        </row>
        <row r="35">
          <cell r="J35" t="str">
            <v>Do not change the width of the exhibit or font sizes (they are optimized for export to Word).</v>
          </cell>
          <cell r="BA35" t="str">
            <v>.</v>
          </cell>
        </row>
        <row r="36">
          <cell r="BA36" t="str">
            <v>.</v>
          </cell>
        </row>
        <row r="37">
          <cell r="J37" t="str">
            <v>Do not delete any rows or columns (some gray cells are used for calculations).</v>
          </cell>
          <cell r="BA37" t="str">
            <v>.</v>
          </cell>
        </row>
        <row r="38">
          <cell r="BA38" t="str">
            <v>.</v>
          </cell>
        </row>
        <row r="39">
          <cell r="BA39" t="str">
            <v>.</v>
          </cell>
        </row>
        <row r="40">
          <cell r="BA40" t="str">
            <v>.</v>
          </cell>
        </row>
        <row r="41">
          <cell r="BA41" t="str">
            <v>.</v>
          </cell>
        </row>
        <row r="42">
          <cell r="BA42" t="str">
            <v>.</v>
          </cell>
        </row>
        <row r="43">
          <cell r="BA43" t="str">
            <v>.</v>
          </cell>
        </row>
        <row r="44">
          <cell r="BA44" t="str">
            <v>.</v>
          </cell>
        </row>
        <row r="45">
          <cell r="BA45" t="str">
            <v>.</v>
          </cell>
        </row>
        <row r="46">
          <cell r="BA46" t="str">
            <v>.</v>
          </cell>
        </row>
        <row r="47">
          <cell r="BA47" t="str">
            <v>.</v>
          </cell>
        </row>
        <row r="48">
          <cell r="BA48" t="str">
            <v>.</v>
          </cell>
        </row>
        <row r="49">
          <cell r="BA49" t="str">
            <v>.</v>
          </cell>
        </row>
        <row r="50">
          <cell r="BA50" t="str">
            <v>.</v>
          </cell>
        </row>
        <row r="51">
          <cell r="BA51" t="str">
            <v>.</v>
          </cell>
        </row>
        <row r="52">
          <cell r="BA52" t="str">
            <v>.</v>
          </cell>
        </row>
        <row r="53">
          <cell r="BA53" t="str">
            <v>.</v>
          </cell>
        </row>
        <row r="54">
          <cell r="BA54" t="str">
            <v>.</v>
          </cell>
        </row>
        <row r="55">
          <cell r="BA55" t="str">
            <v>.</v>
          </cell>
        </row>
        <row r="56">
          <cell r="BA56" t="str">
            <v>.</v>
          </cell>
        </row>
        <row r="57">
          <cell r="BA57" t="str">
            <v>.</v>
          </cell>
        </row>
        <row r="58">
          <cell r="BA58" t="str">
            <v>.</v>
          </cell>
        </row>
        <row r="59">
          <cell r="BA59" t="str">
            <v>.</v>
          </cell>
        </row>
        <row r="60">
          <cell r="BA60" t="str">
            <v>.</v>
          </cell>
        </row>
        <row r="61">
          <cell r="BA61" t="str">
            <v>.</v>
          </cell>
        </row>
        <row r="62">
          <cell r="BA62" t="str">
            <v>.</v>
          </cell>
        </row>
        <row r="63">
          <cell r="BA63" t="str">
            <v>.</v>
          </cell>
        </row>
        <row r="64">
          <cell r="BA64" t="str">
            <v>.</v>
          </cell>
        </row>
        <row r="65">
          <cell r="BA65" t="str">
            <v>.</v>
          </cell>
        </row>
        <row r="66">
          <cell r="BA66" t="str">
            <v>.</v>
          </cell>
        </row>
        <row r="67">
          <cell r="BA67" t="str">
            <v>.</v>
          </cell>
        </row>
        <row r="68">
          <cell r="BA68" t="str">
            <v>.</v>
          </cell>
        </row>
        <row r="69">
          <cell r="BA69" t="str">
            <v>.</v>
          </cell>
        </row>
        <row r="70">
          <cell r="BA70" t="str">
            <v>.</v>
          </cell>
        </row>
        <row r="71">
          <cell r="BA71" t="str">
            <v>.</v>
          </cell>
        </row>
        <row r="72">
          <cell r="BA72" t="str">
            <v>.</v>
          </cell>
        </row>
        <row r="73">
          <cell r="BA73" t="str">
            <v>.</v>
          </cell>
        </row>
        <row r="74">
          <cell r="BA74" t="str">
            <v>.</v>
          </cell>
        </row>
        <row r="75">
          <cell r="BA75" t="str">
            <v>.</v>
          </cell>
        </row>
        <row r="76">
          <cell r="BA76" t="str">
            <v>.</v>
          </cell>
        </row>
        <row r="77">
          <cell r="BA77" t="str">
            <v>.</v>
          </cell>
        </row>
        <row r="78">
          <cell r="BA78" t="str">
            <v>.</v>
          </cell>
        </row>
        <row r="79">
          <cell r="BA79" t="str">
            <v>.</v>
          </cell>
        </row>
        <row r="80">
          <cell r="BA80" t="str">
            <v>.</v>
          </cell>
        </row>
        <row r="81">
          <cell r="BA81" t="str">
            <v>.</v>
          </cell>
        </row>
        <row r="82">
          <cell r="BA82" t="str">
            <v>.</v>
          </cell>
        </row>
        <row r="83">
          <cell r="BA83" t="str">
            <v>.</v>
          </cell>
        </row>
        <row r="84">
          <cell r="BA84" t="str">
            <v>.</v>
          </cell>
        </row>
        <row r="85">
          <cell r="BA85" t="str">
            <v>.</v>
          </cell>
        </row>
        <row r="86">
          <cell r="BA86" t="str">
            <v>.</v>
          </cell>
        </row>
        <row r="87">
          <cell r="BA87" t="str">
            <v>.</v>
          </cell>
        </row>
        <row r="88">
          <cell r="BA88" t="str">
            <v>.</v>
          </cell>
        </row>
        <row r="89">
          <cell r="BA89" t="str">
            <v>.</v>
          </cell>
        </row>
        <row r="90">
          <cell r="BA90" t="str">
            <v>.</v>
          </cell>
        </row>
        <row r="91">
          <cell r="BA91" t="str">
            <v>.</v>
          </cell>
        </row>
        <row r="92">
          <cell r="BA92" t="str">
            <v>.</v>
          </cell>
        </row>
        <row r="93">
          <cell r="BA93" t="str">
            <v>.</v>
          </cell>
        </row>
        <row r="94">
          <cell r="BA94" t="str">
            <v>.</v>
          </cell>
        </row>
        <row r="95">
          <cell r="BA95" t="str">
            <v>.</v>
          </cell>
        </row>
        <row r="96">
          <cell r="BA96" t="str">
            <v>.</v>
          </cell>
        </row>
        <row r="97">
          <cell r="BA97" t="str">
            <v>.</v>
          </cell>
        </row>
        <row r="98">
          <cell r="BA98" t="str">
            <v>.</v>
          </cell>
        </row>
        <row r="99">
          <cell r="BA99" t="str">
            <v>.</v>
          </cell>
        </row>
        <row r="100">
          <cell r="BA100" t="str">
            <v>.</v>
          </cell>
        </row>
        <row r="101">
          <cell r="BA101" t="str">
            <v>.</v>
          </cell>
        </row>
        <row r="102">
          <cell r="BA102" t="str">
            <v>.</v>
          </cell>
        </row>
        <row r="103">
          <cell r="BA103" t="str">
            <v>.</v>
          </cell>
        </row>
        <row r="104">
          <cell r="BA104" t="str">
            <v>.</v>
          </cell>
        </row>
        <row r="105">
          <cell r="BA105" t="str">
            <v>.</v>
          </cell>
        </row>
        <row r="106">
          <cell r="BA106" t="str">
            <v>.</v>
          </cell>
        </row>
        <row r="107">
          <cell r="BA107" t="str">
            <v>.</v>
          </cell>
        </row>
        <row r="108">
          <cell r="BA108" t="str">
            <v>.</v>
          </cell>
        </row>
        <row r="109">
          <cell r="BA109" t="str">
            <v>.</v>
          </cell>
        </row>
        <row r="110">
          <cell r="BA110" t="str">
            <v>.</v>
          </cell>
        </row>
        <row r="111">
          <cell r="BA111" t="str">
            <v>.</v>
          </cell>
        </row>
        <row r="112">
          <cell r="BA112" t="str">
            <v>.</v>
          </cell>
        </row>
        <row r="113">
          <cell r="BA113" t="str">
            <v>.</v>
          </cell>
        </row>
        <row r="114">
          <cell r="BA114" t="str">
            <v>.</v>
          </cell>
        </row>
        <row r="115">
          <cell r="BA115" t="str">
            <v>.</v>
          </cell>
        </row>
        <row r="116">
          <cell r="BA116" t="str">
            <v>.</v>
          </cell>
        </row>
        <row r="117">
          <cell r="BA117" t="str">
            <v>.</v>
          </cell>
        </row>
        <row r="118">
          <cell r="BA118" t="str">
            <v>.</v>
          </cell>
        </row>
        <row r="119">
          <cell r="BA119" t="str">
            <v>.</v>
          </cell>
        </row>
        <row r="120">
          <cell r="BA120" t="str">
            <v>.</v>
          </cell>
        </row>
        <row r="121">
          <cell r="BA121" t="str">
            <v>.</v>
          </cell>
        </row>
        <row r="122">
          <cell r="BA122" t="str">
            <v>.</v>
          </cell>
        </row>
        <row r="123">
          <cell r="BA123" t="str">
            <v>.</v>
          </cell>
        </row>
        <row r="124">
          <cell r="BA124" t="str">
            <v>.</v>
          </cell>
        </row>
        <row r="125">
          <cell r="BA125" t="str">
            <v>.</v>
          </cell>
        </row>
        <row r="126">
          <cell r="BA126" t="str">
            <v>.</v>
          </cell>
        </row>
        <row r="127">
          <cell r="BA127" t="str">
            <v>.</v>
          </cell>
        </row>
        <row r="128">
          <cell r="BA128" t="str">
            <v>.</v>
          </cell>
        </row>
        <row r="129">
          <cell r="BA129" t="str">
            <v>.</v>
          </cell>
        </row>
        <row r="130">
          <cell r="BA130" t="str">
            <v>.</v>
          </cell>
        </row>
        <row r="131">
          <cell r="BA131" t="str">
            <v>.</v>
          </cell>
        </row>
        <row r="132">
          <cell r="BA132" t="str">
            <v>.</v>
          </cell>
        </row>
        <row r="133">
          <cell r="BA133" t="str">
            <v>.</v>
          </cell>
        </row>
        <row r="134">
          <cell r="BA134" t="str">
            <v>.</v>
          </cell>
        </row>
        <row r="135">
          <cell r="BA135" t="str">
            <v>.</v>
          </cell>
        </row>
        <row r="136">
          <cell r="BA136" t="str">
            <v>.</v>
          </cell>
        </row>
        <row r="137">
          <cell r="BA137" t="str">
            <v>.</v>
          </cell>
        </row>
        <row r="138">
          <cell r="BA138" t="str">
            <v>.</v>
          </cell>
        </row>
        <row r="139">
          <cell r="BA139" t="str">
            <v>.</v>
          </cell>
        </row>
        <row r="140">
          <cell r="BA140" t="str">
            <v>.</v>
          </cell>
        </row>
        <row r="141">
          <cell r="BA141" t="str">
            <v>.</v>
          </cell>
        </row>
        <row r="142">
          <cell r="BA142" t="str">
            <v>.</v>
          </cell>
        </row>
        <row r="143">
          <cell r="BA143" t="str">
            <v>.</v>
          </cell>
        </row>
        <row r="144">
          <cell r="BA144" t="str">
            <v>.</v>
          </cell>
        </row>
        <row r="145">
          <cell r="BA145" t="str">
            <v>.</v>
          </cell>
        </row>
        <row r="146">
          <cell r="BA146" t="str">
            <v>.</v>
          </cell>
        </row>
        <row r="147">
          <cell r="BA147" t="str">
            <v>.</v>
          </cell>
        </row>
        <row r="148">
          <cell r="BA148" t="str">
            <v>.</v>
          </cell>
        </row>
        <row r="149">
          <cell r="BA149" t="str">
            <v>.</v>
          </cell>
        </row>
        <row r="150">
          <cell r="BA150" t="str">
            <v>.</v>
          </cell>
        </row>
        <row r="151">
          <cell r="BA151" t="str">
            <v>.</v>
          </cell>
        </row>
        <row r="152">
          <cell r="BA152" t="str">
            <v>.</v>
          </cell>
        </row>
        <row r="153">
          <cell r="BA153" t="str">
            <v>.</v>
          </cell>
        </row>
        <row r="154">
          <cell r="BA154" t="str">
            <v>.</v>
          </cell>
        </row>
        <row r="155">
          <cell r="BA155" t="str">
            <v>.</v>
          </cell>
        </row>
        <row r="156">
          <cell r="BA156" t="str">
            <v>.</v>
          </cell>
        </row>
        <row r="157">
          <cell r="BA157" t="str">
            <v>.</v>
          </cell>
        </row>
        <row r="158">
          <cell r="BA158" t="str">
            <v>.</v>
          </cell>
        </row>
        <row r="159">
          <cell r="BA159" t="str">
            <v>.</v>
          </cell>
        </row>
        <row r="160">
          <cell r="BA160" t="str">
            <v>.</v>
          </cell>
        </row>
        <row r="161">
          <cell r="BA161" t="str">
            <v>.</v>
          </cell>
        </row>
        <row r="162">
          <cell r="BA162" t="str">
            <v>.</v>
          </cell>
        </row>
        <row r="163">
          <cell r="BA163" t="str">
            <v>.</v>
          </cell>
        </row>
        <row r="164">
          <cell r="BA164" t="str">
            <v>.</v>
          </cell>
        </row>
        <row r="165">
          <cell r="BA165" t="str">
            <v>.</v>
          </cell>
        </row>
        <row r="166">
          <cell r="BA166" t="str">
            <v>.</v>
          </cell>
        </row>
        <row r="167">
          <cell r="BA167" t="str">
            <v>.</v>
          </cell>
        </row>
        <row r="168">
          <cell r="BA168" t="str">
            <v>.</v>
          </cell>
        </row>
        <row r="169">
          <cell r="BA169" t="str">
            <v>.</v>
          </cell>
        </row>
        <row r="170">
          <cell r="BA170" t="str">
            <v>.</v>
          </cell>
        </row>
        <row r="171">
          <cell r="BA171" t="str">
            <v>.</v>
          </cell>
        </row>
        <row r="172">
          <cell r="BA172" t="str">
            <v>.</v>
          </cell>
        </row>
        <row r="173">
          <cell r="BA173" t="str">
            <v>.</v>
          </cell>
        </row>
        <row r="174">
          <cell r="BA174" t="str">
            <v>.</v>
          </cell>
        </row>
        <row r="175">
          <cell r="BA175" t="str">
            <v>.</v>
          </cell>
        </row>
        <row r="176">
          <cell r="BA176" t="str">
            <v>.</v>
          </cell>
        </row>
        <row r="177">
          <cell r="BA177" t="str">
            <v>.</v>
          </cell>
        </row>
        <row r="178">
          <cell r="BA178" t="str">
            <v>.</v>
          </cell>
        </row>
        <row r="179">
          <cell r="BA179" t="str">
            <v>.</v>
          </cell>
        </row>
        <row r="180">
          <cell r="BA180" t="str">
            <v>.</v>
          </cell>
        </row>
        <row r="181">
          <cell r="BA181" t="str">
            <v>.</v>
          </cell>
        </row>
        <row r="182">
          <cell r="BA182" t="str">
            <v>.</v>
          </cell>
        </row>
        <row r="183">
          <cell r="BA183" t="str">
            <v>.</v>
          </cell>
        </row>
        <row r="184">
          <cell r="BA184" t="str">
            <v>.</v>
          </cell>
        </row>
        <row r="185">
          <cell r="BA185" t="str">
            <v>.</v>
          </cell>
        </row>
        <row r="186">
          <cell r="BA186" t="str">
            <v>.</v>
          </cell>
        </row>
        <row r="187">
          <cell r="BA187" t="str">
            <v>.</v>
          </cell>
        </row>
        <row r="188">
          <cell r="BA188" t="str">
            <v>.</v>
          </cell>
        </row>
        <row r="189">
          <cell r="BA189" t="str">
            <v>.</v>
          </cell>
        </row>
        <row r="190">
          <cell r="BA190" t="str">
            <v>.</v>
          </cell>
        </row>
        <row r="191">
          <cell r="BA191" t="str">
            <v>.</v>
          </cell>
        </row>
        <row r="192">
          <cell r="BA192" t="str">
            <v>.</v>
          </cell>
        </row>
        <row r="193">
          <cell r="BA193" t="str">
            <v>.</v>
          </cell>
        </row>
        <row r="194">
          <cell r="BA194" t="str">
            <v>.</v>
          </cell>
        </row>
        <row r="195">
          <cell r="BA195" t="str">
            <v>.</v>
          </cell>
        </row>
        <row r="196">
          <cell r="BA196" t="str">
            <v>.</v>
          </cell>
        </row>
        <row r="197">
          <cell r="BA197" t="str">
            <v>.</v>
          </cell>
        </row>
        <row r="198">
          <cell r="BA198" t="str">
            <v>.</v>
          </cell>
        </row>
        <row r="199">
          <cell r="BA199" t="str">
            <v>.</v>
          </cell>
        </row>
        <row r="200">
          <cell r="BA200" t="str">
            <v>.</v>
          </cell>
        </row>
        <row r="201">
          <cell r="BA201" t="str">
            <v>.</v>
          </cell>
        </row>
        <row r="202">
          <cell r="BA202" t="str">
            <v>.</v>
          </cell>
        </row>
        <row r="203">
          <cell r="BA203" t="str">
            <v>.</v>
          </cell>
        </row>
        <row r="204">
          <cell r="BA204" t="str">
            <v>.</v>
          </cell>
        </row>
        <row r="205">
          <cell r="BA205" t="str">
            <v>.</v>
          </cell>
        </row>
        <row r="206">
          <cell r="BA206" t="str">
            <v>.</v>
          </cell>
        </row>
        <row r="207">
          <cell r="BA207" t="str">
            <v>.</v>
          </cell>
        </row>
        <row r="208">
          <cell r="BA208" t="str">
            <v>.</v>
          </cell>
        </row>
        <row r="209">
          <cell r="BA209" t="str">
            <v>.</v>
          </cell>
        </row>
        <row r="210">
          <cell r="BA210" t="str">
            <v>.</v>
          </cell>
        </row>
        <row r="211">
          <cell r="BA211" t="str">
            <v>.</v>
          </cell>
        </row>
        <row r="212">
          <cell r="BA212" t="str">
            <v>.</v>
          </cell>
        </row>
        <row r="213">
          <cell r="BA213" t="str">
            <v>.</v>
          </cell>
        </row>
        <row r="214">
          <cell r="BA214" t="str">
            <v>.</v>
          </cell>
        </row>
        <row r="215">
          <cell r="BA215" t="str">
            <v>.</v>
          </cell>
        </row>
        <row r="216">
          <cell r="BA216" t="str">
            <v>.</v>
          </cell>
        </row>
        <row r="217">
          <cell r="BA217" t="str">
            <v>.</v>
          </cell>
        </row>
        <row r="218">
          <cell r="BA218" t="str">
            <v>.</v>
          </cell>
        </row>
        <row r="219">
          <cell r="BA219" t="str">
            <v>.</v>
          </cell>
        </row>
        <row r="220">
          <cell r="BA220" t="str">
            <v>.</v>
          </cell>
        </row>
        <row r="221">
          <cell r="BA221" t="str">
            <v>.</v>
          </cell>
        </row>
        <row r="222">
          <cell r="BA222" t="str">
            <v>.</v>
          </cell>
        </row>
        <row r="223">
          <cell r="BA223" t="str">
            <v>.</v>
          </cell>
        </row>
        <row r="224">
          <cell r="BA224" t="str">
            <v>.</v>
          </cell>
        </row>
        <row r="225">
          <cell r="BA225" t="str">
            <v>.</v>
          </cell>
        </row>
        <row r="226">
          <cell r="BA226" t="str">
            <v>.</v>
          </cell>
        </row>
        <row r="227">
          <cell r="BA227" t="str">
            <v>.</v>
          </cell>
        </row>
        <row r="228">
          <cell r="BA228" t="str">
            <v>.</v>
          </cell>
        </row>
        <row r="229">
          <cell r="BA229" t="str">
            <v>.</v>
          </cell>
        </row>
        <row r="230">
          <cell r="BA230" t="str">
            <v>.</v>
          </cell>
        </row>
        <row r="231">
          <cell r="BA231" t="str">
            <v>.</v>
          </cell>
        </row>
        <row r="232">
          <cell r="BA232" t="str">
            <v>.</v>
          </cell>
        </row>
        <row r="233">
          <cell r="BA233" t="str">
            <v>.</v>
          </cell>
        </row>
        <row r="234">
          <cell r="BA234" t="str">
            <v>.</v>
          </cell>
        </row>
        <row r="235">
          <cell r="BA235" t="str">
            <v>.</v>
          </cell>
        </row>
        <row r="236">
          <cell r="BA236" t="str">
            <v>.</v>
          </cell>
        </row>
        <row r="237">
          <cell r="BA237" t="str">
            <v>.</v>
          </cell>
        </row>
        <row r="238">
          <cell r="BA238" t="str">
            <v>.</v>
          </cell>
        </row>
        <row r="239">
          <cell r="BA239" t="str">
            <v>.</v>
          </cell>
        </row>
        <row r="240">
          <cell r="BA240" t="str">
            <v>.</v>
          </cell>
        </row>
        <row r="241">
          <cell r="BA241" t="str">
            <v>.</v>
          </cell>
        </row>
        <row r="242">
          <cell r="BA242" t="str">
            <v>.</v>
          </cell>
        </row>
        <row r="243">
          <cell r="BA243" t="str">
            <v>.</v>
          </cell>
        </row>
        <row r="244">
          <cell r="BA244" t="str">
            <v>.</v>
          </cell>
        </row>
        <row r="245">
          <cell r="BA245" t="str">
            <v>.</v>
          </cell>
        </row>
        <row r="246">
          <cell r="BA246" t="str">
            <v>.</v>
          </cell>
        </row>
        <row r="247">
          <cell r="BA247" t="str">
            <v>.</v>
          </cell>
        </row>
        <row r="248">
          <cell r="BA248" t="str">
            <v>.</v>
          </cell>
        </row>
        <row r="249">
          <cell r="BA249" t="str">
            <v>.</v>
          </cell>
        </row>
        <row r="250">
          <cell r="BA250" t="str">
            <v>.</v>
          </cell>
        </row>
        <row r="251">
          <cell r="BA251" t="str">
            <v>.</v>
          </cell>
        </row>
        <row r="252">
          <cell r="BA252" t="str">
            <v>.</v>
          </cell>
        </row>
        <row r="253">
          <cell r="BA253" t="str">
            <v>.</v>
          </cell>
        </row>
        <row r="254">
          <cell r="BA254" t="str">
            <v>.</v>
          </cell>
        </row>
        <row r="255">
          <cell r="BA255" t="str">
            <v>.</v>
          </cell>
        </row>
        <row r="256">
          <cell r="BA256" t="str">
            <v>.</v>
          </cell>
        </row>
        <row r="257">
          <cell r="BA257" t="str">
            <v>.</v>
          </cell>
        </row>
        <row r="258">
          <cell r="BA258" t="str">
            <v>.</v>
          </cell>
        </row>
        <row r="259">
          <cell r="BA259" t="str">
            <v>.</v>
          </cell>
        </row>
        <row r="260">
          <cell r="BA260" t="str">
            <v>.</v>
          </cell>
        </row>
        <row r="261">
          <cell r="BA261" t="str">
            <v>.</v>
          </cell>
        </row>
        <row r="262">
          <cell r="BA262" t="str">
            <v>.</v>
          </cell>
        </row>
        <row r="263">
          <cell r="BA263" t="str">
            <v>.</v>
          </cell>
        </row>
        <row r="264">
          <cell r="BA264" t="str">
            <v>.</v>
          </cell>
        </row>
        <row r="265">
          <cell r="BA265" t="str">
            <v>.</v>
          </cell>
        </row>
        <row r="266">
          <cell r="BA266" t="str">
            <v>.</v>
          </cell>
        </row>
        <row r="267">
          <cell r="BA267" t="str">
            <v>.</v>
          </cell>
        </row>
        <row r="268">
          <cell r="BA268" t="str">
            <v>.</v>
          </cell>
        </row>
        <row r="269">
          <cell r="BA269" t="str">
            <v>.</v>
          </cell>
        </row>
        <row r="270">
          <cell r="BA270" t="str">
            <v>.</v>
          </cell>
        </row>
        <row r="271">
          <cell r="BA271" t="str">
            <v>.</v>
          </cell>
        </row>
        <row r="272">
          <cell r="BA272" t="str">
            <v>.</v>
          </cell>
        </row>
        <row r="273">
          <cell r="BA273" t="str">
            <v>.</v>
          </cell>
        </row>
        <row r="274">
          <cell r="BA274" t="str">
            <v>.</v>
          </cell>
        </row>
        <row r="275">
          <cell r="BA275" t="str">
            <v>.</v>
          </cell>
        </row>
        <row r="276">
          <cell r="BA276" t="str">
            <v>.</v>
          </cell>
        </row>
        <row r="277">
          <cell r="BA277" t="str">
            <v>.</v>
          </cell>
        </row>
        <row r="278">
          <cell r="BA278" t="str">
            <v>.</v>
          </cell>
        </row>
        <row r="279">
          <cell r="BA279" t="str">
            <v>.</v>
          </cell>
        </row>
        <row r="280">
          <cell r="BA280" t="str">
            <v>.</v>
          </cell>
        </row>
        <row r="281">
          <cell r="BA281" t="str">
            <v>.</v>
          </cell>
        </row>
        <row r="282">
          <cell r="BA282" t="str">
            <v>.</v>
          </cell>
        </row>
        <row r="283">
          <cell r="BA283" t="str">
            <v>.</v>
          </cell>
        </row>
        <row r="284">
          <cell r="BA284" t="str">
            <v>.</v>
          </cell>
        </row>
        <row r="285">
          <cell r="BA285" t="str">
            <v>.</v>
          </cell>
        </row>
        <row r="286">
          <cell r="BA286" t="str">
            <v>.</v>
          </cell>
        </row>
        <row r="287">
          <cell r="BA287" t="str">
            <v>.</v>
          </cell>
        </row>
        <row r="288">
          <cell r="BA288" t="str">
            <v>.</v>
          </cell>
        </row>
        <row r="289">
          <cell r="BA289" t="str">
            <v>.</v>
          </cell>
        </row>
        <row r="290">
          <cell r="BA290" t="str">
            <v>.</v>
          </cell>
        </row>
        <row r="291">
          <cell r="BA291" t="str">
            <v>.</v>
          </cell>
        </row>
        <row r="292">
          <cell r="BA292" t="str">
            <v>.</v>
          </cell>
        </row>
        <row r="293">
          <cell r="BA293" t="str">
            <v>.</v>
          </cell>
        </row>
        <row r="294">
          <cell r="BA294" t="str">
            <v>.</v>
          </cell>
        </row>
        <row r="295">
          <cell r="BA295" t="str">
            <v>.</v>
          </cell>
        </row>
        <row r="296">
          <cell r="BA296" t="str">
            <v>.</v>
          </cell>
        </row>
        <row r="297">
          <cell r="BA297" t="str">
            <v>.</v>
          </cell>
        </row>
        <row r="298">
          <cell r="BA298" t="str">
            <v>.</v>
          </cell>
        </row>
        <row r="299">
          <cell r="BA299" t="str">
            <v>.</v>
          </cell>
        </row>
        <row r="300">
          <cell r="BA300" t="str">
            <v>.</v>
          </cell>
        </row>
        <row r="301">
          <cell r="BA301" t="str">
            <v>.</v>
          </cell>
        </row>
        <row r="302">
          <cell r="BA302" t="str">
            <v>.</v>
          </cell>
        </row>
        <row r="303">
          <cell r="BA303" t="str">
            <v>.</v>
          </cell>
        </row>
        <row r="304">
          <cell r="BA304" t="str">
            <v>.</v>
          </cell>
        </row>
        <row r="305">
          <cell r="BA305" t="str">
            <v>.</v>
          </cell>
        </row>
        <row r="306">
          <cell r="BA306" t="str">
            <v>.</v>
          </cell>
        </row>
        <row r="307">
          <cell r="BA307" t="str">
            <v>.</v>
          </cell>
        </row>
        <row r="308">
          <cell r="BA308" t="str">
            <v>.</v>
          </cell>
        </row>
        <row r="309">
          <cell r="BA309" t="str">
            <v>.</v>
          </cell>
        </row>
        <row r="310">
          <cell r="BA310" t="str">
            <v>.</v>
          </cell>
        </row>
        <row r="311">
          <cell r="BA311" t="str">
            <v>.</v>
          </cell>
        </row>
        <row r="312">
          <cell r="BA312" t="str">
            <v>.</v>
          </cell>
        </row>
        <row r="313">
          <cell r="BA313" t="str">
            <v>.</v>
          </cell>
        </row>
        <row r="314">
          <cell r="BA314" t="str">
            <v>.</v>
          </cell>
        </row>
        <row r="315">
          <cell r="BA315" t="str">
            <v>.</v>
          </cell>
        </row>
        <row r="316">
          <cell r="BA316" t="str">
            <v>.</v>
          </cell>
        </row>
        <row r="317">
          <cell r="BA317" t="str">
            <v>.</v>
          </cell>
        </row>
        <row r="318">
          <cell r="BA318" t="str">
            <v>.</v>
          </cell>
        </row>
        <row r="319">
          <cell r="BA319" t="str">
            <v>.</v>
          </cell>
        </row>
        <row r="320">
          <cell r="BA320" t="str">
            <v>.</v>
          </cell>
        </row>
        <row r="321">
          <cell r="BA321" t="str">
            <v>.</v>
          </cell>
        </row>
        <row r="322">
          <cell r="BA322" t="str">
            <v>.</v>
          </cell>
        </row>
        <row r="323">
          <cell r="BA323" t="str">
            <v>.</v>
          </cell>
        </row>
        <row r="324">
          <cell r="BA324" t="str">
            <v>.</v>
          </cell>
        </row>
        <row r="325">
          <cell r="BA325" t="str">
            <v>.</v>
          </cell>
        </row>
        <row r="326">
          <cell r="BA326" t="str">
            <v>.</v>
          </cell>
        </row>
        <row r="327">
          <cell r="BA327" t="str">
            <v>.</v>
          </cell>
        </row>
        <row r="328">
          <cell r="BA328" t="str">
            <v>.</v>
          </cell>
        </row>
        <row r="329">
          <cell r="BA329" t="str">
            <v>.</v>
          </cell>
        </row>
        <row r="330">
          <cell r="BA330" t="str">
            <v>.</v>
          </cell>
        </row>
        <row r="331">
          <cell r="BA331" t="str">
            <v>.</v>
          </cell>
        </row>
        <row r="332">
          <cell r="BA332" t="str">
            <v>.</v>
          </cell>
        </row>
        <row r="333">
          <cell r="BA333" t="str">
            <v>.</v>
          </cell>
        </row>
        <row r="334">
          <cell r="BA334" t="str">
            <v>.</v>
          </cell>
        </row>
        <row r="335">
          <cell r="BA335" t="str">
            <v>.</v>
          </cell>
        </row>
        <row r="336">
          <cell r="BA336" t="str">
            <v>.</v>
          </cell>
        </row>
        <row r="337">
          <cell r="BA337" t="str">
            <v>.</v>
          </cell>
        </row>
        <row r="338">
          <cell r="BA338" t="str">
            <v>.</v>
          </cell>
        </row>
        <row r="339">
          <cell r="BA339" t="str">
            <v>.</v>
          </cell>
        </row>
        <row r="340">
          <cell r="BA340" t="str">
            <v>.</v>
          </cell>
        </row>
        <row r="341">
          <cell r="BA341" t="str">
            <v>.</v>
          </cell>
        </row>
        <row r="342">
          <cell r="BA342" t="str">
            <v>.</v>
          </cell>
        </row>
        <row r="343">
          <cell r="BA343" t="str">
            <v>.</v>
          </cell>
        </row>
        <row r="344">
          <cell r="BA344" t="str">
            <v>.</v>
          </cell>
        </row>
        <row r="345">
          <cell r="BA345" t="str">
            <v>.</v>
          </cell>
        </row>
        <row r="346">
          <cell r="BA346" t="str">
            <v>.</v>
          </cell>
        </row>
        <row r="347">
          <cell r="BA347" t="str">
            <v>.</v>
          </cell>
        </row>
        <row r="348">
          <cell r="BA348" t="str">
            <v>.</v>
          </cell>
        </row>
        <row r="349">
          <cell r="BA349" t="str">
            <v>.</v>
          </cell>
        </row>
        <row r="350">
          <cell r="BA350" t="str">
            <v>.</v>
          </cell>
        </row>
        <row r="351">
          <cell r="BA351" t="str">
            <v>.</v>
          </cell>
        </row>
        <row r="352">
          <cell r="BA352" t="str">
            <v>.</v>
          </cell>
        </row>
        <row r="353">
          <cell r="BA353" t="str">
            <v>.</v>
          </cell>
        </row>
        <row r="354">
          <cell r="BA354" t="str">
            <v>.</v>
          </cell>
        </row>
        <row r="355">
          <cell r="BA355" t="str">
            <v>.</v>
          </cell>
        </row>
        <row r="356">
          <cell r="BA356" t="str">
            <v>.</v>
          </cell>
        </row>
        <row r="357">
          <cell r="BA357" t="str">
            <v>.</v>
          </cell>
        </row>
        <row r="358">
          <cell r="BA358" t="str">
            <v>.</v>
          </cell>
        </row>
        <row r="359">
          <cell r="BA359" t="str">
            <v>.</v>
          </cell>
        </row>
        <row r="360">
          <cell r="BA360" t="str">
            <v>.</v>
          </cell>
        </row>
        <row r="361">
          <cell r="BA361" t="str">
            <v>.</v>
          </cell>
        </row>
        <row r="362">
          <cell r="BA362" t="str">
            <v>.</v>
          </cell>
        </row>
        <row r="363">
          <cell r="BA363" t="str">
            <v>.</v>
          </cell>
        </row>
        <row r="364">
          <cell r="BA364" t="str">
            <v>.</v>
          </cell>
        </row>
        <row r="365">
          <cell r="BA365" t="str">
            <v>.</v>
          </cell>
        </row>
        <row r="366">
          <cell r="BA366" t="str">
            <v>.</v>
          </cell>
        </row>
        <row r="367">
          <cell r="BA367" t="str">
            <v>.</v>
          </cell>
        </row>
        <row r="368">
          <cell r="BA368" t="str">
            <v>.</v>
          </cell>
        </row>
        <row r="369">
          <cell r="BA369" t="str">
            <v>.</v>
          </cell>
        </row>
        <row r="370">
          <cell r="BA370" t="str">
            <v>.</v>
          </cell>
        </row>
        <row r="371">
          <cell r="BA371" t="str">
            <v>.</v>
          </cell>
        </row>
        <row r="372">
          <cell r="BA372" t="str">
            <v>.</v>
          </cell>
        </row>
        <row r="373">
          <cell r="BA373" t="str">
            <v>.</v>
          </cell>
        </row>
        <row r="374">
          <cell r="BA374" t="str">
            <v>.</v>
          </cell>
        </row>
        <row r="375">
          <cell r="BA375" t="str">
            <v>.</v>
          </cell>
        </row>
        <row r="376">
          <cell r="BA376" t="str">
            <v>.</v>
          </cell>
        </row>
        <row r="377">
          <cell r="BA377" t="str">
            <v>.</v>
          </cell>
        </row>
        <row r="378">
          <cell r="BA378" t="str">
            <v>.</v>
          </cell>
        </row>
        <row r="379">
          <cell r="BA379" t="str">
            <v>.</v>
          </cell>
        </row>
        <row r="380">
          <cell r="BA380" t="str">
            <v>.</v>
          </cell>
        </row>
        <row r="381">
          <cell r="BA381" t="str">
            <v>.</v>
          </cell>
        </row>
        <row r="382">
          <cell r="BA382" t="str">
            <v>.</v>
          </cell>
        </row>
        <row r="383">
          <cell r="BA383" t="str">
            <v>.</v>
          </cell>
        </row>
        <row r="384">
          <cell r="BA384" t="str">
            <v>.</v>
          </cell>
        </row>
        <row r="385">
          <cell r="BA385" t="str">
            <v>.</v>
          </cell>
        </row>
        <row r="386">
          <cell r="BA386" t="str">
            <v>.</v>
          </cell>
        </row>
        <row r="387">
          <cell r="BA387" t="str">
            <v>.</v>
          </cell>
        </row>
        <row r="388">
          <cell r="BA388" t="str">
            <v>.</v>
          </cell>
        </row>
        <row r="389">
          <cell r="BA389" t="str">
            <v>.</v>
          </cell>
        </row>
        <row r="390">
          <cell r="BA390" t="str">
            <v>.</v>
          </cell>
        </row>
        <row r="391">
          <cell r="BA391" t="str">
            <v>.</v>
          </cell>
        </row>
        <row r="392">
          <cell r="BA392" t="str">
            <v>.</v>
          </cell>
        </row>
        <row r="393">
          <cell r="BA393" t="str">
            <v>.</v>
          </cell>
        </row>
        <row r="394">
          <cell r="BA394" t="str">
            <v>.</v>
          </cell>
        </row>
        <row r="395">
          <cell r="BA395" t="str">
            <v>.</v>
          </cell>
        </row>
        <row r="396">
          <cell r="BA396" t="str">
            <v>.</v>
          </cell>
        </row>
        <row r="397">
          <cell r="BA397" t="str">
            <v>.</v>
          </cell>
        </row>
        <row r="398">
          <cell r="BA398" t="str">
            <v>.</v>
          </cell>
        </row>
        <row r="399">
          <cell r="BA399" t="str">
            <v>.</v>
          </cell>
        </row>
        <row r="400">
          <cell r="BA400" t="str">
            <v>.</v>
          </cell>
        </row>
        <row r="401">
          <cell r="BA401" t="str">
            <v>.</v>
          </cell>
        </row>
        <row r="402">
          <cell r="BA402" t="str">
            <v>.</v>
          </cell>
        </row>
        <row r="403">
          <cell r="BA403" t="str">
            <v>.</v>
          </cell>
        </row>
        <row r="404">
          <cell r="BA404" t="str">
            <v>.</v>
          </cell>
        </row>
        <row r="405">
          <cell r="BA405" t="str">
            <v>.</v>
          </cell>
        </row>
        <row r="406">
          <cell r="BA406" t="str">
            <v>.</v>
          </cell>
        </row>
        <row r="407">
          <cell r="BA407" t="str">
            <v>.</v>
          </cell>
        </row>
        <row r="408">
          <cell r="BA408" t="str">
            <v>.</v>
          </cell>
        </row>
        <row r="409">
          <cell r="BA409" t="str">
            <v>.</v>
          </cell>
        </row>
        <row r="410">
          <cell r="BA410" t="str">
            <v>.</v>
          </cell>
        </row>
        <row r="411">
          <cell r="BA411" t="str">
            <v>.</v>
          </cell>
        </row>
        <row r="412">
          <cell r="BA412" t="str">
            <v>.</v>
          </cell>
        </row>
        <row r="413">
          <cell r="BA413" t="str">
            <v>.</v>
          </cell>
        </row>
        <row r="414">
          <cell r="BA414" t="str">
            <v>.</v>
          </cell>
        </row>
        <row r="415">
          <cell r="BA415" t="str">
            <v>.</v>
          </cell>
        </row>
        <row r="416">
          <cell r="BA416" t="str">
            <v>.</v>
          </cell>
        </row>
        <row r="417">
          <cell r="BA417" t="str">
            <v>.</v>
          </cell>
        </row>
        <row r="418">
          <cell r="BA418" t="str">
            <v>.</v>
          </cell>
        </row>
        <row r="419">
          <cell r="BA419" t="str">
            <v>.</v>
          </cell>
        </row>
        <row r="420">
          <cell r="BA420" t="str">
            <v>.</v>
          </cell>
        </row>
        <row r="421">
          <cell r="BA421" t="str">
            <v>.</v>
          </cell>
        </row>
        <row r="422">
          <cell r="BA422" t="str">
            <v>.</v>
          </cell>
        </row>
        <row r="423">
          <cell r="BA423" t="str">
            <v>.</v>
          </cell>
        </row>
        <row r="424">
          <cell r="BA424" t="str">
            <v>.</v>
          </cell>
        </row>
        <row r="425">
          <cell r="BA425" t="str">
            <v>.</v>
          </cell>
        </row>
        <row r="426">
          <cell r="BA426" t="str">
            <v>.</v>
          </cell>
        </row>
        <row r="427">
          <cell r="BA427" t="str">
            <v>.</v>
          </cell>
        </row>
        <row r="428">
          <cell r="BA428" t="str">
            <v>.</v>
          </cell>
        </row>
        <row r="429">
          <cell r="BA429" t="str">
            <v>.</v>
          </cell>
        </row>
        <row r="430">
          <cell r="BA430" t="str">
            <v>.</v>
          </cell>
        </row>
        <row r="431">
          <cell r="BA431" t="str">
            <v>.</v>
          </cell>
        </row>
        <row r="432">
          <cell r="BA432" t="str">
            <v>.</v>
          </cell>
        </row>
        <row r="433">
          <cell r="BA433" t="str">
            <v>.</v>
          </cell>
        </row>
        <row r="434">
          <cell r="BA434" t="str">
            <v>.</v>
          </cell>
        </row>
        <row r="435">
          <cell r="BA435" t="str">
            <v>.</v>
          </cell>
        </row>
        <row r="436">
          <cell r="BA436" t="str">
            <v>.</v>
          </cell>
        </row>
        <row r="437">
          <cell r="BA437" t="str">
            <v>.</v>
          </cell>
        </row>
        <row r="438">
          <cell r="BA438" t="str">
            <v>.</v>
          </cell>
        </row>
        <row r="439">
          <cell r="BA439" t="str">
            <v>.</v>
          </cell>
        </row>
        <row r="440">
          <cell r="BA440" t="str">
            <v>.</v>
          </cell>
        </row>
        <row r="441">
          <cell r="BA441" t="str">
            <v>.</v>
          </cell>
        </row>
        <row r="442">
          <cell r="BA442" t="str">
            <v>.</v>
          </cell>
        </row>
        <row r="443">
          <cell r="BA443" t="str">
            <v>.</v>
          </cell>
        </row>
        <row r="444">
          <cell r="BA444" t="str">
            <v>.</v>
          </cell>
        </row>
        <row r="445">
          <cell r="BA445" t="str">
            <v>.</v>
          </cell>
        </row>
        <row r="446">
          <cell r="BA446" t="str">
            <v>.</v>
          </cell>
        </row>
        <row r="447">
          <cell r="BA447" t="str">
            <v>.</v>
          </cell>
        </row>
        <row r="448">
          <cell r="BA448" t="str">
            <v>.</v>
          </cell>
        </row>
        <row r="449">
          <cell r="BA449" t="str">
            <v>.</v>
          </cell>
        </row>
        <row r="450">
          <cell r="BA450" t="str">
            <v>.</v>
          </cell>
        </row>
        <row r="451">
          <cell r="BA451" t="str">
            <v>.</v>
          </cell>
        </row>
        <row r="452">
          <cell r="BA452" t="str">
            <v>.</v>
          </cell>
        </row>
        <row r="453">
          <cell r="BA453" t="str">
            <v>.</v>
          </cell>
        </row>
        <row r="454">
          <cell r="BA454" t="str">
            <v>.</v>
          </cell>
        </row>
        <row r="455">
          <cell r="BA455" t="str">
            <v>.</v>
          </cell>
        </row>
        <row r="456">
          <cell r="BA456" t="str">
            <v>.</v>
          </cell>
        </row>
        <row r="457">
          <cell r="BA457" t="str">
            <v>.</v>
          </cell>
        </row>
        <row r="458">
          <cell r="BA458" t="str">
            <v>.</v>
          </cell>
        </row>
        <row r="459">
          <cell r="BA459" t="str">
            <v>.</v>
          </cell>
        </row>
        <row r="460">
          <cell r="BA460" t="str">
            <v>.</v>
          </cell>
        </row>
        <row r="461">
          <cell r="BA461" t="str">
            <v>.</v>
          </cell>
        </row>
        <row r="462">
          <cell r="BA462" t="str">
            <v>.</v>
          </cell>
        </row>
        <row r="463">
          <cell r="BA463" t="str">
            <v>.</v>
          </cell>
        </row>
        <row r="464">
          <cell r="BA464" t="str">
            <v>.</v>
          </cell>
        </row>
        <row r="465">
          <cell r="BA465" t="str">
            <v>.</v>
          </cell>
        </row>
        <row r="466">
          <cell r="BA466" t="str">
            <v>.</v>
          </cell>
        </row>
        <row r="467">
          <cell r="BA467" t="str">
            <v>.</v>
          </cell>
        </row>
        <row r="468">
          <cell r="BA468" t="str">
            <v>.</v>
          </cell>
        </row>
        <row r="469">
          <cell r="BA469" t="str">
            <v>.</v>
          </cell>
        </row>
        <row r="470">
          <cell r="BA470" t="str">
            <v>.</v>
          </cell>
        </row>
        <row r="471">
          <cell r="BA471" t="str">
            <v>.</v>
          </cell>
        </row>
        <row r="472">
          <cell r="BA472" t="str">
            <v>.</v>
          </cell>
        </row>
        <row r="473">
          <cell r="BA473" t="str">
            <v>.</v>
          </cell>
        </row>
        <row r="474">
          <cell r="BA474" t="str">
            <v>.</v>
          </cell>
        </row>
        <row r="475">
          <cell r="BA475" t="str">
            <v>.</v>
          </cell>
        </row>
        <row r="476">
          <cell r="BA476" t="str">
            <v>.</v>
          </cell>
        </row>
        <row r="477">
          <cell r="BA477" t="str">
            <v>.</v>
          </cell>
        </row>
        <row r="478">
          <cell r="BA478" t="str">
            <v>.</v>
          </cell>
        </row>
        <row r="479">
          <cell r="BA479" t="str">
            <v>.</v>
          </cell>
        </row>
        <row r="480">
          <cell r="BA480" t="str">
            <v>.</v>
          </cell>
        </row>
        <row r="481">
          <cell r="BA481" t="str">
            <v>.</v>
          </cell>
        </row>
        <row r="482">
          <cell r="BA482" t="str">
            <v>.</v>
          </cell>
        </row>
        <row r="483">
          <cell r="BA483" t="str">
            <v>.</v>
          </cell>
        </row>
        <row r="484">
          <cell r="BA484" t="str">
            <v>.</v>
          </cell>
        </row>
        <row r="485">
          <cell r="BA485" t="str">
            <v>.</v>
          </cell>
        </row>
        <row r="486">
          <cell r="BA486" t="str">
            <v>.</v>
          </cell>
        </row>
        <row r="487">
          <cell r="BA487" t="str">
            <v>.</v>
          </cell>
        </row>
        <row r="488">
          <cell r="BA488" t="str">
            <v>.</v>
          </cell>
        </row>
        <row r="489">
          <cell r="BA489" t="str">
            <v>.</v>
          </cell>
        </row>
        <row r="490">
          <cell r="BA490" t="str">
            <v>.</v>
          </cell>
        </row>
        <row r="491">
          <cell r="BA491" t="str">
            <v>.</v>
          </cell>
        </row>
        <row r="492">
          <cell r="BA492" t="str">
            <v>.</v>
          </cell>
        </row>
        <row r="493">
          <cell r="BA493" t="str">
            <v>.</v>
          </cell>
        </row>
        <row r="494">
          <cell r="BA494" t="str">
            <v>.</v>
          </cell>
        </row>
        <row r="495">
          <cell r="BA495" t="str">
            <v>.</v>
          </cell>
        </row>
        <row r="496">
          <cell r="BA496" t="str">
            <v>.</v>
          </cell>
        </row>
        <row r="497">
          <cell r="BA497" t="str">
            <v>.</v>
          </cell>
        </row>
        <row r="498">
          <cell r="BA498" t="str">
            <v>.</v>
          </cell>
        </row>
        <row r="499">
          <cell r="BA499" t="str">
            <v>.</v>
          </cell>
        </row>
        <row r="500">
          <cell r="BA500" t="str">
            <v>.</v>
          </cell>
        </row>
        <row r="501">
          <cell r="BA501" t="str">
            <v>.</v>
          </cell>
        </row>
        <row r="502">
          <cell r="BA502" t="str">
            <v>.</v>
          </cell>
        </row>
        <row r="503">
          <cell r="BA503" t="str">
            <v>.</v>
          </cell>
        </row>
        <row r="504">
          <cell r="BA504" t="str">
            <v>.</v>
          </cell>
        </row>
        <row r="505">
          <cell r="BA505" t="str">
            <v>.</v>
          </cell>
        </row>
        <row r="506">
          <cell r="BA506" t="str">
            <v>.</v>
          </cell>
        </row>
        <row r="507">
          <cell r="BA507" t="str">
            <v>.</v>
          </cell>
        </row>
        <row r="508">
          <cell r="BA508" t="str">
            <v>.</v>
          </cell>
        </row>
        <row r="509">
          <cell r="BA509" t="str">
            <v>.</v>
          </cell>
        </row>
        <row r="510">
          <cell r="BA510" t="str">
            <v>.</v>
          </cell>
        </row>
        <row r="511">
          <cell r="BA511" t="str">
            <v>.</v>
          </cell>
        </row>
        <row r="512">
          <cell r="BA512" t="str">
            <v>.</v>
          </cell>
        </row>
        <row r="513">
          <cell r="BA513" t="str">
            <v>.</v>
          </cell>
        </row>
        <row r="514">
          <cell r="BA514" t="str">
            <v>.</v>
          </cell>
        </row>
        <row r="515">
          <cell r="BA515" t="str">
            <v>.</v>
          </cell>
        </row>
        <row r="516">
          <cell r="BA516" t="str">
            <v>.</v>
          </cell>
        </row>
        <row r="517">
          <cell r="BA517" t="str">
            <v>.</v>
          </cell>
        </row>
        <row r="518">
          <cell r="BA518" t="str">
            <v>.</v>
          </cell>
        </row>
        <row r="519">
          <cell r="BA519" t="str">
            <v>.</v>
          </cell>
        </row>
        <row r="520">
          <cell r="BA520" t="str">
            <v>.</v>
          </cell>
        </row>
        <row r="521">
          <cell r="BA521" t="str">
            <v>.</v>
          </cell>
        </row>
        <row r="522">
          <cell r="BA522" t="str">
            <v>.</v>
          </cell>
        </row>
        <row r="523">
          <cell r="BA523" t="str">
            <v>.</v>
          </cell>
        </row>
        <row r="524">
          <cell r="BA524" t="str">
            <v>.</v>
          </cell>
        </row>
        <row r="525">
          <cell r="BA525" t="str">
            <v>.</v>
          </cell>
        </row>
        <row r="526">
          <cell r="BA526" t="str">
            <v>.</v>
          </cell>
        </row>
        <row r="527">
          <cell r="BA527" t="str">
            <v>.</v>
          </cell>
        </row>
        <row r="528">
          <cell r="BA528" t="str">
            <v>.</v>
          </cell>
        </row>
        <row r="529">
          <cell r="BA529" t="str">
            <v>.</v>
          </cell>
        </row>
        <row r="530">
          <cell r="BA530" t="str">
            <v>.</v>
          </cell>
        </row>
        <row r="531">
          <cell r="BA531" t="str">
            <v>.</v>
          </cell>
        </row>
        <row r="532">
          <cell r="BA532" t="str">
            <v>.</v>
          </cell>
        </row>
        <row r="533">
          <cell r="BA533" t="str">
            <v>.</v>
          </cell>
        </row>
        <row r="534">
          <cell r="BA534" t="str">
            <v>.</v>
          </cell>
        </row>
        <row r="535">
          <cell r="BA535" t="str">
            <v>.</v>
          </cell>
        </row>
        <row r="536">
          <cell r="BA536" t="str">
            <v>.</v>
          </cell>
        </row>
        <row r="537">
          <cell r="BA537" t="str">
            <v>.</v>
          </cell>
        </row>
        <row r="538">
          <cell r="BA538" t="str">
            <v>.</v>
          </cell>
        </row>
        <row r="539">
          <cell r="BA539" t="str">
            <v>.</v>
          </cell>
        </row>
        <row r="540">
          <cell r="BA540" t="str">
            <v>.</v>
          </cell>
        </row>
        <row r="541">
          <cell r="BA541" t="str">
            <v>.</v>
          </cell>
        </row>
        <row r="542">
          <cell r="BA542" t="str">
            <v>.</v>
          </cell>
        </row>
        <row r="543">
          <cell r="BA543" t="str">
            <v>.</v>
          </cell>
        </row>
        <row r="544">
          <cell r="BA544" t="str">
            <v>.</v>
          </cell>
        </row>
        <row r="545">
          <cell r="BA545" t="str">
            <v>.</v>
          </cell>
        </row>
        <row r="546">
          <cell r="BA546" t="str">
            <v>.</v>
          </cell>
        </row>
        <row r="547">
          <cell r="BA547" t="str">
            <v>.</v>
          </cell>
        </row>
        <row r="548">
          <cell r="BA548" t="str">
            <v>.</v>
          </cell>
        </row>
        <row r="549">
          <cell r="BA549" t="str">
            <v>.</v>
          </cell>
        </row>
        <row r="550">
          <cell r="BA550" t="str">
            <v>.</v>
          </cell>
        </row>
        <row r="551">
          <cell r="BA551" t="str">
            <v>.</v>
          </cell>
        </row>
        <row r="552">
          <cell r="BA552" t="str">
            <v>.</v>
          </cell>
        </row>
        <row r="553">
          <cell r="BA553" t="str">
            <v>.</v>
          </cell>
        </row>
        <row r="554">
          <cell r="BA554" t="str">
            <v>.</v>
          </cell>
        </row>
        <row r="555">
          <cell r="BA555" t="str">
            <v>.</v>
          </cell>
        </row>
        <row r="556">
          <cell r="BA556" t="str">
            <v>.</v>
          </cell>
        </row>
        <row r="557">
          <cell r="BA557" t="str">
            <v>.</v>
          </cell>
        </row>
        <row r="558">
          <cell r="BA558" t="str">
            <v>.</v>
          </cell>
        </row>
        <row r="559">
          <cell r="BA559" t="str">
            <v>.</v>
          </cell>
        </row>
        <row r="560">
          <cell r="BA560" t="str">
            <v>.</v>
          </cell>
        </row>
        <row r="561">
          <cell r="BA561" t="str">
            <v>.</v>
          </cell>
        </row>
        <row r="562">
          <cell r="BA562" t="str">
            <v>.</v>
          </cell>
        </row>
        <row r="563">
          <cell r="BA563" t="str">
            <v>.</v>
          </cell>
        </row>
        <row r="564">
          <cell r="BA564" t="str">
            <v>.</v>
          </cell>
        </row>
        <row r="565">
          <cell r="BA565" t="str">
            <v>.</v>
          </cell>
        </row>
        <row r="566">
          <cell r="BA566" t="str">
            <v>.</v>
          </cell>
        </row>
        <row r="567">
          <cell r="BA567" t="str">
            <v>.</v>
          </cell>
        </row>
        <row r="568">
          <cell r="BA568" t="str">
            <v>.</v>
          </cell>
        </row>
        <row r="569">
          <cell r="BA569" t="str">
            <v>.</v>
          </cell>
        </row>
        <row r="570">
          <cell r="BA570" t="str">
            <v>.</v>
          </cell>
        </row>
        <row r="571">
          <cell r="BA571" t="str">
            <v>.</v>
          </cell>
        </row>
        <row r="572">
          <cell r="BA572" t="str">
            <v>.</v>
          </cell>
        </row>
        <row r="573">
          <cell r="BA573" t="str">
            <v>.</v>
          </cell>
        </row>
        <row r="574">
          <cell r="BA574" t="str">
            <v>.</v>
          </cell>
        </row>
        <row r="575">
          <cell r="BA575" t="str">
            <v>.</v>
          </cell>
        </row>
        <row r="576">
          <cell r="BA576" t="str">
            <v>.</v>
          </cell>
        </row>
        <row r="577">
          <cell r="BA577" t="str">
            <v>.</v>
          </cell>
        </row>
        <row r="578">
          <cell r="BA578" t="str">
            <v>.</v>
          </cell>
        </row>
        <row r="579">
          <cell r="BA579" t="str">
            <v>.</v>
          </cell>
        </row>
        <row r="580">
          <cell r="BA580" t="str">
            <v>.</v>
          </cell>
        </row>
        <row r="581">
          <cell r="BA581" t="str">
            <v>.</v>
          </cell>
        </row>
        <row r="582">
          <cell r="BA582" t="str">
            <v>.</v>
          </cell>
        </row>
        <row r="583">
          <cell r="BA583" t="str">
            <v>.</v>
          </cell>
        </row>
        <row r="584">
          <cell r="BA584" t="str">
            <v>.</v>
          </cell>
        </row>
        <row r="585">
          <cell r="BA585" t="str">
            <v>.</v>
          </cell>
        </row>
        <row r="586">
          <cell r="BA586" t="str">
            <v>.</v>
          </cell>
        </row>
        <row r="587">
          <cell r="BA587" t="str">
            <v>.</v>
          </cell>
        </row>
        <row r="588">
          <cell r="BA588" t="str">
            <v>.</v>
          </cell>
        </row>
        <row r="589">
          <cell r="BA589" t="str">
            <v>.</v>
          </cell>
        </row>
        <row r="590">
          <cell r="BA590" t="str">
            <v>.</v>
          </cell>
        </row>
        <row r="591">
          <cell r="BA591" t="str">
            <v>.</v>
          </cell>
        </row>
        <row r="592">
          <cell r="BA592" t="str">
            <v>.</v>
          </cell>
        </row>
        <row r="593">
          <cell r="BA593" t="str">
            <v>.</v>
          </cell>
        </row>
        <row r="594">
          <cell r="BA594" t="str">
            <v>.</v>
          </cell>
        </row>
        <row r="595">
          <cell r="BA595" t="str">
            <v>.</v>
          </cell>
        </row>
        <row r="596">
          <cell r="BA596" t="str">
            <v>.</v>
          </cell>
        </row>
        <row r="597">
          <cell r="BA597" t="str">
            <v>.</v>
          </cell>
        </row>
        <row r="598">
          <cell r="BA598" t="str">
            <v>.</v>
          </cell>
        </row>
        <row r="599">
          <cell r="BA599" t="str">
            <v>.</v>
          </cell>
        </row>
        <row r="600">
          <cell r="BA600" t="str">
            <v>.</v>
          </cell>
        </row>
        <row r="601">
          <cell r="BA601" t="str">
            <v>.</v>
          </cell>
        </row>
        <row r="602">
          <cell r="BA602" t="str">
            <v>.</v>
          </cell>
        </row>
        <row r="603">
          <cell r="BA603" t="str">
            <v>.</v>
          </cell>
        </row>
        <row r="604">
          <cell r="BA604" t="str">
            <v>.</v>
          </cell>
        </row>
        <row r="605">
          <cell r="BA605" t="str">
            <v>.</v>
          </cell>
        </row>
        <row r="606">
          <cell r="BA606" t="str">
            <v>.</v>
          </cell>
        </row>
        <row r="607">
          <cell r="BA607" t="str">
            <v>.</v>
          </cell>
        </row>
        <row r="608">
          <cell r="BA608" t="str">
            <v>.</v>
          </cell>
        </row>
        <row r="609">
          <cell r="BA609" t="str">
            <v>.</v>
          </cell>
        </row>
        <row r="610">
          <cell r="BA610" t="str">
            <v>.</v>
          </cell>
        </row>
        <row r="611">
          <cell r="BA611" t="str">
            <v>.</v>
          </cell>
        </row>
        <row r="612">
          <cell r="BA612" t="str">
            <v>.</v>
          </cell>
        </row>
        <row r="613">
          <cell r="BA613" t="str">
            <v>.</v>
          </cell>
        </row>
        <row r="614">
          <cell r="BA614" t="str">
            <v>.</v>
          </cell>
        </row>
        <row r="615">
          <cell r="BA615" t="str">
            <v>.</v>
          </cell>
        </row>
        <row r="616">
          <cell r="BA616" t="str">
            <v>.</v>
          </cell>
        </row>
        <row r="617">
          <cell r="BA617" t="str">
            <v>.</v>
          </cell>
        </row>
        <row r="618">
          <cell r="BA618" t="str">
            <v>.</v>
          </cell>
        </row>
        <row r="619">
          <cell r="BA619" t="str">
            <v>.</v>
          </cell>
        </row>
        <row r="620">
          <cell r="BA620" t="str">
            <v>.</v>
          </cell>
        </row>
        <row r="621">
          <cell r="BA621" t="str">
            <v>.</v>
          </cell>
        </row>
        <row r="622">
          <cell r="BA622" t="str">
            <v>.</v>
          </cell>
        </row>
        <row r="623">
          <cell r="BA623" t="str">
            <v>.</v>
          </cell>
        </row>
        <row r="624">
          <cell r="BA624" t="str">
            <v>.</v>
          </cell>
        </row>
        <row r="625">
          <cell r="BA625" t="str">
            <v>.</v>
          </cell>
        </row>
        <row r="626">
          <cell r="BA626" t="str">
            <v>.</v>
          </cell>
        </row>
        <row r="627">
          <cell r="BA627" t="str">
            <v>.</v>
          </cell>
        </row>
        <row r="628">
          <cell r="BA628" t="str">
            <v>.</v>
          </cell>
        </row>
        <row r="629">
          <cell r="BA629" t="str">
            <v>.</v>
          </cell>
        </row>
        <row r="630">
          <cell r="BA630" t="str">
            <v>.</v>
          </cell>
        </row>
        <row r="631">
          <cell r="BA631" t="str">
            <v>.</v>
          </cell>
        </row>
        <row r="632">
          <cell r="BA632" t="str">
            <v>.</v>
          </cell>
        </row>
        <row r="633">
          <cell r="BA633" t="str">
            <v>.</v>
          </cell>
        </row>
        <row r="634">
          <cell r="BA634" t="str">
            <v>.</v>
          </cell>
        </row>
        <row r="635">
          <cell r="BA635" t="str">
            <v>.</v>
          </cell>
        </row>
        <row r="636">
          <cell r="BA636" t="str">
            <v>.</v>
          </cell>
        </row>
        <row r="637">
          <cell r="BA637" t="str">
            <v>.</v>
          </cell>
        </row>
        <row r="638">
          <cell r="BA638" t="str">
            <v>.</v>
          </cell>
        </row>
        <row r="639">
          <cell r="BA639" t="str">
            <v>.</v>
          </cell>
        </row>
        <row r="640">
          <cell r="BA640" t="str">
            <v>.</v>
          </cell>
        </row>
        <row r="641">
          <cell r="BA641" t="str">
            <v>.</v>
          </cell>
        </row>
        <row r="642">
          <cell r="BA642" t="str">
            <v>.</v>
          </cell>
        </row>
        <row r="643">
          <cell r="BA643" t="str">
            <v>.</v>
          </cell>
        </row>
        <row r="644">
          <cell r="BA644" t="str">
            <v>.</v>
          </cell>
        </row>
        <row r="645">
          <cell r="BA645" t="str">
            <v>.</v>
          </cell>
        </row>
        <row r="646">
          <cell r="BA646" t="str">
            <v>.</v>
          </cell>
        </row>
        <row r="647">
          <cell r="BA647" t="str">
            <v>.</v>
          </cell>
        </row>
        <row r="648">
          <cell r="BA648" t="str">
            <v>.</v>
          </cell>
        </row>
        <row r="649">
          <cell r="BA649" t="str">
            <v>.</v>
          </cell>
        </row>
        <row r="650">
          <cell r="BA650" t="str">
            <v>.</v>
          </cell>
        </row>
        <row r="651">
          <cell r="BA651" t="str">
            <v>.</v>
          </cell>
        </row>
        <row r="652">
          <cell r="BA652" t="str">
            <v>.</v>
          </cell>
        </row>
        <row r="653">
          <cell r="BA653" t="str">
            <v>.</v>
          </cell>
        </row>
        <row r="654">
          <cell r="BA654" t="str">
            <v>.</v>
          </cell>
        </row>
        <row r="655">
          <cell r="BA655" t="str">
            <v>.</v>
          </cell>
        </row>
        <row r="656">
          <cell r="BA656" t="str">
            <v>.</v>
          </cell>
        </row>
        <row r="657">
          <cell r="BA657" t="str">
            <v>.</v>
          </cell>
        </row>
        <row r="658">
          <cell r="BA658" t="str">
            <v>.</v>
          </cell>
        </row>
        <row r="659">
          <cell r="BA659" t="str">
            <v>.</v>
          </cell>
        </row>
        <row r="660">
          <cell r="BA660" t="str">
            <v>.</v>
          </cell>
        </row>
        <row r="661">
          <cell r="BA661" t="str">
            <v>.</v>
          </cell>
        </row>
        <row r="662">
          <cell r="BA662" t="str">
            <v>.</v>
          </cell>
        </row>
        <row r="663">
          <cell r="BA663" t="str">
            <v>.</v>
          </cell>
        </row>
        <row r="664">
          <cell r="BA664" t="str">
            <v>.</v>
          </cell>
        </row>
        <row r="665">
          <cell r="BA665" t="str">
            <v>.</v>
          </cell>
        </row>
        <row r="666">
          <cell r="BA666" t="str">
            <v>.</v>
          </cell>
        </row>
        <row r="667">
          <cell r="BA667" t="str">
            <v>.</v>
          </cell>
        </row>
        <row r="668">
          <cell r="BA668" t="str">
            <v>.</v>
          </cell>
        </row>
        <row r="669">
          <cell r="BA669" t="str">
            <v>.</v>
          </cell>
        </row>
        <row r="670">
          <cell r="BA670" t="str">
            <v>.</v>
          </cell>
        </row>
        <row r="671">
          <cell r="BA671" t="str">
            <v>.</v>
          </cell>
        </row>
        <row r="672">
          <cell r="BA672" t="str">
            <v>.</v>
          </cell>
        </row>
        <row r="673">
          <cell r="BA673" t="str">
            <v>.</v>
          </cell>
        </row>
        <row r="674">
          <cell r="BA674" t="str">
            <v>.</v>
          </cell>
        </row>
        <row r="675">
          <cell r="BA675" t="str">
            <v>.</v>
          </cell>
        </row>
        <row r="676">
          <cell r="BA676" t="str">
            <v>.</v>
          </cell>
        </row>
        <row r="677">
          <cell r="BA677" t="str">
            <v>.</v>
          </cell>
        </row>
        <row r="678">
          <cell r="BA678" t="str">
            <v>.</v>
          </cell>
        </row>
        <row r="679">
          <cell r="BA679" t="str">
            <v>.</v>
          </cell>
        </row>
        <row r="680">
          <cell r="BA680" t="str">
            <v>.</v>
          </cell>
        </row>
        <row r="681">
          <cell r="BA681" t="str">
            <v>.</v>
          </cell>
        </row>
        <row r="682">
          <cell r="BA682" t="str">
            <v>.</v>
          </cell>
        </row>
        <row r="683">
          <cell r="BA683" t="str">
            <v>.</v>
          </cell>
        </row>
        <row r="684">
          <cell r="BA684" t="str">
            <v>.</v>
          </cell>
        </row>
        <row r="685">
          <cell r="BA685" t="str">
            <v>.</v>
          </cell>
        </row>
        <row r="686">
          <cell r="BA686" t="str">
            <v>.</v>
          </cell>
        </row>
        <row r="687">
          <cell r="BA687" t="str">
            <v>.</v>
          </cell>
        </row>
        <row r="688">
          <cell r="BA688" t="str">
            <v>.</v>
          </cell>
        </row>
        <row r="689">
          <cell r="BA689" t="str">
            <v>.</v>
          </cell>
        </row>
        <row r="690">
          <cell r="BA690" t="str">
            <v>.</v>
          </cell>
        </row>
        <row r="691">
          <cell r="BA691" t="str">
            <v>.</v>
          </cell>
        </row>
        <row r="692">
          <cell r="BA692" t="str">
            <v>.</v>
          </cell>
        </row>
        <row r="693">
          <cell r="BA693" t="str">
            <v>.</v>
          </cell>
        </row>
        <row r="694">
          <cell r="BA694" t="str">
            <v>.</v>
          </cell>
        </row>
        <row r="695">
          <cell r="BA695" t="str">
            <v>.</v>
          </cell>
        </row>
        <row r="696">
          <cell r="BA696" t="str">
            <v>.</v>
          </cell>
        </row>
        <row r="697">
          <cell r="BA697" t="str">
            <v>.</v>
          </cell>
        </row>
        <row r="698">
          <cell r="BA698" t="str">
            <v>.</v>
          </cell>
        </row>
        <row r="699">
          <cell r="BA699" t="str">
            <v>.</v>
          </cell>
        </row>
        <row r="700">
          <cell r="BA700" t="str">
            <v>.</v>
          </cell>
        </row>
        <row r="701">
          <cell r="BA701" t="str">
            <v>.</v>
          </cell>
        </row>
        <row r="702">
          <cell r="BA702" t="str">
            <v>.</v>
          </cell>
        </row>
        <row r="703">
          <cell r="BA703" t="str">
            <v>.</v>
          </cell>
        </row>
        <row r="704">
          <cell r="BA704" t="str">
            <v>.</v>
          </cell>
        </row>
        <row r="705">
          <cell r="BA705" t="str">
            <v>.</v>
          </cell>
        </row>
        <row r="706">
          <cell r="BA706" t="str">
            <v>.</v>
          </cell>
        </row>
        <row r="707">
          <cell r="BA707" t="str">
            <v>.</v>
          </cell>
        </row>
        <row r="708">
          <cell r="BA708" t="str">
            <v>.</v>
          </cell>
        </row>
        <row r="709">
          <cell r="BA709" t="str">
            <v>.</v>
          </cell>
        </row>
        <row r="710">
          <cell r="BA710" t="str">
            <v>.</v>
          </cell>
        </row>
        <row r="711">
          <cell r="BA711" t="str">
            <v>.</v>
          </cell>
        </row>
        <row r="712">
          <cell r="BA712" t="str">
            <v>.</v>
          </cell>
        </row>
        <row r="713">
          <cell r="BA713" t="str">
            <v>.</v>
          </cell>
        </row>
        <row r="714">
          <cell r="BA714" t="str">
            <v>.</v>
          </cell>
        </row>
        <row r="715">
          <cell r="BA715" t="str">
            <v>.</v>
          </cell>
        </row>
        <row r="716">
          <cell r="BA716" t="str">
            <v>.</v>
          </cell>
        </row>
        <row r="717">
          <cell r="BA717" t="str">
            <v>.</v>
          </cell>
        </row>
        <row r="718">
          <cell r="BA718" t="str">
            <v>.</v>
          </cell>
        </row>
        <row r="719">
          <cell r="BA719" t="str">
            <v>.</v>
          </cell>
        </row>
        <row r="720">
          <cell r="BA720" t="str">
            <v>.</v>
          </cell>
        </row>
        <row r="721">
          <cell r="BA721" t="str">
            <v>.</v>
          </cell>
        </row>
        <row r="722">
          <cell r="BA722" t="str">
            <v>.</v>
          </cell>
        </row>
        <row r="723">
          <cell r="BA723" t="str">
            <v>.</v>
          </cell>
        </row>
        <row r="724">
          <cell r="BA724" t="str">
            <v>.</v>
          </cell>
        </row>
        <row r="725">
          <cell r="BA725" t="str">
            <v>.</v>
          </cell>
        </row>
        <row r="726">
          <cell r="BA726" t="str">
            <v>.</v>
          </cell>
        </row>
        <row r="727">
          <cell r="BA727" t="str">
            <v>.</v>
          </cell>
        </row>
        <row r="728">
          <cell r="BA728" t="str">
            <v>.</v>
          </cell>
        </row>
        <row r="729">
          <cell r="BA729" t="str">
            <v>.</v>
          </cell>
        </row>
        <row r="730">
          <cell r="BA730" t="str">
            <v>.</v>
          </cell>
        </row>
        <row r="731">
          <cell r="BA731" t="str">
            <v>.</v>
          </cell>
        </row>
        <row r="732">
          <cell r="BA732" t="str">
            <v>.</v>
          </cell>
        </row>
        <row r="733">
          <cell r="BA733" t="str">
            <v>.</v>
          </cell>
        </row>
        <row r="734">
          <cell r="BA734" t="str">
            <v>.</v>
          </cell>
        </row>
        <row r="735">
          <cell r="BA735" t="str">
            <v>.</v>
          </cell>
        </row>
        <row r="736">
          <cell r="BA736" t="str">
            <v>.</v>
          </cell>
        </row>
        <row r="737">
          <cell r="BA737" t="str">
            <v>.</v>
          </cell>
        </row>
        <row r="738">
          <cell r="BA738" t="str">
            <v>.</v>
          </cell>
        </row>
        <row r="739">
          <cell r="BA739" t="str">
            <v>.</v>
          </cell>
        </row>
        <row r="740">
          <cell r="BA740" t="str">
            <v>.</v>
          </cell>
        </row>
        <row r="741">
          <cell r="BA741" t="str">
            <v>.</v>
          </cell>
        </row>
        <row r="742">
          <cell r="BA742" t="str">
            <v>.</v>
          </cell>
        </row>
        <row r="743">
          <cell r="BA743" t="str">
            <v>.</v>
          </cell>
        </row>
        <row r="744">
          <cell r="BA744" t="str">
            <v>.</v>
          </cell>
        </row>
        <row r="745">
          <cell r="BA745" t="str">
            <v>.</v>
          </cell>
        </row>
        <row r="746">
          <cell r="BA746" t="str">
            <v>.</v>
          </cell>
        </row>
        <row r="747">
          <cell r="BA747" t="str">
            <v>.</v>
          </cell>
        </row>
        <row r="748">
          <cell r="BA748" t="str">
            <v>.</v>
          </cell>
        </row>
        <row r="749">
          <cell r="BA749" t="str">
            <v>.</v>
          </cell>
        </row>
        <row r="750">
          <cell r="BA750" t="str">
            <v>.</v>
          </cell>
        </row>
        <row r="751">
          <cell r="BA751" t="str">
            <v>.</v>
          </cell>
        </row>
        <row r="752">
          <cell r="BA752" t="str">
            <v>.</v>
          </cell>
        </row>
        <row r="753">
          <cell r="BA753" t="str">
            <v>.</v>
          </cell>
        </row>
        <row r="754">
          <cell r="BA754" t="str">
            <v>.</v>
          </cell>
        </row>
        <row r="755">
          <cell r="BA755" t="str">
            <v>.</v>
          </cell>
        </row>
        <row r="756">
          <cell r="BA756" t="str">
            <v>.</v>
          </cell>
        </row>
        <row r="757">
          <cell r="BA757" t="str">
            <v>.</v>
          </cell>
        </row>
        <row r="758">
          <cell r="BA758" t="str">
            <v>.</v>
          </cell>
        </row>
        <row r="759">
          <cell r="BA759" t="str">
            <v>.</v>
          </cell>
        </row>
        <row r="760">
          <cell r="BA760" t="str">
            <v>.</v>
          </cell>
        </row>
        <row r="761">
          <cell r="BA761" t="str">
            <v>.</v>
          </cell>
        </row>
        <row r="762">
          <cell r="BA762" t="str">
            <v>.</v>
          </cell>
        </row>
        <row r="763">
          <cell r="BA763" t="str">
            <v>.</v>
          </cell>
        </row>
        <row r="764">
          <cell r="BA764" t="str">
            <v>.</v>
          </cell>
        </row>
        <row r="765">
          <cell r="BA765" t="str">
            <v>.</v>
          </cell>
        </row>
        <row r="766">
          <cell r="BA766" t="str">
            <v>.</v>
          </cell>
        </row>
        <row r="767">
          <cell r="BA767" t="str">
            <v>.</v>
          </cell>
        </row>
        <row r="768">
          <cell r="BA768" t="str">
            <v>.</v>
          </cell>
        </row>
        <row r="769">
          <cell r="BA769" t="str">
            <v>.</v>
          </cell>
        </row>
        <row r="770">
          <cell r="BA770" t="str">
            <v>.</v>
          </cell>
        </row>
        <row r="771">
          <cell r="BA771" t="str">
            <v>.</v>
          </cell>
        </row>
        <row r="772">
          <cell r="BA772" t="str">
            <v>.</v>
          </cell>
        </row>
        <row r="773">
          <cell r="BA773" t="str">
            <v>.</v>
          </cell>
        </row>
        <row r="774">
          <cell r="BA774" t="str">
            <v>.</v>
          </cell>
        </row>
        <row r="775">
          <cell r="BA775" t="str">
            <v>.</v>
          </cell>
        </row>
        <row r="776">
          <cell r="BA776" t="str">
            <v>.</v>
          </cell>
        </row>
        <row r="777">
          <cell r="BA777" t="str">
            <v>.</v>
          </cell>
        </row>
        <row r="778">
          <cell r="BA778" t="str">
            <v>.</v>
          </cell>
        </row>
        <row r="779">
          <cell r="BA779" t="str">
            <v>.</v>
          </cell>
        </row>
        <row r="780">
          <cell r="BA780" t="str">
            <v>.</v>
          </cell>
        </row>
        <row r="781">
          <cell r="BA781" t="str">
            <v>.</v>
          </cell>
        </row>
        <row r="782">
          <cell r="BA782" t="str">
            <v>.</v>
          </cell>
        </row>
        <row r="783">
          <cell r="BA783" t="str">
            <v>.</v>
          </cell>
        </row>
        <row r="784">
          <cell r="BA784" t="str">
            <v>.</v>
          </cell>
        </row>
        <row r="785">
          <cell r="BA785" t="str">
            <v>.</v>
          </cell>
        </row>
        <row r="786">
          <cell r="BA786" t="str">
            <v>.</v>
          </cell>
        </row>
        <row r="787">
          <cell r="BA787" t="str">
            <v>.</v>
          </cell>
        </row>
        <row r="788">
          <cell r="BA788" t="str">
            <v>.</v>
          </cell>
        </row>
        <row r="789">
          <cell r="BA789" t="str">
            <v>.</v>
          </cell>
        </row>
        <row r="790">
          <cell r="BA790" t="str">
            <v>.</v>
          </cell>
        </row>
        <row r="791">
          <cell r="BA791" t="str">
            <v>.</v>
          </cell>
        </row>
        <row r="792">
          <cell r="BA792" t="str">
            <v>.</v>
          </cell>
        </row>
        <row r="793">
          <cell r="BA793" t="str">
            <v>.</v>
          </cell>
        </row>
        <row r="794">
          <cell r="BA794" t="str">
            <v>.</v>
          </cell>
        </row>
        <row r="795">
          <cell r="BA795" t="str">
            <v>.</v>
          </cell>
        </row>
        <row r="796">
          <cell r="BA796" t="str">
            <v>.</v>
          </cell>
        </row>
        <row r="797">
          <cell r="BA797" t="str">
            <v>.</v>
          </cell>
        </row>
        <row r="798">
          <cell r="BA798" t="str">
            <v>.</v>
          </cell>
        </row>
        <row r="799">
          <cell r="BA799" t="str">
            <v>.</v>
          </cell>
        </row>
        <row r="800">
          <cell r="BA800" t="str">
            <v>.</v>
          </cell>
        </row>
        <row r="801">
          <cell r="BA801" t="str">
            <v>.</v>
          </cell>
        </row>
        <row r="802">
          <cell r="BA802" t="str">
            <v>.</v>
          </cell>
        </row>
        <row r="803">
          <cell r="BA803" t="str">
            <v>.</v>
          </cell>
        </row>
        <row r="804">
          <cell r="BA804" t="str">
            <v>.</v>
          </cell>
        </row>
        <row r="805">
          <cell r="BA805" t="str">
            <v>.</v>
          </cell>
        </row>
        <row r="806">
          <cell r="BA806" t="str">
            <v>.</v>
          </cell>
        </row>
        <row r="807">
          <cell r="BA807" t="str">
            <v>.</v>
          </cell>
        </row>
        <row r="808">
          <cell r="BA808" t="str">
            <v>.</v>
          </cell>
        </row>
        <row r="809">
          <cell r="BA809" t="str">
            <v>.</v>
          </cell>
        </row>
        <row r="810">
          <cell r="BA810" t="str">
            <v>.</v>
          </cell>
        </row>
        <row r="811">
          <cell r="BA811" t="str">
            <v>.</v>
          </cell>
        </row>
        <row r="812">
          <cell r="BA812" t="str">
            <v>.</v>
          </cell>
        </row>
        <row r="813">
          <cell r="BA813" t="str">
            <v>.</v>
          </cell>
        </row>
        <row r="814">
          <cell r="BA814" t="str">
            <v>.</v>
          </cell>
        </row>
        <row r="815">
          <cell r="BA815" t="str">
            <v>.</v>
          </cell>
        </row>
        <row r="816">
          <cell r="BA816" t="str">
            <v>.</v>
          </cell>
        </row>
        <row r="817">
          <cell r="BA817" t="str">
            <v>.</v>
          </cell>
        </row>
        <row r="818">
          <cell r="BA818" t="str">
            <v>.</v>
          </cell>
        </row>
        <row r="819">
          <cell r="BA819" t="str">
            <v>.</v>
          </cell>
        </row>
        <row r="820">
          <cell r="BA820" t="str">
            <v>.</v>
          </cell>
        </row>
        <row r="821">
          <cell r="BA821" t="str">
            <v>.</v>
          </cell>
        </row>
        <row r="822">
          <cell r="BA822" t="str">
            <v>.</v>
          </cell>
        </row>
        <row r="823">
          <cell r="BA823" t="str">
            <v>.</v>
          </cell>
        </row>
        <row r="824">
          <cell r="BA824" t="str">
            <v>.</v>
          </cell>
        </row>
        <row r="825">
          <cell r="BA825" t="str">
            <v>.</v>
          </cell>
        </row>
        <row r="826">
          <cell r="BA826" t="str">
            <v>.</v>
          </cell>
        </row>
        <row r="827">
          <cell r="BA827" t="str">
            <v>.</v>
          </cell>
        </row>
        <row r="828">
          <cell r="BA828" t="str">
            <v>.</v>
          </cell>
        </row>
        <row r="829">
          <cell r="BA829" t="str">
            <v>.</v>
          </cell>
        </row>
        <row r="830">
          <cell r="BA830" t="str">
            <v>.</v>
          </cell>
        </row>
        <row r="831">
          <cell r="BA831" t="str">
            <v>.</v>
          </cell>
        </row>
        <row r="832">
          <cell r="BA832" t="str">
            <v>.</v>
          </cell>
        </row>
        <row r="833">
          <cell r="BA833" t="str">
            <v>.</v>
          </cell>
        </row>
        <row r="834">
          <cell r="BA834" t="str">
            <v>.</v>
          </cell>
        </row>
        <row r="835">
          <cell r="BA835" t="str">
            <v>.</v>
          </cell>
        </row>
        <row r="836">
          <cell r="BA836" t="str">
            <v>.</v>
          </cell>
        </row>
        <row r="837">
          <cell r="BA837" t="str">
            <v>.</v>
          </cell>
        </row>
        <row r="838">
          <cell r="BA838" t="str">
            <v>.</v>
          </cell>
        </row>
        <row r="839">
          <cell r="BA839" t="str">
            <v>.</v>
          </cell>
        </row>
        <row r="840">
          <cell r="BA840" t="str">
            <v>.</v>
          </cell>
        </row>
        <row r="841">
          <cell r="BA841" t="str">
            <v>.</v>
          </cell>
        </row>
        <row r="842">
          <cell r="BA842" t="str">
            <v>.</v>
          </cell>
        </row>
        <row r="843">
          <cell r="BA843" t="str">
            <v>.</v>
          </cell>
        </row>
        <row r="844">
          <cell r="BA844" t="str">
            <v>.</v>
          </cell>
        </row>
        <row r="845">
          <cell r="BA845" t="str">
            <v>.</v>
          </cell>
        </row>
        <row r="846">
          <cell r="BA846" t="str">
            <v>.</v>
          </cell>
        </row>
        <row r="847">
          <cell r="BA847" t="str">
            <v>.</v>
          </cell>
        </row>
        <row r="848">
          <cell r="BA848" t="str">
            <v>.</v>
          </cell>
        </row>
        <row r="849">
          <cell r="BA849" t="str">
            <v>.</v>
          </cell>
        </row>
        <row r="850">
          <cell r="BA850" t="str">
            <v>.</v>
          </cell>
        </row>
        <row r="851">
          <cell r="BA851" t="str">
            <v>.</v>
          </cell>
        </row>
        <row r="852">
          <cell r="BA852" t="str">
            <v>.</v>
          </cell>
        </row>
        <row r="853">
          <cell r="BA853" t="str">
            <v>.</v>
          </cell>
        </row>
        <row r="854">
          <cell r="BA854" t="str">
            <v>.</v>
          </cell>
        </row>
        <row r="855">
          <cell r="BA855" t="str">
            <v>.</v>
          </cell>
        </row>
        <row r="856">
          <cell r="BA856" t="str">
            <v>.</v>
          </cell>
        </row>
        <row r="857">
          <cell r="BA857" t="str">
            <v>.</v>
          </cell>
        </row>
        <row r="858">
          <cell r="BA858" t="str">
            <v>.</v>
          </cell>
        </row>
        <row r="859">
          <cell r="BA859" t="str">
            <v>.</v>
          </cell>
        </row>
        <row r="860">
          <cell r="BA860" t="str">
            <v>.</v>
          </cell>
        </row>
        <row r="861">
          <cell r="BA861" t="str">
            <v>.</v>
          </cell>
        </row>
        <row r="862">
          <cell r="BA862" t="str">
            <v>.</v>
          </cell>
        </row>
        <row r="863">
          <cell r="BA863" t="str">
            <v>.</v>
          </cell>
        </row>
        <row r="864">
          <cell r="BA864" t="str">
            <v>.</v>
          </cell>
        </row>
        <row r="865">
          <cell r="BA865" t="str">
            <v>.</v>
          </cell>
        </row>
        <row r="866">
          <cell r="BA866" t="str">
            <v>.</v>
          </cell>
        </row>
        <row r="867">
          <cell r="BA867" t="str">
            <v>.</v>
          </cell>
        </row>
        <row r="868">
          <cell r="BA868" t="str">
            <v>.</v>
          </cell>
        </row>
        <row r="869">
          <cell r="BA869" t="str">
            <v>.</v>
          </cell>
        </row>
        <row r="870">
          <cell r="BA870" t="str">
            <v>.</v>
          </cell>
        </row>
        <row r="871">
          <cell r="BA871" t="str">
            <v>.</v>
          </cell>
        </row>
        <row r="872">
          <cell r="BA872" t="str">
            <v>.</v>
          </cell>
        </row>
        <row r="873">
          <cell r="BA873" t="str">
            <v>.</v>
          </cell>
        </row>
        <row r="874">
          <cell r="BA874" t="str">
            <v>.</v>
          </cell>
        </row>
        <row r="875">
          <cell r="BA875" t="str">
            <v>.</v>
          </cell>
        </row>
        <row r="876">
          <cell r="BA876" t="str">
            <v>.</v>
          </cell>
        </row>
        <row r="877">
          <cell r="BA877" t="str">
            <v>.</v>
          </cell>
        </row>
        <row r="878">
          <cell r="BA878" t="str">
            <v>.</v>
          </cell>
        </row>
        <row r="879">
          <cell r="BA879" t="str">
            <v>.</v>
          </cell>
        </row>
        <row r="880">
          <cell r="BA880" t="str">
            <v>.</v>
          </cell>
        </row>
        <row r="881">
          <cell r="BA881" t="str">
            <v>.</v>
          </cell>
        </row>
        <row r="882">
          <cell r="BA882" t="str">
            <v>.</v>
          </cell>
        </row>
        <row r="883">
          <cell r="BA883" t="str">
            <v>.</v>
          </cell>
        </row>
        <row r="884">
          <cell r="BA884" t="str">
            <v>.</v>
          </cell>
        </row>
        <row r="885">
          <cell r="BA885" t="str">
            <v>.</v>
          </cell>
        </row>
        <row r="886">
          <cell r="BA886" t="str">
            <v>.</v>
          </cell>
        </row>
        <row r="887">
          <cell r="BA887" t="str">
            <v>.</v>
          </cell>
        </row>
        <row r="888">
          <cell r="BA888" t="str">
            <v>.</v>
          </cell>
        </row>
        <row r="889">
          <cell r="BA889" t="str">
            <v>.</v>
          </cell>
        </row>
        <row r="890">
          <cell r="BA890" t="str">
            <v>.</v>
          </cell>
        </row>
        <row r="891">
          <cell r="BA891" t="str">
            <v>.</v>
          </cell>
        </row>
        <row r="892">
          <cell r="BA892" t="str">
            <v>.</v>
          </cell>
        </row>
        <row r="893">
          <cell r="BA893" t="str">
            <v>.</v>
          </cell>
        </row>
        <row r="894">
          <cell r="BA894" t="str">
            <v>.</v>
          </cell>
        </row>
        <row r="895">
          <cell r="BA895" t="str">
            <v>.</v>
          </cell>
        </row>
        <row r="896">
          <cell r="BA896" t="str">
            <v>.</v>
          </cell>
        </row>
        <row r="897">
          <cell r="BA897" t="str">
            <v>.</v>
          </cell>
        </row>
        <row r="898">
          <cell r="BA898" t="str">
            <v>.</v>
          </cell>
        </row>
        <row r="899">
          <cell r="BA899" t="str">
            <v>.</v>
          </cell>
        </row>
        <row r="900">
          <cell r="BA900" t="str">
            <v>.</v>
          </cell>
        </row>
        <row r="901">
          <cell r="BA901" t="str">
            <v>.</v>
          </cell>
        </row>
        <row r="902">
          <cell r="BA902" t="str">
            <v>.</v>
          </cell>
        </row>
        <row r="903">
          <cell r="BA903" t="str">
            <v>.</v>
          </cell>
        </row>
        <row r="904">
          <cell r="BA904" t="str">
            <v>.</v>
          </cell>
        </row>
        <row r="905">
          <cell r="BA905" t="str">
            <v>.</v>
          </cell>
        </row>
        <row r="906">
          <cell r="BA906" t="str">
            <v>.</v>
          </cell>
        </row>
        <row r="907">
          <cell r="BA907" t="str">
            <v>.</v>
          </cell>
        </row>
        <row r="908">
          <cell r="BA908" t="str">
            <v>.</v>
          </cell>
        </row>
        <row r="909">
          <cell r="BA909" t="str">
            <v>.</v>
          </cell>
        </row>
        <row r="910">
          <cell r="BA910" t="str">
            <v>.</v>
          </cell>
        </row>
        <row r="911">
          <cell r="BA911" t="str">
            <v>.</v>
          </cell>
        </row>
        <row r="912">
          <cell r="BA912" t="str">
            <v>.</v>
          </cell>
        </row>
        <row r="913">
          <cell r="BA913" t="str">
            <v>.</v>
          </cell>
        </row>
        <row r="914">
          <cell r="BA914" t="str">
            <v>.</v>
          </cell>
        </row>
        <row r="915">
          <cell r="BA915" t="str">
            <v>.</v>
          </cell>
        </row>
        <row r="916">
          <cell r="BA916" t="str">
            <v>.</v>
          </cell>
        </row>
        <row r="917">
          <cell r="BA917" t="str">
            <v>.</v>
          </cell>
        </row>
        <row r="918">
          <cell r="BA918" t="str">
            <v>.</v>
          </cell>
        </row>
        <row r="919">
          <cell r="BA919" t="str">
            <v>.</v>
          </cell>
        </row>
        <row r="920">
          <cell r="BA920" t="str">
            <v>.</v>
          </cell>
        </row>
        <row r="921">
          <cell r="BA921" t="str">
            <v>.</v>
          </cell>
        </row>
        <row r="922">
          <cell r="BA922" t="str">
            <v>.</v>
          </cell>
        </row>
        <row r="923">
          <cell r="BA923" t="str">
            <v>.</v>
          </cell>
        </row>
        <row r="924">
          <cell r="BA924" t="str">
            <v>.</v>
          </cell>
        </row>
        <row r="925">
          <cell r="BA925" t="str">
            <v>.</v>
          </cell>
        </row>
        <row r="926">
          <cell r="BA926" t="str">
            <v>.</v>
          </cell>
        </row>
        <row r="927">
          <cell r="BA927" t="str">
            <v>.</v>
          </cell>
        </row>
        <row r="928">
          <cell r="BA928" t="str">
            <v>.</v>
          </cell>
        </row>
        <row r="929">
          <cell r="BA929" t="str">
            <v>.</v>
          </cell>
        </row>
        <row r="930">
          <cell r="BA930" t="str">
            <v>.</v>
          </cell>
        </row>
        <row r="931">
          <cell r="BA931" t="str">
            <v>.</v>
          </cell>
        </row>
        <row r="932">
          <cell r="BA932" t="str">
            <v>.</v>
          </cell>
        </row>
        <row r="933">
          <cell r="BA933" t="str">
            <v>.</v>
          </cell>
        </row>
        <row r="934">
          <cell r="BA934" t="str">
            <v>.</v>
          </cell>
        </row>
        <row r="935">
          <cell r="BA935" t="str">
            <v>.</v>
          </cell>
        </row>
        <row r="936">
          <cell r="BA936" t="str">
            <v>.</v>
          </cell>
        </row>
        <row r="937">
          <cell r="BA937" t="str">
            <v>.</v>
          </cell>
        </row>
        <row r="938">
          <cell r="BA938" t="str">
            <v>.</v>
          </cell>
        </row>
        <row r="939">
          <cell r="BA939" t="str">
            <v>.</v>
          </cell>
        </row>
        <row r="940">
          <cell r="BA940" t="str">
            <v>.</v>
          </cell>
        </row>
        <row r="941">
          <cell r="BA941" t="str">
            <v>.</v>
          </cell>
        </row>
        <row r="942">
          <cell r="BA942" t="str">
            <v>.</v>
          </cell>
        </row>
        <row r="943">
          <cell r="BA943" t="str">
            <v>.</v>
          </cell>
        </row>
        <row r="944">
          <cell r="BA944" t="str">
            <v>.</v>
          </cell>
        </row>
        <row r="945">
          <cell r="BA945" t="str">
            <v>.</v>
          </cell>
        </row>
        <row r="946">
          <cell r="BA946" t="str">
            <v>.</v>
          </cell>
        </row>
        <row r="947">
          <cell r="BA947" t="str">
            <v>.</v>
          </cell>
        </row>
        <row r="948">
          <cell r="BA948" t="str">
            <v>.</v>
          </cell>
        </row>
        <row r="949">
          <cell r="BA949" t="str">
            <v>.</v>
          </cell>
        </row>
        <row r="950">
          <cell r="BA950" t="str">
            <v>.</v>
          </cell>
        </row>
        <row r="951">
          <cell r="BA951" t="str">
            <v>.</v>
          </cell>
        </row>
        <row r="952">
          <cell r="BA952" t="str">
            <v>.</v>
          </cell>
        </row>
        <row r="953">
          <cell r="BA953" t="str">
            <v>.</v>
          </cell>
        </row>
        <row r="954">
          <cell r="BA954" t="str">
            <v>.</v>
          </cell>
        </row>
        <row r="955">
          <cell r="BA955" t="str">
            <v>.</v>
          </cell>
        </row>
        <row r="956">
          <cell r="BA956" t="str">
            <v>.</v>
          </cell>
        </row>
        <row r="957">
          <cell r="BA957" t="str">
            <v>.</v>
          </cell>
        </row>
        <row r="958">
          <cell r="BA958" t="str">
            <v>.</v>
          </cell>
        </row>
        <row r="959">
          <cell r="BA959" t="str">
            <v>.</v>
          </cell>
        </row>
        <row r="960">
          <cell r="BA960" t="str">
            <v>.</v>
          </cell>
        </row>
        <row r="961">
          <cell r="BA961" t="str">
            <v>.</v>
          </cell>
        </row>
        <row r="962">
          <cell r="BA962" t="str">
            <v>.</v>
          </cell>
        </row>
        <row r="963">
          <cell r="BA963" t="str">
            <v>.</v>
          </cell>
        </row>
        <row r="964">
          <cell r="BA964" t="str">
            <v>.</v>
          </cell>
        </row>
        <row r="965">
          <cell r="BA965" t="str">
            <v>.</v>
          </cell>
        </row>
        <row r="966">
          <cell r="BA966" t="str">
            <v>.</v>
          </cell>
        </row>
        <row r="967">
          <cell r="BA967" t="str">
            <v>.</v>
          </cell>
        </row>
        <row r="968">
          <cell r="BA968" t="str">
            <v>.</v>
          </cell>
        </row>
        <row r="969">
          <cell r="BA969" t="str">
            <v>.</v>
          </cell>
        </row>
        <row r="970">
          <cell r="BA970" t="str">
            <v>.</v>
          </cell>
        </row>
        <row r="971">
          <cell r="BA971" t="str">
            <v>.</v>
          </cell>
        </row>
        <row r="972">
          <cell r="BA972" t="str">
            <v>.</v>
          </cell>
        </row>
        <row r="973">
          <cell r="BA973" t="str">
            <v>.</v>
          </cell>
        </row>
        <row r="974">
          <cell r="BA974" t="str">
            <v>.</v>
          </cell>
        </row>
        <row r="975">
          <cell r="BA975" t="str">
            <v>.</v>
          </cell>
        </row>
        <row r="976">
          <cell r="BA976" t="str">
            <v>.</v>
          </cell>
        </row>
        <row r="977">
          <cell r="BA977" t="str">
            <v>.</v>
          </cell>
        </row>
        <row r="978">
          <cell r="BA978" t="str">
            <v>.</v>
          </cell>
        </row>
        <row r="979">
          <cell r="BA979" t="str">
            <v>.</v>
          </cell>
        </row>
        <row r="980">
          <cell r="BA980" t="str">
            <v>.</v>
          </cell>
        </row>
        <row r="981">
          <cell r="BA981" t="str">
            <v>.</v>
          </cell>
        </row>
        <row r="982">
          <cell r="BA982" t="str">
            <v>.</v>
          </cell>
        </row>
        <row r="983">
          <cell r="BA983" t="str">
            <v>.</v>
          </cell>
        </row>
        <row r="984">
          <cell r="BA984" t="str">
            <v>.</v>
          </cell>
        </row>
        <row r="985">
          <cell r="BA985" t="str">
            <v>.</v>
          </cell>
        </row>
        <row r="986">
          <cell r="BA986" t="str">
            <v>.</v>
          </cell>
        </row>
        <row r="987">
          <cell r="BA987" t="str">
            <v>.</v>
          </cell>
        </row>
        <row r="988">
          <cell r="BA988" t="str">
            <v>.</v>
          </cell>
        </row>
        <row r="989">
          <cell r="BA989" t="str">
            <v>.</v>
          </cell>
        </row>
        <row r="990">
          <cell r="BA990" t="str">
            <v>.</v>
          </cell>
        </row>
        <row r="991">
          <cell r="BA991" t="str">
            <v>.</v>
          </cell>
        </row>
        <row r="992">
          <cell r="BA992" t="str">
            <v>.</v>
          </cell>
        </row>
        <row r="993">
          <cell r="BA993" t="str">
            <v>.</v>
          </cell>
        </row>
        <row r="994">
          <cell r="BA994" t="str">
            <v>.</v>
          </cell>
        </row>
        <row r="995">
          <cell r="BA995" t="str">
            <v>.</v>
          </cell>
        </row>
        <row r="996">
          <cell r="BA996" t="str">
            <v>.</v>
          </cell>
        </row>
        <row r="997">
          <cell r="A997" t="str">
            <v>.</v>
          </cell>
          <cell r="B997" t="str">
            <v>.</v>
          </cell>
          <cell r="C997" t="str">
            <v>.</v>
          </cell>
          <cell r="D997" t="str">
            <v>.</v>
          </cell>
          <cell r="E997" t="str">
            <v>.</v>
          </cell>
          <cell r="F997" t="str">
            <v>.</v>
          </cell>
          <cell r="G997" t="str">
            <v>.</v>
          </cell>
          <cell r="H997" t="str">
            <v>.</v>
          </cell>
          <cell r="S997" t="str">
            <v>.</v>
          </cell>
          <cell r="T997" t="str">
            <v>.</v>
          </cell>
          <cell r="U997" t="str">
            <v>.</v>
          </cell>
          <cell r="V997" t="str">
            <v>.</v>
          </cell>
          <cell r="W997" t="str">
            <v>.</v>
          </cell>
          <cell r="X997" t="str">
            <v>.</v>
          </cell>
          <cell r="Y997" t="str">
            <v>.</v>
          </cell>
          <cell r="Z997" t="str">
            <v>.</v>
          </cell>
          <cell r="AA997" t="str">
            <v>.</v>
          </cell>
          <cell r="AB997" t="str">
            <v>.</v>
          </cell>
          <cell r="AC997" t="str">
            <v>.</v>
          </cell>
          <cell r="AD997" t="str">
            <v>.</v>
          </cell>
          <cell r="AE997" t="str">
            <v>.</v>
          </cell>
          <cell r="AF997" t="str">
            <v>.</v>
          </cell>
          <cell r="AG997" t="str">
            <v>.</v>
          </cell>
          <cell r="AH997" t="str">
            <v>.</v>
          </cell>
          <cell r="AI997" t="str">
            <v>.</v>
          </cell>
          <cell r="AJ997" t="str">
            <v>.</v>
          </cell>
          <cell r="AK997" t="str">
            <v>.</v>
          </cell>
          <cell r="AL997" t="str">
            <v>.</v>
          </cell>
          <cell r="AM997" t="str">
            <v>.</v>
          </cell>
          <cell r="AN997" t="str">
            <v>.</v>
          </cell>
          <cell r="AO997" t="str">
            <v>.</v>
          </cell>
          <cell r="AP997" t="str">
            <v>.</v>
          </cell>
          <cell r="AQ997" t="str">
            <v>.</v>
          </cell>
          <cell r="AR997" t="str">
            <v>.</v>
          </cell>
          <cell r="AS997" t="str">
            <v>.</v>
          </cell>
          <cell r="AT997" t="str">
            <v>.</v>
          </cell>
          <cell r="AU997" t="str">
            <v>.</v>
          </cell>
          <cell r="AV997" t="str">
            <v>.</v>
          </cell>
          <cell r="AW997" t="str">
            <v>.</v>
          </cell>
          <cell r="AX997" t="str">
            <v>.</v>
          </cell>
          <cell r="AY997" t="str">
            <v>.</v>
          </cell>
          <cell r="AZ997" t="str">
            <v>.</v>
          </cell>
          <cell r="BA997" t="str">
            <v>.</v>
          </cell>
        </row>
      </sheetData>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contribution analysis"/>
      <sheetName val="rev change analysis"/>
      <sheetName val="2015 rev change"/>
      <sheetName val="2015 biopharma rev change"/>
      <sheetName val="margins"/>
    </sheetNames>
    <sheetDataSet>
      <sheetData sheetId="0"/>
      <sheetData sheetId="1">
        <row r="1">
          <cell r="R1" t="str">
            <v>SmartCharts</v>
          </cell>
          <cell r="BA1" t="str">
            <v>.</v>
          </cell>
        </row>
        <row r="2">
          <cell r="BA2" t="str">
            <v>.</v>
          </cell>
        </row>
        <row r="3">
          <cell r="BA3" t="str">
            <v>.</v>
          </cell>
        </row>
        <row r="4">
          <cell r="BA4" t="str">
            <v>.</v>
          </cell>
        </row>
        <row r="5">
          <cell r="C5" t="str">
            <v>Define value axis here:</v>
          </cell>
        </row>
        <row r="6">
          <cell r="C6" t="str">
            <v>Bristol-Myers Squibb YOY revenue change 2010E-2015E</v>
          </cell>
        </row>
        <row r="10">
          <cell r="C10" t="str">
            <v>Input your data here:</v>
          </cell>
          <cell r="BA10" t="str">
            <v>.</v>
          </cell>
        </row>
        <row r="11">
          <cell r="C11" t="str">
            <v>Sales ($M)</v>
          </cell>
          <cell r="D11" t="str">
            <v>2011E</v>
          </cell>
          <cell r="E11" t="str">
            <v>2012E</v>
          </cell>
          <cell r="F11" t="str">
            <v>2013E</v>
          </cell>
          <cell r="G11" t="str">
            <v>2014E</v>
          </cell>
          <cell r="H11" t="str">
            <v>2015E</v>
          </cell>
          <cell r="BA11" t="str">
            <v>.</v>
          </cell>
        </row>
        <row r="12">
          <cell r="C12" t="str">
            <v>In-line products</v>
          </cell>
          <cell r="D12">
            <v>428.20430499999929</v>
          </cell>
          <cell r="E12">
            <v>406.00087174999862</v>
          </cell>
          <cell r="F12">
            <v>379.77037045850375</v>
          </cell>
          <cell r="G12">
            <v>349.04459650893114</v>
          </cell>
          <cell r="H12">
            <v>290.7973990176979</v>
          </cell>
          <cell r="BA12" t="str">
            <v>.</v>
          </cell>
        </row>
        <row r="13">
          <cell r="C13" t="str">
            <v>Pipeline products launching 2010–2015</v>
          </cell>
          <cell r="D13">
            <v>509.8125</v>
          </cell>
          <cell r="E13">
            <v>791.0775000000001</v>
          </cell>
          <cell r="F13">
            <v>1302.57</v>
          </cell>
          <cell r="G13">
            <v>1653.0442999999996</v>
          </cell>
          <cell r="H13">
            <v>1227.8117000000011</v>
          </cell>
          <cell r="BA13" t="str">
            <v>.</v>
          </cell>
        </row>
        <row r="14">
          <cell r="C14" t="str">
            <v>Products expiring 2010–2015</v>
          </cell>
          <cell r="D14">
            <v>170.7135303846153</v>
          </cell>
          <cell r="E14">
            <v>-3013.0544055538448</v>
          </cell>
          <cell r="F14">
            <v>-3358.1474564076934</v>
          </cell>
          <cell r="G14">
            <v>-1309.0957018979234</v>
          </cell>
          <cell r="H14">
            <v>-2226.5059205538264</v>
          </cell>
          <cell r="BA14" t="str">
            <v>.</v>
          </cell>
        </row>
        <row r="15">
          <cell r="C15" t="str">
            <v>Biopharmaceuticals net YOY change</v>
          </cell>
          <cell r="D15">
            <v>1108.7303353846146</v>
          </cell>
          <cell r="E15">
            <v>-1815.9760338038468</v>
          </cell>
          <cell r="F15">
            <v>-1675.8070859491891</v>
          </cell>
          <cell r="G15">
            <v>692.99319461100822</v>
          </cell>
          <cell r="H15">
            <v>-707.89682153612739</v>
          </cell>
          <cell r="BA15" t="str">
            <v>.</v>
          </cell>
        </row>
        <row r="16">
          <cell r="C16" t="str">
            <v>Mead Johnson YOY change</v>
          </cell>
          <cell r="D16">
            <v>214.20896000000039</v>
          </cell>
          <cell r="E16">
            <v>221.85658040000044</v>
          </cell>
          <cell r="F16">
            <v>215.35684153200009</v>
          </cell>
          <cell r="G16">
            <v>204.1549097092402</v>
          </cell>
          <cell r="H16">
            <v>188.16653348492491</v>
          </cell>
          <cell r="BA16" t="str">
            <v>.</v>
          </cell>
        </row>
        <row r="17">
          <cell r="C17" t="str">
            <v>Total YOY change</v>
          </cell>
          <cell r="D17">
            <v>1322.9392953846145</v>
          </cell>
          <cell r="E17">
            <v>-1594.1194534038477</v>
          </cell>
          <cell r="F17">
            <v>-1460.4502444171885</v>
          </cell>
          <cell r="G17">
            <v>897.14810432025115</v>
          </cell>
          <cell r="H17">
            <v>-519.73028805120339</v>
          </cell>
          <cell r="BA17" t="str">
            <v>.</v>
          </cell>
        </row>
        <row r="18">
          <cell r="BA18" t="str">
            <v>.</v>
          </cell>
        </row>
        <row r="20">
          <cell r="BA20" t="str">
            <v>.</v>
          </cell>
        </row>
        <row r="21">
          <cell r="BA21" t="str">
            <v>.</v>
          </cell>
        </row>
        <row r="22">
          <cell r="BA22" t="str">
            <v>.</v>
          </cell>
        </row>
        <row r="23">
          <cell r="BA23" t="str">
            <v>.</v>
          </cell>
        </row>
        <row r="24">
          <cell r="BA24" t="str">
            <v>.</v>
          </cell>
        </row>
        <row r="25">
          <cell r="BA25" t="str">
            <v>.</v>
          </cell>
        </row>
        <row r="26">
          <cell r="BA26" t="str">
            <v>.</v>
          </cell>
        </row>
        <row r="27">
          <cell r="BA27" t="str">
            <v>.</v>
          </cell>
        </row>
        <row r="28">
          <cell r="BA28" t="str">
            <v>.</v>
          </cell>
        </row>
        <row r="29">
          <cell r="BA29" t="str">
            <v>.</v>
          </cell>
        </row>
        <row r="30">
          <cell r="BA30" t="str">
            <v>.</v>
          </cell>
        </row>
        <row r="31">
          <cell r="BA31" t="str">
            <v>.</v>
          </cell>
        </row>
        <row r="32">
          <cell r="BA32" t="str">
            <v>.</v>
          </cell>
        </row>
        <row r="33">
          <cell r="BA33" t="str">
            <v>.</v>
          </cell>
        </row>
        <row r="34">
          <cell r="BA34" t="str">
            <v>.</v>
          </cell>
        </row>
        <row r="35">
          <cell r="J35" t="str">
            <v>Do not change the width of the exhibit or font sizes (they are optimized for export to Word).</v>
          </cell>
          <cell r="BA35" t="str">
            <v>.</v>
          </cell>
        </row>
        <row r="36">
          <cell r="BA36" t="str">
            <v>.</v>
          </cell>
        </row>
        <row r="37">
          <cell r="J37" t="str">
            <v>Do not delete any rows or columns (some gray cells are used for calculations).</v>
          </cell>
          <cell r="BA37" t="str">
            <v>.</v>
          </cell>
        </row>
        <row r="38">
          <cell r="BA38" t="str">
            <v>.</v>
          </cell>
        </row>
        <row r="39">
          <cell r="BA39" t="str">
            <v>.</v>
          </cell>
        </row>
        <row r="40">
          <cell r="BA40" t="str">
            <v>.</v>
          </cell>
        </row>
        <row r="41">
          <cell r="BA41" t="str">
            <v>.</v>
          </cell>
        </row>
        <row r="42">
          <cell r="BA42" t="str">
            <v>.</v>
          </cell>
        </row>
        <row r="43">
          <cell r="BA43" t="str">
            <v>.</v>
          </cell>
        </row>
        <row r="44">
          <cell r="BA44" t="str">
            <v>.</v>
          </cell>
        </row>
        <row r="45">
          <cell r="BA45" t="str">
            <v>.</v>
          </cell>
        </row>
        <row r="46">
          <cell r="BA46" t="str">
            <v>.</v>
          </cell>
        </row>
        <row r="47">
          <cell r="BA47" t="str">
            <v>.</v>
          </cell>
        </row>
        <row r="48">
          <cell r="BA48" t="str">
            <v>.</v>
          </cell>
        </row>
        <row r="49">
          <cell r="BA49" t="str">
            <v>.</v>
          </cell>
        </row>
        <row r="50">
          <cell r="BA50" t="str">
            <v>.</v>
          </cell>
        </row>
        <row r="51">
          <cell r="BA51" t="str">
            <v>.</v>
          </cell>
        </row>
        <row r="52">
          <cell r="BA52" t="str">
            <v>.</v>
          </cell>
        </row>
        <row r="53">
          <cell r="BA53" t="str">
            <v>.</v>
          </cell>
        </row>
        <row r="54">
          <cell r="BA54" t="str">
            <v>.</v>
          </cell>
        </row>
        <row r="55">
          <cell r="BA55" t="str">
            <v>.</v>
          </cell>
        </row>
        <row r="56">
          <cell r="BA56" t="str">
            <v>.</v>
          </cell>
        </row>
        <row r="57">
          <cell r="BA57" t="str">
            <v>.</v>
          </cell>
        </row>
        <row r="58">
          <cell r="BA58" t="str">
            <v>.</v>
          </cell>
        </row>
        <row r="59">
          <cell r="BA59" t="str">
            <v>.</v>
          </cell>
        </row>
        <row r="60">
          <cell r="BA60" t="str">
            <v>.</v>
          </cell>
        </row>
        <row r="61">
          <cell r="BA61" t="str">
            <v>.</v>
          </cell>
        </row>
        <row r="62">
          <cell r="BA62" t="str">
            <v>.</v>
          </cell>
        </row>
        <row r="63">
          <cell r="BA63" t="str">
            <v>.</v>
          </cell>
        </row>
        <row r="64">
          <cell r="BA64" t="str">
            <v>.</v>
          </cell>
        </row>
        <row r="65">
          <cell r="BA65" t="str">
            <v>.</v>
          </cell>
        </row>
        <row r="66">
          <cell r="BA66" t="str">
            <v>.</v>
          </cell>
        </row>
        <row r="67">
          <cell r="BA67" t="str">
            <v>.</v>
          </cell>
        </row>
        <row r="68">
          <cell r="BA68" t="str">
            <v>.</v>
          </cell>
        </row>
        <row r="69">
          <cell r="BA69" t="str">
            <v>.</v>
          </cell>
        </row>
        <row r="70">
          <cell r="BA70" t="str">
            <v>.</v>
          </cell>
        </row>
        <row r="71">
          <cell r="BA71" t="str">
            <v>.</v>
          </cell>
        </row>
        <row r="72">
          <cell r="BA72" t="str">
            <v>.</v>
          </cell>
        </row>
        <row r="73">
          <cell r="BA73" t="str">
            <v>.</v>
          </cell>
        </row>
        <row r="74">
          <cell r="BA74" t="str">
            <v>.</v>
          </cell>
        </row>
        <row r="75">
          <cell r="BA75" t="str">
            <v>.</v>
          </cell>
        </row>
        <row r="76">
          <cell r="BA76" t="str">
            <v>.</v>
          </cell>
        </row>
        <row r="77">
          <cell r="BA77" t="str">
            <v>.</v>
          </cell>
        </row>
        <row r="78">
          <cell r="BA78" t="str">
            <v>.</v>
          </cell>
        </row>
        <row r="79">
          <cell r="BA79" t="str">
            <v>.</v>
          </cell>
        </row>
        <row r="80">
          <cell r="BA80" t="str">
            <v>.</v>
          </cell>
        </row>
        <row r="81">
          <cell r="BA81" t="str">
            <v>.</v>
          </cell>
        </row>
        <row r="82">
          <cell r="BA82" t="str">
            <v>.</v>
          </cell>
        </row>
        <row r="83">
          <cell r="BA83" t="str">
            <v>.</v>
          </cell>
        </row>
        <row r="84">
          <cell r="BA84" t="str">
            <v>.</v>
          </cell>
        </row>
        <row r="85">
          <cell r="BA85" t="str">
            <v>.</v>
          </cell>
        </row>
        <row r="86">
          <cell r="BA86" t="str">
            <v>.</v>
          </cell>
        </row>
        <row r="87">
          <cell r="BA87" t="str">
            <v>.</v>
          </cell>
        </row>
        <row r="88">
          <cell r="BA88" t="str">
            <v>.</v>
          </cell>
        </row>
        <row r="89">
          <cell r="BA89" t="str">
            <v>.</v>
          </cell>
        </row>
        <row r="90">
          <cell r="BA90" t="str">
            <v>.</v>
          </cell>
        </row>
        <row r="91">
          <cell r="BA91" t="str">
            <v>.</v>
          </cell>
        </row>
        <row r="92">
          <cell r="BA92" t="str">
            <v>.</v>
          </cell>
        </row>
        <row r="93">
          <cell r="BA93" t="str">
            <v>.</v>
          </cell>
        </row>
        <row r="94">
          <cell r="BA94" t="str">
            <v>.</v>
          </cell>
        </row>
        <row r="95">
          <cell r="BA95" t="str">
            <v>.</v>
          </cell>
        </row>
        <row r="96">
          <cell r="BA96" t="str">
            <v>.</v>
          </cell>
        </row>
        <row r="97">
          <cell r="BA97" t="str">
            <v>.</v>
          </cell>
        </row>
        <row r="98">
          <cell r="BA98" t="str">
            <v>.</v>
          </cell>
        </row>
        <row r="99">
          <cell r="BA99" t="str">
            <v>.</v>
          </cell>
        </row>
        <row r="100">
          <cell r="BA100" t="str">
            <v>.</v>
          </cell>
        </row>
        <row r="101">
          <cell r="BA101" t="str">
            <v>.</v>
          </cell>
        </row>
        <row r="102">
          <cell r="BA102" t="str">
            <v>.</v>
          </cell>
        </row>
        <row r="103">
          <cell r="BA103" t="str">
            <v>.</v>
          </cell>
        </row>
        <row r="104">
          <cell r="BA104" t="str">
            <v>.</v>
          </cell>
        </row>
        <row r="105">
          <cell r="BA105" t="str">
            <v>.</v>
          </cell>
        </row>
        <row r="106">
          <cell r="BA106" t="str">
            <v>.</v>
          </cell>
        </row>
        <row r="107">
          <cell r="BA107" t="str">
            <v>.</v>
          </cell>
        </row>
        <row r="108">
          <cell r="BA108" t="str">
            <v>.</v>
          </cell>
        </row>
        <row r="109">
          <cell r="BA109" t="str">
            <v>.</v>
          </cell>
        </row>
        <row r="110">
          <cell r="BA110" t="str">
            <v>.</v>
          </cell>
        </row>
        <row r="111">
          <cell r="BA111" t="str">
            <v>.</v>
          </cell>
        </row>
        <row r="112">
          <cell r="BA112" t="str">
            <v>.</v>
          </cell>
        </row>
        <row r="113">
          <cell r="BA113" t="str">
            <v>.</v>
          </cell>
        </row>
        <row r="114">
          <cell r="BA114" t="str">
            <v>.</v>
          </cell>
        </row>
        <row r="115">
          <cell r="BA115" t="str">
            <v>.</v>
          </cell>
        </row>
        <row r="116">
          <cell r="BA116" t="str">
            <v>.</v>
          </cell>
        </row>
        <row r="117">
          <cell r="BA117" t="str">
            <v>.</v>
          </cell>
        </row>
        <row r="118">
          <cell r="BA118" t="str">
            <v>.</v>
          </cell>
        </row>
        <row r="119">
          <cell r="BA119" t="str">
            <v>.</v>
          </cell>
        </row>
        <row r="120">
          <cell r="BA120" t="str">
            <v>.</v>
          </cell>
        </row>
        <row r="121">
          <cell r="BA121" t="str">
            <v>.</v>
          </cell>
        </row>
        <row r="122">
          <cell r="BA122" t="str">
            <v>.</v>
          </cell>
        </row>
        <row r="123">
          <cell r="BA123" t="str">
            <v>.</v>
          </cell>
        </row>
        <row r="124">
          <cell r="BA124" t="str">
            <v>.</v>
          </cell>
        </row>
        <row r="125">
          <cell r="BA125" t="str">
            <v>.</v>
          </cell>
        </row>
        <row r="126">
          <cell r="BA126" t="str">
            <v>.</v>
          </cell>
        </row>
        <row r="127">
          <cell r="BA127" t="str">
            <v>.</v>
          </cell>
        </row>
        <row r="128">
          <cell r="BA128" t="str">
            <v>.</v>
          </cell>
        </row>
        <row r="129">
          <cell r="BA129" t="str">
            <v>.</v>
          </cell>
        </row>
        <row r="130">
          <cell r="BA130" t="str">
            <v>.</v>
          </cell>
        </row>
        <row r="131">
          <cell r="BA131" t="str">
            <v>.</v>
          </cell>
        </row>
        <row r="132">
          <cell r="BA132" t="str">
            <v>.</v>
          </cell>
        </row>
        <row r="133">
          <cell r="BA133" t="str">
            <v>.</v>
          </cell>
        </row>
        <row r="134">
          <cell r="BA134" t="str">
            <v>.</v>
          </cell>
        </row>
        <row r="135">
          <cell r="BA135" t="str">
            <v>.</v>
          </cell>
        </row>
        <row r="136">
          <cell r="BA136" t="str">
            <v>.</v>
          </cell>
        </row>
        <row r="137">
          <cell r="BA137" t="str">
            <v>.</v>
          </cell>
        </row>
        <row r="138">
          <cell r="BA138" t="str">
            <v>.</v>
          </cell>
        </row>
        <row r="139">
          <cell r="BA139" t="str">
            <v>.</v>
          </cell>
        </row>
        <row r="140">
          <cell r="BA140" t="str">
            <v>.</v>
          </cell>
        </row>
        <row r="141">
          <cell r="BA141" t="str">
            <v>.</v>
          </cell>
        </row>
        <row r="142">
          <cell r="BA142" t="str">
            <v>.</v>
          </cell>
        </row>
        <row r="143">
          <cell r="BA143" t="str">
            <v>.</v>
          </cell>
        </row>
        <row r="144">
          <cell r="BA144" t="str">
            <v>.</v>
          </cell>
        </row>
        <row r="145">
          <cell r="BA145" t="str">
            <v>.</v>
          </cell>
        </row>
        <row r="146">
          <cell r="BA146" t="str">
            <v>.</v>
          </cell>
        </row>
        <row r="147">
          <cell r="BA147" t="str">
            <v>.</v>
          </cell>
        </row>
        <row r="148">
          <cell r="BA148" t="str">
            <v>.</v>
          </cell>
        </row>
        <row r="149">
          <cell r="BA149" t="str">
            <v>.</v>
          </cell>
        </row>
        <row r="150">
          <cell r="BA150" t="str">
            <v>.</v>
          </cell>
        </row>
        <row r="151">
          <cell r="BA151" t="str">
            <v>.</v>
          </cell>
        </row>
        <row r="152">
          <cell r="BA152" t="str">
            <v>.</v>
          </cell>
        </row>
        <row r="153">
          <cell r="BA153" t="str">
            <v>.</v>
          </cell>
        </row>
        <row r="154">
          <cell r="BA154" t="str">
            <v>.</v>
          </cell>
        </row>
        <row r="155">
          <cell r="BA155" t="str">
            <v>.</v>
          </cell>
        </row>
        <row r="156">
          <cell r="BA156" t="str">
            <v>.</v>
          </cell>
        </row>
        <row r="157">
          <cell r="BA157" t="str">
            <v>.</v>
          </cell>
        </row>
        <row r="158">
          <cell r="BA158" t="str">
            <v>.</v>
          </cell>
        </row>
        <row r="159">
          <cell r="BA159" t="str">
            <v>.</v>
          </cell>
        </row>
        <row r="160">
          <cell r="BA160" t="str">
            <v>.</v>
          </cell>
        </row>
        <row r="161">
          <cell r="BA161" t="str">
            <v>.</v>
          </cell>
        </row>
        <row r="162">
          <cell r="BA162" t="str">
            <v>.</v>
          </cell>
        </row>
        <row r="163">
          <cell r="BA163" t="str">
            <v>.</v>
          </cell>
        </row>
        <row r="164">
          <cell r="BA164" t="str">
            <v>.</v>
          </cell>
        </row>
        <row r="165">
          <cell r="BA165" t="str">
            <v>.</v>
          </cell>
        </row>
        <row r="166">
          <cell r="BA166" t="str">
            <v>.</v>
          </cell>
        </row>
        <row r="167">
          <cell r="BA167" t="str">
            <v>.</v>
          </cell>
        </row>
        <row r="168">
          <cell r="BA168" t="str">
            <v>.</v>
          </cell>
        </row>
        <row r="169">
          <cell r="BA169" t="str">
            <v>.</v>
          </cell>
        </row>
        <row r="170">
          <cell r="BA170" t="str">
            <v>.</v>
          </cell>
        </row>
        <row r="171">
          <cell r="BA171" t="str">
            <v>.</v>
          </cell>
        </row>
        <row r="172">
          <cell r="BA172" t="str">
            <v>.</v>
          </cell>
        </row>
        <row r="173">
          <cell r="BA173" t="str">
            <v>.</v>
          </cell>
        </row>
        <row r="174">
          <cell r="BA174" t="str">
            <v>.</v>
          </cell>
        </row>
        <row r="175">
          <cell r="BA175" t="str">
            <v>.</v>
          </cell>
        </row>
        <row r="176">
          <cell r="BA176" t="str">
            <v>.</v>
          </cell>
        </row>
        <row r="177">
          <cell r="BA177" t="str">
            <v>.</v>
          </cell>
        </row>
        <row r="178">
          <cell r="BA178" t="str">
            <v>.</v>
          </cell>
        </row>
        <row r="179">
          <cell r="BA179" t="str">
            <v>.</v>
          </cell>
        </row>
        <row r="180">
          <cell r="BA180" t="str">
            <v>.</v>
          </cell>
        </row>
        <row r="181">
          <cell r="BA181" t="str">
            <v>.</v>
          </cell>
        </row>
        <row r="182">
          <cell r="BA182" t="str">
            <v>.</v>
          </cell>
        </row>
        <row r="183">
          <cell r="BA183" t="str">
            <v>.</v>
          </cell>
        </row>
        <row r="184">
          <cell r="BA184" t="str">
            <v>.</v>
          </cell>
        </row>
        <row r="185">
          <cell r="BA185" t="str">
            <v>.</v>
          </cell>
        </row>
        <row r="186">
          <cell r="BA186" t="str">
            <v>.</v>
          </cell>
        </row>
        <row r="187">
          <cell r="BA187" t="str">
            <v>.</v>
          </cell>
        </row>
        <row r="188">
          <cell r="BA188" t="str">
            <v>.</v>
          </cell>
        </row>
        <row r="189">
          <cell r="BA189" t="str">
            <v>.</v>
          </cell>
        </row>
        <row r="190">
          <cell r="BA190" t="str">
            <v>.</v>
          </cell>
        </row>
        <row r="191">
          <cell r="BA191" t="str">
            <v>.</v>
          </cell>
        </row>
        <row r="192">
          <cell r="BA192" t="str">
            <v>.</v>
          </cell>
        </row>
        <row r="193">
          <cell r="BA193" t="str">
            <v>.</v>
          </cell>
        </row>
        <row r="194">
          <cell r="BA194" t="str">
            <v>.</v>
          </cell>
        </row>
        <row r="195">
          <cell r="BA195" t="str">
            <v>.</v>
          </cell>
        </row>
        <row r="196">
          <cell r="BA196" t="str">
            <v>.</v>
          </cell>
        </row>
        <row r="197">
          <cell r="BA197" t="str">
            <v>.</v>
          </cell>
        </row>
        <row r="198">
          <cell r="BA198" t="str">
            <v>.</v>
          </cell>
        </row>
        <row r="199">
          <cell r="BA199" t="str">
            <v>.</v>
          </cell>
        </row>
        <row r="200">
          <cell r="BA200" t="str">
            <v>.</v>
          </cell>
        </row>
        <row r="201">
          <cell r="BA201" t="str">
            <v>.</v>
          </cell>
        </row>
        <row r="202">
          <cell r="BA202" t="str">
            <v>.</v>
          </cell>
        </row>
        <row r="203">
          <cell r="BA203" t="str">
            <v>.</v>
          </cell>
        </row>
        <row r="204">
          <cell r="BA204" t="str">
            <v>.</v>
          </cell>
        </row>
        <row r="205">
          <cell r="BA205" t="str">
            <v>.</v>
          </cell>
        </row>
        <row r="206">
          <cell r="BA206" t="str">
            <v>.</v>
          </cell>
        </row>
        <row r="207">
          <cell r="BA207" t="str">
            <v>.</v>
          </cell>
        </row>
        <row r="208">
          <cell r="BA208" t="str">
            <v>.</v>
          </cell>
        </row>
        <row r="209">
          <cell r="BA209" t="str">
            <v>.</v>
          </cell>
        </row>
        <row r="210">
          <cell r="BA210" t="str">
            <v>.</v>
          </cell>
        </row>
        <row r="211">
          <cell r="BA211" t="str">
            <v>.</v>
          </cell>
        </row>
        <row r="212">
          <cell r="BA212" t="str">
            <v>.</v>
          </cell>
        </row>
        <row r="213">
          <cell r="BA213" t="str">
            <v>.</v>
          </cell>
        </row>
        <row r="214">
          <cell r="BA214" t="str">
            <v>.</v>
          </cell>
        </row>
        <row r="215">
          <cell r="BA215" t="str">
            <v>.</v>
          </cell>
        </row>
        <row r="216">
          <cell r="BA216" t="str">
            <v>.</v>
          </cell>
        </row>
        <row r="217">
          <cell r="BA217" t="str">
            <v>.</v>
          </cell>
        </row>
        <row r="218">
          <cell r="BA218" t="str">
            <v>.</v>
          </cell>
        </row>
        <row r="219">
          <cell r="BA219" t="str">
            <v>.</v>
          </cell>
        </row>
        <row r="220">
          <cell r="BA220" t="str">
            <v>.</v>
          </cell>
        </row>
        <row r="221">
          <cell r="BA221" t="str">
            <v>.</v>
          </cell>
        </row>
        <row r="222">
          <cell r="BA222" t="str">
            <v>.</v>
          </cell>
        </row>
        <row r="223">
          <cell r="BA223" t="str">
            <v>.</v>
          </cell>
        </row>
        <row r="224">
          <cell r="BA224" t="str">
            <v>.</v>
          </cell>
        </row>
        <row r="225">
          <cell r="BA225" t="str">
            <v>.</v>
          </cell>
        </row>
        <row r="226">
          <cell r="BA226" t="str">
            <v>.</v>
          </cell>
        </row>
        <row r="227">
          <cell r="BA227" t="str">
            <v>.</v>
          </cell>
        </row>
        <row r="228">
          <cell r="BA228" t="str">
            <v>.</v>
          </cell>
        </row>
        <row r="229">
          <cell r="BA229" t="str">
            <v>.</v>
          </cell>
        </row>
        <row r="230">
          <cell r="BA230" t="str">
            <v>.</v>
          </cell>
        </row>
        <row r="231">
          <cell r="BA231" t="str">
            <v>.</v>
          </cell>
        </row>
        <row r="232">
          <cell r="BA232" t="str">
            <v>.</v>
          </cell>
        </row>
        <row r="233">
          <cell r="BA233" t="str">
            <v>.</v>
          </cell>
        </row>
        <row r="234">
          <cell r="BA234" t="str">
            <v>.</v>
          </cell>
        </row>
        <row r="235">
          <cell r="BA235" t="str">
            <v>.</v>
          </cell>
        </row>
        <row r="236">
          <cell r="BA236" t="str">
            <v>.</v>
          </cell>
        </row>
        <row r="237">
          <cell r="BA237" t="str">
            <v>.</v>
          </cell>
        </row>
        <row r="238">
          <cell r="BA238" t="str">
            <v>.</v>
          </cell>
        </row>
        <row r="239">
          <cell r="BA239" t="str">
            <v>.</v>
          </cell>
        </row>
        <row r="240">
          <cell r="BA240" t="str">
            <v>.</v>
          </cell>
        </row>
        <row r="241">
          <cell r="BA241" t="str">
            <v>.</v>
          </cell>
        </row>
        <row r="242">
          <cell r="BA242" t="str">
            <v>.</v>
          </cell>
        </row>
        <row r="243">
          <cell r="BA243" t="str">
            <v>.</v>
          </cell>
        </row>
        <row r="244">
          <cell r="BA244" t="str">
            <v>.</v>
          </cell>
        </row>
        <row r="245">
          <cell r="BA245" t="str">
            <v>.</v>
          </cell>
        </row>
        <row r="246">
          <cell r="BA246" t="str">
            <v>.</v>
          </cell>
        </row>
        <row r="247">
          <cell r="BA247" t="str">
            <v>.</v>
          </cell>
        </row>
        <row r="248">
          <cell r="BA248" t="str">
            <v>.</v>
          </cell>
        </row>
        <row r="249">
          <cell r="BA249" t="str">
            <v>.</v>
          </cell>
        </row>
        <row r="250">
          <cell r="BA250" t="str">
            <v>.</v>
          </cell>
        </row>
        <row r="251">
          <cell r="BA251" t="str">
            <v>.</v>
          </cell>
        </row>
        <row r="252">
          <cell r="BA252" t="str">
            <v>.</v>
          </cell>
        </row>
        <row r="253">
          <cell r="BA253" t="str">
            <v>.</v>
          </cell>
        </row>
        <row r="254">
          <cell r="BA254" t="str">
            <v>.</v>
          </cell>
        </row>
        <row r="255">
          <cell r="BA255" t="str">
            <v>.</v>
          </cell>
        </row>
        <row r="256">
          <cell r="BA256" t="str">
            <v>.</v>
          </cell>
        </row>
        <row r="257">
          <cell r="BA257" t="str">
            <v>.</v>
          </cell>
        </row>
        <row r="258">
          <cell r="BA258" t="str">
            <v>.</v>
          </cell>
        </row>
        <row r="259">
          <cell r="BA259" t="str">
            <v>.</v>
          </cell>
        </row>
        <row r="260">
          <cell r="BA260" t="str">
            <v>.</v>
          </cell>
        </row>
        <row r="261">
          <cell r="BA261" t="str">
            <v>.</v>
          </cell>
        </row>
        <row r="262">
          <cell r="BA262" t="str">
            <v>.</v>
          </cell>
        </row>
        <row r="263">
          <cell r="BA263" t="str">
            <v>.</v>
          </cell>
        </row>
        <row r="264">
          <cell r="BA264" t="str">
            <v>.</v>
          </cell>
        </row>
        <row r="265">
          <cell r="BA265" t="str">
            <v>.</v>
          </cell>
        </row>
        <row r="266">
          <cell r="BA266" t="str">
            <v>.</v>
          </cell>
        </row>
        <row r="267">
          <cell r="BA267" t="str">
            <v>.</v>
          </cell>
        </row>
        <row r="268">
          <cell r="BA268" t="str">
            <v>.</v>
          </cell>
        </row>
        <row r="269">
          <cell r="BA269" t="str">
            <v>.</v>
          </cell>
        </row>
        <row r="270">
          <cell r="BA270" t="str">
            <v>.</v>
          </cell>
        </row>
        <row r="271">
          <cell r="BA271" t="str">
            <v>.</v>
          </cell>
        </row>
        <row r="272">
          <cell r="BA272" t="str">
            <v>.</v>
          </cell>
        </row>
        <row r="273">
          <cell r="BA273" t="str">
            <v>.</v>
          </cell>
        </row>
        <row r="274">
          <cell r="BA274" t="str">
            <v>.</v>
          </cell>
        </row>
        <row r="275">
          <cell r="BA275" t="str">
            <v>.</v>
          </cell>
        </row>
        <row r="276">
          <cell r="BA276" t="str">
            <v>.</v>
          </cell>
        </row>
        <row r="277">
          <cell r="BA277" t="str">
            <v>.</v>
          </cell>
        </row>
        <row r="278">
          <cell r="BA278" t="str">
            <v>.</v>
          </cell>
        </row>
        <row r="279">
          <cell r="BA279" t="str">
            <v>.</v>
          </cell>
        </row>
        <row r="280">
          <cell r="BA280" t="str">
            <v>.</v>
          </cell>
        </row>
        <row r="281">
          <cell r="BA281" t="str">
            <v>.</v>
          </cell>
        </row>
        <row r="282">
          <cell r="BA282" t="str">
            <v>.</v>
          </cell>
        </row>
        <row r="283">
          <cell r="BA283" t="str">
            <v>.</v>
          </cell>
        </row>
        <row r="284">
          <cell r="BA284" t="str">
            <v>.</v>
          </cell>
        </row>
        <row r="285">
          <cell r="BA285" t="str">
            <v>.</v>
          </cell>
        </row>
        <row r="286">
          <cell r="BA286" t="str">
            <v>.</v>
          </cell>
        </row>
        <row r="287">
          <cell r="BA287" t="str">
            <v>.</v>
          </cell>
        </row>
        <row r="288">
          <cell r="BA288" t="str">
            <v>.</v>
          </cell>
        </row>
        <row r="289">
          <cell r="BA289" t="str">
            <v>.</v>
          </cell>
        </row>
        <row r="290">
          <cell r="BA290" t="str">
            <v>.</v>
          </cell>
        </row>
        <row r="291">
          <cell r="BA291" t="str">
            <v>.</v>
          </cell>
        </row>
        <row r="292">
          <cell r="BA292" t="str">
            <v>.</v>
          </cell>
        </row>
        <row r="293">
          <cell r="BA293" t="str">
            <v>.</v>
          </cell>
        </row>
        <row r="294">
          <cell r="BA294" t="str">
            <v>.</v>
          </cell>
        </row>
        <row r="295">
          <cell r="BA295" t="str">
            <v>.</v>
          </cell>
        </row>
        <row r="296">
          <cell r="BA296" t="str">
            <v>.</v>
          </cell>
        </row>
        <row r="297">
          <cell r="BA297" t="str">
            <v>.</v>
          </cell>
        </row>
        <row r="298">
          <cell r="BA298" t="str">
            <v>.</v>
          </cell>
        </row>
        <row r="299">
          <cell r="BA299" t="str">
            <v>.</v>
          </cell>
        </row>
        <row r="300">
          <cell r="BA300" t="str">
            <v>.</v>
          </cell>
        </row>
        <row r="301">
          <cell r="BA301" t="str">
            <v>.</v>
          </cell>
        </row>
        <row r="302">
          <cell r="BA302" t="str">
            <v>.</v>
          </cell>
        </row>
        <row r="303">
          <cell r="BA303" t="str">
            <v>.</v>
          </cell>
        </row>
        <row r="304">
          <cell r="BA304" t="str">
            <v>.</v>
          </cell>
        </row>
        <row r="305">
          <cell r="BA305" t="str">
            <v>.</v>
          </cell>
        </row>
        <row r="306">
          <cell r="BA306" t="str">
            <v>.</v>
          </cell>
        </row>
        <row r="307">
          <cell r="BA307" t="str">
            <v>.</v>
          </cell>
        </row>
        <row r="308">
          <cell r="BA308" t="str">
            <v>.</v>
          </cell>
        </row>
        <row r="309">
          <cell r="BA309" t="str">
            <v>.</v>
          </cell>
        </row>
        <row r="310">
          <cell r="BA310" t="str">
            <v>.</v>
          </cell>
        </row>
        <row r="311">
          <cell r="BA311" t="str">
            <v>.</v>
          </cell>
        </row>
        <row r="312">
          <cell r="BA312" t="str">
            <v>.</v>
          </cell>
        </row>
        <row r="313">
          <cell r="BA313" t="str">
            <v>.</v>
          </cell>
        </row>
        <row r="314">
          <cell r="BA314" t="str">
            <v>.</v>
          </cell>
        </row>
        <row r="315">
          <cell r="BA315" t="str">
            <v>.</v>
          </cell>
        </row>
        <row r="316">
          <cell r="BA316" t="str">
            <v>.</v>
          </cell>
        </row>
        <row r="317">
          <cell r="BA317" t="str">
            <v>.</v>
          </cell>
        </row>
        <row r="318">
          <cell r="BA318" t="str">
            <v>.</v>
          </cell>
        </row>
        <row r="319">
          <cell r="BA319" t="str">
            <v>.</v>
          </cell>
        </row>
        <row r="320">
          <cell r="BA320" t="str">
            <v>.</v>
          </cell>
        </row>
        <row r="321">
          <cell r="BA321" t="str">
            <v>.</v>
          </cell>
        </row>
        <row r="322">
          <cell r="BA322" t="str">
            <v>.</v>
          </cell>
        </row>
        <row r="323">
          <cell r="BA323" t="str">
            <v>.</v>
          </cell>
        </row>
        <row r="324">
          <cell r="BA324" t="str">
            <v>.</v>
          </cell>
        </row>
        <row r="325">
          <cell r="BA325" t="str">
            <v>.</v>
          </cell>
        </row>
        <row r="326">
          <cell r="BA326" t="str">
            <v>.</v>
          </cell>
        </row>
        <row r="327">
          <cell r="BA327" t="str">
            <v>.</v>
          </cell>
        </row>
        <row r="328">
          <cell r="BA328" t="str">
            <v>.</v>
          </cell>
        </row>
        <row r="329">
          <cell r="BA329" t="str">
            <v>.</v>
          </cell>
        </row>
        <row r="330">
          <cell r="BA330" t="str">
            <v>.</v>
          </cell>
        </row>
        <row r="331">
          <cell r="BA331" t="str">
            <v>.</v>
          </cell>
        </row>
        <row r="332">
          <cell r="BA332" t="str">
            <v>.</v>
          </cell>
        </row>
        <row r="333">
          <cell r="BA333" t="str">
            <v>.</v>
          </cell>
        </row>
        <row r="334">
          <cell r="BA334" t="str">
            <v>.</v>
          </cell>
        </row>
        <row r="335">
          <cell r="BA335" t="str">
            <v>.</v>
          </cell>
        </row>
        <row r="336">
          <cell r="BA336" t="str">
            <v>.</v>
          </cell>
        </row>
        <row r="337">
          <cell r="BA337" t="str">
            <v>.</v>
          </cell>
        </row>
        <row r="338">
          <cell r="BA338" t="str">
            <v>.</v>
          </cell>
        </row>
        <row r="339">
          <cell r="BA339" t="str">
            <v>.</v>
          </cell>
        </row>
        <row r="340">
          <cell r="BA340" t="str">
            <v>.</v>
          </cell>
        </row>
        <row r="341">
          <cell r="BA341" t="str">
            <v>.</v>
          </cell>
        </row>
        <row r="342">
          <cell r="BA342" t="str">
            <v>.</v>
          </cell>
        </row>
        <row r="343">
          <cell r="BA343" t="str">
            <v>.</v>
          </cell>
        </row>
        <row r="344">
          <cell r="BA344" t="str">
            <v>.</v>
          </cell>
        </row>
        <row r="345">
          <cell r="BA345" t="str">
            <v>.</v>
          </cell>
        </row>
        <row r="346">
          <cell r="BA346" t="str">
            <v>.</v>
          </cell>
        </row>
        <row r="347">
          <cell r="BA347" t="str">
            <v>.</v>
          </cell>
        </row>
        <row r="348">
          <cell r="BA348" t="str">
            <v>.</v>
          </cell>
        </row>
        <row r="349">
          <cell r="BA349" t="str">
            <v>.</v>
          </cell>
        </row>
        <row r="350">
          <cell r="BA350" t="str">
            <v>.</v>
          </cell>
        </row>
        <row r="351">
          <cell r="BA351" t="str">
            <v>.</v>
          </cell>
        </row>
        <row r="352">
          <cell r="BA352" t="str">
            <v>.</v>
          </cell>
        </row>
        <row r="353">
          <cell r="BA353" t="str">
            <v>.</v>
          </cell>
        </row>
        <row r="354">
          <cell r="BA354" t="str">
            <v>.</v>
          </cell>
        </row>
        <row r="355">
          <cell r="BA355" t="str">
            <v>.</v>
          </cell>
        </row>
        <row r="356">
          <cell r="BA356" t="str">
            <v>.</v>
          </cell>
        </row>
        <row r="357">
          <cell r="BA357" t="str">
            <v>.</v>
          </cell>
        </row>
        <row r="358">
          <cell r="BA358" t="str">
            <v>.</v>
          </cell>
        </row>
        <row r="359">
          <cell r="BA359" t="str">
            <v>.</v>
          </cell>
        </row>
        <row r="360">
          <cell r="BA360" t="str">
            <v>.</v>
          </cell>
        </row>
        <row r="361">
          <cell r="BA361" t="str">
            <v>.</v>
          </cell>
        </row>
        <row r="362">
          <cell r="BA362" t="str">
            <v>.</v>
          </cell>
        </row>
        <row r="363">
          <cell r="BA363" t="str">
            <v>.</v>
          </cell>
        </row>
        <row r="364">
          <cell r="BA364" t="str">
            <v>.</v>
          </cell>
        </row>
        <row r="365">
          <cell r="BA365" t="str">
            <v>.</v>
          </cell>
        </row>
        <row r="366">
          <cell r="BA366" t="str">
            <v>.</v>
          </cell>
        </row>
        <row r="367">
          <cell r="BA367" t="str">
            <v>.</v>
          </cell>
        </row>
        <row r="368">
          <cell r="BA368" t="str">
            <v>.</v>
          </cell>
        </row>
        <row r="369">
          <cell r="BA369" t="str">
            <v>.</v>
          </cell>
        </row>
        <row r="370">
          <cell r="BA370" t="str">
            <v>.</v>
          </cell>
        </row>
        <row r="371">
          <cell r="BA371" t="str">
            <v>.</v>
          </cell>
        </row>
        <row r="372">
          <cell r="BA372" t="str">
            <v>.</v>
          </cell>
        </row>
        <row r="373">
          <cell r="BA373" t="str">
            <v>.</v>
          </cell>
        </row>
        <row r="374">
          <cell r="BA374" t="str">
            <v>.</v>
          </cell>
        </row>
        <row r="375">
          <cell r="BA375" t="str">
            <v>.</v>
          </cell>
        </row>
        <row r="376">
          <cell r="BA376" t="str">
            <v>.</v>
          </cell>
        </row>
        <row r="377">
          <cell r="BA377" t="str">
            <v>.</v>
          </cell>
        </row>
        <row r="378">
          <cell r="BA378" t="str">
            <v>.</v>
          </cell>
        </row>
        <row r="379">
          <cell r="BA379" t="str">
            <v>.</v>
          </cell>
        </row>
        <row r="380">
          <cell r="BA380" t="str">
            <v>.</v>
          </cell>
        </row>
        <row r="381">
          <cell r="BA381" t="str">
            <v>.</v>
          </cell>
        </row>
        <row r="382">
          <cell r="BA382" t="str">
            <v>.</v>
          </cell>
        </row>
        <row r="383">
          <cell r="BA383" t="str">
            <v>.</v>
          </cell>
        </row>
        <row r="384">
          <cell r="BA384" t="str">
            <v>.</v>
          </cell>
        </row>
        <row r="385">
          <cell r="BA385" t="str">
            <v>.</v>
          </cell>
        </row>
        <row r="386">
          <cell r="BA386" t="str">
            <v>.</v>
          </cell>
        </row>
        <row r="387">
          <cell r="BA387" t="str">
            <v>.</v>
          </cell>
        </row>
        <row r="388">
          <cell r="BA388" t="str">
            <v>.</v>
          </cell>
        </row>
        <row r="389">
          <cell r="BA389" t="str">
            <v>.</v>
          </cell>
        </row>
        <row r="390">
          <cell r="BA390" t="str">
            <v>.</v>
          </cell>
        </row>
        <row r="391">
          <cell r="BA391" t="str">
            <v>.</v>
          </cell>
        </row>
        <row r="392">
          <cell r="BA392" t="str">
            <v>.</v>
          </cell>
        </row>
        <row r="393">
          <cell r="BA393" t="str">
            <v>.</v>
          </cell>
        </row>
        <row r="394">
          <cell r="BA394" t="str">
            <v>.</v>
          </cell>
        </row>
        <row r="395">
          <cell r="BA395" t="str">
            <v>.</v>
          </cell>
        </row>
        <row r="396">
          <cell r="BA396" t="str">
            <v>.</v>
          </cell>
        </row>
        <row r="397">
          <cell r="BA397" t="str">
            <v>.</v>
          </cell>
        </row>
        <row r="398">
          <cell r="BA398" t="str">
            <v>.</v>
          </cell>
        </row>
        <row r="399">
          <cell r="BA399" t="str">
            <v>.</v>
          </cell>
        </row>
        <row r="400">
          <cell r="BA400" t="str">
            <v>.</v>
          </cell>
        </row>
        <row r="401">
          <cell r="BA401" t="str">
            <v>.</v>
          </cell>
        </row>
        <row r="402">
          <cell r="BA402" t="str">
            <v>.</v>
          </cell>
        </row>
        <row r="403">
          <cell r="BA403" t="str">
            <v>.</v>
          </cell>
        </row>
        <row r="404">
          <cell r="BA404" t="str">
            <v>.</v>
          </cell>
        </row>
        <row r="405">
          <cell r="BA405" t="str">
            <v>.</v>
          </cell>
        </row>
        <row r="406">
          <cell r="BA406" t="str">
            <v>.</v>
          </cell>
        </row>
        <row r="407">
          <cell r="BA407" t="str">
            <v>.</v>
          </cell>
        </row>
        <row r="408">
          <cell r="BA408" t="str">
            <v>.</v>
          </cell>
        </row>
        <row r="409">
          <cell r="BA409" t="str">
            <v>.</v>
          </cell>
        </row>
        <row r="410">
          <cell r="BA410" t="str">
            <v>.</v>
          </cell>
        </row>
        <row r="411">
          <cell r="BA411" t="str">
            <v>.</v>
          </cell>
        </row>
        <row r="412">
          <cell r="BA412" t="str">
            <v>.</v>
          </cell>
        </row>
        <row r="413">
          <cell r="BA413" t="str">
            <v>.</v>
          </cell>
        </row>
        <row r="414">
          <cell r="BA414" t="str">
            <v>.</v>
          </cell>
        </row>
        <row r="415">
          <cell r="BA415" t="str">
            <v>.</v>
          </cell>
        </row>
        <row r="416">
          <cell r="BA416" t="str">
            <v>.</v>
          </cell>
        </row>
        <row r="417">
          <cell r="BA417" t="str">
            <v>.</v>
          </cell>
        </row>
        <row r="418">
          <cell r="BA418" t="str">
            <v>.</v>
          </cell>
        </row>
        <row r="419">
          <cell r="BA419" t="str">
            <v>.</v>
          </cell>
        </row>
        <row r="420">
          <cell r="BA420" t="str">
            <v>.</v>
          </cell>
        </row>
        <row r="421">
          <cell r="BA421" t="str">
            <v>.</v>
          </cell>
        </row>
        <row r="422">
          <cell r="BA422" t="str">
            <v>.</v>
          </cell>
        </row>
        <row r="423">
          <cell r="BA423" t="str">
            <v>.</v>
          </cell>
        </row>
        <row r="424">
          <cell r="BA424" t="str">
            <v>.</v>
          </cell>
        </row>
        <row r="425">
          <cell r="BA425" t="str">
            <v>.</v>
          </cell>
        </row>
        <row r="426">
          <cell r="BA426" t="str">
            <v>.</v>
          </cell>
        </row>
        <row r="427">
          <cell r="BA427" t="str">
            <v>.</v>
          </cell>
        </row>
        <row r="428">
          <cell r="BA428" t="str">
            <v>.</v>
          </cell>
        </row>
        <row r="429">
          <cell r="BA429" t="str">
            <v>.</v>
          </cell>
        </row>
        <row r="430">
          <cell r="BA430" t="str">
            <v>.</v>
          </cell>
        </row>
        <row r="431">
          <cell r="BA431" t="str">
            <v>.</v>
          </cell>
        </row>
        <row r="432">
          <cell r="BA432" t="str">
            <v>.</v>
          </cell>
        </row>
        <row r="433">
          <cell r="BA433" t="str">
            <v>.</v>
          </cell>
        </row>
        <row r="434">
          <cell r="BA434" t="str">
            <v>.</v>
          </cell>
        </row>
        <row r="435">
          <cell r="BA435" t="str">
            <v>.</v>
          </cell>
        </row>
        <row r="436">
          <cell r="BA436" t="str">
            <v>.</v>
          </cell>
        </row>
        <row r="437">
          <cell r="BA437" t="str">
            <v>.</v>
          </cell>
        </row>
        <row r="438">
          <cell r="BA438" t="str">
            <v>.</v>
          </cell>
        </row>
        <row r="439">
          <cell r="BA439" t="str">
            <v>.</v>
          </cell>
        </row>
        <row r="440">
          <cell r="BA440" t="str">
            <v>.</v>
          </cell>
        </row>
        <row r="441">
          <cell r="BA441" t="str">
            <v>.</v>
          </cell>
        </row>
        <row r="442">
          <cell r="BA442" t="str">
            <v>.</v>
          </cell>
        </row>
        <row r="443">
          <cell r="BA443" t="str">
            <v>.</v>
          </cell>
        </row>
        <row r="444">
          <cell r="BA444" t="str">
            <v>.</v>
          </cell>
        </row>
        <row r="445">
          <cell r="BA445" t="str">
            <v>.</v>
          </cell>
        </row>
        <row r="446">
          <cell r="BA446" t="str">
            <v>.</v>
          </cell>
        </row>
        <row r="447">
          <cell r="BA447" t="str">
            <v>.</v>
          </cell>
        </row>
        <row r="448">
          <cell r="BA448" t="str">
            <v>.</v>
          </cell>
        </row>
        <row r="449">
          <cell r="BA449" t="str">
            <v>.</v>
          </cell>
        </row>
        <row r="450">
          <cell r="BA450" t="str">
            <v>.</v>
          </cell>
        </row>
        <row r="451">
          <cell r="BA451" t="str">
            <v>.</v>
          </cell>
        </row>
        <row r="452">
          <cell r="BA452" t="str">
            <v>.</v>
          </cell>
        </row>
        <row r="453">
          <cell r="BA453" t="str">
            <v>.</v>
          </cell>
        </row>
        <row r="454">
          <cell r="BA454" t="str">
            <v>.</v>
          </cell>
        </row>
        <row r="455">
          <cell r="BA455" t="str">
            <v>.</v>
          </cell>
        </row>
        <row r="456">
          <cell r="BA456" t="str">
            <v>.</v>
          </cell>
        </row>
        <row r="457">
          <cell r="BA457" t="str">
            <v>.</v>
          </cell>
        </row>
        <row r="458">
          <cell r="BA458" t="str">
            <v>.</v>
          </cell>
        </row>
        <row r="459">
          <cell r="BA459" t="str">
            <v>.</v>
          </cell>
        </row>
        <row r="460">
          <cell r="BA460" t="str">
            <v>.</v>
          </cell>
        </row>
        <row r="461">
          <cell r="BA461" t="str">
            <v>.</v>
          </cell>
        </row>
        <row r="462">
          <cell r="BA462" t="str">
            <v>.</v>
          </cell>
        </row>
        <row r="463">
          <cell r="BA463" t="str">
            <v>.</v>
          </cell>
        </row>
        <row r="464">
          <cell r="BA464" t="str">
            <v>.</v>
          </cell>
        </row>
        <row r="465">
          <cell r="BA465" t="str">
            <v>.</v>
          </cell>
        </row>
        <row r="466">
          <cell r="BA466" t="str">
            <v>.</v>
          </cell>
        </row>
        <row r="467">
          <cell r="BA467" t="str">
            <v>.</v>
          </cell>
        </row>
        <row r="468">
          <cell r="BA468" t="str">
            <v>.</v>
          </cell>
        </row>
        <row r="469">
          <cell r="BA469" t="str">
            <v>.</v>
          </cell>
        </row>
        <row r="470">
          <cell r="BA470" t="str">
            <v>.</v>
          </cell>
        </row>
        <row r="471">
          <cell r="BA471" t="str">
            <v>.</v>
          </cell>
        </row>
        <row r="472">
          <cell r="BA472" t="str">
            <v>.</v>
          </cell>
        </row>
        <row r="473">
          <cell r="BA473" t="str">
            <v>.</v>
          </cell>
        </row>
        <row r="474">
          <cell r="BA474" t="str">
            <v>.</v>
          </cell>
        </row>
        <row r="475">
          <cell r="BA475" t="str">
            <v>.</v>
          </cell>
        </row>
        <row r="476">
          <cell r="BA476" t="str">
            <v>.</v>
          </cell>
        </row>
        <row r="477">
          <cell r="BA477" t="str">
            <v>.</v>
          </cell>
        </row>
        <row r="478">
          <cell r="BA478" t="str">
            <v>.</v>
          </cell>
        </row>
        <row r="479">
          <cell r="BA479" t="str">
            <v>.</v>
          </cell>
        </row>
        <row r="480">
          <cell r="BA480" t="str">
            <v>.</v>
          </cell>
        </row>
        <row r="481">
          <cell r="BA481" t="str">
            <v>.</v>
          </cell>
        </row>
        <row r="482">
          <cell r="BA482" t="str">
            <v>.</v>
          </cell>
        </row>
        <row r="483">
          <cell r="BA483" t="str">
            <v>.</v>
          </cell>
        </row>
        <row r="484">
          <cell r="BA484" t="str">
            <v>.</v>
          </cell>
        </row>
        <row r="485">
          <cell r="BA485" t="str">
            <v>.</v>
          </cell>
        </row>
        <row r="486">
          <cell r="BA486" t="str">
            <v>.</v>
          </cell>
        </row>
        <row r="487">
          <cell r="BA487" t="str">
            <v>.</v>
          </cell>
        </row>
        <row r="488">
          <cell r="BA488" t="str">
            <v>.</v>
          </cell>
        </row>
        <row r="489">
          <cell r="BA489" t="str">
            <v>.</v>
          </cell>
        </row>
        <row r="490">
          <cell r="BA490" t="str">
            <v>.</v>
          </cell>
        </row>
        <row r="491">
          <cell r="BA491" t="str">
            <v>.</v>
          </cell>
        </row>
        <row r="492">
          <cell r="BA492" t="str">
            <v>.</v>
          </cell>
        </row>
        <row r="493">
          <cell r="BA493" t="str">
            <v>.</v>
          </cell>
        </row>
        <row r="494">
          <cell r="BA494" t="str">
            <v>.</v>
          </cell>
        </row>
        <row r="495">
          <cell r="BA495" t="str">
            <v>.</v>
          </cell>
        </row>
        <row r="496">
          <cell r="BA496" t="str">
            <v>.</v>
          </cell>
        </row>
        <row r="497">
          <cell r="BA497" t="str">
            <v>.</v>
          </cell>
        </row>
        <row r="498">
          <cell r="BA498" t="str">
            <v>.</v>
          </cell>
        </row>
        <row r="499">
          <cell r="BA499" t="str">
            <v>.</v>
          </cell>
        </row>
        <row r="500">
          <cell r="BA500" t="str">
            <v>.</v>
          </cell>
        </row>
        <row r="501">
          <cell r="BA501" t="str">
            <v>.</v>
          </cell>
        </row>
        <row r="502">
          <cell r="BA502" t="str">
            <v>.</v>
          </cell>
        </row>
        <row r="503">
          <cell r="BA503" t="str">
            <v>.</v>
          </cell>
        </row>
        <row r="504">
          <cell r="BA504" t="str">
            <v>.</v>
          </cell>
        </row>
        <row r="505">
          <cell r="BA505" t="str">
            <v>.</v>
          </cell>
        </row>
        <row r="506">
          <cell r="BA506" t="str">
            <v>.</v>
          </cell>
        </row>
        <row r="507">
          <cell r="BA507" t="str">
            <v>.</v>
          </cell>
        </row>
        <row r="508">
          <cell r="BA508" t="str">
            <v>.</v>
          </cell>
        </row>
        <row r="509">
          <cell r="BA509" t="str">
            <v>.</v>
          </cell>
        </row>
        <row r="510">
          <cell r="BA510" t="str">
            <v>.</v>
          </cell>
        </row>
        <row r="511">
          <cell r="BA511" t="str">
            <v>.</v>
          </cell>
        </row>
        <row r="512">
          <cell r="BA512" t="str">
            <v>.</v>
          </cell>
        </row>
        <row r="513">
          <cell r="BA513" t="str">
            <v>.</v>
          </cell>
        </row>
        <row r="514">
          <cell r="BA514" t="str">
            <v>.</v>
          </cell>
        </row>
        <row r="515">
          <cell r="BA515" t="str">
            <v>.</v>
          </cell>
        </row>
        <row r="516">
          <cell r="BA516" t="str">
            <v>.</v>
          </cell>
        </row>
        <row r="517">
          <cell r="BA517" t="str">
            <v>.</v>
          </cell>
        </row>
        <row r="518">
          <cell r="BA518" t="str">
            <v>.</v>
          </cell>
        </row>
        <row r="519">
          <cell r="BA519" t="str">
            <v>.</v>
          </cell>
        </row>
        <row r="520">
          <cell r="BA520" t="str">
            <v>.</v>
          </cell>
        </row>
        <row r="521">
          <cell r="BA521" t="str">
            <v>.</v>
          </cell>
        </row>
        <row r="522">
          <cell r="BA522" t="str">
            <v>.</v>
          </cell>
        </row>
        <row r="523">
          <cell r="BA523" t="str">
            <v>.</v>
          </cell>
        </row>
        <row r="524">
          <cell r="BA524" t="str">
            <v>.</v>
          </cell>
        </row>
        <row r="525">
          <cell r="BA525" t="str">
            <v>.</v>
          </cell>
        </row>
        <row r="526">
          <cell r="BA526" t="str">
            <v>.</v>
          </cell>
        </row>
        <row r="527">
          <cell r="BA527" t="str">
            <v>.</v>
          </cell>
        </row>
        <row r="528">
          <cell r="BA528" t="str">
            <v>.</v>
          </cell>
        </row>
        <row r="529">
          <cell r="BA529" t="str">
            <v>.</v>
          </cell>
        </row>
        <row r="530">
          <cell r="BA530" t="str">
            <v>.</v>
          </cell>
        </row>
        <row r="531">
          <cell r="BA531" t="str">
            <v>.</v>
          </cell>
        </row>
        <row r="532">
          <cell r="BA532" t="str">
            <v>.</v>
          </cell>
        </row>
        <row r="533">
          <cell r="BA533" t="str">
            <v>.</v>
          </cell>
        </row>
        <row r="534">
          <cell r="BA534" t="str">
            <v>.</v>
          </cell>
        </row>
        <row r="535">
          <cell r="BA535" t="str">
            <v>.</v>
          </cell>
        </row>
        <row r="536">
          <cell r="BA536" t="str">
            <v>.</v>
          </cell>
        </row>
        <row r="537">
          <cell r="BA537" t="str">
            <v>.</v>
          </cell>
        </row>
        <row r="538">
          <cell r="BA538" t="str">
            <v>.</v>
          </cell>
        </row>
        <row r="539">
          <cell r="BA539" t="str">
            <v>.</v>
          </cell>
        </row>
        <row r="540">
          <cell r="BA540" t="str">
            <v>.</v>
          </cell>
        </row>
        <row r="541">
          <cell r="BA541" t="str">
            <v>.</v>
          </cell>
        </row>
        <row r="542">
          <cell r="BA542" t="str">
            <v>.</v>
          </cell>
        </row>
        <row r="543">
          <cell r="BA543" t="str">
            <v>.</v>
          </cell>
        </row>
        <row r="544">
          <cell r="BA544" t="str">
            <v>.</v>
          </cell>
        </row>
        <row r="545">
          <cell r="BA545" t="str">
            <v>.</v>
          </cell>
        </row>
        <row r="546">
          <cell r="BA546" t="str">
            <v>.</v>
          </cell>
        </row>
        <row r="547">
          <cell r="BA547" t="str">
            <v>.</v>
          </cell>
        </row>
        <row r="548">
          <cell r="BA548" t="str">
            <v>.</v>
          </cell>
        </row>
        <row r="549">
          <cell r="BA549" t="str">
            <v>.</v>
          </cell>
        </row>
        <row r="550">
          <cell r="BA550" t="str">
            <v>.</v>
          </cell>
        </row>
        <row r="551">
          <cell r="BA551" t="str">
            <v>.</v>
          </cell>
        </row>
        <row r="552">
          <cell r="BA552" t="str">
            <v>.</v>
          </cell>
        </row>
        <row r="553">
          <cell r="BA553" t="str">
            <v>.</v>
          </cell>
        </row>
        <row r="554">
          <cell r="BA554" t="str">
            <v>.</v>
          </cell>
        </row>
        <row r="555">
          <cell r="BA555" t="str">
            <v>.</v>
          </cell>
        </row>
        <row r="556">
          <cell r="BA556" t="str">
            <v>.</v>
          </cell>
        </row>
        <row r="557">
          <cell r="BA557" t="str">
            <v>.</v>
          </cell>
        </row>
        <row r="558">
          <cell r="BA558" t="str">
            <v>.</v>
          </cell>
        </row>
        <row r="559">
          <cell r="BA559" t="str">
            <v>.</v>
          </cell>
        </row>
        <row r="560">
          <cell r="BA560" t="str">
            <v>.</v>
          </cell>
        </row>
        <row r="561">
          <cell r="BA561" t="str">
            <v>.</v>
          </cell>
        </row>
        <row r="562">
          <cell r="BA562" t="str">
            <v>.</v>
          </cell>
        </row>
        <row r="563">
          <cell r="BA563" t="str">
            <v>.</v>
          </cell>
        </row>
        <row r="564">
          <cell r="BA564" t="str">
            <v>.</v>
          </cell>
        </row>
        <row r="565">
          <cell r="BA565" t="str">
            <v>.</v>
          </cell>
        </row>
        <row r="566">
          <cell r="BA566" t="str">
            <v>.</v>
          </cell>
        </row>
        <row r="567">
          <cell r="BA567" t="str">
            <v>.</v>
          </cell>
        </row>
        <row r="568">
          <cell r="BA568" t="str">
            <v>.</v>
          </cell>
        </row>
        <row r="569">
          <cell r="BA569" t="str">
            <v>.</v>
          </cell>
        </row>
        <row r="570">
          <cell r="BA570" t="str">
            <v>.</v>
          </cell>
        </row>
        <row r="571">
          <cell r="BA571" t="str">
            <v>.</v>
          </cell>
        </row>
        <row r="572">
          <cell r="BA572" t="str">
            <v>.</v>
          </cell>
        </row>
        <row r="573">
          <cell r="BA573" t="str">
            <v>.</v>
          </cell>
        </row>
        <row r="574">
          <cell r="BA574" t="str">
            <v>.</v>
          </cell>
        </row>
        <row r="575">
          <cell r="BA575" t="str">
            <v>.</v>
          </cell>
        </row>
        <row r="576">
          <cell r="BA576" t="str">
            <v>.</v>
          </cell>
        </row>
        <row r="577">
          <cell r="BA577" t="str">
            <v>.</v>
          </cell>
        </row>
        <row r="578">
          <cell r="BA578" t="str">
            <v>.</v>
          </cell>
        </row>
        <row r="579">
          <cell r="BA579" t="str">
            <v>.</v>
          </cell>
        </row>
        <row r="580">
          <cell r="BA580" t="str">
            <v>.</v>
          </cell>
        </row>
        <row r="581">
          <cell r="BA581" t="str">
            <v>.</v>
          </cell>
        </row>
        <row r="582">
          <cell r="BA582" t="str">
            <v>.</v>
          </cell>
        </row>
        <row r="583">
          <cell r="BA583" t="str">
            <v>.</v>
          </cell>
        </row>
        <row r="584">
          <cell r="BA584" t="str">
            <v>.</v>
          </cell>
        </row>
        <row r="585">
          <cell r="BA585" t="str">
            <v>.</v>
          </cell>
        </row>
        <row r="586">
          <cell r="BA586" t="str">
            <v>.</v>
          </cell>
        </row>
        <row r="587">
          <cell r="BA587" t="str">
            <v>.</v>
          </cell>
        </row>
        <row r="588">
          <cell r="BA588" t="str">
            <v>.</v>
          </cell>
        </row>
        <row r="589">
          <cell r="BA589" t="str">
            <v>.</v>
          </cell>
        </row>
        <row r="590">
          <cell r="BA590" t="str">
            <v>.</v>
          </cell>
        </row>
        <row r="591">
          <cell r="BA591" t="str">
            <v>.</v>
          </cell>
        </row>
        <row r="592">
          <cell r="BA592" t="str">
            <v>.</v>
          </cell>
        </row>
        <row r="593">
          <cell r="BA593" t="str">
            <v>.</v>
          </cell>
        </row>
        <row r="594">
          <cell r="BA594" t="str">
            <v>.</v>
          </cell>
        </row>
        <row r="595">
          <cell r="BA595" t="str">
            <v>.</v>
          </cell>
        </row>
        <row r="596">
          <cell r="BA596" t="str">
            <v>.</v>
          </cell>
        </row>
        <row r="597">
          <cell r="BA597" t="str">
            <v>.</v>
          </cell>
        </row>
        <row r="598">
          <cell r="BA598" t="str">
            <v>.</v>
          </cell>
        </row>
        <row r="599">
          <cell r="BA599" t="str">
            <v>.</v>
          </cell>
        </row>
        <row r="600">
          <cell r="BA600" t="str">
            <v>.</v>
          </cell>
        </row>
        <row r="601">
          <cell r="BA601" t="str">
            <v>.</v>
          </cell>
        </row>
        <row r="602">
          <cell r="BA602" t="str">
            <v>.</v>
          </cell>
        </row>
        <row r="603">
          <cell r="BA603" t="str">
            <v>.</v>
          </cell>
        </row>
        <row r="604">
          <cell r="BA604" t="str">
            <v>.</v>
          </cell>
        </row>
        <row r="605">
          <cell r="BA605" t="str">
            <v>.</v>
          </cell>
        </row>
        <row r="606">
          <cell r="BA606" t="str">
            <v>.</v>
          </cell>
        </row>
        <row r="607">
          <cell r="BA607" t="str">
            <v>.</v>
          </cell>
        </row>
        <row r="608">
          <cell r="BA608" t="str">
            <v>.</v>
          </cell>
        </row>
        <row r="609">
          <cell r="BA609" t="str">
            <v>.</v>
          </cell>
        </row>
        <row r="610">
          <cell r="BA610" t="str">
            <v>.</v>
          </cell>
        </row>
        <row r="611">
          <cell r="BA611" t="str">
            <v>.</v>
          </cell>
        </row>
        <row r="612">
          <cell r="BA612" t="str">
            <v>.</v>
          </cell>
        </row>
        <row r="613">
          <cell r="BA613" t="str">
            <v>.</v>
          </cell>
        </row>
        <row r="614">
          <cell r="BA614" t="str">
            <v>.</v>
          </cell>
        </row>
        <row r="615">
          <cell r="BA615" t="str">
            <v>.</v>
          </cell>
        </row>
        <row r="616">
          <cell r="BA616" t="str">
            <v>.</v>
          </cell>
        </row>
        <row r="617">
          <cell r="BA617" t="str">
            <v>.</v>
          </cell>
        </row>
        <row r="618">
          <cell r="BA618" t="str">
            <v>.</v>
          </cell>
        </row>
        <row r="619">
          <cell r="BA619" t="str">
            <v>.</v>
          </cell>
        </row>
        <row r="620">
          <cell r="BA620" t="str">
            <v>.</v>
          </cell>
        </row>
        <row r="621">
          <cell r="BA621" t="str">
            <v>.</v>
          </cell>
        </row>
        <row r="622">
          <cell r="BA622" t="str">
            <v>.</v>
          </cell>
        </row>
        <row r="623">
          <cell r="BA623" t="str">
            <v>.</v>
          </cell>
        </row>
        <row r="624">
          <cell r="BA624" t="str">
            <v>.</v>
          </cell>
        </row>
        <row r="625">
          <cell r="BA625" t="str">
            <v>.</v>
          </cell>
        </row>
        <row r="626">
          <cell r="BA626" t="str">
            <v>.</v>
          </cell>
        </row>
        <row r="627">
          <cell r="BA627" t="str">
            <v>.</v>
          </cell>
        </row>
        <row r="628">
          <cell r="BA628" t="str">
            <v>.</v>
          </cell>
        </row>
        <row r="629">
          <cell r="BA629" t="str">
            <v>.</v>
          </cell>
        </row>
        <row r="630">
          <cell r="BA630" t="str">
            <v>.</v>
          </cell>
        </row>
        <row r="631">
          <cell r="BA631" t="str">
            <v>.</v>
          </cell>
        </row>
        <row r="632">
          <cell r="BA632" t="str">
            <v>.</v>
          </cell>
        </row>
        <row r="633">
          <cell r="BA633" t="str">
            <v>.</v>
          </cell>
        </row>
        <row r="634">
          <cell r="BA634" t="str">
            <v>.</v>
          </cell>
        </row>
        <row r="635">
          <cell r="BA635" t="str">
            <v>.</v>
          </cell>
        </row>
        <row r="636">
          <cell r="BA636" t="str">
            <v>.</v>
          </cell>
        </row>
        <row r="637">
          <cell r="BA637" t="str">
            <v>.</v>
          </cell>
        </row>
        <row r="638">
          <cell r="BA638" t="str">
            <v>.</v>
          </cell>
        </row>
        <row r="639">
          <cell r="BA639" t="str">
            <v>.</v>
          </cell>
        </row>
        <row r="640">
          <cell r="BA640" t="str">
            <v>.</v>
          </cell>
        </row>
        <row r="641">
          <cell r="BA641" t="str">
            <v>.</v>
          </cell>
        </row>
        <row r="642">
          <cell r="BA642" t="str">
            <v>.</v>
          </cell>
        </row>
        <row r="643">
          <cell r="BA643" t="str">
            <v>.</v>
          </cell>
        </row>
        <row r="644">
          <cell r="BA644" t="str">
            <v>.</v>
          </cell>
        </row>
        <row r="645">
          <cell r="BA645" t="str">
            <v>.</v>
          </cell>
        </row>
        <row r="646">
          <cell r="BA646" t="str">
            <v>.</v>
          </cell>
        </row>
        <row r="647">
          <cell r="BA647" t="str">
            <v>.</v>
          </cell>
        </row>
        <row r="648">
          <cell r="BA648" t="str">
            <v>.</v>
          </cell>
        </row>
        <row r="649">
          <cell r="BA649" t="str">
            <v>.</v>
          </cell>
        </row>
        <row r="650">
          <cell r="BA650" t="str">
            <v>.</v>
          </cell>
        </row>
        <row r="651">
          <cell r="BA651" t="str">
            <v>.</v>
          </cell>
        </row>
        <row r="652">
          <cell r="BA652" t="str">
            <v>.</v>
          </cell>
        </row>
        <row r="653">
          <cell r="BA653" t="str">
            <v>.</v>
          </cell>
        </row>
        <row r="654">
          <cell r="BA654" t="str">
            <v>.</v>
          </cell>
        </row>
        <row r="655">
          <cell r="BA655" t="str">
            <v>.</v>
          </cell>
        </row>
        <row r="656">
          <cell r="BA656" t="str">
            <v>.</v>
          </cell>
        </row>
        <row r="657">
          <cell r="BA657" t="str">
            <v>.</v>
          </cell>
        </row>
        <row r="658">
          <cell r="BA658" t="str">
            <v>.</v>
          </cell>
        </row>
        <row r="659">
          <cell r="BA659" t="str">
            <v>.</v>
          </cell>
        </row>
        <row r="660">
          <cell r="BA660" t="str">
            <v>.</v>
          </cell>
        </row>
        <row r="661">
          <cell r="BA661" t="str">
            <v>.</v>
          </cell>
        </row>
        <row r="662">
          <cell r="BA662" t="str">
            <v>.</v>
          </cell>
        </row>
        <row r="663">
          <cell r="BA663" t="str">
            <v>.</v>
          </cell>
        </row>
        <row r="664">
          <cell r="BA664" t="str">
            <v>.</v>
          </cell>
        </row>
        <row r="665">
          <cell r="BA665" t="str">
            <v>.</v>
          </cell>
        </row>
        <row r="666">
          <cell r="BA666" t="str">
            <v>.</v>
          </cell>
        </row>
        <row r="667">
          <cell r="BA667" t="str">
            <v>.</v>
          </cell>
        </row>
        <row r="668">
          <cell r="BA668" t="str">
            <v>.</v>
          </cell>
        </row>
        <row r="669">
          <cell r="BA669" t="str">
            <v>.</v>
          </cell>
        </row>
        <row r="670">
          <cell r="BA670" t="str">
            <v>.</v>
          </cell>
        </row>
        <row r="671">
          <cell r="BA671" t="str">
            <v>.</v>
          </cell>
        </row>
        <row r="672">
          <cell r="BA672" t="str">
            <v>.</v>
          </cell>
        </row>
        <row r="673">
          <cell r="BA673" t="str">
            <v>.</v>
          </cell>
        </row>
        <row r="674">
          <cell r="BA674" t="str">
            <v>.</v>
          </cell>
        </row>
        <row r="675">
          <cell r="BA675" t="str">
            <v>.</v>
          </cell>
        </row>
        <row r="676">
          <cell r="BA676" t="str">
            <v>.</v>
          </cell>
        </row>
        <row r="677">
          <cell r="BA677" t="str">
            <v>.</v>
          </cell>
        </row>
        <row r="678">
          <cell r="BA678" t="str">
            <v>.</v>
          </cell>
        </row>
        <row r="679">
          <cell r="BA679" t="str">
            <v>.</v>
          </cell>
        </row>
        <row r="680">
          <cell r="BA680" t="str">
            <v>.</v>
          </cell>
        </row>
        <row r="681">
          <cell r="BA681" t="str">
            <v>.</v>
          </cell>
        </row>
        <row r="682">
          <cell r="BA682" t="str">
            <v>.</v>
          </cell>
        </row>
        <row r="683">
          <cell r="BA683" t="str">
            <v>.</v>
          </cell>
        </row>
        <row r="684">
          <cell r="BA684" t="str">
            <v>.</v>
          </cell>
        </row>
        <row r="685">
          <cell r="BA685" t="str">
            <v>.</v>
          </cell>
        </row>
        <row r="686">
          <cell r="BA686" t="str">
            <v>.</v>
          </cell>
        </row>
        <row r="687">
          <cell r="BA687" t="str">
            <v>.</v>
          </cell>
        </row>
        <row r="688">
          <cell r="BA688" t="str">
            <v>.</v>
          </cell>
        </row>
        <row r="689">
          <cell r="BA689" t="str">
            <v>.</v>
          </cell>
        </row>
        <row r="690">
          <cell r="BA690" t="str">
            <v>.</v>
          </cell>
        </row>
        <row r="691">
          <cell r="BA691" t="str">
            <v>.</v>
          </cell>
        </row>
        <row r="692">
          <cell r="BA692" t="str">
            <v>.</v>
          </cell>
        </row>
        <row r="693">
          <cell r="BA693" t="str">
            <v>.</v>
          </cell>
        </row>
        <row r="694">
          <cell r="BA694" t="str">
            <v>.</v>
          </cell>
        </row>
        <row r="695">
          <cell r="BA695" t="str">
            <v>.</v>
          </cell>
        </row>
        <row r="696">
          <cell r="BA696" t="str">
            <v>.</v>
          </cell>
        </row>
        <row r="697">
          <cell r="BA697" t="str">
            <v>.</v>
          </cell>
        </row>
        <row r="698">
          <cell r="BA698" t="str">
            <v>.</v>
          </cell>
        </row>
        <row r="699">
          <cell r="BA699" t="str">
            <v>.</v>
          </cell>
        </row>
        <row r="700">
          <cell r="BA700" t="str">
            <v>.</v>
          </cell>
        </row>
        <row r="701">
          <cell r="BA701" t="str">
            <v>.</v>
          </cell>
        </row>
        <row r="702">
          <cell r="BA702" t="str">
            <v>.</v>
          </cell>
        </row>
        <row r="703">
          <cell r="BA703" t="str">
            <v>.</v>
          </cell>
        </row>
        <row r="704">
          <cell r="BA704" t="str">
            <v>.</v>
          </cell>
        </row>
        <row r="705">
          <cell r="BA705" t="str">
            <v>.</v>
          </cell>
        </row>
        <row r="706">
          <cell r="BA706" t="str">
            <v>.</v>
          </cell>
        </row>
        <row r="707">
          <cell r="BA707" t="str">
            <v>.</v>
          </cell>
        </row>
        <row r="708">
          <cell r="BA708" t="str">
            <v>.</v>
          </cell>
        </row>
        <row r="709">
          <cell r="BA709" t="str">
            <v>.</v>
          </cell>
        </row>
        <row r="710">
          <cell r="BA710" t="str">
            <v>.</v>
          </cell>
        </row>
        <row r="711">
          <cell r="BA711" t="str">
            <v>.</v>
          </cell>
        </row>
        <row r="712">
          <cell r="BA712" t="str">
            <v>.</v>
          </cell>
        </row>
        <row r="713">
          <cell r="BA713" t="str">
            <v>.</v>
          </cell>
        </row>
        <row r="714">
          <cell r="BA714" t="str">
            <v>.</v>
          </cell>
        </row>
        <row r="715">
          <cell r="BA715" t="str">
            <v>.</v>
          </cell>
        </row>
        <row r="716">
          <cell r="BA716" t="str">
            <v>.</v>
          </cell>
        </row>
        <row r="717">
          <cell r="BA717" t="str">
            <v>.</v>
          </cell>
        </row>
        <row r="718">
          <cell r="BA718" t="str">
            <v>.</v>
          </cell>
        </row>
        <row r="719">
          <cell r="BA719" t="str">
            <v>.</v>
          </cell>
        </row>
        <row r="720">
          <cell r="BA720" t="str">
            <v>.</v>
          </cell>
        </row>
        <row r="721">
          <cell r="BA721" t="str">
            <v>.</v>
          </cell>
        </row>
        <row r="722">
          <cell r="BA722" t="str">
            <v>.</v>
          </cell>
        </row>
        <row r="723">
          <cell r="BA723" t="str">
            <v>.</v>
          </cell>
        </row>
        <row r="724">
          <cell r="BA724" t="str">
            <v>.</v>
          </cell>
        </row>
        <row r="725">
          <cell r="BA725" t="str">
            <v>.</v>
          </cell>
        </row>
        <row r="726">
          <cell r="BA726" t="str">
            <v>.</v>
          </cell>
        </row>
        <row r="727">
          <cell r="BA727" t="str">
            <v>.</v>
          </cell>
        </row>
        <row r="728">
          <cell r="BA728" t="str">
            <v>.</v>
          </cell>
        </row>
        <row r="729">
          <cell r="BA729" t="str">
            <v>.</v>
          </cell>
        </row>
        <row r="730">
          <cell r="BA730" t="str">
            <v>.</v>
          </cell>
        </row>
        <row r="731">
          <cell r="BA731" t="str">
            <v>.</v>
          </cell>
        </row>
        <row r="732">
          <cell r="BA732" t="str">
            <v>.</v>
          </cell>
        </row>
        <row r="733">
          <cell r="BA733" t="str">
            <v>.</v>
          </cell>
        </row>
        <row r="734">
          <cell r="BA734" t="str">
            <v>.</v>
          </cell>
        </row>
        <row r="735">
          <cell r="BA735" t="str">
            <v>.</v>
          </cell>
        </row>
        <row r="736">
          <cell r="BA736" t="str">
            <v>.</v>
          </cell>
        </row>
        <row r="737">
          <cell r="BA737" t="str">
            <v>.</v>
          </cell>
        </row>
        <row r="738">
          <cell r="BA738" t="str">
            <v>.</v>
          </cell>
        </row>
        <row r="739">
          <cell r="BA739" t="str">
            <v>.</v>
          </cell>
        </row>
        <row r="740">
          <cell r="BA740" t="str">
            <v>.</v>
          </cell>
        </row>
        <row r="741">
          <cell r="BA741" t="str">
            <v>.</v>
          </cell>
        </row>
        <row r="742">
          <cell r="BA742" t="str">
            <v>.</v>
          </cell>
        </row>
        <row r="743">
          <cell r="BA743" t="str">
            <v>.</v>
          </cell>
        </row>
        <row r="744">
          <cell r="BA744" t="str">
            <v>.</v>
          </cell>
        </row>
        <row r="745">
          <cell r="BA745" t="str">
            <v>.</v>
          </cell>
        </row>
        <row r="746">
          <cell r="BA746" t="str">
            <v>.</v>
          </cell>
        </row>
        <row r="747">
          <cell r="BA747" t="str">
            <v>.</v>
          </cell>
        </row>
        <row r="748">
          <cell r="BA748" t="str">
            <v>.</v>
          </cell>
        </row>
        <row r="749">
          <cell r="BA749" t="str">
            <v>.</v>
          </cell>
        </row>
        <row r="750">
          <cell r="BA750" t="str">
            <v>.</v>
          </cell>
        </row>
        <row r="751">
          <cell r="BA751" t="str">
            <v>.</v>
          </cell>
        </row>
        <row r="752">
          <cell r="BA752" t="str">
            <v>.</v>
          </cell>
        </row>
        <row r="753">
          <cell r="BA753" t="str">
            <v>.</v>
          </cell>
        </row>
        <row r="754">
          <cell r="BA754" t="str">
            <v>.</v>
          </cell>
        </row>
        <row r="755">
          <cell r="BA755" t="str">
            <v>.</v>
          </cell>
        </row>
        <row r="756">
          <cell r="BA756" t="str">
            <v>.</v>
          </cell>
        </row>
        <row r="757">
          <cell r="BA757" t="str">
            <v>.</v>
          </cell>
        </row>
        <row r="758">
          <cell r="BA758" t="str">
            <v>.</v>
          </cell>
        </row>
        <row r="759">
          <cell r="BA759" t="str">
            <v>.</v>
          </cell>
        </row>
        <row r="760">
          <cell r="BA760" t="str">
            <v>.</v>
          </cell>
        </row>
        <row r="761">
          <cell r="BA761" t="str">
            <v>.</v>
          </cell>
        </row>
        <row r="762">
          <cell r="BA762" t="str">
            <v>.</v>
          </cell>
        </row>
        <row r="763">
          <cell r="BA763" t="str">
            <v>.</v>
          </cell>
        </row>
        <row r="764">
          <cell r="BA764" t="str">
            <v>.</v>
          </cell>
        </row>
        <row r="765">
          <cell r="BA765" t="str">
            <v>.</v>
          </cell>
        </row>
        <row r="766">
          <cell r="BA766" t="str">
            <v>.</v>
          </cell>
        </row>
        <row r="767">
          <cell r="BA767" t="str">
            <v>.</v>
          </cell>
        </row>
        <row r="768">
          <cell r="BA768" t="str">
            <v>.</v>
          </cell>
        </row>
        <row r="769">
          <cell r="BA769" t="str">
            <v>.</v>
          </cell>
        </row>
        <row r="770">
          <cell r="BA770" t="str">
            <v>.</v>
          </cell>
        </row>
        <row r="771">
          <cell r="BA771" t="str">
            <v>.</v>
          </cell>
        </row>
        <row r="772">
          <cell r="BA772" t="str">
            <v>.</v>
          </cell>
        </row>
        <row r="773">
          <cell r="BA773" t="str">
            <v>.</v>
          </cell>
        </row>
        <row r="774">
          <cell r="BA774" t="str">
            <v>.</v>
          </cell>
        </row>
        <row r="775">
          <cell r="BA775" t="str">
            <v>.</v>
          </cell>
        </row>
        <row r="776">
          <cell r="BA776" t="str">
            <v>.</v>
          </cell>
        </row>
        <row r="777">
          <cell r="BA777" t="str">
            <v>.</v>
          </cell>
        </row>
        <row r="778">
          <cell r="BA778" t="str">
            <v>.</v>
          </cell>
        </row>
        <row r="779">
          <cell r="BA779" t="str">
            <v>.</v>
          </cell>
        </row>
        <row r="780">
          <cell r="BA780" t="str">
            <v>.</v>
          </cell>
        </row>
        <row r="781">
          <cell r="BA781" t="str">
            <v>.</v>
          </cell>
        </row>
        <row r="782">
          <cell r="BA782" t="str">
            <v>.</v>
          </cell>
        </row>
        <row r="783">
          <cell r="BA783" t="str">
            <v>.</v>
          </cell>
        </row>
        <row r="784">
          <cell r="BA784" t="str">
            <v>.</v>
          </cell>
        </row>
        <row r="785">
          <cell r="BA785" t="str">
            <v>.</v>
          </cell>
        </row>
        <row r="786">
          <cell r="BA786" t="str">
            <v>.</v>
          </cell>
        </row>
        <row r="787">
          <cell r="BA787" t="str">
            <v>.</v>
          </cell>
        </row>
        <row r="788">
          <cell r="BA788" t="str">
            <v>.</v>
          </cell>
        </row>
        <row r="789">
          <cell r="BA789" t="str">
            <v>.</v>
          </cell>
        </row>
        <row r="790">
          <cell r="BA790" t="str">
            <v>.</v>
          </cell>
        </row>
        <row r="791">
          <cell r="BA791" t="str">
            <v>.</v>
          </cell>
        </row>
        <row r="792">
          <cell r="BA792" t="str">
            <v>.</v>
          </cell>
        </row>
        <row r="793">
          <cell r="BA793" t="str">
            <v>.</v>
          </cell>
        </row>
        <row r="794">
          <cell r="BA794" t="str">
            <v>.</v>
          </cell>
        </row>
        <row r="795">
          <cell r="BA795" t="str">
            <v>.</v>
          </cell>
        </row>
        <row r="796">
          <cell r="BA796" t="str">
            <v>.</v>
          </cell>
        </row>
        <row r="797">
          <cell r="BA797" t="str">
            <v>.</v>
          </cell>
        </row>
        <row r="798">
          <cell r="BA798" t="str">
            <v>.</v>
          </cell>
        </row>
        <row r="799">
          <cell r="BA799" t="str">
            <v>.</v>
          </cell>
        </row>
        <row r="800">
          <cell r="BA800" t="str">
            <v>.</v>
          </cell>
        </row>
        <row r="801">
          <cell r="BA801" t="str">
            <v>.</v>
          </cell>
        </row>
        <row r="802">
          <cell r="BA802" t="str">
            <v>.</v>
          </cell>
        </row>
        <row r="803">
          <cell r="BA803" t="str">
            <v>.</v>
          </cell>
        </row>
        <row r="804">
          <cell r="BA804" t="str">
            <v>.</v>
          </cell>
        </row>
        <row r="805">
          <cell r="BA805" t="str">
            <v>.</v>
          </cell>
        </row>
        <row r="806">
          <cell r="BA806" t="str">
            <v>.</v>
          </cell>
        </row>
        <row r="807">
          <cell r="BA807" t="str">
            <v>.</v>
          </cell>
        </row>
        <row r="808">
          <cell r="BA808" t="str">
            <v>.</v>
          </cell>
        </row>
        <row r="809">
          <cell r="BA809" t="str">
            <v>.</v>
          </cell>
        </row>
        <row r="810">
          <cell r="BA810" t="str">
            <v>.</v>
          </cell>
        </row>
        <row r="811">
          <cell r="BA811" t="str">
            <v>.</v>
          </cell>
        </row>
        <row r="812">
          <cell r="BA812" t="str">
            <v>.</v>
          </cell>
        </row>
        <row r="813">
          <cell r="BA813" t="str">
            <v>.</v>
          </cell>
        </row>
        <row r="814">
          <cell r="BA814" t="str">
            <v>.</v>
          </cell>
        </row>
        <row r="815">
          <cell r="BA815" t="str">
            <v>.</v>
          </cell>
        </row>
        <row r="816">
          <cell r="BA816" t="str">
            <v>.</v>
          </cell>
        </row>
        <row r="817">
          <cell r="BA817" t="str">
            <v>.</v>
          </cell>
        </row>
        <row r="818">
          <cell r="BA818" t="str">
            <v>.</v>
          </cell>
        </row>
        <row r="819">
          <cell r="BA819" t="str">
            <v>.</v>
          </cell>
        </row>
        <row r="820">
          <cell r="BA820" t="str">
            <v>.</v>
          </cell>
        </row>
        <row r="821">
          <cell r="BA821" t="str">
            <v>.</v>
          </cell>
        </row>
        <row r="822">
          <cell r="BA822" t="str">
            <v>.</v>
          </cell>
        </row>
        <row r="823">
          <cell r="BA823" t="str">
            <v>.</v>
          </cell>
        </row>
        <row r="824">
          <cell r="BA824" t="str">
            <v>.</v>
          </cell>
        </row>
        <row r="825">
          <cell r="BA825" t="str">
            <v>.</v>
          </cell>
        </row>
        <row r="826">
          <cell r="BA826" t="str">
            <v>.</v>
          </cell>
        </row>
        <row r="827">
          <cell r="BA827" t="str">
            <v>.</v>
          </cell>
        </row>
        <row r="828">
          <cell r="BA828" t="str">
            <v>.</v>
          </cell>
        </row>
        <row r="829">
          <cell r="BA829" t="str">
            <v>.</v>
          </cell>
        </row>
        <row r="830">
          <cell r="BA830" t="str">
            <v>.</v>
          </cell>
        </row>
        <row r="831">
          <cell r="BA831" t="str">
            <v>.</v>
          </cell>
        </row>
        <row r="832">
          <cell r="BA832" t="str">
            <v>.</v>
          </cell>
        </row>
        <row r="833">
          <cell r="BA833" t="str">
            <v>.</v>
          </cell>
        </row>
        <row r="834">
          <cell r="BA834" t="str">
            <v>.</v>
          </cell>
        </row>
        <row r="835">
          <cell r="BA835" t="str">
            <v>.</v>
          </cell>
        </row>
        <row r="836">
          <cell r="BA836" t="str">
            <v>.</v>
          </cell>
        </row>
        <row r="837">
          <cell r="BA837" t="str">
            <v>.</v>
          </cell>
        </row>
        <row r="838">
          <cell r="BA838" t="str">
            <v>.</v>
          </cell>
        </row>
        <row r="839">
          <cell r="BA839" t="str">
            <v>.</v>
          </cell>
        </row>
        <row r="840">
          <cell r="BA840" t="str">
            <v>.</v>
          </cell>
        </row>
        <row r="841">
          <cell r="BA841" t="str">
            <v>.</v>
          </cell>
        </row>
        <row r="842">
          <cell r="BA842" t="str">
            <v>.</v>
          </cell>
        </row>
        <row r="843">
          <cell r="BA843" t="str">
            <v>.</v>
          </cell>
        </row>
        <row r="844">
          <cell r="BA844" t="str">
            <v>.</v>
          </cell>
        </row>
        <row r="845">
          <cell r="BA845" t="str">
            <v>.</v>
          </cell>
        </row>
        <row r="846">
          <cell r="BA846" t="str">
            <v>.</v>
          </cell>
        </row>
        <row r="847">
          <cell r="BA847" t="str">
            <v>.</v>
          </cell>
        </row>
        <row r="848">
          <cell r="BA848" t="str">
            <v>.</v>
          </cell>
        </row>
        <row r="849">
          <cell r="BA849" t="str">
            <v>.</v>
          </cell>
        </row>
        <row r="850">
          <cell r="BA850" t="str">
            <v>.</v>
          </cell>
        </row>
        <row r="851">
          <cell r="BA851" t="str">
            <v>.</v>
          </cell>
        </row>
        <row r="852">
          <cell r="BA852" t="str">
            <v>.</v>
          </cell>
        </row>
        <row r="853">
          <cell r="BA853" t="str">
            <v>.</v>
          </cell>
        </row>
        <row r="854">
          <cell r="BA854" t="str">
            <v>.</v>
          </cell>
        </row>
        <row r="855">
          <cell r="BA855" t="str">
            <v>.</v>
          </cell>
        </row>
        <row r="856">
          <cell r="BA856" t="str">
            <v>.</v>
          </cell>
        </row>
        <row r="857">
          <cell r="BA857" t="str">
            <v>.</v>
          </cell>
        </row>
        <row r="858">
          <cell r="BA858" t="str">
            <v>.</v>
          </cell>
        </row>
        <row r="859">
          <cell r="BA859" t="str">
            <v>.</v>
          </cell>
        </row>
        <row r="860">
          <cell r="BA860" t="str">
            <v>.</v>
          </cell>
        </row>
        <row r="861">
          <cell r="BA861" t="str">
            <v>.</v>
          </cell>
        </row>
        <row r="862">
          <cell r="BA862" t="str">
            <v>.</v>
          </cell>
        </row>
        <row r="863">
          <cell r="BA863" t="str">
            <v>.</v>
          </cell>
        </row>
        <row r="864">
          <cell r="BA864" t="str">
            <v>.</v>
          </cell>
        </row>
        <row r="865">
          <cell r="BA865" t="str">
            <v>.</v>
          </cell>
        </row>
        <row r="866">
          <cell r="BA866" t="str">
            <v>.</v>
          </cell>
        </row>
        <row r="867">
          <cell r="BA867" t="str">
            <v>.</v>
          </cell>
        </row>
        <row r="868">
          <cell r="BA868" t="str">
            <v>.</v>
          </cell>
        </row>
        <row r="869">
          <cell r="BA869" t="str">
            <v>.</v>
          </cell>
        </row>
        <row r="870">
          <cell r="BA870" t="str">
            <v>.</v>
          </cell>
        </row>
        <row r="871">
          <cell r="BA871" t="str">
            <v>.</v>
          </cell>
        </row>
        <row r="872">
          <cell r="BA872" t="str">
            <v>.</v>
          </cell>
        </row>
        <row r="873">
          <cell r="BA873" t="str">
            <v>.</v>
          </cell>
        </row>
        <row r="874">
          <cell r="BA874" t="str">
            <v>.</v>
          </cell>
        </row>
        <row r="875">
          <cell r="BA875" t="str">
            <v>.</v>
          </cell>
        </row>
        <row r="876">
          <cell r="BA876" t="str">
            <v>.</v>
          </cell>
        </row>
        <row r="877">
          <cell r="BA877" t="str">
            <v>.</v>
          </cell>
        </row>
        <row r="878">
          <cell r="BA878" t="str">
            <v>.</v>
          </cell>
        </row>
        <row r="879">
          <cell r="BA879" t="str">
            <v>.</v>
          </cell>
        </row>
        <row r="880">
          <cell r="BA880" t="str">
            <v>.</v>
          </cell>
        </row>
        <row r="881">
          <cell r="BA881" t="str">
            <v>.</v>
          </cell>
        </row>
        <row r="882">
          <cell r="BA882" t="str">
            <v>.</v>
          </cell>
        </row>
        <row r="883">
          <cell r="BA883" t="str">
            <v>.</v>
          </cell>
        </row>
        <row r="884">
          <cell r="BA884" t="str">
            <v>.</v>
          </cell>
        </row>
        <row r="885">
          <cell r="BA885" t="str">
            <v>.</v>
          </cell>
        </row>
        <row r="886">
          <cell r="BA886" t="str">
            <v>.</v>
          </cell>
        </row>
        <row r="887">
          <cell r="BA887" t="str">
            <v>.</v>
          </cell>
        </row>
        <row r="888">
          <cell r="BA888" t="str">
            <v>.</v>
          </cell>
        </row>
        <row r="889">
          <cell r="BA889" t="str">
            <v>.</v>
          </cell>
        </row>
        <row r="890">
          <cell r="BA890" t="str">
            <v>.</v>
          </cell>
        </row>
        <row r="891">
          <cell r="BA891" t="str">
            <v>.</v>
          </cell>
        </row>
        <row r="892">
          <cell r="BA892" t="str">
            <v>.</v>
          </cell>
        </row>
        <row r="893">
          <cell r="BA893" t="str">
            <v>.</v>
          </cell>
        </row>
        <row r="894">
          <cell r="BA894" t="str">
            <v>.</v>
          </cell>
        </row>
        <row r="895">
          <cell r="BA895" t="str">
            <v>.</v>
          </cell>
        </row>
        <row r="896">
          <cell r="BA896" t="str">
            <v>.</v>
          </cell>
        </row>
        <row r="897">
          <cell r="BA897" t="str">
            <v>.</v>
          </cell>
        </row>
        <row r="898">
          <cell r="BA898" t="str">
            <v>.</v>
          </cell>
        </row>
        <row r="899">
          <cell r="BA899" t="str">
            <v>.</v>
          </cell>
        </row>
        <row r="900">
          <cell r="BA900" t="str">
            <v>.</v>
          </cell>
        </row>
        <row r="901">
          <cell r="BA901" t="str">
            <v>.</v>
          </cell>
        </row>
        <row r="902">
          <cell r="BA902" t="str">
            <v>.</v>
          </cell>
        </row>
        <row r="903">
          <cell r="BA903" t="str">
            <v>.</v>
          </cell>
        </row>
        <row r="904">
          <cell r="BA904" t="str">
            <v>.</v>
          </cell>
        </row>
        <row r="905">
          <cell r="BA905" t="str">
            <v>.</v>
          </cell>
        </row>
        <row r="906">
          <cell r="BA906" t="str">
            <v>.</v>
          </cell>
        </row>
        <row r="907">
          <cell r="BA907" t="str">
            <v>.</v>
          </cell>
        </row>
        <row r="908">
          <cell r="BA908" t="str">
            <v>.</v>
          </cell>
        </row>
        <row r="909">
          <cell r="BA909" t="str">
            <v>.</v>
          </cell>
        </row>
        <row r="910">
          <cell r="BA910" t="str">
            <v>.</v>
          </cell>
        </row>
        <row r="911">
          <cell r="BA911" t="str">
            <v>.</v>
          </cell>
        </row>
        <row r="912">
          <cell r="BA912" t="str">
            <v>.</v>
          </cell>
        </row>
        <row r="913">
          <cell r="BA913" t="str">
            <v>.</v>
          </cell>
        </row>
        <row r="914">
          <cell r="BA914" t="str">
            <v>.</v>
          </cell>
        </row>
        <row r="915">
          <cell r="BA915" t="str">
            <v>.</v>
          </cell>
        </row>
        <row r="916">
          <cell r="BA916" t="str">
            <v>.</v>
          </cell>
        </row>
        <row r="917">
          <cell r="BA917" t="str">
            <v>.</v>
          </cell>
        </row>
        <row r="918">
          <cell r="BA918" t="str">
            <v>.</v>
          </cell>
        </row>
        <row r="919">
          <cell r="BA919" t="str">
            <v>.</v>
          </cell>
        </row>
        <row r="920">
          <cell r="BA920" t="str">
            <v>.</v>
          </cell>
        </row>
        <row r="921">
          <cell r="BA921" t="str">
            <v>.</v>
          </cell>
        </row>
        <row r="922">
          <cell r="BA922" t="str">
            <v>.</v>
          </cell>
        </row>
        <row r="923">
          <cell r="BA923" t="str">
            <v>.</v>
          </cell>
        </row>
        <row r="924">
          <cell r="BA924" t="str">
            <v>.</v>
          </cell>
        </row>
        <row r="925">
          <cell r="BA925" t="str">
            <v>.</v>
          </cell>
        </row>
        <row r="926">
          <cell r="BA926" t="str">
            <v>.</v>
          </cell>
        </row>
        <row r="927">
          <cell r="BA927" t="str">
            <v>.</v>
          </cell>
        </row>
        <row r="928">
          <cell r="BA928" t="str">
            <v>.</v>
          </cell>
        </row>
        <row r="929">
          <cell r="BA929" t="str">
            <v>.</v>
          </cell>
        </row>
        <row r="930">
          <cell r="BA930" t="str">
            <v>.</v>
          </cell>
        </row>
        <row r="931">
          <cell r="BA931" t="str">
            <v>.</v>
          </cell>
        </row>
        <row r="932">
          <cell r="BA932" t="str">
            <v>.</v>
          </cell>
        </row>
        <row r="933">
          <cell r="BA933" t="str">
            <v>.</v>
          </cell>
        </row>
        <row r="934">
          <cell r="BA934" t="str">
            <v>.</v>
          </cell>
        </row>
        <row r="935">
          <cell r="BA935" t="str">
            <v>.</v>
          </cell>
        </row>
        <row r="936">
          <cell r="BA936" t="str">
            <v>.</v>
          </cell>
        </row>
        <row r="937">
          <cell r="BA937" t="str">
            <v>.</v>
          </cell>
        </row>
        <row r="938">
          <cell r="BA938" t="str">
            <v>.</v>
          </cell>
        </row>
        <row r="939">
          <cell r="BA939" t="str">
            <v>.</v>
          </cell>
        </row>
        <row r="940">
          <cell r="BA940" t="str">
            <v>.</v>
          </cell>
        </row>
        <row r="941">
          <cell r="BA941" t="str">
            <v>.</v>
          </cell>
        </row>
        <row r="942">
          <cell r="BA942" t="str">
            <v>.</v>
          </cell>
        </row>
        <row r="943">
          <cell r="BA943" t="str">
            <v>.</v>
          </cell>
        </row>
        <row r="944">
          <cell r="BA944" t="str">
            <v>.</v>
          </cell>
        </row>
        <row r="945">
          <cell r="BA945" t="str">
            <v>.</v>
          </cell>
        </row>
        <row r="946">
          <cell r="BA946" t="str">
            <v>.</v>
          </cell>
        </row>
        <row r="947">
          <cell r="BA947" t="str">
            <v>.</v>
          </cell>
        </row>
        <row r="948">
          <cell r="BA948" t="str">
            <v>.</v>
          </cell>
        </row>
        <row r="949">
          <cell r="BA949" t="str">
            <v>.</v>
          </cell>
        </row>
        <row r="950">
          <cell r="BA950" t="str">
            <v>.</v>
          </cell>
        </row>
        <row r="951">
          <cell r="BA951" t="str">
            <v>.</v>
          </cell>
        </row>
        <row r="952">
          <cell r="BA952" t="str">
            <v>.</v>
          </cell>
        </row>
        <row r="953">
          <cell r="BA953" t="str">
            <v>.</v>
          </cell>
        </row>
        <row r="954">
          <cell r="BA954" t="str">
            <v>.</v>
          </cell>
        </row>
        <row r="955">
          <cell r="BA955" t="str">
            <v>.</v>
          </cell>
        </row>
        <row r="956">
          <cell r="BA956" t="str">
            <v>.</v>
          </cell>
        </row>
        <row r="957">
          <cell r="BA957" t="str">
            <v>.</v>
          </cell>
        </row>
        <row r="958">
          <cell r="BA958" t="str">
            <v>.</v>
          </cell>
        </row>
        <row r="959">
          <cell r="BA959" t="str">
            <v>.</v>
          </cell>
        </row>
        <row r="960">
          <cell r="BA960" t="str">
            <v>.</v>
          </cell>
        </row>
        <row r="961">
          <cell r="BA961" t="str">
            <v>.</v>
          </cell>
        </row>
        <row r="962">
          <cell r="BA962" t="str">
            <v>.</v>
          </cell>
        </row>
        <row r="963">
          <cell r="BA963" t="str">
            <v>.</v>
          </cell>
        </row>
        <row r="964">
          <cell r="BA964" t="str">
            <v>.</v>
          </cell>
        </row>
        <row r="965">
          <cell r="BA965" t="str">
            <v>.</v>
          </cell>
        </row>
        <row r="966">
          <cell r="BA966" t="str">
            <v>.</v>
          </cell>
        </row>
        <row r="967">
          <cell r="BA967" t="str">
            <v>.</v>
          </cell>
        </row>
        <row r="968">
          <cell r="BA968" t="str">
            <v>.</v>
          </cell>
        </row>
        <row r="969">
          <cell r="BA969" t="str">
            <v>.</v>
          </cell>
        </row>
        <row r="970">
          <cell r="BA970" t="str">
            <v>.</v>
          </cell>
        </row>
        <row r="971">
          <cell r="BA971" t="str">
            <v>.</v>
          </cell>
        </row>
        <row r="972">
          <cell r="BA972" t="str">
            <v>.</v>
          </cell>
        </row>
        <row r="973">
          <cell r="BA973" t="str">
            <v>.</v>
          </cell>
        </row>
        <row r="974">
          <cell r="BA974" t="str">
            <v>.</v>
          </cell>
        </row>
        <row r="975">
          <cell r="BA975" t="str">
            <v>.</v>
          </cell>
        </row>
        <row r="976">
          <cell r="BA976" t="str">
            <v>.</v>
          </cell>
        </row>
        <row r="977">
          <cell r="BA977" t="str">
            <v>.</v>
          </cell>
        </row>
        <row r="978">
          <cell r="BA978" t="str">
            <v>.</v>
          </cell>
        </row>
        <row r="979">
          <cell r="BA979" t="str">
            <v>.</v>
          </cell>
        </row>
        <row r="980">
          <cell r="BA980" t="str">
            <v>.</v>
          </cell>
        </row>
        <row r="981">
          <cell r="BA981" t="str">
            <v>.</v>
          </cell>
        </row>
        <row r="982">
          <cell r="BA982" t="str">
            <v>.</v>
          </cell>
        </row>
        <row r="983">
          <cell r="BA983" t="str">
            <v>.</v>
          </cell>
        </row>
        <row r="984">
          <cell r="BA984" t="str">
            <v>.</v>
          </cell>
        </row>
        <row r="985">
          <cell r="BA985" t="str">
            <v>.</v>
          </cell>
        </row>
        <row r="986">
          <cell r="BA986" t="str">
            <v>.</v>
          </cell>
        </row>
        <row r="987">
          <cell r="BA987" t="str">
            <v>.</v>
          </cell>
        </row>
        <row r="988">
          <cell r="BA988" t="str">
            <v>.</v>
          </cell>
        </row>
        <row r="989">
          <cell r="BA989" t="str">
            <v>.</v>
          </cell>
        </row>
        <row r="990">
          <cell r="BA990" t="str">
            <v>.</v>
          </cell>
        </row>
        <row r="991">
          <cell r="BA991" t="str">
            <v>.</v>
          </cell>
        </row>
        <row r="992">
          <cell r="BA992" t="str">
            <v>.</v>
          </cell>
        </row>
        <row r="993">
          <cell r="BA993" t="str">
            <v>.</v>
          </cell>
        </row>
        <row r="994">
          <cell r="BA994" t="str">
            <v>.</v>
          </cell>
        </row>
        <row r="995">
          <cell r="BA995" t="str">
            <v>.</v>
          </cell>
        </row>
        <row r="996">
          <cell r="BA996" t="str">
            <v>.</v>
          </cell>
        </row>
        <row r="997">
          <cell r="A997" t="str">
            <v>.</v>
          </cell>
          <cell r="B997" t="str">
            <v>.</v>
          </cell>
          <cell r="C997" t="str">
            <v>.</v>
          </cell>
          <cell r="D997" t="str">
            <v>.</v>
          </cell>
          <cell r="E997" t="str">
            <v>.</v>
          </cell>
          <cell r="F997" t="str">
            <v>.</v>
          </cell>
          <cell r="G997" t="str">
            <v>.</v>
          </cell>
          <cell r="H997" t="str">
            <v>.</v>
          </cell>
          <cell r="S997" t="str">
            <v>.</v>
          </cell>
          <cell r="T997" t="str">
            <v>.</v>
          </cell>
          <cell r="U997" t="str">
            <v>.</v>
          </cell>
          <cell r="V997" t="str">
            <v>.</v>
          </cell>
          <cell r="W997" t="str">
            <v>.</v>
          </cell>
          <cell r="X997" t="str">
            <v>.</v>
          </cell>
          <cell r="Y997" t="str">
            <v>.</v>
          </cell>
          <cell r="Z997" t="str">
            <v>.</v>
          </cell>
          <cell r="AA997" t="str">
            <v>.</v>
          </cell>
          <cell r="AB997" t="str">
            <v>.</v>
          </cell>
          <cell r="AC997" t="str">
            <v>.</v>
          </cell>
          <cell r="AD997" t="str">
            <v>.</v>
          </cell>
          <cell r="AE997" t="str">
            <v>.</v>
          </cell>
          <cell r="AF997" t="str">
            <v>.</v>
          </cell>
          <cell r="AG997" t="str">
            <v>.</v>
          </cell>
          <cell r="AH997" t="str">
            <v>.</v>
          </cell>
          <cell r="AI997" t="str">
            <v>.</v>
          </cell>
          <cell r="AJ997" t="str">
            <v>.</v>
          </cell>
          <cell r="AK997" t="str">
            <v>.</v>
          </cell>
          <cell r="AL997" t="str">
            <v>.</v>
          </cell>
          <cell r="AM997" t="str">
            <v>.</v>
          </cell>
          <cell r="AN997" t="str">
            <v>.</v>
          </cell>
          <cell r="AO997" t="str">
            <v>.</v>
          </cell>
          <cell r="AP997" t="str">
            <v>.</v>
          </cell>
          <cell r="AQ997" t="str">
            <v>.</v>
          </cell>
          <cell r="AR997" t="str">
            <v>.</v>
          </cell>
          <cell r="AS997" t="str">
            <v>.</v>
          </cell>
          <cell r="AT997" t="str">
            <v>.</v>
          </cell>
          <cell r="AU997" t="str">
            <v>.</v>
          </cell>
          <cell r="AV997" t="str">
            <v>.</v>
          </cell>
          <cell r="AW997" t="str">
            <v>.</v>
          </cell>
          <cell r="AX997" t="str">
            <v>.</v>
          </cell>
          <cell r="AY997" t="str">
            <v>.</v>
          </cell>
          <cell r="AZ997" t="str">
            <v>.</v>
          </cell>
          <cell r="BA997" t="str">
            <v>.</v>
          </cell>
        </row>
      </sheetData>
      <sheetData sheetId="2" refreshError="1"/>
      <sheetData sheetId="3" refreshError="1"/>
      <sheetData sheetId="4">
        <row r="1">
          <cell r="P1" t="str">
            <v>SmartCharts</v>
          </cell>
          <cell r="BA1" t="str">
            <v>.</v>
          </cell>
        </row>
        <row r="2">
          <cell r="BA2" t="str">
            <v>.</v>
          </cell>
        </row>
        <row r="3">
          <cell r="BA3" t="str">
            <v>.</v>
          </cell>
        </row>
        <row r="4">
          <cell r="BA4" t="str">
            <v>.</v>
          </cell>
        </row>
        <row r="5">
          <cell r="C5" t="str">
            <v>Define value axis here:</v>
          </cell>
        </row>
        <row r="6">
          <cell r="C6" t="str">
            <v>Bristol-Myers Squibb 2010E–2015 margins projections</v>
          </cell>
        </row>
        <row r="10">
          <cell r="C10" t="str">
            <v>Input your data here:</v>
          </cell>
          <cell r="BA10" t="str">
            <v>.</v>
          </cell>
        </row>
        <row r="11">
          <cell r="D11">
            <v>2010</v>
          </cell>
          <cell r="E11">
            <v>2015</v>
          </cell>
          <cell r="BA11" t="str">
            <v>.</v>
          </cell>
        </row>
        <row r="12">
          <cell r="C12" t="str">
            <v>Gross margin</v>
          </cell>
          <cell r="D12">
            <v>0.72499999999999998</v>
          </cell>
          <cell r="E12">
            <v>0.68100000000000005</v>
          </cell>
        </row>
        <row r="13">
          <cell r="C13" t="str">
            <v>Operating margin</v>
          </cell>
          <cell r="D13">
            <v>0.30161955647352828</v>
          </cell>
          <cell r="E13">
            <v>0.25676950311816399</v>
          </cell>
        </row>
        <row r="14">
          <cell r="C14" t="str">
            <v>Net margin</v>
          </cell>
          <cell r="D14">
            <v>0.18869606564379282</v>
          </cell>
          <cell r="E14">
            <v>0.17772499764542135</v>
          </cell>
          <cell r="BA14" t="str">
            <v>.</v>
          </cell>
        </row>
        <row r="15">
          <cell r="BA15" t="str">
            <v>.</v>
          </cell>
        </row>
        <row r="16">
          <cell r="BA16" t="str">
            <v>.</v>
          </cell>
        </row>
        <row r="17">
          <cell r="BA17" t="str">
            <v>.</v>
          </cell>
        </row>
        <row r="18">
          <cell r="C18" t="str">
            <v xml:space="preserve">More than six categories will make this chart </v>
          </cell>
          <cell r="BA18" t="str">
            <v>.</v>
          </cell>
        </row>
        <row r="19">
          <cell r="C19" t="str">
            <v>cluttered and too difficult to read.</v>
          </cell>
          <cell r="BA19" t="str">
            <v>.</v>
          </cell>
        </row>
        <row r="20">
          <cell r="BA20" t="str">
            <v>.</v>
          </cell>
        </row>
        <row r="21">
          <cell r="BA21" t="str">
            <v>.</v>
          </cell>
        </row>
        <row r="22">
          <cell r="BA22" t="str">
            <v>.</v>
          </cell>
        </row>
        <row r="23">
          <cell r="BA23" t="str">
            <v>.</v>
          </cell>
        </row>
        <row r="24">
          <cell r="BA24" t="str">
            <v>.</v>
          </cell>
        </row>
        <row r="25">
          <cell r="BA25" t="str">
            <v>.</v>
          </cell>
        </row>
        <row r="26">
          <cell r="BA26" t="str">
            <v>.</v>
          </cell>
        </row>
        <row r="27">
          <cell r="BA27" t="str">
            <v>.</v>
          </cell>
        </row>
        <row r="28">
          <cell r="BA28" t="str">
            <v>.</v>
          </cell>
        </row>
        <row r="29">
          <cell r="BA29" t="str">
            <v>.</v>
          </cell>
        </row>
        <row r="30">
          <cell r="BA30" t="str">
            <v>.</v>
          </cell>
        </row>
        <row r="31">
          <cell r="BA31" t="str">
            <v>.</v>
          </cell>
        </row>
        <row r="32">
          <cell r="BA32" t="str">
            <v>.</v>
          </cell>
        </row>
        <row r="33">
          <cell r="BA33" t="str">
            <v>.</v>
          </cell>
        </row>
        <row r="34">
          <cell r="BA34" t="str">
            <v>.</v>
          </cell>
        </row>
        <row r="35">
          <cell r="BA35" t="str">
            <v>.</v>
          </cell>
        </row>
        <row r="36">
          <cell r="BA36" t="str">
            <v>.</v>
          </cell>
        </row>
        <row r="37">
          <cell r="BA37" t="str">
            <v>.</v>
          </cell>
        </row>
        <row r="38">
          <cell r="BA38" t="str">
            <v>.</v>
          </cell>
        </row>
        <row r="39">
          <cell r="BA39" t="str">
            <v>.</v>
          </cell>
        </row>
        <row r="40">
          <cell r="BA40" t="str">
            <v>.</v>
          </cell>
        </row>
        <row r="41">
          <cell r="BA41" t="str">
            <v>.</v>
          </cell>
        </row>
        <row r="42">
          <cell r="I42" t="str">
            <v>Do not change the width of the exhibit or font sizes (they are optimized for export to Word).</v>
          </cell>
          <cell r="BA42" t="str">
            <v>.</v>
          </cell>
        </row>
        <row r="43">
          <cell r="BA43" t="str">
            <v>.</v>
          </cell>
        </row>
        <row r="44">
          <cell r="I44" t="str">
            <v>Do not delete any rows or columns (some gray cells are used for calculations).</v>
          </cell>
          <cell r="BA44" t="str">
            <v>.</v>
          </cell>
        </row>
        <row r="45">
          <cell r="BA45" t="str">
            <v>.</v>
          </cell>
        </row>
        <row r="46">
          <cell r="BA46" t="str">
            <v>.</v>
          </cell>
        </row>
        <row r="47">
          <cell r="BA47" t="str">
            <v>.</v>
          </cell>
        </row>
        <row r="48">
          <cell r="BA48" t="str">
            <v>.</v>
          </cell>
        </row>
        <row r="49">
          <cell r="BA49" t="str">
            <v>.</v>
          </cell>
        </row>
        <row r="50">
          <cell r="BA50" t="str">
            <v>.</v>
          </cell>
        </row>
        <row r="51">
          <cell r="BA51" t="str">
            <v>.</v>
          </cell>
        </row>
        <row r="52">
          <cell r="BA52" t="str">
            <v>.</v>
          </cell>
        </row>
        <row r="53">
          <cell r="BA53" t="str">
            <v>.</v>
          </cell>
        </row>
        <row r="54">
          <cell r="BA54" t="str">
            <v>.</v>
          </cell>
        </row>
        <row r="55">
          <cell r="BA55" t="str">
            <v>.</v>
          </cell>
        </row>
        <row r="56">
          <cell r="BA56" t="str">
            <v>.</v>
          </cell>
        </row>
        <row r="57">
          <cell r="BA57" t="str">
            <v>.</v>
          </cell>
        </row>
        <row r="58">
          <cell r="BA58" t="str">
            <v>.</v>
          </cell>
        </row>
        <row r="59">
          <cell r="BA59" t="str">
            <v>.</v>
          </cell>
        </row>
        <row r="60">
          <cell r="BA60" t="str">
            <v>.</v>
          </cell>
        </row>
        <row r="61">
          <cell r="BA61" t="str">
            <v>.</v>
          </cell>
        </row>
        <row r="62">
          <cell r="BA62" t="str">
            <v>.</v>
          </cell>
        </row>
        <row r="63">
          <cell r="BA63" t="str">
            <v>.</v>
          </cell>
        </row>
        <row r="64">
          <cell r="BA64" t="str">
            <v>.</v>
          </cell>
        </row>
        <row r="65">
          <cell r="BA65" t="str">
            <v>.</v>
          </cell>
        </row>
        <row r="66">
          <cell r="BA66" t="str">
            <v>.</v>
          </cell>
        </row>
        <row r="67">
          <cell r="BA67" t="str">
            <v>.</v>
          </cell>
        </row>
        <row r="68">
          <cell r="BA68" t="str">
            <v>.</v>
          </cell>
        </row>
        <row r="69">
          <cell r="BA69" t="str">
            <v>.</v>
          </cell>
        </row>
        <row r="70">
          <cell r="BA70" t="str">
            <v>.</v>
          </cell>
        </row>
        <row r="71">
          <cell r="BA71" t="str">
            <v>.</v>
          </cell>
        </row>
        <row r="72">
          <cell r="BA72" t="str">
            <v>.</v>
          </cell>
        </row>
        <row r="73">
          <cell r="BA73" t="str">
            <v>.</v>
          </cell>
        </row>
        <row r="74">
          <cell r="BA74" t="str">
            <v>.</v>
          </cell>
        </row>
        <row r="75">
          <cell r="BA75" t="str">
            <v>.</v>
          </cell>
        </row>
        <row r="76">
          <cell r="BA76" t="str">
            <v>.</v>
          </cell>
        </row>
        <row r="77">
          <cell r="BA77" t="str">
            <v>.</v>
          </cell>
        </row>
        <row r="78">
          <cell r="BA78" t="str">
            <v>.</v>
          </cell>
        </row>
        <row r="79">
          <cell r="BA79" t="str">
            <v>.</v>
          </cell>
        </row>
        <row r="80">
          <cell r="BA80" t="str">
            <v>.</v>
          </cell>
        </row>
        <row r="81">
          <cell r="BA81" t="str">
            <v>.</v>
          </cell>
        </row>
        <row r="82">
          <cell r="BA82" t="str">
            <v>.</v>
          </cell>
        </row>
        <row r="83">
          <cell r="BA83" t="str">
            <v>.</v>
          </cell>
        </row>
        <row r="84">
          <cell r="BA84" t="str">
            <v>.</v>
          </cell>
        </row>
        <row r="85">
          <cell r="BA85" t="str">
            <v>.</v>
          </cell>
        </row>
        <row r="86">
          <cell r="BA86" t="str">
            <v>.</v>
          </cell>
        </row>
        <row r="87">
          <cell r="BA87" t="str">
            <v>.</v>
          </cell>
        </row>
        <row r="88">
          <cell r="BA88" t="str">
            <v>.</v>
          </cell>
        </row>
        <row r="89">
          <cell r="BA89" t="str">
            <v>.</v>
          </cell>
        </row>
        <row r="90">
          <cell r="BA90" t="str">
            <v>.</v>
          </cell>
        </row>
        <row r="91">
          <cell r="BA91" t="str">
            <v>.</v>
          </cell>
        </row>
        <row r="92">
          <cell r="BA92" t="str">
            <v>.</v>
          </cell>
        </row>
        <row r="93">
          <cell r="BA93" t="str">
            <v>.</v>
          </cell>
        </row>
        <row r="94">
          <cell r="BA94" t="str">
            <v>.</v>
          </cell>
        </row>
        <row r="95">
          <cell r="BA95" t="str">
            <v>.</v>
          </cell>
        </row>
        <row r="96">
          <cell r="BA96" t="str">
            <v>.</v>
          </cell>
        </row>
        <row r="97">
          <cell r="BA97" t="str">
            <v>.</v>
          </cell>
        </row>
        <row r="98">
          <cell r="BA98" t="str">
            <v>.</v>
          </cell>
        </row>
        <row r="99">
          <cell r="BA99" t="str">
            <v>.</v>
          </cell>
        </row>
        <row r="100">
          <cell r="BA100" t="str">
            <v>.</v>
          </cell>
        </row>
        <row r="101">
          <cell r="BA101" t="str">
            <v>.</v>
          </cell>
        </row>
        <row r="102">
          <cell r="BA102" t="str">
            <v>.</v>
          </cell>
        </row>
        <row r="103">
          <cell r="BA103" t="str">
            <v>.</v>
          </cell>
        </row>
        <row r="104">
          <cell r="BA104" t="str">
            <v>.</v>
          </cell>
        </row>
        <row r="105">
          <cell r="BA105" t="str">
            <v>.</v>
          </cell>
        </row>
        <row r="106">
          <cell r="BA106" t="str">
            <v>.</v>
          </cell>
        </row>
        <row r="107">
          <cell r="BA107" t="str">
            <v>.</v>
          </cell>
        </row>
        <row r="108">
          <cell r="BA108" t="str">
            <v>.</v>
          </cell>
        </row>
        <row r="109">
          <cell r="BA109" t="str">
            <v>.</v>
          </cell>
        </row>
        <row r="110">
          <cell r="BA110" t="str">
            <v>.</v>
          </cell>
        </row>
        <row r="111">
          <cell r="BA111" t="str">
            <v>.</v>
          </cell>
        </row>
        <row r="112">
          <cell r="BA112" t="str">
            <v>.</v>
          </cell>
        </row>
        <row r="113">
          <cell r="BA113" t="str">
            <v>.</v>
          </cell>
        </row>
        <row r="114">
          <cell r="BA114" t="str">
            <v>.</v>
          </cell>
        </row>
        <row r="115">
          <cell r="BA115" t="str">
            <v>.</v>
          </cell>
        </row>
        <row r="116">
          <cell r="BA116" t="str">
            <v>.</v>
          </cell>
        </row>
        <row r="117">
          <cell r="BA117" t="str">
            <v>.</v>
          </cell>
        </row>
        <row r="118">
          <cell r="BA118" t="str">
            <v>.</v>
          </cell>
        </row>
        <row r="119">
          <cell r="BA119" t="str">
            <v>.</v>
          </cell>
        </row>
        <row r="120">
          <cell r="BA120" t="str">
            <v>.</v>
          </cell>
        </row>
        <row r="121">
          <cell r="BA121" t="str">
            <v>.</v>
          </cell>
        </row>
        <row r="122">
          <cell r="BA122" t="str">
            <v>.</v>
          </cell>
        </row>
        <row r="123">
          <cell r="BA123" t="str">
            <v>.</v>
          </cell>
        </row>
        <row r="124">
          <cell r="BA124" t="str">
            <v>.</v>
          </cell>
        </row>
        <row r="125">
          <cell r="BA125" t="str">
            <v>.</v>
          </cell>
        </row>
        <row r="126">
          <cell r="BA126" t="str">
            <v>.</v>
          </cell>
        </row>
        <row r="127">
          <cell r="BA127" t="str">
            <v>.</v>
          </cell>
        </row>
        <row r="128">
          <cell r="BA128" t="str">
            <v>.</v>
          </cell>
        </row>
        <row r="129">
          <cell r="BA129" t="str">
            <v>.</v>
          </cell>
        </row>
        <row r="130">
          <cell r="BA130" t="str">
            <v>.</v>
          </cell>
        </row>
        <row r="131">
          <cell r="BA131" t="str">
            <v>.</v>
          </cell>
        </row>
        <row r="132">
          <cell r="BA132" t="str">
            <v>.</v>
          </cell>
        </row>
        <row r="133">
          <cell r="BA133" t="str">
            <v>.</v>
          </cell>
        </row>
        <row r="134">
          <cell r="BA134" t="str">
            <v>.</v>
          </cell>
        </row>
        <row r="135">
          <cell r="BA135" t="str">
            <v>.</v>
          </cell>
        </row>
        <row r="136">
          <cell r="BA136" t="str">
            <v>.</v>
          </cell>
        </row>
        <row r="137">
          <cell r="BA137" t="str">
            <v>.</v>
          </cell>
        </row>
        <row r="138">
          <cell r="BA138" t="str">
            <v>.</v>
          </cell>
        </row>
        <row r="139">
          <cell r="BA139" t="str">
            <v>.</v>
          </cell>
        </row>
        <row r="140">
          <cell r="BA140" t="str">
            <v>.</v>
          </cell>
        </row>
        <row r="141">
          <cell r="BA141" t="str">
            <v>.</v>
          </cell>
        </row>
        <row r="142">
          <cell r="BA142" t="str">
            <v>.</v>
          </cell>
        </row>
        <row r="143">
          <cell r="BA143" t="str">
            <v>.</v>
          </cell>
        </row>
        <row r="144">
          <cell r="BA144" t="str">
            <v>.</v>
          </cell>
        </row>
        <row r="145">
          <cell r="BA145" t="str">
            <v>.</v>
          </cell>
        </row>
        <row r="146">
          <cell r="BA146" t="str">
            <v>.</v>
          </cell>
        </row>
        <row r="147">
          <cell r="BA147" t="str">
            <v>.</v>
          </cell>
        </row>
        <row r="148">
          <cell r="BA148" t="str">
            <v>.</v>
          </cell>
        </row>
        <row r="149">
          <cell r="BA149" t="str">
            <v>.</v>
          </cell>
        </row>
        <row r="150">
          <cell r="BA150" t="str">
            <v>.</v>
          </cell>
        </row>
        <row r="151">
          <cell r="BA151" t="str">
            <v>.</v>
          </cell>
        </row>
        <row r="152">
          <cell r="BA152" t="str">
            <v>.</v>
          </cell>
        </row>
        <row r="153">
          <cell r="BA153" t="str">
            <v>.</v>
          </cell>
        </row>
        <row r="154">
          <cell r="BA154" t="str">
            <v>.</v>
          </cell>
        </row>
        <row r="155">
          <cell r="BA155" t="str">
            <v>.</v>
          </cell>
        </row>
        <row r="156">
          <cell r="BA156" t="str">
            <v>.</v>
          </cell>
        </row>
        <row r="157">
          <cell r="BA157" t="str">
            <v>.</v>
          </cell>
        </row>
        <row r="158">
          <cell r="BA158" t="str">
            <v>.</v>
          </cell>
        </row>
        <row r="159">
          <cell r="BA159" t="str">
            <v>.</v>
          </cell>
        </row>
        <row r="160">
          <cell r="BA160" t="str">
            <v>.</v>
          </cell>
        </row>
        <row r="161">
          <cell r="BA161" t="str">
            <v>.</v>
          </cell>
        </row>
        <row r="162">
          <cell r="BA162" t="str">
            <v>.</v>
          </cell>
        </row>
        <row r="163">
          <cell r="BA163" t="str">
            <v>.</v>
          </cell>
        </row>
        <row r="164">
          <cell r="BA164" t="str">
            <v>.</v>
          </cell>
        </row>
        <row r="165">
          <cell r="BA165" t="str">
            <v>.</v>
          </cell>
        </row>
        <row r="166">
          <cell r="BA166" t="str">
            <v>.</v>
          </cell>
        </row>
        <row r="167">
          <cell r="BA167" t="str">
            <v>.</v>
          </cell>
        </row>
        <row r="168">
          <cell r="BA168" t="str">
            <v>.</v>
          </cell>
        </row>
        <row r="169">
          <cell r="BA169" t="str">
            <v>.</v>
          </cell>
        </row>
        <row r="170">
          <cell r="BA170" t="str">
            <v>.</v>
          </cell>
        </row>
        <row r="171">
          <cell r="BA171" t="str">
            <v>.</v>
          </cell>
        </row>
        <row r="172">
          <cell r="BA172" t="str">
            <v>.</v>
          </cell>
        </row>
        <row r="173">
          <cell r="BA173" t="str">
            <v>.</v>
          </cell>
        </row>
        <row r="174">
          <cell r="BA174" t="str">
            <v>.</v>
          </cell>
        </row>
        <row r="175">
          <cell r="BA175" t="str">
            <v>.</v>
          </cell>
        </row>
        <row r="176">
          <cell r="BA176" t="str">
            <v>.</v>
          </cell>
        </row>
        <row r="177">
          <cell r="BA177" t="str">
            <v>.</v>
          </cell>
        </row>
        <row r="178">
          <cell r="BA178" t="str">
            <v>.</v>
          </cell>
        </row>
        <row r="179">
          <cell r="BA179" t="str">
            <v>.</v>
          </cell>
        </row>
        <row r="180">
          <cell r="BA180" t="str">
            <v>.</v>
          </cell>
        </row>
        <row r="181">
          <cell r="BA181" t="str">
            <v>.</v>
          </cell>
        </row>
        <row r="182">
          <cell r="BA182" t="str">
            <v>.</v>
          </cell>
        </row>
        <row r="183">
          <cell r="BA183" t="str">
            <v>.</v>
          </cell>
        </row>
        <row r="184">
          <cell r="BA184" t="str">
            <v>.</v>
          </cell>
        </row>
        <row r="185">
          <cell r="BA185" t="str">
            <v>.</v>
          </cell>
        </row>
        <row r="186">
          <cell r="BA186" t="str">
            <v>.</v>
          </cell>
        </row>
        <row r="187">
          <cell r="BA187" t="str">
            <v>.</v>
          </cell>
        </row>
        <row r="188">
          <cell r="BA188" t="str">
            <v>.</v>
          </cell>
        </row>
        <row r="189">
          <cell r="BA189" t="str">
            <v>.</v>
          </cell>
        </row>
        <row r="190">
          <cell r="BA190" t="str">
            <v>.</v>
          </cell>
        </row>
        <row r="191">
          <cell r="BA191" t="str">
            <v>.</v>
          </cell>
        </row>
        <row r="192">
          <cell r="BA192" t="str">
            <v>.</v>
          </cell>
        </row>
        <row r="193">
          <cell r="BA193" t="str">
            <v>.</v>
          </cell>
        </row>
        <row r="194">
          <cell r="BA194" t="str">
            <v>.</v>
          </cell>
        </row>
        <row r="195">
          <cell r="BA195" t="str">
            <v>.</v>
          </cell>
        </row>
        <row r="196">
          <cell r="BA196" t="str">
            <v>.</v>
          </cell>
        </row>
        <row r="197">
          <cell r="BA197" t="str">
            <v>.</v>
          </cell>
        </row>
        <row r="198">
          <cell r="BA198" t="str">
            <v>.</v>
          </cell>
        </row>
        <row r="199">
          <cell r="BA199" t="str">
            <v>.</v>
          </cell>
        </row>
        <row r="200">
          <cell r="BA200" t="str">
            <v>.</v>
          </cell>
        </row>
        <row r="201">
          <cell r="BA201" t="str">
            <v>.</v>
          </cell>
        </row>
        <row r="202">
          <cell r="BA202" t="str">
            <v>.</v>
          </cell>
        </row>
        <row r="203">
          <cell r="BA203" t="str">
            <v>.</v>
          </cell>
        </row>
        <row r="204">
          <cell r="BA204" t="str">
            <v>.</v>
          </cell>
        </row>
        <row r="205">
          <cell r="BA205" t="str">
            <v>.</v>
          </cell>
        </row>
        <row r="206">
          <cell r="BA206" t="str">
            <v>.</v>
          </cell>
        </row>
        <row r="207">
          <cell r="BA207" t="str">
            <v>.</v>
          </cell>
        </row>
        <row r="208">
          <cell r="BA208" t="str">
            <v>.</v>
          </cell>
        </row>
        <row r="209">
          <cell r="BA209" t="str">
            <v>.</v>
          </cell>
        </row>
        <row r="210">
          <cell r="BA210" t="str">
            <v>.</v>
          </cell>
        </row>
        <row r="211">
          <cell r="BA211" t="str">
            <v>.</v>
          </cell>
        </row>
        <row r="212">
          <cell r="BA212" t="str">
            <v>.</v>
          </cell>
        </row>
        <row r="213">
          <cell r="BA213" t="str">
            <v>.</v>
          </cell>
        </row>
        <row r="214">
          <cell r="BA214" t="str">
            <v>.</v>
          </cell>
        </row>
        <row r="215">
          <cell r="BA215" t="str">
            <v>.</v>
          </cell>
        </row>
        <row r="216">
          <cell r="BA216" t="str">
            <v>.</v>
          </cell>
        </row>
        <row r="217">
          <cell r="BA217" t="str">
            <v>.</v>
          </cell>
        </row>
        <row r="218">
          <cell r="BA218" t="str">
            <v>.</v>
          </cell>
        </row>
        <row r="219">
          <cell r="BA219" t="str">
            <v>.</v>
          </cell>
        </row>
        <row r="220">
          <cell r="BA220" t="str">
            <v>.</v>
          </cell>
        </row>
        <row r="221">
          <cell r="BA221" t="str">
            <v>.</v>
          </cell>
        </row>
        <row r="222">
          <cell r="BA222" t="str">
            <v>.</v>
          </cell>
        </row>
        <row r="223">
          <cell r="BA223" t="str">
            <v>.</v>
          </cell>
        </row>
        <row r="224">
          <cell r="BA224" t="str">
            <v>.</v>
          </cell>
        </row>
        <row r="225">
          <cell r="BA225" t="str">
            <v>.</v>
          </cell>
        </row>
        <row r="226">
          <cell r="BA226" t="str">
            <v>.</v>
          </cell>
        </row>
        <row r="227">
          <cell r="BA227" t="str">
            <v>.</v>
          </cell>
        </row>
        <row r="228">
          <cell r="BA228" t="str">
            <v>.</v>
          </cell>
        </row>
        <row r="229">
          <cell r="BA229" t="str">
            <v>.</v>
          </cell>
        </row>
        <row r="230">
          <cell r="BA230" t="str">
            <v>.</v>
          </cell>
        </row>
        <row r="231">
          <cell r="BA231" t="str">
            <v>.</v>
          </cell>
        </row>
        <row r="232">
          <cell r="BA232" t="str">
            <v>.</v>
          </cell>
        </row>
        <row r="233">
          <cell r="BA233" t="str">
            <v>.</v>
          </cell>
        </row>
        <row r="234">
          <cell r="BA234" t="str">
            <v>.</v>
          </cell>
        </row>
        <row r="235">
          <cell r="BA235" t="str">
            <v>.</v>
          </cell>
        </row>
        <row r="236">
          <cell r="BA236" t="str">
            <v>.</v>
          </cell>
        </row>
        <row r="237">
          <cell r="BA237" t="str">
            <v>.</v>
          </cell>
        </row>
        <row r="238">
          <cell r="BA238" t="str">
            <v>.</v>
          </cell>
        </row>
        <row r="239">
          <cell r="BA239" t="str">
            <v>.</v>
          </cell>
        </row>
        <row r="240">
          <cell r="BA240" t="str">
            <v>.</v>
          </cell>
        </row>
        <row r="241">
          <cell r="BA241" t="str">
            <v>.</v>
          </cell>
        </row>
        <row r="242">
          <cell r="BA242" t="str">
            <v>.</v>
          </cell>
        </row>
        <row r="243">
          <cell r="BA243" t="str">
            <v>.</v>
          </cell>
        </row>
        <row r="244">
          <cell r="BA244" t="str">
            <v>.</v>
          </cell>
        </row>
        <row r="245">
          <cell r="BA245" t="str">
            <v>.</v>
          </cell>
        </row>
        <row r="246">
          <cell r="BA246" t="str">
            <v>.</v>
          </cell>
        </row>
        <row r="247">
          <cell r="BA247" t="str">
            <v>.</v>
          </cell>
        </row>
        <row r="248">
          <cell r="BA248" t="str">
            <v>.</v>
          </cell>
        </row>
        <row r="249">
          <cell r="BA249" t="str">
            <v>.</v>
          </cell>
        </row>
        <row r="250">
          <cell r="BA250" t="str">
            <v>.</v>
          </cell>
        </row>
        <row r="251">
          <cell r="BA251" t="str">
            <v>.</v>
          </cell>
        </row>
        <row r="252">
          <cell r="BA252" t="str">
            <v>.</v>
          </cell>
        </row>
        <row r="253">
          <cell r="BA253" t="str">
            <v>.</v>
          </cell>
        </row>
        <row r="254">
          <cell r="BA254" t="str">
            <v>.</v>
          </cell>
        </row>
        <row r="255">
          <cell r="BA255" t="str">
            <v>.</v>
          </cell>
        </row>
        <row r="256">
          <cell r="BA256" t="str">
            <v>.</v>
          </cell>
        </row>
        <row r="257">
          <cell r="BA257" t="str">
            <v>.</v>
          </cell>
        </row>
        <row r="258">
          <cell r="BA258" t="str">
            <v>.</v>
          </cell>
        </row>
        <row r="259">
          <cell r="BA259" t="str">
            <v>.</v>
          </cell>
        </row>
        <row r="260">
          <cell r="BA260" t="str">
            <v>.</v>
          </cell>
        </row>
        <row r="261">
          <cell r="BA261" t="str">
            <v>.</v>
          </cell>
        </row>
        <row r="262">
          <cell r="BA262" t="str">
            <v>.</v>
          </cell>
        </row>
        <row r="263">
          <cell r="BA263" t="str">
            <v>.</v>
          </cell>
        </row>
        <row r="264">
          <cell r="BA264" t="str">
            <v>.</v>
          </cell>
        </row>
        <row r="265">
          <cell r="BA265" t="str">
            <v>.</v>
          </cell>
        </row>
        <row r="266">
          <cell r="BA266" t="str">
            <v>.</v>
          </cell>
        </row>
        <row r="267">
          <cell r="BA267" t="str">
            <v>.</v>
          </cell>
        </row>
        <row r="268">
          <cell r="BA268" t="str">
            <v>.</v>
          </cell>
        </row>
        <row r="269">
          <cell r="BA269" t="str">
            <v>.</v>
          </cell>
        </row>
        <row r="270">
          <cell r="BA270" t="str">
            <v>.</v>
          </cell>
        </row>
        <row r="271">
          <cell r="BA271" t="str">
            <v>.</v>
          </cell>
        </row>
        <row r="272">
          <cell r="BA272" t="str">
            <v>.</v>
          </cell>
        </row>
        <row r="273">
          <cell r="BA273" t="str">
            <v>.</v>
          </cell>
        </row>
        <row r="274">
          <cell r="BA274" t="str">
            <v>.</v>
          </cell>
        </row>
        <row r="275">
          <cell r="BA275" t="str">
            <v>.</v>
          </cell>
        </row>
        <row r="276">
          <cell r="BA276" t="str">
            <v>.</v>
          </cell>
        </row>
        <row r="277">
          <cell r="BA277" t="str">
            <v>.</v>
          </cell>
        </row>
        <row r="278">
          <cell r="BA278" t="str">
            <v>.</v>
          </cell>
        </row>
        <row r="279">
          <cell r="BA279" t="str">
            <v>.</v>
          </cell>
        </row>
        <row r="280">
          <cell r="BA280" t="str">
            <v>.</v>
          </cell>
        </row>
        <row r="281">
          <cell r="BA281" t="str">
            <v>.</v>
          </cell>
        </row>
        <row r="282">
          <cell r="BA282" t="str">
            <v>.</v>
          </cell>
        </row>
        <row r="283">
          <cell r="BA283" t="str">
            <v>.</v>
          </cell>
        </row>
        <row r="284">
          <cell r="BA284" t="str">
            <v>.</v>
          </cell>
        </row>
        <row r="285">
          <cell r="BA285" t="str">
            <v>.</v>
          </cell>
        </row>
        <row r="286">
          <cell r="BA286" t="str">
            <v>.</v>
          </cell>
        </row>
        <row r="287">
          <cell r="BA287" t="str">
            <v>.</v>
          </cell>
        </row>
        <row r="288">
          <cell r="BA288" t="str">
            <v>.</v>
          </cell>
        </row>
        <row r="289">
          <cell r="BA289" t="str">
            <v>.</v>
          </cell>
        </row>
        <row r="290">
          <cell r="BA290" t="str">
            <v>.</v>
          </cell>
        </row>
        <row r="291">
          <cell r="BA291" t="str">
            <v>.</v>
          </cell>
        </row>
        <row r="292">
          <cell r="BA292" t="str">
            <v>.</v>
          </cell>
        </row>
        <row r="293">
          <cell r="BA293" t="str">
            <v>.</v>
          </cell>
        </row>
        <row r="294">
          <cell r="BA294" t="str">
            <v>.</v>
          </cell>
        </row>
        <row r="295">
          <cell r="BA295" t="str">
            <v>.</v>
          </cell>
        </row>
        <row r="296">
          <cell r="BA296" t="str">
            <v>.</v>
          </cell>
        </row>
        <row r="297">
          <cell r="BA297" t="str">
            <v>.</v>
          </cell>
        </row>
        <row r="298">
          <cell r="BA298" t="str">
            <v>.</v>
          </cell>
        </row>
        <row r="299">
          <cell r="BA299" t="str">
            <v>.</v>
          </cell>
        </row>
        <row r="300">
          <cell r="BA300" t="str">
            <v>.</v>
          </cell>
        </row>
        <row r="301">
          <cell r="BA301" t="str">
            <v>.</v>
          </cell>
        </row>
        <row r="302">
          <cell r="BA302" t="str">
            <v>.</v>
          </cell>
        </row>
        <row r="303">
          <cell r="BA303" t="str">
            <v>.</v>
          </cell>
        </row>
        <row r="304">
          <cell r="BA304" t="str">
            <v>.</v>
          </cell>
        </row>
        <row r="305">
          <cell r="BA305" t="str">
            <v>.</v>
          </cell>
        </row>
        <row r="306">
          <cell r="BA306" t="str">
            <v>.</v>
          </cell>
        </row>
        <row r="307">
          <cell r="BA307" t="str">
            <v>.</v>
          </cell>
        </row>
        <row r="308">
          <cell r="BA308" t="str">
            <v>.</v>
          </cell>
        </row>
        <row r="309">
          <cell r="BA309" t="str">
            <v>.</v>
          </cell>
        </row>
        <row r="310">
          <cell r="BA310" t="str">
            <v>.</v>
          </cell>
        </row>
        <row r="311">
          <cell r="BA311" t="str">
            <v>.</v>
          </cell>
        </row>
        <row r="312">
          <cell r="BA312" t="str">
            <v>.</v>
          </cell>
        </row>
        <row r="313">
          <cell r="BA313" t="str">
            <v>.</v>
          </cell>
        </row>
        <row r="314">
          <cell r="BA314" t="str">
            <v>.</v>
          </cell>
        </row>
        <row r="315">
          <cell r="BA315" t="str">
            <v>.</v>
          </cell>
        </row>
        <row r="316">
          <cell r="BA316" t="str">
            <v>.</v>
          </cell>
        </row>
        <row r="317">
          <cell r="BA317" t="str">
            <v>.</v>
          </cell>
        </row>
        <row r="318">
          <cell r="BA318" t="str">
            <v>.</v>
          </cell>
        </row>
        <row r="319">
          <cell r="BA319" t="str">
            <v>.</v>
          </cell>
        </row>
        <row r="320">
          <cell r="BA320" t="str">
            <v>.</v>
          </cell>
        </row>
        <row r="321">
          <cell r="BA321" t="str">
            <v>.</v>
          </cell>
        </row>
        <row r="322">
          <cell r="BA322" t="str">
            <v>.</v>
          </cell>
        </row>
        <row r="323">
          <cell r="BA323" t="str">
            <v>.</v>
          </cell>
        </row>
        <row r="324">
          <cell r="BA324" t="str">
            <v>.</v>
          </cell>
        </row>
        <row r="325">
          <cell r="BA325" t="str">
            <v>.</v>
          </cell>
        </row>
        <row r="326">
          <cell r="BA326" t="str">
            <v>.</v>
          </cell>
        </row>
        <row r="327">
          <cell r="BA327" t="str">
            <v>.</v>
          </cell>
        </row>
        <row r="328">
          <cell r="BA328" t="str">
            <v>.</v>
          </cell>
        </row>
        <row r="329">
          <cell r="BA329" t="str">
            <v>.</v>
          </cell>
        </row>
        <row r="330">
          <cell r="BA330" t="str">
            <v>.</v>
          </cell>
        </row>
        <row r="331">
          <cell r="BA331" t="str">
            <v>.</v>
          </cell>
        </row>
        <row r="332">
          <cell r="BA332" t="str">
            <v>.</v>
          </cell>
        </row>
        <row r="333">
          <cell r="BA333" t="str">
            <v>.</v>
          </cell>
        </row>
        <row r="334">
          <cell r="BA334" t="str">
            <v>.</v>
          </cell>
        </row>
        <row r="335">
          <cell r="BA335" t="str">
            <v>.</v>
          </cell>
        </row>
        <row r="336">
          <cell r="BA336" t="str">
            <v>.</v>
          </cell>
        </row>
        <row r="337">
          <cell r="BA337" t="str">
            <v>.</v>
          </cell>
        </row>
        <row r="338">
          <cell r="BA338" t="str">
            <v>.</v>
          </cell>
        </row>
        <row r="339">
          <cell r="BA339" t="str">
            <v>.</v>
          </cell>
        </row>
        <row r="340">
          <cell r="BA340" t="str">
            <v>.</v>
          </cell>
        </row>
        <row r="341">
          <cell r="BA341" t="str">
            <v>.</v>
          </cell>
        </row>
        <row r="342">
          <cell r="BA342" t="str">
            <v>.</v>
          </cell>
        </row>
        <row r="343">
          <cell r="BA343" t="str">
            <v>.</v>
          </cell>
        </row>
        <row r="344">
          <cell r="BA344" t="str">
            <v>.</v>
          </cell>
        </row>
        <row r="345">
          <cell r="BA345" t="str">
            <v>.</v>
          </cell>
        </row>
        <row r="346">
          <cell r="BA346" t="str">
            <v>.</v>
          </cell>
        </row>
        <row r="347">
          <cell r="BA347" t="str">
            <v>.</v>
          </cell>
        </row>
        <row r="348">
          <cell r="BA348" t="str">
            <v>.</v>
          </cell>
        </row>
        <row r="349">
          <cell r="BA349" t="str">
            <v>.</v>
          </cell>
        </row>
        <row r="350">
          <cell r="BA350" t="str">
            <v>.</v>
          </cell>
        </row>
        <row r="351">
          <cell r="BA351" t="str">
            <v>.</v>
          </cell>
        </row>
        <row r="352">
          <cell r="BA352" t="str">
            <v>.</v>
          </cell>
        </row>
        <row r="353">
          <cell r="BA353" t="str">
            <v>.</v>
          </cell>
        </row>
        <row r="354">
          <cell r="BA354" t="str">
            <v>.</v>
          </cell>
        </row>
        <row r="355">
          <cell r="BA355" t="str">
            <v>.</v>
          </cell>
        </row>
        <row r="356">
          <cell r="BA356" t="str">
            <v>.</v>
          </cell>
        </row>
        <row r="357">
          <cell r="BA357" t="str">
            <v>.</v>
          </cell>
        </row>
        <row r="358">
          <cell r="BA358" t="str">
            <v>.</v>
          </cell>
        </row>
        <row r="359">
          <cell r="BA359" t="str">
            <v>.</v>
          </cell>
        </row>
        <row r="360">
          <cell r="BA360" t="str">
            <v>.</v>
          </cell>
        </row>
        <row r="361">
          <cell r="BA361" t="str">
            <v>.</v>
          </cell>
        </row>
        <row r="362">
          <cell r="BA362" t="str">
            <v>.</v>
          </cell>
        </row>
        <row r="363">
          <cell r="BA363" t="str">
            <v>.</v>
          </cell>
        </row>
        <row r="364">
          <cell r="BA364" t="str">
            <v>.</v>
          </cell>
        </row>
        <row r="365">
          <cell r="BA365" t="str">
            <v>.</v>
          </cell>
        </row>
        <row r="366">
          <cell r="BA366" t="str">
            <v>.</v>
          </cell>
        </row>
        <row r="367">
          <cell r="BA367" t="str">
            <v>.</v>
          </cell>
        </row>
        <row r="368">
          <cell r="BA368" t="str">
            <v>.</v>
          </cell>
        </row>
        <row r="369">
          <cell r="BA369" t="str">
            <v>.</v>
          </cell>
        </row>
        <row r="370">
          <cell r="BA370" t="str">
            <v>.</v>
          </cell>
        </row>
        <row r="371">
          <cell r="BA371" t="str">
            <v>.</v>
          </cell>
        </row>
        <row r="372">
          <cell r="BA372" t="str">
            <v>.</v>
          </cell>
        </row>
        <row r="373">
          <cell r="BA373" t="str">
            <v>.</v>
          </cell>
        </row>
        <row r="374">
          <cell r="BA374" t="str">
            <v>.</v>
          </cell>
        </row>
        <row r="375">
          <cell r="BA375" t="str">
            <v>.</v>
          </cell>
        </row>
        <row r="376">
          <cell r="BA376" t="str">
            <v>.</v>
          </cell>
        </row>
        <row r="377">
          <cell r="BA377" t="str">
            <v>.</v>
          </cell>
        </row>
        <row r="378">
          <cell r="BA378" t="str">
            <v>.</v>
          </cell>
        </row>
        <row r="379">
          <cell r="BA379" t="str">
            <v>.</v>
          </cell>
        </row>
        <row r="380">
          <cell r="BA380" t="str">
            <v>.</v>
          </cell>
        </row>
        <row r="381">
          <cell r="BA381" t="str">
            <v>.</v>
          </cell>
        </row>
        <row r="382">
          <cell r="BA382" t="str">
            <v>.</v>
          </cell>
        </row>
        <row r="383">
          <cell r="BA383" t="str">
            <v>.</v>
          </cell>
        </row>
        <row r="384">
          <cell r="BA384" t="str">
            <v>.</v>
          </cell>
        </row>
        <row r="385">
          <cell r="BA385" t="str">
            <v>.</v>
          </cell>
        </row>
        <row r="386">
          <cell r="BA386" t="str">
            <v>.</v>
          </cell>
        </row>
        <row r="387">
          <cell r="BA387" t="str">
            <v>.</v>
          </cell>
        </row>
        <row r="388">
          <cell r="BA388" t="str">
            <v>.</v>
          </cell>
        </row>
        <row r="389">
          <cell r="BA389" t="str">
            <v>.</v>
          </cell>
        </row>
        <row r="390">
          <cell r="BA390" t="str">
            <v>.</v>
          </cell>
        </row>
        <row r="391">
          <cell r="BA391" t="str">
            <v>.</v>
          </cell>
        </row>
        <row r="392">
          <cell r="BA392" t="str">
            <v>.</v>
          </cell>
        </row>
        <row r="393">
          <cell r="BA393" t="str">
            <v>.</v>
          </cell>
        </row>
        <row r="394">
          <cell r="BA394" t="str">
            <v>.</v>
          </cell>
        </row>
        <row r="395">
          <cell r="BA395" t="str">
            <v>.</v>
          </cell>
        </row>
        <row r="396">
          <cell r="BA396" t="str">
            <v>.</v>
          </cell>
        </row>
        <row r="397">
          <cell r="BA397" t="str">
            <v>.</v>
          </cell>
        </row>
        <row r="398">
          <cell r="BA398" t="str">
            <v>.</v>
          </cell>
        </row>
        <row r="399">
          <cell r="BA399" t="str">
            <v>.</v>
          </cell>
        </row>
        <row r="400">
          <cell r="BA400" t="str">
            <v>.</v>
          </cell>
        </row>
        <row r="401">
          <cell r="BA401" t="str">
            <v>.</v>
          </cell>
        </row>
        <row r="402">
          <cell r="BA402" t="str">
            <v>.</v>
          </cell>
        </row>
        <row r="403">
          <cell r="BA403" t="str">
            <v>.</v>
          </cell>
        </row>
        <row r="404">
          <cell r="BA404" t="str">
            <v>.</v>
          </cell>
        </row>
        <row r="405">
          <cell r="BA405" t="str">
            <v>.</v>
          </cell>
        </row>
        <row r="406">
          <cell r="BA406" t="str">
            <v>.</v>
          </cell>
        </row>
        <row r="407">
          <cell r="BA407" t="str">
            <v>.</v>
          </cell>
        </row>
        <row r="408">
          <cell r="BA408" t="str">
            <v>.</v>
          </cell>
        </row>
        <row r="409">
          <cell r="BA409" t="str">
            <v>.</v>
          </cell>
        </row>
        <row r="410">
          <cell r="BA410" t="str">
            <v>.</v>
          </cell>
        </row>
        <row r="411">
          <cell r="BA411" t="str">
            <v>.</v>
          </cell>
        </row>
        <row r="412">
          <cell r="BA412" t="str">
            <v>.</v>
          </cell>
        </row>
        <row r="413">
          <cell r="BA413" t="str">
            <v>.</v>
          </cell>
        </row>
        <row r="414">
          <cell r="BA414" t="str">
            <v>.</v>
          </cell>
        </row>
        <row r="415">
          <cell r="BA415" t="str">
            <v>.</v>
          </cell>
        </row>
        <row r="416">
          <cell r="BA416" t="str">
            <v>.</v>
          </cell>
        </row>
        <row r="417">
          <cell r="BA417" t="str">
            <v>.</v>
          </cell>
        </row>
        <row r="418">
          <cell r="BA418" t="str">
            <v>.</v>
          </cell>
        </row>
        <row r="419">
          <cell r="BA419" t="str">
            <v>.</v>
          </cell>
        </row>
        <row r="420">
          <cell r="BA420" t="str">
            <v>.</v>
          </cell>
        </row>
        <row r="421">
          <cell r="BA421" t="str">
            <v>.</v>
          </cell>
        </row>
        <row r="422">
          <cell r="BA422" t="str">
            <v>.</v>
          </cell>
        </row>
        <row r="423">
          <cell r="BA423" t="str">
            <v>.</v>
          </cell>
        </row>
        <row r="424">
          <cell r="BA424" t="str">
            <v>.</v>
          </cell>
        </row>
        <row r="425">
          <cell r="BA425" t="str">
            <v>.</v>
          </cell>
        </row>
        <row r="426">
          <cell r="BA426" t="str">
            <v>.</v>
          </cell>
        </row>
        <row r="427">
          <cell r="BA427" t="str">
            <v>.</v>
          </cell>
        </row>
        <row r="428">
          <cell r="BA428" t="str">
            <v>.</v>
          </cell>
        </row>
        <row r="429">
          <cell r="BA429" t="str">
            <v>.</v>
          </cell>
        </row>
        <row r="430">
          <cell r="BA430" t="str">
            <v>.</v>
          </cell>
        </row>
        <row r="431">
          <cell r="BA431" t="str">
            <v>.</v>
          </cell>
        </row>
        <row r="432">
          <cell r="BA432" t="str">
            <v>.</v>
          </cell>
        </row>
        <row r="433">
          <cell r="BA433" t="str">
            <v>.</v>
          </cell>
        </row>
        <row r="434">
          <cell r="BA434" t="str">
            <v>.</v>
          </cell>
        </row>
        <row r="435">
          <cell r="BA435" t="str">
            <v>.</v>
          </cell>
        </row>
        <row r="436">
          <cell r="BA436" t="str">
            <v>.</v>
          </cell>
        </row>
        <row r="437">
          <cell r="BA437" t="str">
            <v>.</v>
          </cell>
        </row>
        <row r="438">
          <cell r="BA438" t="str">
            <v>.</v>
          </cell>
        </row>
        <row r="439">
          <cell r="BA439" t="str">
            <v>.</v>
          </cell>
        </row>
        <row r="440">
          <cell r="BA440" t="str">
            <v>.</v>
          </cell>
        </row>
        <row r="441">
          <cell r="BA441" t="str">
            <v>.</v>
          </cell>
        </row>
        <row r="442">
          <cell r="BA442" t="str">
            <v>.</v>
          </cell>
        </row>
        <row r="443">
          <cell r="BA443" t="str">
            <v>.</v>
          </cell>
        </row>
        <row r="444">
          <cell r="BA444" t="str">
            <v>.</v>
          </cell>
        </row>
        <row r="445">
          <cell r="BA445" t="str">
            <v>.</v>
          </cell>
        </row>
        <row r="446">
          <cell r="BA446" t="str">
            <v>.</v>
          </cell>
        </row>
        <row r="447">
          <cell r="BA447" t="str">
            <v>.</v>
          </cell>
        </row>
        <row r="448">
          <cell r="BA448" t="str">
            <v>.</v>
          </cell>
        </row>
        <row r="449">
          <cell r="BA449" t="str">
            <v>.</v>
          </cell>
        </row>
        <row r="450">
          <cell r="BA450" t="str">
            <v>.</v>
          </cell>
        </row>
        <row r="451">
          <cell r="BA451" t="str">
            <v>.</v>
          </cell>
        </row>
        <row r="452">
          <cell r="BA452" t="str">
            <v>.</v>
          </cell>
        </row>
        <row r="453">
          <cell r="BA453" t="str">
            <v>.</v>
          </cell>
        </row>
        <row r="454">
          <cell r="BA454" t="str">
            <v>.</v>
          </cell>
        </row>
        <row r="455">
          <cell r="BA455" t="str">
            <v>.</v>
          </cell>
        </row>
        <row r="456">
          <cell r="BA456" t="str">
            <v>.</v>
          </cell>
        </row>
        <row r="457">
          <cell r="BA457" t="str">
            <v>.</v>
          </cell>
        </row>
        <row r="458">
          <cell r="BA458" t="str">
            <v>.</v>
          </cell>
        </row>
        <row r="459">
          <cell r="BA459" t="str">
            <v>.</v>
          </cell>
        </row>
        <row r="460">
          <cell r="BA460" t="str">
            <v>.</v>
          </cell>
        </row>
        <row r="461">
          <cell r="BA461" t="str">
            <v>.</v>
          </cell>
        </row>
        <row r="462">
          <cell r="BA462" t="str">
            <v>.</v>
          </cell>
        </row>
        <row r="463">
          <cell r="BA463" t="str">
            <v>.</v>
          </cell>
        </row>
        <row r="464">
          <cell r="BA464" t="str">
            <v>.</v>
          </cell>
        </row>
        <row r="465">
          <cell r="BA465" t="str">
            <v>.</v>
          </cell>
        </row>
        <row r="466">
          <cell r="BA466" t="str">
            <v>.</v>
          </cell>
        </row>
        <row r="467">
          <cell r="BA467" t="str">
            <v>.</v>
          </cell>
        </row>
        <row r="468">
          <cell r="BA468" t="str">
            <v>.</v>
          </cell>
        </row>
        <row r="469">
          <cell r="BA469" t="str">
            <v>.</v>
          </cell>
        </row>
        <row r="470">
          <cell r="BA470" t="str">
            <v>.</v>
          </cell>
        </row>
        <row r="471">
          <cell r="BA471" t="str">
            <v>.</v>
          </cell>
        </row>
        <row r="472">
          <cell r="BA472" t="str">
            <v>.</v>
          </cell>
        </row>
        <row r="473">
          <cell r="BA473" t="str">
            <v>.</v>
          </cell>
        </row>
        <row r="474">
          <cell r="BA474" t="str">
            <v>.</v>
          </cell>
        </row>
        <row r="475">
          <cell r="BA475" t="str">
            <v>.</v>
          </cell>
        </row>
        <row r="476">
          <cell r="BA476" t="str">
            <v>.</v>
          </cell>
        </row>
        <row r="477">
          <cell r="BA477" t="str">
            <v>.</v>
          </cell>
        </row>
        <row r="478">
          <cell r="BA478" t="str">
            <v>.</v>
          </cell>
        </row>
        <row r="479">
          <cell r="BA479" t="str">
            <v>.</v>
          </cell>
        </row>
        <row r="480">
          <cell r="BA480" t="str">
            <v>.</v>
          </cell>
        </row>
        <row r="481">
          <cell r="BA481" t="str">
            <v>.</v>
          </cell>
        </row>
        <row r="482">
          <cell r="BA482" t="str">
            <v>.</v>
          </cell>
        </row>
        <row r="483">
          <cell r="BA483" t="str">
            <v>.</v>
          </cell>
        </row>
        <row r="484">
          <cell r="BA484" t="str">
            <v>.</v>
          </cell>
        </row>
        <row r="485">
          <cell r="BA485" t="str">
            <v>.</v>
          </cell>
        </row>
        <row r="486">
          <cell r="BA486" t="str">
            <v>.</v>
          </cell>
        </row>
        <row r="487">
          <cell r="BA487" t="str">
            <v>.</v>
          </cell>
        </row>
        <row r="488">
          <cell r="BA488" t="str">
            <v>.</v>
          </cell>
        </row>
        <row r="489">
          <cell r="BA489" t="str">
            <v>.</v>
          </cell>
        </row>
        <row r="490">
          <cell r="BA490" t="str">
            <v>.</v>
          </cell>
        </row>
        <row r="491">
          <cell r="BA491" t="str">
            <v>.</v>
          </cell>
        </row>
        <row r="492">
          <cell r="BA492" t="str">
            <v>.</v>
          </cell>
        </row>
        <row r="493">
          <cell r="BA493" t="str">
            <v>.</v>
          </cell>
        </row>
        <row r="494">
          <cell r="BA494" t="str">
            <v>.</v>
          </cell>
        </row>
        <row r="495">
          <cell r="BA495" t="str">
            <v>.</v>
          </cell>
        </row>
        <row r="496">
          <cell r="BA496" t="str">
            <v>.</v>
          </cell>
        </row>
        <row r="497">
          <cell r="BA497" t="str">
            <v>.</v>
          </cell>
        </row>
        <row r="498">
          <cell r="BA498" t="str">
            <v>.</v>
          </cell>
        </row>
        <row r="499">
          <cell r="BA499" t="str">
            <v>.</v>
          </cell>
        </row>
        <row r="500">
          <cell r="BA500" t="str">
            <v>.</v>
          </cell>
        </row>
        <row r="501">
          <cell r="BA501" t="str">
            <v>.</v>
          </cell>
        </row>
        <row r="502">
          <cell r="BA502" t="str">
            <v>.</v>
          </cell>
        </row>
        <row r="503">
          <cell r="BA503" t="str">
            <v>.</v>
          </cell>
        </row>
        <row r="504">
          <cell r="BA504" t="str">
            <v>.</v>
          </cell>
        </row>
        <row r="505">
          <cell r="BA505" t="str">
            <v>.</v>
          </cell>
        </row>
        <row r="506">
          <cell r="BA506" t="str">
            <v>.</v>
          </cell>
        </row>
        <row r="507">
          <cell r="BA507" t="str">
            <v>.</v>
          </cell>
        </row>
        <row r="508">
          <cell r="BA508" t="str">
            <v>.</v>
          </cell>
        </row>
        <row r="509">
          <cell r="BA509" t="str">
            <v>.</v>
          </cell>
        </row>
        <row r="510">
          <cell r="BA510" t="str">
            <v>.</v>
          </cell>
        </row>
        <row r="511">
          <cell r="BA511" t="str">
            <v>.</v>
          </cell>
        </row>
        <row r="512">
          <cell r="BA512" t="str">
            <v>.</v>
          </cell>
        </row>
        <row r="513">
          <cell r="BA513" t="str">
            <v>.</v>
          </cell>
        </row>
        <row r="514">
          <cell r="BA514" t="str">
            <v>.</v>
          </cell>
        </row>
        <row r="515">
          <cell r="BA515" t="str">
            <v>.</v>
          </cell>
        </row>
        <row r="516">
          <cell r="BA516" t="str">
            <v>.</v>
          </cell>
        </row>
        <row r="517">
          <cell r="BA517" t="str">
            <v>.</v>
          </cell>
        </row>
        <row r="518">
          <cell r="BA518" t="str">
            <v>.</v>
          </cell>
        </row>
        <row r="519">
          <cell r="BA519" t="str">
            <v>.</v>
          </cell>
        </row>
        <row r="520">
          <cell r="BA520" t="str">
            <v>.</v>
          </cell>
        </row>
        <row r="521">
          <cell r="BA521" t="str">
            <v>.</v>
          </cell>
        </row>
        <row r="522">
          <cell r="BA522" t="str">
            <v>.</v>
          </cell>
        </row>
        <row r="523">
          <cell r="BA523" t="str">
            <v>.</v>
          </cell>
        </row>
        <row r="524">
          <cell r="BA524" t="str">
            <v>.</v>
          </cell>
        </row>
        <row r="525">
          <cell r="BA525" t="str">
            <v>.</v>
          </cell>
        </row>
        <row r="526">
          <cell r="BA526" t="str">
            <v>.</v>
          </cell>
        </row>
        <row r="527">
          <cell r="BA527" t="str">
            <v>.</v>
          </cell>
        </row>
        <row r="528">
          <cell r="BA528" t="str">
            <v>.</v>
          </cell>
        </row>
        <row r="529">
          <cell r="BA529" t="str">
            <v>.</v>
          </cell>
        </row>
        <row r="530">
          <cell r="BA530" t="str">
            <v>.</v>
          </cell>
        </row>
        <row r="531">
          <cell r="BA531" t="str">
            <v>.</v>
          </cell>
        </row>
        <row r="532">
          <cell r="BA532" t="str">
            <v>.</v>
          </cell>
        </row>
        <row r="533">
          <cell r="BA533" t="str">
            <v>.</v>
          </cell>
        </row>
        <row r="534">
          <cell r="BA534" t="str">
            <v>.</v>
          </cell>
        </row>
        <row r="535">
          <cell r="BA535" t="str">
            <v>.</v>
          </cell>
        </row>
        <row r="536">
          <cell r="BA536" t="str">
            <v>.</v>
          </cell>
        </row>
        <row r="537">
          <cell r="BA537" t="str">
            <v>.</v>
          </cell>
        </row>
        <row r="538">
          <cell r="BA538" t="str">
            <v>.</v>
          </cell>
        </row>
        <row r="539">
          <cell r="BA539" t="str">
            <v>.</v>
          </cell>
        </row>
        <row r="540">
          <cell r="BA540" t="str">
            <v>.</v>
          </cell>
        </row>
        <row r="541">
          <cell r="BA541" t="str">
            <v>.</v>
          </cell>
        </row>
        <row r="542">
          <cell r="BA542" t="str">
            <v>.</v>
          </cell>
        </row>
        <row r="543">
          <cell r="BA543" t="str">
            <v>.</v>
          </cell>
        </row>
        <row r="544">
          <cell r="BA544" t="str">
            <v>.</v>
          </cell>
        </row>
        <row r="545">
          <cell r="BA545" t="str">
            <v>.</v>
          </cell>
        </row>
        <row r="546">
          <cell r="BA546" t="str">
            <v>.</v>
          </cell>
        </row>
        <row r="547">
          <cell r="BA547" t="str">
            <v>.</v>
          </cell>
        </row>
        <row r="548">
          <cell r="BA548" t="str">
            <v>.</v>
          </cell>
        </row>
        <row r="549">
          <cell r="BA549" t="str">
            <v>.</v>
          </cell>
        </row>
        <row r="550">
          <cell r="BA550" t="str">
            <v>.</v>
          </cell>
        </row>
        <row r="551">
          <cell r="BA551" t="str">
            <v>.</v>
          </cell>
        </row>
        <row r="552">
          <cell r="BA552" t="str">
            <v>.</v>
          </cell>
        </row>
        <row r="553">
          <cell r="BA553" t="str">
            <v>.</v>
          </cell>
        </row>
        <row r="554">
          <cell r="BA554" t="str">
            <v>.</v>
          </cell>
        </row>
        <row r="555">
          <cell r="BA555" t="str">
            <v>.</v>
          </cell>
        </row>
        <row r="556">
          <cell r="BA556" t="str">
            <v>.</v>
          </cell>
        </row>
        <row r="557">
          <cell r="BA557" t="str">
            <v>.</v>
          </cell>
        </row>
        <row r="558">
          <cell r="BA558" t="str">
            <v>.</v>
          </cell>
        </row>
        <row r="559">
          <cell r="BA559" t="str">
            <v>.</v>
          </cell>
        </row>
        <row r="560">
          <cell r="BA560" t="str">
            <v>.</v>
          </cell>
        </row>
        <row r="561">
          <cell r="BA561" t="str">
            <v>.</v>
          </cell>
        </row>
        <row r="562">
          <cell r="BA562" t="str">
            <v>.</v>
          </cell>
        </row>
        <row r="563">
          <cell r="BA563" t="str">
            <v>.</v>
          </cell>
        </row>
        <row r="564">
          <cell r="BA564" t="str">
            <v>.</v>
          </cell>
        </row>
        <row r="565">
          <cell r="BA565" t="str">
            <v>.</v>
          </cell>
        </row>
        <row r="566">
          <cell r="BA566" t="str">
            <v>.</v>
          </cell>
        </row>
        <row r="567">
          <cell r="BA567" t="str">
            <v>.</v>
          </cell>
        </row>
        <row r="568">
          <cell r="BA568" t="str">
            <v>.</v>
          </cell>
        </row>
        <row r="569">
          <cell r="BA569" t="str">
            <v>.</v>
          </cell>
        </row>
        <row r="570">
          <cell r="BA570" t="str">
            <v>.</v>
          </cell>
        </row>
        <row r="571">
          <cell r="BA571" t="str">
            <v>.</v>
          </cell>
        </row>
        <row r="572">
          <cell r="BA572" t="str">
            <v>.</v>
          </cell>
        </row>
        <row r="573">
          <cell r="BA573" t="str">
            <v>.</v>
          </cell>
        </row>
        <row r="574">
          <cell r="BA574" t="str">
            <v>.</v>
          </cell>
        </row>
        <row r="575">
          <cell r="BA575" t="str">
            <v>.</v>
          </cell>
        </row>
        <row r="576">
          <cell r="BA576" t="str">
            <v>.</v>
          </cell>
        </row>
        <row r="577">
          <cell r="BA577" t="str">
            <v>.</v>
          </cell>
        </row>
        <row r="578">
          <cell r="BA578" t="str">
            <v>.</v>
          </cell>
        </row>
        <row r="579">
          <cell r="BA579" t="str">
            <v>.</v>
          </cell>
        </row>
        <row r="580">
          <cell r="BA580" t="str">
            <v>.</v>
          </cell>
        </row>
        <row r="581">
          <cell r="BA581" t="str">
            <v>.</v>
          </cell>
        </row>
        <row r="582">
          <cell r="BA582" t="str">
            <v>.</v>
          </cell>
        </row>
        <row r="583">
          <cell r="BA583" t="str">
            <v>.</v>
          </cell>
        </row>
        <row r="584">
          <cell r="BA584" t="str">
            <v>.</v>
          </cell>
        </row>
        <row r="585">
          <cell r="BA585" t="str">
            <v>.</v>
          </cell>
        </row>
        <row r="586">
          <cell r="BA586" t="str">
            <v>.</v>
          </cell>
        </row>
        <row r="587">
          <cell r="BA587" t="str">
            <v>.</v>
          </cell>
        </row>
        <row r="588">
          <cell r="BA588" t="str">
            <v>.</v>
          </cell>
        </row>
        <row r="589">
          <cell r="BA589" t="str">
            <v>.</v>
          </cell>
        </row>
        <row r="590">
          <cell r="BA590" t="str">
            <v>.</v>
          </cell>
        </row>
        <row r="591">
          <cell r="BA591" t="str">
            <v>.</v>
          </cell>
        </row>
        <row r="592">
          <cell r="BA592" t="str">
            <v>.</v>
          </cell>
        </row>
        <row r="593">
          <cell r="BA593" t="str">
            <v>.</v>
          </cell>
        </row>
        <row r="594">
          <cell r="BA594" t="str">
            <v>.</v>
          </cell>
        </row>
        <row r="595">
          <cell r="BA595" t="str">
            <v>.</v>
          </cell>
        </row>
        <row r="596">
          <cell r="BA596" t="str">
            <v>.</v>
          </cell>
        </row>
        <row r="597">
          <cell r="BA597" t="str">
            <v>.</v>
          </cell>
        </row>
        <row r="598">
          <cell r="BA598" t="str">
            <v>.</v>
          </cell>
        </row>
        <row r="599">
          <cell r="BA599" t="str">
            <v>.</v>
          </cell>
        </row>
        <row r="600">
          <cell r="BA600" t="str">
            <v>.</v>
          </cell>
        </row>
        <row r="601">
          <cell r="BA601" t="str">
            <v>.</v>
          </cell>
        </row>
        <row r="602">
          <cell r="BA602" t="str">
            <v>.</v>
          </cell>
        </row>
        <row r="603">
          <cell r="BA603" t="str">
            <v>.</v>
          </cell>
        </row>
        <row r="604">
          <cell r="BA604" t="str">
            <v>.</v>
          </cell>
        </row>
        <row r="605">
          <cell r="BA605" t="str">
            <v>.</v>
          </cell>
        </row>
        <row r="606">
          <cell r="BA606" t="str">
            <v>.</v>
          </cell>
        </row>
        <row r="607">
          <cell r="BA607" t="str">
            <v>.</v>
          </cell>
        </row>
        <row r="608">
          <cell r="BA608" t="str">
            <v>.</v>
          </cell>
        </row>
        <row r="609">
          <cell r="BA609" t="str">
            <v>.</v>
          </cell>
        </row>
        <row r="610">
          <cell r="BA610" t="str">
            <v>.</v>
          </cell>
        </row>
        <row r="611">
          <cell r="BA611" t="str">
            <v>.</v>
          </cell>
        </row>
        <row r="612">
          <cell r="BA612" t="str">
            <v>.</v>
          </cell>
        </row>
        <row r="613">
          <cell r="BA613" t="str">
            <v>.</v>
          </cell>
        </row>
        <row r="614">
          <cell r="BA614" t="str">
            <v>.</v>
          </cell>
        </row>
        <row r="615">
          <cell r="BA615" t="str">
            <v>.</v>
          </cell>
        </row>
        <row r="616">
          <cell r="BA616" t="str">
            <v>.</v>
          </cell>
        </row>
        <row r="617">
          <cell r="BA617" t="str">
            <v>.</v>
          </cell>
        </row>
        <row r="618">
          <cell r="BA618" t="str">
            <v>.</v>
          </cell>
        </row>
        <row r="619">
          <cell r="BA619" t="str">
            <v>.</v>
          </cell>
        </row>
        <row r="620">
          <cell r="BA620" t="str">
            <v>.</v>
          </cell>
        </row>
        <row r="621">
          <cell r="BA621" t="str">
            <v>.</v>
          </cell>
        </row>
        <row r="622">
          <cell r="BA622" t="str">
            <v>.</v>
          </cell>
        </row>
        <row r="623">
          <cell r="BA623" t="str">
            <v>.</v>
          </cell>
        </row>
        <row r="624">
          <cell r="BA624" t="str">
            <v>.</v>
          </cell>
        </row>
        <row r="625">
          <cell r="BA625" t="str">
            <v>.</v>
          </cell>
        </row>
        <row r="626">
          <cell r="BA626" t="str">
            <v>.</v>
          </cell>
        </row>
        <row r="627">
          <cell r="BA627" t="str">
            <v>.</v>
          </cell>
        </row>
        <row r="628">
          <cell r="BA628" t="str">
            <v>.</v>
          </cell>
        </row>
        <row r="629">
          <cell r="BA629" t="str">
            <v>.</v>
          </cell>
        </row>
        <row r="630">
          <cell r="BA630" t="str">
            <v>.</v>
          </cell>
        </row>
        <row r="631">
          <cell r="BA631" t="str">
            <v>.</v>
          </cell>
        </row>
        <row r="632">
          <cell r="BA632" t="str">
            <v>.</v>
          </cell>
        </row>
        <row r="633">
          <cell r="BA633" t="str">
            <v>.</v>
          </cell>
        </row>
        <row r="634">
          <cell r="BA634" t="str">
            <v>.</v>
          </cell>
        </row>
        <row r="635">
          <cell r="BA635" t="str">
            <v>.</v>
          </cell>
        </row>
        <row r="636">
          <cell r="BA636" t="str">
            <v>.</v>
          </cell>
        </row>
        <row r="637">
          <cell r="BA637" t="str">
            <v>.</v>
          </cell>
        </row>
        <row r="638">
          <cell r="BA638" t="str">
            <v>.</v>
          </cell>
        </row>
        <row r="639">
          <cell r="BA639" t="str">
            <v>.</v>
          </cell>
        </row>
        <row r="640">
          <cell r="BA640" t="str">
            <v>.</v>
          </cell>
        </row>
        <row r="641">
          <cell r="BA641" t="str">
            <v>.</v>
          </cell>
        </row>
        <row r="642">
          <cell r="BA642" t="str">
            <v>.</v>
          </cell>
        </row>
        <row r="643">
          <cell r="BA643" t="str">
            <v>.</v>
          </cell>
        </row>
        <row r="644">
          <cell r="BA644" t="str">
            <v>.</v>
          </cell>
        </row>
        <row r="645">
          <cell r="BA645" t="str">
            <v>.</v>
          </cell>
        </row>
        <row r="646">
          <cell r="BA646" t="str">
            <v>.</v>
          </cell>
        </row>
        <row r="647">
          <cell r="BA647" t="str">
            <v>.</v>
          </cell>
        </row>
        <row r="648">
          <cell r="BA648" t="str">
            <v>.</v>
          </cell>
        </row>
        <row r="649">
          <cell r="BA649" t="str">
            <v>.</v>
          </cell>
        </row>
        <row r="650">
          <cell r="BA650" t="str">
            <v>.</v>
          </cell>
        </row>
        <row r="651">
          <cell r="BA651" t="str">
            <v>.</v>
          </cell>
        </row>
        <row r="652">
          <cell r="BA652" t="str">
            <v>.</v>
          </cell>
        </row>
        <row r="653">
          <cell r="BA653" t="str">
            <v>.</v>
          </cell>
        </row>
        <row r="654">
          <cell r="BA654" t="str">
            <v>.</v>
          </cell>
        </row>
        <row r="655">
          <cell r="BA655" t="str">
            <v>.</v>
          </cell>
        </row>
        <row r="656">
          <cell r="BA656" t="str">
            <v>.</v>
          </cell>
        </row>
        <row r="657">
          <cell r="BA657" t="str">
            <v>.</v>
          </cell>
        </row>
        <row r="658">
          <cell r="BA658" t="str">
            <v>.</v>
          </cell>
        </row>
        <row r="659">
          <cell r="BA659" t="str">
            <v>.</v>
          </cell>
        </row>
        <row r="660">
          <cell r="BA660" t="str">
            <v>.</v>
          </cell>
        </row>
        <row r="661">
          <cell r="BA661" t="str">
            <v>.</v>
          </cell>
        </row>
        <row r="662">
          <cell r="BA662" t="str">
            <v>.</v>
          </cell>
        </row>
        <row r="663">
          <cell r="BA663" t="str">
            <v>.</v>
          </cell>
        </row>
        <row r="664">
          <cell r="BA664" t="str">
            <v>.</v>
          </cell>
        </row>
        <row r="665">
          <cell r="BA665" t="str">
            <v>.</v>
          </cell>
        </row>
        <row r="666">
          <cell r="BA666" t="str">
            <v>.</v>
          </cell>
        </row>
        <row r="667">
          <cell r="BA667" t="str">
            <v>.</v>
          </cell>
        </row>
        <row r="668">
          <cell r="BA668" t="str">
            <v>.</v>
          </cell>
        </row>
        <row r="669">
          <cell r="BA669" t="str">
            <v>.</v>
          </cell>
        </row>
        <row r="670">
          <cell r="BA670" t="str">
            <v>.</v>
          </cell>
        </row>
        <row r="671">
          <cell r="BA671" t="str">
            <v>.</v>
          </cell>
        </row>
        <row r="672">
          <cell r="BA672" t="str">
            <v>.</v>
          </cell>
        </row>
        <row r="673">
          <cell r="BA673" t="str">
            <v>.</v>
          </cell>
        </row>
        <row r="674">
          <cell r="BA674" t="str">
            <v>.</v>
          </cell>
        </row>
        <row r="675">
          <cell r="BA675" t="str">
            <v>.</v>
          </cell>
        </row>
        <row r="676">
          <cell r="BA676" t="str">
            <v>.</v>
          </cell>
        </row>
        <row r="677">
          <cell r="BA677" t="str">
            <v>.</v>
          </cell>
        </row>
        <row r="678">
          <cell r="BA678" t="str">
            <v>.</v>
          </cell>
        </row>
        <row r="679">
          <cell r="BA679" t="str">
            <v>.</v>
          </cell>
        </row>
        <row r="680">
          <cell r="BA680" t="str">
            <v>.</v>
          </cell>
        </row>
        <row r="681">
          <cell r="BA681" t="str">
            <v>.</v>
          </cell>
        </row>
        <row r="682">
          <cell r="BA682" t="str">
            <v>.</v>
          </cell>
        </row>
        <row r="683">
          <cell r="BA683" t="str">
            <v>.</v>
          </cell>
        </row>
        <row r="684">
          <cell r="BA684" t="str">
            <v>.</v>
          </cell>
        </row>
        <row r="685">
          <cell r="BA685" t="str">
            <v>.</v>
          </cell>
        </row>
        <row r="686">
          <cell r="BA686" t="str">
            <v>.</v>
          </cell>
        </row>
        <row r="687">
          <cell r="BA687" t="str">
            <v>.</v>
          </cell>
        </row>
        <row r="688">
          <cell r="BA688" t="str">
            <v>.</v>
          </cell>
        </row>
        <row r="689">
          <cell r="BA689" t="str">
            <v>.</v>
          </cell>
        </row>
        <row r="690">
          <cell r="BA690" t="str">
            <v>.</v>
          </cell>
        </row>
        <row r="691">
          <cell r="BA691" t="str">
            <v>.</v>
          </cell>
        </row>
        <row r="692">
          <cell r="BA692" t="str">
            <v>.</v>
          </cell>
        </row>
        <row r="693">
          <cell r="BA693" t="str">
            <v>.</v>
          </cell>
        </row>
        <row r="694">
          <cell r="BA694" t="str">
            <v>.</v>
          </cell>
        </row>
        <row r="695">
          <cell r="BA695" t="str">
            <v>.</v>
          </cell>
        </row>
        <row r="696">
          <cell r="BA696" t="str">
            <v>.</v>
          </cell>
        </row>
        <row r="697">
          <cell r="BA697" t="str">
            <v>.</v>
          </cell>
        </row>
        <row r="698">
          <cell r="BA698" t="str">
            <v>.</v>
          </cell>
        </row>
        <row r="699">
          <cell r="BA699" t="str">
            <v>.</v>
          </cell>
        </row>
        <row r="700">
          <cell r="BA700" t="str">
            <v>.</v>
          </cell>
        </row>
        <row r="701">
          <cell r="BA701" t="str">
            <v>.</v>
          </cell>
        </row>
        <row r="702">
          <cell r="BA702" t="str">
            <v>.</v>
          </cell>
        </row>
        <row r="703">
          <cell r="BA703" t="str">
            <v>.</v>
          </cell>
        </row>
        <row r="704">
          <cell r="BA704" t="str">
            <v>.</v>
          </cell>
        </row>
        <row r="705">
          <cell r="BA705" t="str">
            <v>.</v>
          </cell>
        </row>
        <row r="706">
          <cell r="BA706" t="str">
            <v>.</v>
          </cell>
        </row>
        <row r="707">
          <cell r="BA707" t="str">
            <v>.</v>
          </cell>
        </row>
        <row r="708">
          <cell r="BA708" t="str">
            <v>.</v>
          </cell>
        </row>
        <row r="709">
          <cell r="BA709" t="str">
            <v>.</v>
          </cell>
        </row>
        <row r="710">
          <cell r="BA710" t="str">
            <v>.</v>
          </cell>
        </row>
        <row r="711">
          <cell r="BA711" t="str">
            <v>.</v>
          </cell>
        </row>
        <row r="712">
          <cell r="BA712" t="str">
            <v>.</v>
          </cell>
        </row>
        <row r="713">
          <cell r="BA713" t="str">
            <v>.</v>
          </cell>
        </row>
        <row r="714">
          <cell r="BA714" t="str">
            <v>.</v>
          </cell>
        </row>
        <row r="715">
          <cell r="BA715" t="str">
            <v>.</v>
          </cell>
        </row>
        <row r="716">
          <cell r="BA716" t="str">
            <v>.</v>
          </cell>
        </row>
        <row r="717">
          <cell r="BA717" t="str">
            <v>.</v>
          </cell>
        </row>
        <row r="718">
          <cell r="BA718" t="str">
            <v>.</v>
          </cell>
        </row>
        <row r="719">
          <cell r="BA719" t="str">
            <v>.</v>
          </cell>
        </row>
        <row r="720">
          <cell r="BA720" t="str">
            <v>.</v>
          </cell>
        </row>
        <row r="721">
          <cell r="BA721" t="str">
            <v>.</v>
          </cell>
        </row>
        <row r="722">
          <cell r="BA722" t="str">
            <v>.</v>
          </cell>
        </row>
        <row r="723">
          <cell r="BA723" t="str">
            <v>.</v>
          </cell>
        </row>
        <row r="724">
          <cell r="BA724" t="str">
            <v>.</v>
          </cell>
        </row>
        <row r="725">
          <cell r="BA725" t="str">
            <v>.</v>
          </cell>
        </row>
        <row r="726">
          <cell r="BA726" t="str">
            <v>.</v>
          </cell>
        </row>
        <row r="727">
          <cell r="BA727" t="str">
            <v>.</v>
          </cell>
        </row>
        <row r="728">
          <cell r="BA728" t="str">
            <v>.</v>
          </cell>
        </row>
        <row r="729">
          <cell r="BA729" t="str">
            <v>.</v>
          </cell>
        </row>
        <row r="730">
          <cell r="BA730" t="str">
            <v>.</v>
          </cell>
        </row>
        <row r="731">
          <cell r="BA731" t="str">
            <v>.</v>
          </cell>
        </row>
        <row r="732">
          <cell r="BA732" t="str">
            <v>.</v>
          </cell>
        </row>
        <row r="733">
          <cell r="BA733" t="str">
            <v>.</v>
          </cell>
        </row>
        <row r="734">
          <cell r="BA734" t="str">
            <v>.</v>
          </cell>
        </row>
        <row r="735">
          <cell r="BA735" t="str">
            <v>.</v>
          </cell>
        </row>
        <row r="736">
          <cell r="BA736" t="str">
            <v>.</v>
          </cell>
        </row>
        <row r="737">
          <cell r="BA737" t="str">
            <v>.</v>
          </cell>
        </row>
        <row r="738">
          <cell r="BA738" t="str">
            <v>.</v>
          </cell>
        </row>
        <row r="739">
          <cell r="BA739" t="str">
            <v>.</v>
          </cell>
        </row>
        <row r="740">
          <cell r="BA740" t="str">
            <v>.</v>
          </cell>
        </row>
        <row r="741">
          <cell r="BA741" t="str">
            <v>.</v>
          </cell>
        </row>
        <row r="742">
          <cell r="BA742" t="str">
            <v>.</v>
          </cell>
        </row>
        <row r="743">
          <cell r="BA743" t="str">
            <v>.</v>
          </cell>
        </row>
        <row r="744">
          <cell r="BA744" t="str">
            <v>.</v>
          </cell>
        </row>
        <row r="745">
          <cell r="BA745" t="str">
            <v>.</v>
          </cell>
        </row>
        <row r="746">
          <cell r="BA746" t="str">
            <v>.</v>
          </cell>
        </row>
        <row r="747">
          <cell r="BA747" t="str">
            <v>.</v>
          </cell>
        </row>
        <row r="748">
          <cell r="BA748" t="str">
            <v>.</v>
          </cell>
        </row>
        <row r="749">
          <cell r="BA749" t="str">
            <v>.</v>
          </cell>
        </row>
        <row r="750">
          <cell r="BA750" t="str">
            <v>.</v>
          </cell>
        </row>
        <row r="751">
          <cell r="BA751" t="str">
            <v>.</v>
          </cell>
        </row>
        <row r="752">
          <cell r="BA752" t="str">
            <v>.</v>
          </cell>
        </row>
        <row r="753">
          <cell r="BA753" t="str">
            <v>.</v>
          </cell>
        </row>
        <row r="754">
          <cell r="BA754" t="str">
            <v>.</v>
          </cell>
        </row>
        <row r="755">
          <cell r="BA755" t="str">
            <v>.</v>
          </cell>
        </row>
        <row r="756">
          <cell r="BA756" t="str">
            <v>.</v>
          </cell>
        </row>
        <row r="757">
          <cell r="BA757" t="str">
            <v>.</v>
          </cell>
        </row>
        <row r="758">
          <cell r="BA758" t="str">
            <v>.</v>
          </cell>
        </row>
        <row r="759">
          <cell r="BA759" t="str">
            <v>.</v>
          </cell>
        </row>
        <row r="760">
          <cell r="BA760" t="str">
            <v>.</v>
          </cell>
        </row>
        <row r="761">
          <cell r="BA761" t="str">
            <v>.</v>
          </cell>
        </row>
        <row r="762">
          <cell r="BA762" t="str">
            <v>.</v>
          </cell>
        </row>
        <row r="763">
          <cell r="BA763" t="str">
            <v>.</v>
          </cell>
        </row>
        <row r="764">
          <cell r="BA764" t="str">
            <v>.</v>
          </cell>
        </row>
        <row r="765">
          <cell r="BA765" t="str">
            <v>.</v>
          </cell>
        </row>
        <row r="766">
          <cell r="BA766" t="str">
            <v>.</v>
          </cell>
        </row>
        <row r="767">
          <cell r="BA767" t="str">
            <v>.</v>
          </cell>
        </row>
        <row r="768">
          <cell r="BA768" t="str">
            <v>.</v>
          </cell>
        </row>
        <row r="769">
          <cell r="BA769" t="str">
            <v>.</v>
          </cell>
        </row>
        <row r="770">
          <cell r="BA770" t="str">
            <v>.</v>
          </cell>
        </row>
        <row r="771">
          <cell r="BA771" t="str">
            <v>.</v>
          </cell>
        </row>
        <row r="772">
          <cell r="BA772" t="str">
            <v>.</v>
          </cell>
        </row>
        <row r="773">
          <cell r="BA773" t="str">
            <v>.</v>
          </cell>
        </row>
        <row r="774">
          <cell r="BA774" t="str">
            <v>.</v>
          </cell>
        </row>
        <row r="775">
          <cell r="BA775" t="str">
            <v>.</v>
          </cell>
        </row>
        <row r="776">
          <cell r="BA776" t="str">
            <v>.</v>
          </cell>
        </row>
        <row r="777">
          <cell r="BA777" t="str">
            <v>.</v>
          </cell>
        </row>
        <row r="778">
          <cell r="BA778" t="str">
            <v>.</v>
          </cell>
        </row>
        <row r="779">
          <cell r="BA779" t="str">
            <v>.</v>
          </cell>
        </row>
        <row r="780">
          <cell r="BA780" t="str">
            <v>.</v>
          </cell>
        </row>
        <row r="781">
          <cell r="BA781" t="str">
            <v>.</v>
          </cell>
        </row>
        <row r="782">
          <cell r="BA782" t="str">
            <v>.</v>
          </cell>
        </row>
        <row r="783">
          <cell r="BA783" t="str">
            <v>.</v>
          </cell>
        </row>
        <row r="784">
          <cell r="BA784" t="str">
            <v>.</v>
          </cell>
        </row>
        <row r="785">
          <cell r="BA785" t="str">
            <v>.</v>
          </cell>
        </row>
        <row r="786">
          <cell r="BA786" t="str">
            <v>.</v>
          </cell>
        </row>
        <row r="787">
          <cell r="BA787" t="str">
            <v>.</v>
          </cell>
        </row>
        <row r="788">
          <cell r="BA788" t="str">
            <v>.</v>
          </cell>
        </row>
        <row r="789">
          <cell r="BA789" t="str">
            <v>.</v>
          </cell>
        </row>
        <row r="790">
          <cell r="BA790" t="str">
            <v>.</v>
          </cell>
        </row>
        <row r="791">
          <cell r="BA791" t="str">
            <v>.</v>
          </cell>
        </row>
        <row r="792">
          <cell r="BA792" t="str">
            <v>.</v>
          </cell>
        </row>
        <row r="793">
          <cell r="BA793" t="str">
            <v>.</v>
          </cell>
        </row>
        <row r="794">
          <cell r="BA794" t="str">
            <v>.</v>
          </cell>
        </row>
        <row r="795">
          <cell r="BA795" t="str">
            <v>.</v>
          </cell>
        </row>
        <row r="796">
          <cell r="BA796" t="str">
            <v>.</v>
          </cell>
        </row>
        <row r="797">
          <cell r="BA797" t="str">
            <v>.</v>
          </cell>
        </row>
        <row r="798">
          <cell r="BA798" t="str">
            <v>.</v>
          </cell>
        </row>
        <row r="799">
          <cell r="BA799" t="str">
            <v>.</v>
          </cell>
        </row>
        <row r="800">
          <cell r="BA800" t="str">
            <v>.</v>
          </cell>
        </row>
        <row r="801">
          <cell r="BA801" t="str">
            <v>.</v>
          </cell>
        </row>
        <row r="802">
          <cell r="BA802" t="str">
            <v>.</v>
          </cell>
        </row>
        <row r="803">
          <cell r="BA803" t="str">
            <v>.</v>
          </cell>
        </row>
        <row r="804">
          <cell r="BA804" t="str">
            <v>.</v>
          </cell>
        </row>
        <row r="805">
          <cell r="BA805" t="str">
            <v>.</v>
          </cell>
        </row>
        <row r="806">
          <cell r="BA806" t="str">
            <v>.</v>
          </cell>
        </row>
        <row r="807">
          <cell r="BA807" t="str">
            <v>.</v>
          </cell>
        </row>
        <row r="808">
          <cell r="BA808" t="str">
            <v>.</v>
          </cell>
        </row>
        <row r="809">
          <cell r="BA809" t="str">
            <v>.</v>
          </cell>
        </row>
        <row r="810">
          <cell r="BA810" t="str">
            <v>.</v>
          </cell>
        </row>
        <row r="811">
          <cell r="BA811" t="str">
            <v>.</v>
          </cell>
        </row>
        <row r="812">
          <cell r="BA812" t="str">
            <v>.</v>
          </cell>
        </row>
        <row r="813">
          <cell r="BA813" t="str">
            <v>.</v>
          </cell>
        </row>
        <row r="814">
          <cell r="BA814" t="str">
            <v>.</v>
          </cell>
        </row>
        <row r="815">
          <cell r="BA815" t="str">
            <v>.</v>
          </cell>
        </row>
        <row r="816">
          <cell r="BA816" t="str">
            <v>.</v>
          </cell>
        </row>
        <row r="817">
          <cell r="BA817" t="str">
            <v>.</v>
          </cell>
        </row>
        <row r="818">
          <cell r="BA818" t="str">
            <v>.</v>
          </cell>
        </row>
        <row r="819">
          <cell r="BA819" t="str">
            <v>.</v>
          </cell>
        </row>
        <row r="820">
          <cell r="BA820" t="str">
            <v>.</v>
          </cell>
        </row>
        <row r="821">
          <cell r="BA821" t="str">
            <v>.</v>
          </cell>
        </row>
        <row r="822">
          <cell r="BA822" t="str">
            <v>.</v>
          </cell>
        </row>
        <row r="823">
          <cell r="BA823" t="str">
            <v>.</v>
          </cell>
        </row>
        <row r="824">
          <cell r="BA824" t="str">
            <v>.</v>
          </cell>
        </row>
        <row r="825">
          <cell r="BA825" t="str">
            <v>.</v>
          </cell>
        </row>
        <row r="826">
          <cell r="BA826" t="str">
            <v>.</v>
          </cell>
        </row>
        <row r="827">
          <cell r="BA827" t="str">
            <v>.</v>
          </cell>
        </row>
        <row r="828">
          <cell r="BA828" t="str">
            <v>.</v>
          </cell>
        </row>
        <row r="829">
          <cell r="BA829" t="str">
            <v>.</v>
          </cell>
        </row>
        <row r="830">
          <cell r="BA830" t="str">
            <v>.</v>
          </cell>
        </row>
        <row r="831">
          <cell r="BA831" t="str">
            <v>.</v>
          </cell>
        </row>
        <row r="832">
          <cell r="BA832" t="str">
            <v>.</v>
          </cell>
        </row>
        <row r="833">
          <cell r="BA833" t="str">
            <v>.</v>
          </cell>
        </row>
        <row r="834">
          <cell r="BA834" t="str">
            <v>.</v>
          </cell>
        </row>
        <row r="835">
          <cell r="BA835" t="str">
            <v>.</v>
          </cell>
        </row>
        <row r="836">
          <cell r="BA836" t="str">
            <v>.</v>
          </cell>
        </row>
        <row r="837">
          <cell r="BA837" t="str">
            <v>.</v>
          </cell>
        </row>
        <row r="838">
          <cell r="BA838" t="str">
            <v>.</v>
          </cell>
        </row>
        <row r="839">
          <cell r="BA839" t="str">
            <v>.</v>
          </cell>
        </row>
        <row r="840">
          <cell r="BA840" t="str">
            <v>.</v>
          </cell>
        </row>
        <row r="841">
          <cell r="BA841" t="str">
            <v>.</v>
          </cell>
        </row>
        <row r="842">
          <cell r="BA842" t="str">
            <v>.</v>
          </cell>
        </row>
        <row r="843">
          <cell r="BA843" t="str">
            <v>.</v>
          </cell>
        </row>
        <row r="844">
          <cell r="BA844" t="str">
            <v>.</v>
          </cell>
        </row>
        <row r="845">
          <cell r="BA845" t="str">
            <v>.</v>
          </cell>
        </row>
        <row r="846">
          <cell r="BA846" t="str">
            <v>.</v>
          </cell>
        </row>
        <row r="847">
          <cell r="BA847" t="str">
            <v>.</v>
          </cell>
        </row>
        <row r="848">
          <cell r="BA848" t="str">
            <v>.</v>
          </cell>
        </row>
        <row r="849">
          <cell r="BA849" t="str">
            <v>.</v>
          </cell>
        </row>
        <row r="850">
          <cell r="BA850" t="str">
            <v>.</v>
          </cell>
        </row>
        <row r="851">
          <cell r="BA851" t="str">
            <v>.</v>
          </cell>
        </row>
        <row r="852">
          <cell r="BA852" t="str">
            <v>.</v>
          </cell>
        </row>
        <row r="853">
          <cell r="BA853" t="str">
            <v>.</v>
          </cell>
        </row>
        <row r="854">
          <cell r="BA854" t="str">
            <v>.</v>
          </cell>
        </row>
        <row r="855">
          <cell r="BA855" t="str">
            <v>.</v>
          </cell>
        </row>
        <row r="856">
          <cell r="BA856" t="str">
            <v>.</v>
          </cell>
        </row>
        <row r="857">
          <cell r="BA857" t="str">
            <v>.</v>
          </cell>
        </row>
        <row r="858">
          <cell r="BA858" t="str">
            <v>.</v>
          </cell>
        </row>
        <row r="859">
          <cell r="BA859" t="str">
            <v>.</v>
          </cell>
        </row>
        <row r="860">
          <cell r="BA860" t="str">
            <v>.</v>
          </cell>
        </row>
        <row r="861">
          <cell r="BA861" t="str">
            <v>.</v>
          </cell>
        </row>
        <row r="862">
          <cell r="BA862" t="str">
            <v>.</v>
          </cell>
        </row>
        <row r="863">
          <cell r="BA863" t="str">
            <v>.</v>
          </cell>
        </row>
        <row r="864">
          <cell r="BA864" t="str">
            <v>.</v>
          </cell>
        </row>
        <row r="865">
          <cell r="BA865" t="str">
            <v>.</v>
          </cell>
        </row>
        <row r="866">
          <cell r="BA866" t="str">
            <v>.</v>
          </cell>
        </row>
        <row r="867">
          <cell r="BA867" t="str">
            <v>.</v>
          </cell>
        </row>
        <row r="868">
          <cell r="BA868" t="str">
            <v>.</v>
          </cell>
        </row>
        <row r="869">
          <cell r="BA869" t="str">
            <v>.</v>
          </cell>
        </row>
        <row r="870">
          <cell r="BA870" t="str">
            <v>.</v>
          </cell>
        </row>
        <row r="871">
          <cell r="BA871" t="str">
            <v>.</v>
          </cell>
        </row>
        <row r="872">
          <cell r="BA872" t="str">
            <v>.</v>
          </cell>
        </row>
        <row r="873">
          <cell r="BA873" t="str">
            <v>.</v>
          </cell>
        </row>
        <row r="874">
          <cell r="BA874" t="str">
            <v>.</v>
          </cell>
        </row>
        <row r="875">
          <cell r="BA875" t="str">
            <v>.</v>
          </cell>
        </row>
        <row r="876">
          <cell r="BA876" t="str">
            <v>.</v>
          </cell>
        </row>
        <row r="877">
          <cell r="BA877" t="str">
            <v>.</v>
          </cell>
        </row>
        <row r="878">
          <cell r="BA878" t="str">
            <v>.</v>
          </cell>
        </row>
        <row r="879">
          <cell r="BA879" t="str">
            <v>.</v>
          </cell>
        </row>
        <row r="880">
          <cell r="BA880" t="str">
            <v>.</v>
          </cell>
        </row>
        <row r="881">
          <cell r="BA881" t="str">
            <v>.</v>
          </cell>
        </row>
        <row r="882">
          <cell r="BA882" t="str">
            <v>.</v>
          </cell>
        </row>
        <row r="883">
          <cell r="BA883" t="str">
            <v>.</v>
          </cell>
        </row>
        <row r="884">
          <cell r="BA884" t="str">
            <v>.</v>
          </cell>
        </row>
        <row r="885">
          <cell r="BA885" t="str">
            <v>.</v>
          </cell>
        </row>
        <row r="886">
          <cell r="BA886" t="str">
            <v>.</v>
          </cell>
        </row>
        <row r="887">
          <cell r="BA887" t="str">
            <v>.</v>
          </cell>
        </row>
        <row r="888">
          <cell r="BA888" t="str">
            <v>.</v>
          </cell>
        </row>
        <row r="889">
          <cell r="BA889" t="str">
            <v>.</v>
          </cell>
        </row>
        <row r="890">
          <cell r="BA890" t="str">
            <v>.</v>
          </cell>
        </row>
        <row r="891">
          <cell r="BA891" t="str">
            <v>.</v>
          </cell>
        </row>
        <row r="892">
          <cell r="BA892" t="str">
            <v>.</v>
          </cell>
        </row>
        <row r="893">
          <cell r="BA893" t="str">
            <v>.</v>
          </cell>
        </row>
        <row r="894">
          <cell r="BA894" t="str">
            <v>.</v>
          </cell>
        </row>
        <row r="895">
          <cell r="BA895" t="str">
            <v>.</v>
          </cell>
        </row>
        <row r="896">
          <cell r="BA896" t="str">
            <v>.</v>
          </cell>
        </row>
        <row r="897">
          <cell r="BA897" t="str">
            <v>.</v>
          </cell>
        </row>
        <row r="898">
          <cell r="BA898" t="str">
            <v>.</v>
          </cell>
        </row>
        <row r="899">
          <cell r="BA899" t="str">
            <v>.</v>
          </cell>
        </row>
        <row r="900">
          <cell r="BA900" t="str">
            <v>.</v>
          </cell>
        </row>
        <row r="901">
          <cell r="BA901" t="str">
            <v>.</v>
          </cell>
        </row>
        <row r="902">
          <cell r="BA902" t="str">
            <v>.</v>
          </cell>
        </row>
        <row r="903">
          <cell r="BA903" t="str">
            <v>.</v>
          </cell>
        </row>
        <row r="904">
          <cell r="BA904" t="str">
            <v>.</v>
          </cell>
        </row>
        <row r="905">
          <cell r="BA905" t="str">
            <v>.</v>
          </cell>
        </row>
        <row r="906">
          <cell r="BA906" t="str">
            <v>.</v>
          </cell>
        </row>
        <row r="907">
          <cell r="BA907" t="str">
            <v>.</v>
          </cell>
        </row>
        <row r="908">
          <cell r="BA908" t="str">
            <v>.</v>
          </cell>
        </row>
        <row r="909">
          <cell r="BA909" t="str">
            <v>.</v>
          </cell>
        </row>
        <row r="910">
          <cell r="BA910" t="str">
            <v>.</v>
          </cell>
        </row>
        <row r="911">
          <cell r="BA911" t="str">
            <v>.</v>
          </cell>
        </row>
        <row r="912">
          <cell r="BA912" t="str">
            <v>.</v>
          </cell>
        </row>
        <row r="913">
          <cell r="BA913" t="str">
            <v>.</v>
          </cell>
        </row>
        <row r="914">
          <cell r="BA914" t="str">
            <v>.</v>
          </cell>
        </row>
        <row r="915">
          <cell r="BA915" t="str">
            <v>.</v>
          </cell>
        </row>
        <row r="916">
          <cell r="BA916" t="str">
            <v>.</v>
          </cell>
        </row>
        <row r="917">
          <cell r="BA917" t="str">
            <v>.</v>
          </cell>
        </row>
        <row r="918">
          <cell r="BA918" t="str">
            <v>.</v>
          </cell>
        </row>
        <row r="919">
          <cell r="BA919" t="str">
            <v>.</v>
          </cell>
        </row>
        <row r="920">
          <cell r="BA920" t="str">
            <v>.</v>
          </cell>
        </row>
        <row r="921">
          <cell r="BA921" t="str">
            <v>.</v>
          </cell>
        </row>
        <row r="922">
          <cell r="BA922" t="str">
            <v>.</v>
          </cell>
        </row>
        <row r="923">
          <cell r="BA923" t="str">
            <v>.</v>
          </cell>
        </row>
        <row r="924">
          <cell r="BA924" t="str">
            <v>.</v>
          </cell>
        </row>
        <row r="925">
          <cell r="BA925" t="str">
            <v>.</v>
          </cell>
        </row>
        <row r="926">
          <cell r="BA926" t="str">
            <v>.</v>
          </cell>
        </row>
        <row r="927">
          <cell r="BA927" t="str">
            <v>.</v>
          </cell>
        </row>
        <row r="928">
          <cell r="BA928" t="str">
            <v>.</v>
          </cell>
        </row>
        <row r="929">
          <cell r="BA929" t="str">
            <v>.</v>
          </cell>
        </row>
        <row r="930">
          <cell r="BA930" t="str">
            <v>.</v>
          </cell>
        </row>
        <row r="931">
          <cell r="BA931" t="str">
            <v>.</v>
          </cell>
        </row>
        <row r="932">
          <cell r="BA932" t="str">
            <v>.</v>
          </cell>
        </row>
        <row r="933">
          <cell r="BA933" t="str">
            <v>.</v>
          </cell>
        </row>
        <row r="934">
          <cell r="BA934" t="str">
            <v>.</v>
          </cell>
        </row>
        <row r="935">
          <cell r="BA935" t="str">
            <v>.</v>
          </cell>
        </row>
        <row r="936">
          <cell r="BA936" t="str">
            <v>.</v>
          </cell>
        </row>
        <row r="937">
          <cell r="BA937" t="str">
            <v>.</v>
          </cell>
        </row>
        <row r="938">
          <cell r="BA938" t="str">
            <v>.</v>
          </cell>
        </row>
        <row r="939">
          <cell r="BA939" t="str">
            <v>.</v>
          </cell>
        </row>
        <row r="940">
          <cell r="BA940" t="str">
            <v>.</v>
          </cell>
        </row>
        <row r="941">
          <cell r="BA941" t="str">
            <v>.</v>
          </cell>
        </row>
        <row r="942">
          <cell r="BA942" t="str">
            <v>.</v>
          </cell>
        </row>
        <row r="943">
          <cell r="BA943" t="str">
            <v>.</v>
          </cell>
        </row>
        <row r="944">
          <cell r="BA944" t="str">
            <v>.</v>
          </cell>
        </row>
        <row r="945">
          <cell r="BA945" t="str">
            <v>.</v>
          </cell>
        </row>
        <row r="946">
          <cell r="BA946" t="str">
            <v>.</v>
          </cell>
        </row>
        <row r="947">
          <cell r="BA947" t="str">
            <v>.</v>
          </cell>
        </row>
        <row r="948">
          <cell r="BA948" t="str">
            <v>.</v>
          </cell>
        </row>
        <row r="949">
          <cell r="BA949" t="str">
            <v>.</v>
          </cell>
        </row>
        <row r="950">
          <cell r="BA950" t="str">
            <v>.</v>
          </cell>
        </row>
        <row r="951">
          <cell r="BA951" t="str">
            <v>.</v>
          </cell>
        </row>
        <row r="952">
          <cell r="BA952" t="str">
            <v>.</v>
          </cell>
        </row>
        <row r="953">
          <cell r="BA953" t="str">
            <v>.</v>
          </cell>
        </row>
        <row r="954">
          <cell r="BA954" t="str">
            <v>.</v>
          </cell>
        </row>
        <row r="955">
          <cell r="BA955" t="str">
            <v>.</v>
          </cell>
        </row>
        <row r="956">
          <cell r="BA956" t="str">
            <v>.</v>
          </cell>
        </row>
        <row r="957">
          <cell r="BA957" t="str">
            <v>.</v>
          </cell>
        </row>
        <row r="958">
          <cell r="BA958" t="str">
            <v>.</v>
          </cell>
        </row>
        <row r="959">
          <cell r="BA959" t="str">
            <v>.</v>
          </cell>
        </row>
        <row r="960">
          <cell r="BA960" t="str">
            <v>.</v>
          </cell>
        </row>
        <row r="961">
          <cell r="BA961" t="str">
            <v>.</v>
          </cell>
        </row>
        <row r="962">
          <cell r="BA962" t="str">
            <v>.</v>
          </cell>
        </row>
        <row r="963">
          <cell r="BA963" t="str">
            <v>.</v>
          </cell>
        </row>
        <row r="964">
          <cell r="BA964" t="str">
            <v>.</v>
          </cell>
        </row>
        <row r="965">
          <cell r="BA965" t="str">
            <v>.</v>
          </cell>
        </row>
        <row r="966">
          <cell r="BA966" t="str">
            <v>.</v>
          </cell>
        </row>
        <row r="967">
          <cell r="BA967" t="str">
            <v>.</v>
          </cell>
        </row>
        <row r="968">
          <cell r="BA968" t="str">
            <v>.</v>
          </cell>
        </row>
        <row r="969">
          <cell r="BA969" t="str">
            <v>.</v>
          </cell>
        </row>
        <row r="970">
          <cell r="BA970" t="str">
            <v>.</v>
          </cell>
        </row>
        <row r="971">
          <cell r="BA971" t="str">
            <v>.</v>
          </cell>
        </row>
        <row r="972">
          <cell r="BA972" t="str">
            <v>.</v>
          </cell>
        </row>
        <row r="973">
          <cell r="BA973" t="str">
            <v>.</v>
          </cell>
        </row>
        <row r="974">
          <cell r="BA974" t="str">
            <v>.</v>
          </cell>
        </row>
        <row r="975">
          <cell r="BA975" t="str">
            <v>.</v>
          </cell>
        </row>
        <row r="976">
          <cell r="BA976" t="str">
            <v>.</v>
          </cell>
        </row>
        <row r="977">
          <cell r="BA977" t="str">
            <v>.</v>
          </cell>
        </row>
        <row r="978">
          <cell r="BA978" t="str">
            <v>.</v>
          </cell>
        </row>
        <row r="979">
          <cell r="BA979" t="str">
            <v>.</v>
          </cell>
        </row>
        <row r="980">
          <cell r="BA980" t="str">
            <v>.</v>
          </cell>
        </row>
        <row r="981">
          <cell r="BA981" t="str">
            <v>.</v>
          </cell>
        </row>
        <row r="982">
          <cell r="BA982" t="str">
            <v>.</v>
          </cell>
        </row>
        <row r="983">
          <cell r="BA983" t="str">
            <v>.</v>
          </cell>
        </row>
        <row r="984">
          <cell r="BA984" t="str">
            <v>.</v>
          </cell>
        </row>
        <row r="985">
          <cell r="BA985" t="str">
            <v>.</v>
          </cell>
        </row>
        <row r="986">
          <cell r="BA986" t="str">
            <v>.</v>
          </cell>
        </row>
        <row r="987">
          <cell r="BA987" t="str">
            <v>.</v>
          </cell>
        </row>
        <row r="988">
          <cell r="BA988" t="str">
            <v>.</v>
          </cell>
        </row>
        <row r="989">
          <cell r="BA989" t="str">
            <v>.</v>
          </cell>
        </row>
        <row r="990">
          <cell r="BA990" t="str">
            <v>.</v>
          </cell>
        </row>
        <row r="991">
          <cell r="BA991" t="str">
            <v>.</v>
          </cell>
        </row>
        <row r="992">
          <cell r="BA992" t="str">
            <v>.</v>
          </cell>
        </row>
        <row r="993">
          <cell r="BA993" t="str">
            <v>.</v>
          </cell>
        </row>
        <row r="994">
          <cell r="BA994" t="str">
            <v>.</v>
          </cell>
        </row>
        <row r="995">
          <cell r="BA995" t="str">
            <v>.</v>
          </cell>
        </row>
        <row r="996">
          <cell r="BA996" t="str">
            <v>.</v>
          </cell>
        </row>
        <row r="997">
          <cell r="BA997" t="str">
            <v>.</v>
          </cell>
        </row>
        <row r="998">
          <cell r="A998" t="str">
            <v>.</v>
          </cell>
          <cell r="B998" t="str">
            <v>.</v>
          </cell>
          <cell r="C998" t="str">
            <v>.</v>
          </cell>
          <cell r="D998" t="str">
            <v>.</v>
          </cell>
          <cell r="E998" t="str">
            <v>.</v>
          </cell>
          <cell r="G998" t="str">
            <v>.</v>
          </cell>
          <cell r="H998" t="str">
            <v>.</v>
          </cell>
          <cell r="I998" t="str">
            <v>.</v>
          </cell>
          <cell r="S998" t="str">
            <v>.</v>
          </cell>
          <cell r="T998" t="str">
            <v>.</v>
          </cell>
          <cell r="U998" t="str">
            <v>.</v>
          </cell>
          <cell r="V998" t="str">
            <v>.</v>
          </cell>
          <cell r="W998" t="str">
            <v>.</v>
          </cell>
          <cell r="X998" t="str">
            <v>.</v>
          </cell>
          <cell r="Y998" t="str">
            <v>.</v>
          </cell>
          <cell r="Z998" t="str">
            <v>.</v>
          </cell>
          <cell r="AA998" t="str">
            <v>.</v>
          </cell>
          <cell r="AB998" t="str">
            <v>.</v>
          </cell>
          <cell r="AC998" t="str">
            <v>.</v>
          </cell>
          <cell r="AD998" t="str">
            <v>.</v>
          </cell>
          <cell r="AE998" t="str">
            <v>.</v>
          </cell>
          <cell r="AF998" t="str">
            <v>.</v>
          </cell>
          <cell r="AG998" t="str">
            <v>.</v>
          </cell>
          <cell r="AH998" t="str">
            <v>.</v>
          </cell>
          <cell r="AI998" t="str">
            <v>.</v>
          </cell>
          <cell r="AJ998" t="str">
            <v>.</v>
          </cell>
          <cell r="AK998" t="str">
            <v>.</v>
          </cell>
          <cell r="AL998" t="str">
            <v>.</v>
          </cell>
          <cell r="AM998" t="str">
            <v>.</v>
          </cell>
          <cell r="AN998" t="str">
            <v>.</v>
          </cell>
          <cell r="AO998" t="str">
            <v>.</v>
          </cell>
          <cell r="AP998" t="str">
            <v>.</v>
          </cell>
          <cell r="AQ998" t="str">
            <v>.</v>
          </cell>
          <cell r="AR998" t="str">
            <v>.</v>
          </cell>
          <cell r="AS998" t="str">
            <v>.</v>
          </cell>
          <cell r="AT998" t="str">
            <v>.</v>
          </cell>
          <cell r="AU998" t="str">
            <v>.</v>
          </cell>
          <cell r="AV998" t="str">
            <v>.</v>
          </cell>
          <cell r="AW998" t="str">
            <v>.</v>
          </cell>
          <cell r="AX998" t="str">
            <v>.</v>
          </cell>
          <cell r="AY998" t="str">
            <v>.</v>
          </cell>
          <cell r="AZ998" t="str">
            <v>.</v>
          </cell>
          <cell r="BA998"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単独"/>
      <sheetName val="連結"/>
      <sheetName val="期中"/>
      <sheetName val="valu"/>
      <sheetName val="増減分析"/>
      <sheetName val="新素材"/>
      <sheetName val="子会社"/>
      <sheetName val="環境"/>
      <sheetName val="製錬拠点"/>
      <sheetName val="ﾃｨｻﾊﾟ"/>
      <sheetName val="ﾚｲﾃﾞﾌﾟﾗﾀ"/>
      <sheetName val="小坂"/>
      <sheetName val="中計"/>
      <sheetName val="cash"/>
      <sheetName val="ｾｸﾞﾒﾝﾄ"/>
      <sheetName val="含み益"/>
      <sheetName val="capx"/>
      <sheetName val="dep"/>
      <sheetName val="人"/>
      <sheetName val="exp"/>
      <sheetName val="Valuation Matrix"/>
      <sheetName val="HANDOUT"/>
      <sheetName val="Interm-Euro"/>
      <sheetName val="SCATTER DATA"/>
      <sheetName val="10 Yr DCF"/>
      <sheetName val="Annual-Euro"/>
      <sheetName val="Residual Income Model"/>
      <sheetName val="P"/>
      <sheetName val="EARNMOD"/>
      <sheetName val="WACC"/>
      <sheetName val="Sheet1"/>
      <sheetName val="Fixed Line Mkt"/>
      <sheetName val="Cash Flow"/>
      <sheetName val="upside_downside"/>
      <sheetName val="Income Statement"/>
      <sheetName val="Balance Sheet"/>
      <sheetName val="Valsum"/>
      <sheetName val="Operating Leases tagged"/>
      <sheetName val="DCF"/>
      <sheetName val="OP"/>
      <sheetName val="Inputs"/>
      <sheetName val="MWA RR"/>
      <sheetName val="Summary"/>
      <sheetName val="IS"/>
      <sheetName val="exh 11"/>
      <sheetName val="exh 14"/>
      <sheetName val="exh 12"/>
      <sheetName val="exh 10"/>
      <sheetName val="exh 1 and 5"/>
      <sheetName val="exh 15"/>
      <sheetName val="exh 3"/>
      <sheetName val="exh 9"/>
      <sheetName val="Good 12-00 (2)"/>
      <sheetName val="Good 11-36"/>
      <sheetName val="Good 11-50"/>
      <sheetName val="Sheet3 (5)"/>
      <sheetName val="Total_Production"/>
      <sheetName val="RFS"/>
      <sheetName val="Corn_Uses"/>
      <sheetName val="US_Production"/>
      <sheetName val="Risk-Reward_View_Chart"/>
      <sheetName val="variables"/>
      <sheetName val="IS Quarterly"/>
      <sheetName val="Sheet1 (2)"/>
      <sheetName val="1Q11 Preview"/>
      <sheetName val="2Q11 Preview"/>
      <sheetName val="Model"/>
      <sheetName val="Intrinsic Value"/>
      <sheetName val="Rev by Geo"/>
      <sheetName val="Report template"/>
      <sheetName val="Model (WIP)"/>
      <sheetName val="sales bkd"/>
      <sheetName val="Exclusion List"/>
      <sheetName val="fin"/>
      <sheetName val="Presentation"/>
      <sheetName val="Valuation"/>
    </sheetNames>
    <sheetDataSet>
      <sheetData sheetId="0" refreshError="1">
        <row r="14">
          <cell r="AR14">
            <v>28</v>
          </cell>
        </row>
        <row r="15">
          <cell r="AR15">
            <v>5</v>
          </cell>
        </row>
        <row r="16">
          <cell r="AR16">
            <v>14</v>
          </cell>
        </row>
        <row r="17">
          <cell r="AR17">
            <v>6</v>
          </cell>
        </row>
        <row r="18">
          <cell r="AR18">
            <v>-5</v>
          </cell>
        </row>
        <row r="512">
          <cell r="B512" t="str">
            <v>売上高</v>
          </cell>
          <cell r="D512" t="str">
            <v>M\</v>
          </cell>
          <cell r="Q512">
            <v>210000</v>
          </cell>
          <cell r="R512">
            <v>105000</v>
          </cell>
          <cell r="S512">
            <v>105000</v>
          </cell>
          <cell r="T512">
            <v>210000</v>
          </cell>
          <cell r="U512">
            <v>105000</v>
          </cell>
          <cell r="V512">
            <v>105000</v>
          </cell>
          <cell r="W512">
            <v>210000</v>
          </cell>
          <cell r="X512">
            <v>93000</v>
          </cell>
          <cell r="Y512">
            <v>100000</v>
          </cell>
          <cell r="Z512">
            <v>193000</v>
          </cell>
          <cell r="AA512">
            <v>91000</v>
          </cell>
          <cell r="AB512">
            <v>94000</v>
          </cell>
          <cell r="AC512">
            <v>185000</v>
          </cell>
        </row>
        <row r="513">
          <cell r="B513" t="str">
            <v>営業利益</v>
          </cell>
          <cell r="D513" t="str">
            <v>M\</v>
          </cell>
          <cell r="Q513">
            <v>8000</v>
          </cell>
          <cell r="R513">
            <v>5000</v>
          </cell>
          <cell r="S513">
            <v>5000</v>
          </cell>
          <cell r="T513">
            <v>10000</v>
          </cell>
          <cell r="V513">
            <v>0</v>
          </cell>
          <cell r="X513">
            <v>3000</v>
          </cell>
          <cell r="Y513">
            <v>4500</v>
          </cell>
          <cell r="Z513">
            <v>7500</v>
          </cell>
          <cell r="AA513">
            <v>3300</v>
          </cell>
          <cell r="AB513">
            <v>4400</v>
          </cell>
          <cell r="AC513">
            <v>7700</v>
          </cell>
        </row>
        <row r="514">
          <cell r="B514" t="str">
            <v>経常利益</v>
          </cell>
          <cell r="D514" t="str">
            <v>M\</v>
          </cell>
          <cell r="Q514">
            <v>6000</v>
          </cell>
          <cell r="R514">
            <v>4000</v>
          </cell>
          <cell r="S514">
            <v>4000</v>
          </cell>
          <cell r="T514">
            <v>8000</v>
          </cell>
          <cell r="U514">
            <v>3600</v>
          </cell>
          <cell r="V514">
            <v>3600</v>
          </cell>
          <cell r="W514">
            <v>7200</v>
          </cell>
          <cell r="X514">
            <v>2000</v>
          </cell>
          <cell r="Y514">
            <v>3000</v>
          </cell>
          <cell r="Z514">
            <v>5000</v>
          </cell>
          <cell r="AA514">
            <v>2500</v>
          </cell>
          <cell r="AB514">
            <v>3500</v>
          </cell>
          <cell r="AC514">
            <v>6000</v>
          </cell>
        </row>
        <row r="515">
          <cell r="B515" t="str">
            <v>当期利益</v>
          </cell>
          <cell r="D515" t="str">
            <v>M\</v>
          </cell>
          <cell r="Q515">
            <v>3000</v>
          </cell>
          <cell r="R515">
            <v>2000</v>
          </cell>
          <cell r="S515">
            <v>2000</v>
          </cell>
          <cell r="T515">
            <v>4000</v>
          </cell>
          <cell r="U515">
            <v>2000</v>
          </cell>
          <cell r="V515">
            <v>2000</v>
          </cell>
          <cell r="W515">
            <v>4000</v>
          </cell>
          <cell r="X515">
            <v>1200</v>
          </cell>
          <cell r="Y515">
            <v>1600</v>
          </cell>
          <cell r="Z515">
            <v>2800</v>
          </cell>
          <cell r="AA515">
            <v>1300</v>
          </cell>
          <cell r="AB515">
            <v>1700</v>
          </cell>
          <cell r="AC515">
            <v>3000</v>
          </cell>
        </row>
        <row r="516">
          <cell r="D516" t="str">
            <v xml:space="preserve"> </v>
          </cell>
        </row>
        <row r="517">
          <cell r="A517" t="str">
            <v>中間決算後の会社予想</v>
          </cell>
          <cell r="D517" t="str">
            <v xml:space="preserve"> </v>
          </cell>
          <cell r="Q517" t="str">
            <v>97/3期</v>
          </cell>
          <cell r="R517" t="str">
            <v>97/9上</v>
          </cell>
          <cell r="S517" t="str">
            <v>下</v>
          </cell>
          <cell r="T517" t="str">
            <v>98/3期</v>
          </cell>
          <cell r="U517" t="str">
            <v>98/9上</v>
          </cell>
          <cell r="V517" t="str">
            <v>下</v>
          </cell>
          <cell r="W517" t="str">
            <v>99/3期</v>
          </cell>
          <cell r="Z517" t="str">
            <v>00/3期</v>
          </cell>
          <cell r="AC517" t="str">
            <v>01/3期</v>
          </cell>
        </row>
        <row r="518">
          <cell r="B518" t="str">
            <v>売上高</v>
          </cell>
          <cell r="D518" t="str">
            <v>M\</v>
          </cell>
          <cell r="Q518">
            <v>200000</v>
          </cell>
          <cell r="S518">
            <v>109491</v>
          </cell>
          <cell r="T518">
            <v>222000</v>
          </cell>
          <cell r="U518">
            <v>104114</v>
          </cell>
          <cell r="V518">
            <v>105886</v>
          </cell>
          <cell r="W518">
            <v>210000</v>
          </cell>
          <cell r="X518">
            <v>91000</v>
          </cell>
          <cell r="Y518">
            <v>93000</v>
          </cell>
          <cell r="Z518">
            <v>184000</v>
          </cell>
          <cell r="AA518">
            <v>92800</v>
          </cell>
          <cell r="AB518">
            <v>94200</v>
          </cell>
          <cell r="AC518">
            <v>187000</v>
          </cell>
        </row>
        <row r="519">
          <cell r="B519" t="str">
            <v>営業利益</v>
          </cell>
          <cell r="D519" t="str">
            <v>M\</v>
          </cell>
          <cell r="Q519">
            <v>7500</v>
          </cell>
          <cell r="S519">
            <v>5552</v>
          </cell>
          <cell r="T519">
            <v>11000</v>
          </cell>
          <cell r="U519">
            <v>4811</v>
          </cell>
          <cell r="V519">
            <v>5689</v>
          </cell>
          <cell r="W519">
            <v>10500</v>
          </cell>
          <cell r="X519">
            <v>750</v>
          </cell>
          <cell r="Y519">
            <v>2350</v>
          </cell>
          <cell r="Z519">
            <v>3100</v>
          </cell>
          <cell r="AA519">
            <v>4000</v>
          </cell>
          <cell r="AB519">
            <v>4600</v>
          </cell>
          <cell r="AC519">
            <v>8600</v>
          </cell>
        </row>
        <row r="520">
          <cell r="B520" t="str">
            <v>経常利益</v>
          </cell>
          <cell r="D520" t="str">
            <v>M\</v>
          </cell>
          <cell r="Q520">
            <v>6000</v>
          </cell>
          <cell r="S520">
            <v>4344</v>
          </cell>
          <cell r="T520">
            <v>8500</v>
          </cell>
          <cell r="U520">
            <v>2863</v>
          </cell>
          <cell r="V520">
            <v>4337</v>
          </cell>
          <cell r="W520">
            <v>7200</v>
          </cell>
          <cell r="X520">
            <v>1200</v>
          </cell>
          <cell r="Y520">
            <v>1300</v>
          </cell>
          <cell r="Z520">
            <v>2500</v>
          </cell>
          <cell r="AA520">
            <v>3200</v>
          </cell>
          <cell r="AB520">
            <v>3800</v>
          </cell>
          <cell r="AC520">
            <v>7000</v>
          </cell>
        </row>
        <row r="521">
          <cell r="B521" t="str">
            <v>当期利益</v>
          </cell>
          <cell r="D521" t="str">
            <v>M\</v>
          </cell>
          <cell r="Q521">
            <v>3000</v>
          </cell>
          <cell r="S521">
            <v>1985</v>
          </cell>
          <cell r="T521">
            <v>4500</v>
          </cell>
          <cell r="U521">
            <v>1269</v>
          </cell>
          <cell r="V521">
            <v>2731</v>
          </cell>
          <cell r="W521">
            <v>4000</v>
          </cell>
          <cell r="X521">
            <v>900</v>
          </cell>
          <cell r="Y521">
            <v>700</v>
          </cell>
          <cell r="Z521">
            <v>1600</v>
          </cell>
          <cell r="AA521">
            <v>1700</v>
          </cell>
          <cell r="AB521">
            <v>1800</v>
          </cell>
          <cell r="AC521">
            <v>3500</v>
          </cell>
        </row>
        <row r="522">
          <cell r="D522" t="str">
            <v xml:space="preserve"> </v>
          </cell>
        </row>
        <row r="523">
          <cell r="A523" t="str">
            <v>修正後の会社予想</v>
          </cell>
          <cell r="D523" t="str">
            <v xml:space="preserve"> </v>
          </cell>
          <cell r="Q523" t="str">
            <v>97/3期</v>
          </cell>
          <cell r="R523" t="str">
            <v>97/9上</v>
          </cell>
          <cell r="S523" t="str">
            <v>下</v>
          </cell>
          <cell r="T523" t="str">
            <v>98/3期</v>
          </cell>
          <cell r="U523" t="str">
            <v>98/9上</v>
          </cell>
          <cell r="V523" t="str">
            <v>下</v>
          </cell>
          <cell r="W523" t="str">
            <v>99/3期</v>
          </cell>
          <cell r="Z523" t="str">
            <v>00/3期</v>
          </cell>
          <cell r="AC523" t="str">
            <v>01/3期</v>
          </cell>
        </row>
        <row r="524">
          <cell r="B524" t="str">
            <v>売上高</v>
          </cell>
          <cell r="D524" t="str">
            <v>M\</v>
          </cell>
          <cell r="U524">
            <v>112509</v>
          </cell>
          <cell r="V524">
            <v>82491</v>
          </cell>
          <cell r="W524">
            <v>195000</v>
          </cell>
          <cell r="X524">
            <v>92411</v>
          </cell>
          <cell r="Y524">
            <v>91589</v>
          </cell>
          <cell r="Z524">
            <v>184000</v>
          </cell>
          <cell r="AC524">
            <v>188600</v>
          </cell>
        </row>
        <row r="525">
          <cell r="B525" t="str">
            <v>営業利益</v>
          </cell>
          <cell r="D525" t="str">
            <v>M\</v>
          </cell>
          <cell r="U525">
            <v>5448</v>
          </cell>
          <cell r="V525">
            <v>-5448</v>
          </cell>
          <cell r="W525" t="str">
            <v>-</v>
          </cell>
          <cell r="X525">
            <v>739</v>
          </cell>
          <cell r="Y525">
            <v>2261</v>
          </cell>
          <cell r="Z525">
            <v>3000</v>
          </cell>
          <cell r="AC525">
            <v>8500</v>
          </cell>
        </row>
        <row r="526">
          <cell r="B526" t="str">
            <v>経常利益</v>
          </cell>
          <cell r="D526" t="str">
            <v>M\</v>
          </cell>
          <cell r="U526">
            <v>4156</v>
          </cell>
          <cell r="V526">
            <v>1144</v>
          </cell>
          <cell r="W526">
            <v>5300</v>
          </cell>
          <cell r="X526">
            <v>1209</v>
          </cell>
          <cell r="Y526">
            <v>1291</v>
          </cell>
          <cell r="Z526">
            <v>2500</v>
          </cell>
          <cell r="AC526">
            <v>7000</v>
          </cell>
        </row>
        <row r="527">
          <cell r="B527" t="str">
            <v>当期利益</v>
          </cell>
          <cell r="D527" t="str">
            <v>M\</v>
          </cell>
          <cell r="U527">
            <v>2515</v>
          </cell>
          <cell r="V527">
            <v>-1515</v>
          </cell>
          <cell r="W527">
            <v>1000</v>
          </cell>
          <cell r="X527">
            <v>1015</v>
          </cell>
          <cell r="Y527">
            <v>585</v>
          </cell>
          <cell r="Z527">
            <v>1600</v>
          </cell>
          <cell r="AC527">
            <v>3500</v>
          </cell>
        </row>
        <row r="529">
          <cell r="A529" t="str">
            <v>自分の業績予想の要約</v>
          </cell>
          <cell r="D529" t="str">
            <v xml:space="preserve"> </v>
          </cell>
          <cell r="Q529" t="str">
            <v>97/3期</v>
          </cell>
          <cell r="R529" t="str">
            <v>97/9上</v>
          </cell>
          <cell r="S529" t="str">
            <v>下</v>
          </cell>
          <cell r="T529" t="str">
            <v>98/3期</v>
          </cell>
          <cell r="U529" t="str">
            <v>98/9上</v>
          </cell>
          <cell r="V529" t="str">
            <v>下</v>
          </cell>
          <cell r="W529" t="str">
            <v>99/3期</v>
          </cell>
          <cell r="Z529" t="str">
            <v>00/3期</v>
          </cell>
          <cell r="AC529" t="str">
            <v>01/3期</v>
          </cell>
        </row>
        <row r="530">
          <cell r="B530" t="str">
            <v>売上高</v>
          </cell>
          <cell r="D530" t="str">
            <v>M\</v>
          </cell>
          <cell r="Q530">
            <v>212588</v>
          </cell>
          <cell r="R530">
            <v>112509</v>
          </cell>
          <cell r="S530">
            <v>108769</v>
          </cell>
          <cell r="T530">
            <v>221278</v>
          </cell>
          <cell r="U530">
            <v>104114</v>
          </cell>
          <cell r="V530">
            <v>105886</v>
          </cell>
          <cell r="W530">
            <v>196247</v>
          </cell>
          <cell r="X530">
            <v>92411</v>
          </cell>
          <cell r="Y530">
            <v>94325</v>
          </cell>
          <cell r="Z530">
            <v>186736</v>
          </cell>
          <cell r="AA530">
            <v>93449</v>
          </cell>
          <cell r="AB530">
            <v>95973</v>
          </cell>
          <cell r="AC530">
            <v>189422</v>
          </cell>
        </row>
        <row r="531">
          <cell r="B531" t="str">
            <v>営業利益</v>
          </cell>
          <cell r="D531" t="str">
            <v>M\</v>
          </cell>
          <cell r="Q531">
            <v>8473</v>
          </cell>
          <cell r="R531">
            <v>5448</v>
          </cell>
          <cell r="S531">
            <v>6280</v>
          </cell>
          <cell r="T531">
            <v>11728</v>
          </cell>
          <cell r="U531">
            <v>4811</v>
          </cell>
          <cell r="V531">
            <v>-4811</v>
          </cell>
          <cell r="W531">
            <v>9099</v>
          </cell>
          <cell r="X531">
            <v>739</v>
          </cell>
          <cell r="Y531">
            <v>2937</v>
          </cell>
          <cell r="Z531">
            <v>3676</v>
          </cell>
          <cell r="AA531">
            <v>3823</v>
          </cell>
          <cell r="AB531">
            <v>4774</v>
          </cell>
          <cell r="AC531">
            <v>8597</v>
          </cell>
        </row>
        <row r="532">
          <cell r="B532" t="str">
            <v>経常利益</v>
          </cell>
          <cell r="D532" t="str">
            <v>M\</v>
          </cell>
          <cell r="Q532">
            <v>6780</v>
          </cell>
          <cell r="R532">
            <v>4156</v>
          </cell>
          <cell r="S532">
            <v>4254</v>
          </cell>
          <cell r="T532">
            <v>8410</v>
          </cell>
          <cell r="U532">
            <v>2863</v>
          </cell>
          <cell r="V532">
            <v>4337</v>
          </cell>
          <cell r="W532">
            <v>5436</v>
          </cell>
          <cell r="X532">
            <v>1209</v>
          </cell>
          <cell r="Y532">
            <v>2206</v>
          </cell>
          <cell r="Z532">
            <v>3415</v>
          </cell>
          <cell r="AA532">
            <v>3188</v>
          </cell>
          <cell r="AB532">
            <v>4246</v>
          </cell>
          <cell r="AC532">
            <v>7434</v>
          </cell>
        </row>
        <row r="533">
          <cell r="B533" t="str">
            <v>当期利益</v>
          </cell>
          <cell r="D533" t="str">
            <v>M\</v>
          </cell>
          <cell r="Q533">
            <v>2642</v>
          </cell>
          <cell r="R533">
            <v>2515</v>
          </cell>
          <cell r="S533">
            <v>1930</v>
          </cell>
          <cell r="T533">
            <v>4445</v>
          </cell>
          <cell r="U533">
            <v>1269</v>
          </cell>
          <cell r="V533">
            <v>2731</v>
          </cell>
          <cell r="W533">
            <v>1249</v>
          </cell>
          <cell r="X533">
            <v>1015</v>
          </cell>
          <cell r="Y533">
            <v>-371</v>
          </cell>
          <cell r="Z533">
            <v>644</v>
          </cell>
          <cell r="AA533">
            <v>1886</v>
          </cell>
          <cell r="AB533">
            <v>1735</v>
          </cell>
          <cell r="AC533">
            <v>3621</v>
          </cell>
        </row>
        <row r="534">
          <cell r="B534" t="str">
            <v>ｷｬｯｼｭﾌﾛｰ</v>
          </cell>
          <cell r="D534" t="str">
            <v>M\</v>
          </cell>
          <cell r="Q534">
            <v>6569</v>
          </cell>
          <cell r="T534">
            <v>8397</v>
          </cell>
          <cell r="W534">
            <v>5219</v>
          </cell>
          <cell r="X534">
            <v>0</v>
          </cell>
          <cell r="Y534">
            <v>0</v>
          </cell>
          <cell r="Z534">
            <v>5272</v>
          </cell>
          <cell r="AA534">
            <v>0</v>
          </cell>
          <cell r="AB534">
            <v>0</v>
          </cell>
          <cell r="AC534">
            <v>7744</v>
          </cell>
        </row>
        <row r="535">
          <cell r="B535" t="str">
            <v>ＥＰＳ</v>
          </cell>
          <cell r="D535" t="str">
            <v xml:space="preserve"> </v>
          </cell>
          <cell r="Q535">
            <v>9.3778729053303369</v>
          </cell>
          <cell r="T535">
            <v>15.777685489853653</v>
          </cell>
          <cell r="W535">
            <v>4.4585484502642458</v>
          </cell>
          <cell r="X535">
            <v>0</v>
          </cell>
          <cell r="Y535">
            <v>0</v>
          </cell>
          <cell r="Z535">
            <v>2.3091291751816403</v>
          </cell>
          <cell r="AA535">
            <v>0</v>
          </cell>
          <cell r="AB535">
            <v>0</v>
          </cell>
          <cell r="AC535">
            <v>12.474266786471992</v>
          </cell>
        </row>
        <row r="536">
          <cell r="B536" t="str">
            <v>ＣＦＰＳ</v>
          </cell>
          <cell r="Q536">
            <v>23.316898983767974</v>
          </cell>
          <cell r="T536">
            <v>29.805449956873144</v>
          </cell>
          <cell r="W536">
            <v>18.63023567808575</v>
          </cell>
          <cell r="X536">
            <v>0</v>
          </cell>
          <cell r="Y536">
            <v>0</v>
          </cell>
          <cell r="Z536">
            <v>18.903305918567714</v>
          </cell>
          <cell r="AA536">
            <v>0</v>
          </cell>
          <cell r="AB536">
            <v>0</v>
          </cell>
          <cell r="AC536">
            <v>26.677912729753963</v>
          </cell>
        </row>
        <row r="537">
          <cell r="B537" t="str">
            <v>ＢＰＳ</v>
          </cell>
          <cell r="D537" t="str">
            <v xml:space="preserve"> </v>
          </cell>
          <cell r="Q537">
            <v>274.47138541921788</v>
          </cell>
          <cell r="T537">
            <v>285.04545180263165</v>
          </cell>
          <cell r="W537">
            <v>283.40518700030344</v>
          </cell>
          <cell r="X537">
            <v>0</v>
          </cell>
          <cell r="Y537">
            <v>0</v>
          </cell>
          <cell r="Z537">
            <v>284.88701918588026</v>
          </cell>
          <cell r="AA537">
            <v>0</v>
          </cell>
          <cell r="AB537">
            <v>0</v>
          </cell>
          <cell r="AC537">
            <v>301.13934185933795</v>
          </cell>
        </row>
        <row r="538">
          <cell r="B538" t="str">
            <v>ＲＯＥ</v>
          </cell>
          <cell r="D538" t="str">
            <v xml:space="preserve"> </v>
          </cell>
          <cell r="Q538">
            <v>3.4167033080723171E-2</v>
          </cell>
          <cell r="T538">
            <v>5.5351472511051616E-2</v>
          </cell>
          <cell r="W538">
            <v>1.5732063683998387E-2</v>
          </cell>
          <cell r="X538">
            <v>0</v>
          </cell>
          <cell r="Y538">
            <v>0</v>
          </cell>
          <cell r="Z538">
            <v>8.1054208148213392E-3</v>
          </cell>
          <cell r="AA538">
            <v>0</v>
          </cell>
          <cell r="AB538">
            <v>0</v>
          </cell>
          <cell r="AC538">
            <v>4.1423570595099185E-2</v>
          </cell>
        </row>
        <row r="539">
          <cell r="B539" t="str">
            <v>発行済株式数</v>
          </cell>
          <cell r="D539" t="str">
            <v xml:space="preserve"> </v>
          </cell>
          <cell r="Q539">
            <v>281727</v>
          </cell>
          <cell r="T539">
            <v>281727</v>
          </cell>
          <cell r="W539">
            <v>280136.016</v>
          </cell>
          <cell r="X539">
            <v>0</v>
          </cell>
          <cell r="Y539">
            <v>0</v>
          </cell>
          <cell r="Z539">
            <v>278893.016</v>
          </cell>
          <cell r="AA539">
            <v>0</v>
          </cell>
          <cell r="AB539">
            <v>0</v>
          </cell>
          <cell r="AC539">
            <v>290277.58199999999</v>
          </cell>
        </row>
        <row r="540">
          <cell r="C540" t="str">
            <v>売上前期比</v>
          </cell>
          <cell r="D540" t="str">
            <v xml:space="preserve"> </v>
          </cell>
          <cell r="T540">
            <v>4.0877189681449488E-2</v>
          </cell>
          <cell r="U540">
            <v>-7.461625292198848E-2</v>
          </cell>
          <cell r="V540">
            <v>-2.6505713944230402E-2</v>
          </cell>
          <cell r="W540">
            <v>-0.11312014750675625</v>
          </cell>
          <cell r="X540">
            <v>-0.11240563228768463</v>
          </cell>
          <cell r="Y540">
            <v>-0.10918346145854974</v>
          </cell>
          <cell r="Z540">
            <v>-4.8464435125122884E-2</v>
          </cell>
          <cell r="AA540">
            <v>1.1232429039832903E-2</v>
          </cell>
          <cell r="AB540">
            <v>1.7471508083753085E-2</v>
          </cell>
          <cell r="AC540">
            <v>1.4383943106845987E-2</v>
          </cell>
        </row>
        <row r="541">
          <cell r="C541" t="str">
            <v>営業前期比</v>
          </cell>
          <cell r="D541" t="str">
            <v xml:space="preserve"> </v>
          </cell>
          <cell r="T541">
            <v>0.38416145403044966</v>
          </cell>
          <cell r="U541">
            <v>-0.11692364170337743</v>
          </cell>
          <cell r="V541">
            <v>-1.7660828025477708</v>
          </cell>
          <cell r="W541">
            <v>-0.22416439290586632</v>
          </cell>
          <cell r="X541">
            <v>-0.84639368114737057</v>
          </cell>
          <cell r="Y541">
            <v>-1.6104759925171481</v>
          </cell>
          <cell r="Z541">
            <v>-0.59599956039125179</v>
          </cell>
          <cell r="AA541">
            <v>4.1732070365358593</v>
          </cell>
          <cell r="AB541">
            <v>0.62546816479400746</v>
          </cell>
          <cell r="AC541">
            <v>1.3386833514689882</v>
          </cell>
        </row>
        <row r="542">
          <cell r="C542" t="str">
            <v>経常前期比</v>
          </cell>
          <cell r="D542" t="str">
            <v xml:space="preserve"> </v>
          </cell>
          <cell r="T542">
            <v>0.24041297935103234</v>
          </cell>
          <cell r="U542">
            <v>-0.31111645813282007</v>
          </cell>
          <cell r="V542">
            <v>1.9511048425011834E-2</v>
          </cell>
          <cell r="W542">
            <v>-0.35362663495838287</v>
          </cell>
          <cell r="X542">
            <v>-0.57771568285015718</v>
          </cell>
          <cell r="Y542">
            <v>-0.49135347014065023</v>
          </cell>
          <cell r="Z542">
            <v>-0.37178072111846949</v>
          </cell>
          <cell r="AA542">
            <v>1.6368899917287014</v>
          </cell>
          <cell r="AB542">
            <v>0.92475067996373528</v>
          </cell>
          <cell r="AC542">
            <v>1.1768667642752564</v>
          </cell>
        </row>
        <row r="543">
          <cell r="C543" t="str">
            <v>当期前期比</v>
          </cell>
          <cell r="D543" t="str">
            <v xml:space="preserve"> </v>
          </cell>
          <cell r="I543" t="str">
            <v>-</v>
          </cell>
          <cell r="J543" t="str">
            <v>-</v>
          </cell>
          <cell r="K543" t="str">
            <v>-</v>
          </cell>
          <cell r="T543">
            <v>0.68243754731264183</v>
          </cell>
          <cell r="U543">
            <v>-0.49542743538767398</v>
          </cell>
          <cell r="V543">
            <v>0.41502590673575135</v>
          </cell>
          <cell r="W543">
            <v>-0.71901012373453321</v>
          </cell>
          <cell r="X543">
            <v>-0.20015760441292352</v>
          </cell>
          <cell r="Y543">
            <v>-1.1358476748443793</v>
          </cell>
          <cell r="Z543">
            <v>-0.48438751000800639</v>
          </cell>
          <cell r="AA543">
            <v>0.8581280788177339</v>
          </cell>
          <cell r="AB543">
            <v>-5.6765498652291102</v>
          </cell>
          <cell r="AC543">
            <v>4.6226708074534164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64">
          <cell r="E164">
            <v>1247</v>
          </cell>
          <cell r="F164">
            <v>1807</v>
          </cell>
          <cell r="G164">
            <v>2812</v>
          </cell>
          <cell r="H164">
            <v>2828</v>
          </cell>
          <cell r="I164">
            <v>6670</v>
          </cell>
        </row>
        <row r="165">
          <cell r="E165" t="e">
            <v>#VALUE!</v>
          </cell>
          <cell r="F165" t="e">
            <v>#VALUE!</v>
          </cell>
          <cell r="G165" t="e">
            <v>#VALUE!</v>
          </cell>
          <cell r="H165" t="e">
            <v>#VALUE!</v>
          </cell>
          <cell r="I165" t="e">
            <v>#VALUE!</v>
          </cell>
        </row>
        <row r="167">
          <cell r="E167">
            <v>2721</v>
          </cell>
          <cell r="F167">
            <v>1584</v>
          </cell>
          <cell r="G167">
            <v>1802</v>
          </cell>
          <cell r="H167">
            <v>1616</v>
          </cell>
          <cell r="I167">
            <v>795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antDisclosures"/>
      <sheetName val="summary"/>
      <sheetName val="COVER SHEET"/>
      <sheetName val="MW-Cache"/>
      <sheetName val="__FDSCACHE__"/>
      <sheetName val="New vs. Old vs. Cons"/>
      <sheetName val="IS-ANNUAL"/>
      <sheetName val="REV-ANNUAL"/>
      <sheetName val="Opdivo NPV"/>
      <sheetName val="PIPELINE"/>
      <sheetName val="PIPELINE_UNADJ"/>
      <sheetName val="FOOTNOTES"/>
      <sheetName val="AGREEMENTS"/>
      <sheetName val="Charts"/>
      <sheetName val="MGMT PROJECTIONS"/>
      <sheetName val="CFBS"/>
      <sheetName val="DEBT"/>
      <sheetName val="DCF"/>
      <sheetName val="Keytruda royalty"/>
      <sheetName val="Var-YOY"/>
      <sheetName val="Var-Seq"/>
      <sheetName val="patent expirations"/>
      <sheetName val="patents"/>
      <sheetName val="calendar"/>
      <sheetName val="pipeline handout"/>
      <sheetName val="ELIQUIS_ALLIANCE"/>
      <sheetName val="HCV_Japan"/>
      <sheetName val="mwareDates"/>
      <sheetName val="MWA RR"/>
      <sheetName val="mwareSettings"/>
    </sheetNames>
    <sheetDataSet>
      <sheetData sheetId="0"/>
      <sheetData sheetId="1">
        <row r="7">
          <cell r="J7" t="str">
            <v>Bristol-Myers Squibb</v>
          </cell>
        </row>
        <row r="16">
          <cell r="J16" t="str">
            <v>$54.08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1"/>
      <sheetName val="ImportantDisclosures"/>
      <sheetName val="IndexInformation"/>
      <sheetName val="Income"/>
      <sheetName val="Scenario"/>
      <sheetName val="Sheet1"/>
      <sheetName val="GWP"/>
      <sheetName val="Euro vs. PM"/>
      <sheetName val="Ruble"/>
      <sheetName val="MS_IRI_Methodology"/>
      <sheetName val="MARKET_SHARE ($)_RAW_DATA"/>
      <sheetName val="NEXXUS_RAW_DATA"/>
      <sheetName val="HAIR_CARE_MARKET SHARE ROLL-UP"/>
      <sheetName val="TOTAL_ACV_DOLLAR_SALES"/>
      <sheetName val="TimeSeries"/>
      <sheetName val="Valuation Analyzer"/>
      <sheetName val="Income Statement"/>
      <sheetName val="Margins"/>
      <sheetName val="SSB Nielsen Sales"/>
      <sheetName val="Comps"/>
      <sheetName val="Switches"/>
      <sheetName val="EBITDA"/>
      <sheetName val="GWP-WLine"/>
      <sheetName val="TS_Stnd_Dev_Band"/>
      <sheetName val="Print "/>
      <sheetName val="Lookup"/>
      <sheetName val="Input"/>
      <sheetName val="99 cons YTD"/>
      <sheetName val="KPN"/>
      <sheetName val="B"/>
      <sheetName val="Ratios"/>
      <sheetName val="C"/>
      <sheetName val="summary"/>
      <sheetName val="Realizations vs Aver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ImportantDisclosures"/>
      <sheetName val="COVER SHEET"/>
      <sheetName val="MW-Cache"/>
      <sheetName val="IS-ANNUAL"/>
      <sheetName val="IS-QTRLY"/>
      <sheetName val="REV-ANNUAL"/>
      <sheetName val="REV-QTRLY"/>
      <sheetName val="SEL_FRANCHISES"/>
      <sheetName val="CFBS"/>
      <sheetName val="ANOMALIES"/>
      <sheetName val="ASSUMPTIONS"/>
      <sheetName val="MGMT PROJECTIONS"/>
      <sheetName val="PIPELINE"/>
      <sheetName val="DCF"/>
      <sheetName val="MWA RR"/>
      <sheetName val="IndexInformation"/>
      <sheetName val="ModPubIndexInter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6">
          <cell r="B36" t="str">
            <v>NorthAmerica</v>
          </cell>
        </row>
        <row r="37">
          <cell r="B37" t="str">
            <v>excel</v>
          </cell>
        </row>
      </sheetData>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 Id="rId3" Target="../drawings/vmlDrawing1.vml" Type="http://schemas.openxmlformats.org/officeDocument/2006/relationships/vmlDrawing"/>
<Relationship Id="rId4" Target="../comments1.xml" Type="http://schemas.openxmlformats.org/officeDocument/2006/relationships/comments"/>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 Id="rId2" Target="../drawings/drawing3.xml" Type="http://schemas.openxmlformats.org/officeDocument/2006/relationships/drawing"/>
<Relationship Id="rId3" Target="../drawings/vmlDrawing2.vml" Type="http://schemas.openxmlformats.org/officeDocument/2006/relationships/vmlDrawing"/>
<Relationship Id="rId4" Target="../ctrlProps/ctrlProp1.xml" Type="http://schemas.openxmlformats.org/officeDocument/2006/relationships/ctrlProp"/>
<Relationship Id="rId5" Target="../ctrlProps/ctrlProp2.xml" Type="http://schemas.openxmlformats.org/officeDocument/2006/relationships/ctrlProp"/>
<Relationship Id="rId6" Target="../ctrlProps/ctrlProp3.xml" Type="http://schemas.openxmlformats.org/officeDocument/2006/relationships/ctrlProp"/>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 Id="rId2" Target="../drawings/drawing4.xml" Type="http://schemas.openxmlformats.org/officeDocument/2006/relationships/drawing"/>
<Relationship Id="rId3" Target="../drawings/vmlDrawing3.vml" Type="http://schemas.openxmlformats.org/officeDocument/2006/relationships/vmlDrawing"/>
<Relationship Id="rId4" Target="../comments2.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 Id="rId2" Target="../drawings/drawing5.xml" Type="http://schemas.openxmlformats.org/officeDocument/2006/relationships/drawing"/>
<Relationship Id="rId3" Target="../drawings/vmlDrawing4.vml" Type="http://schemas.openxmlformats.org/officeDocument/2006/relationships/vmlDrawing"/>
<Relationship Id="rId4" Target="../comments3.xml" Type="http://schemas.openxmlformats.org/officeDocument/2006/relationships/comment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 Id="rId2" Target="../drawings/drawing6.xml" Type="http://schemas.openxmlformats.org/officeDocument/2006/relationships/drawing"/>
<Relationship Id="rId3" Target="../drawings/vmlDrawing5.vml" Type="http://schemas.openxmlformats.org/officeDocument/2006/relationships/vmlDrawing"/>
<Relationship Id="rId4" Target="../comments4.xml" Type="http://schemas.openxmlformats.org/officeDocument/2006/relationships/comments"/>
</Relationships>

</file>

<file path=xl/worksheets/_rels/sheet8.xml.rels><?xml version="1.0" encoding="UTF-8" standalone="yes"?>
<Relationships xmlns="http://schemas.openxmlformats.org/package/2006/relationships">
<Relationship Id="rId1" Target="../printerSettings/printerSettings8.bin" Type="http://schemas.openxmlformats.org/officeDocument/2006/relationships/printerSettings"/>
<Relationship Id="rId2" Target="../drawings/drawing7.xml" Type="http://schemas.openxmlformats.org/officeDocument/2006/relationships/drawing"/>
</Relationships>

</file>

<file path=xl/worksheets/_rels/sheet9.xml.rels><?xml version="1.0" encoding="UTF-8" standalone="yes"?>
<Relationships xmlns="http://schemas.openxmlformats.org/package/2006/relationships">
<Relationship Id="rId1" Target="../printerSettings/printerSettings9.bin" Type="http://schemas.openxmlformats.org/officeDocument/2006/relationships/printerSettings"/>
<Relationship Id="rId2" Target="../drawings/drawing8.xml" Type="http://schemas.openxmlformats.org/officeDocument/2006/relationships/drawing"/>
<Relationship Id="rId3" Target="../drawings/vmlDrawing6.vml" Type="http://schemas.openxmlformats.org/officeDocument/2006/relationships/vmlDrawing"/>
<Relationship Id="rId4" Target="../comments5.xml" Type="http://schemas.openxmlformats.org/officeDocument/2006/relationships/comments"/>
</Relationships>

</file>

<file path=xl/worksheets/_rels/sheet10.xml.rels><?xml version="1.0" encoding="UTF-8" standalone="yes"?>
<Relationships xmlns="http://schemas.openxmlformats.org/package/2006/relationships">
<Relationship Id="rId1" Target="../printerSettings/printerSettings10.bin" Type="http://schemas.openxmlformats.org/officeDocument/2006/relationships/printerSettings"/>
<Relationship Id="rId2" Target="../drawings/drawing9.xml" Type="http://schemas.openxmlformats.org/officeDocument/2006/relationships/drawing"/>
</Relationships>

</file>

<file path=xl/worksheets/_rels/sheet11.xml.rels><?xml version="1.0" encoding="UTF-8" standalone="yes"?>
<Relationships xmlns="http://schemas.openxmlformats.org/package/2006/relationships">
<Relationship Id="rId1" Target="../printerSettings/printerSettings11.bin" Type="http://schemas.openxmlformats.org/officeDocument/2006/relationships/printerSettings"/>
<Relationship Id="rId2" Target="../drawings/drawing10.xml" Type="http://schemas.openxmlformats.org/officeDocument/2006/relationships/drawing"/>
</Relationships>

</file>

<file path=xl/worksheets/_rels/sheet12.xml.rels><?xml version="1.0" encoding="UTF-8" standalone="yes"?>
<Relationships xmlns="http://schemas.openxmlformats.org/package/2006/relationships">
<Relationship Id="rId1" Target="../printerSettings/printerSettings12.bin" Type="http://schemas.openxmlformats.org/officeDocument/2006/relationships/printerSettings"/>
<Relationship Id="rId2" Target="../drawings/drawing11.xml" Type="http://schemas.openxmlformats.org/officeDocument/2006/relationships/drawing"/>
</Relationships>

</file>

<file path=xl/worksheets/_rels/sheet13.xml.rels><?xml version="1.0" encoding="UTF-8" standalone="yes"?>
<Relationships xmlns="http://schemas.openxmlformats.org/package/2006/relationships">
<Relationship Id="rId1" Target="../printerSettings/printerSettings13.bin" Type="http://schemas.openxmlformats.org/officeDocument/2006/relationships/printerSettings"/>
<Relationship Id="rId2" Target="../drawings/drawing12.xml" Type="http://schemas.openxmlformats.org/officeDocument/2006/relationships/drawing"/>
<Relationship Id="rId3" Target="../drawings/vmlDrawing7.vml" Type="http://schemas.openxmlformats.org/officeDocument/2006/relationships/vmlDrawing"/>
<Relationship Id="rId4" Target="../comments6.xml" Type="http://schemas.openxmlformats.org/officeDocument/2006/relationships/comments"/>
</Relationships>

</file>

<file path=xl/worksheets/_rels/sheet14.xml.rels><?xml version="1.0" encoding="UTF-8" standalone="yes"?>
<Relationships xmlns="http://schemas.openxmlformats.org/package/2006/relationships">
<Relationship Id="rId1" Target="../printerSettings/printerSettings14.bin" Type="http://schemas.openxmlformats.org/officeDocument/2006/relationships/printerSettings"/>
<Relationship Id="rId2" Target="../drawings/drawing13.xml" Type="http://schemas.openxmlformats.org/officeDocument/2006/relationships/drawing"/>
<Relationship Id="rId3" Target="../drawings/vmlDrawing8.vml" Type="http://schemas.openxmlformats.org/officeDocument/2006/relationships/vmlDrawing"/>
<Relationship Id="rId4" Target="../comments7.xml" Type="http://schemas.openxmlformats.org/officeDocument/2006/relationships/comments"/>
</Relationships>

</file>

<file path=xl/worksheets/_rels/sheet15.xml.rels><?xml version="1.0" encoding="UTF-8" standalone="yes"?>
<Relationships xmlns="http://schemas.openxmlformats.org/package/2006/relationships">
<Relationship Id="rId1" Target="../printerSettings/printerSettings15.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enableFormatConditionsCalculation="0">
    <tabColor indexed="8"/>
    <pageSetUpPr fitToPage="1"/>
  </sheetPr>
  <dimension ref="A1:IV173"/>
  <sheetViews>
    <sheetView topLeftCell="H5" workbookViewId="0">
      <selection activeCell="AO18" sqref="AO18"/>
    </sheetView>
  </sheetViews>
  <sheetFormatPr defaultRowHeight="12.75" outlineLevelCol="1"/>
  <cols>
    <col min="1" max="7" width="0" style="7" hidden="1" customWidth="1"/>
    <col min="8" max="8" width="3.140625" style="7" customWidth="1"/>
    <col min="9" max="9" width="16.140625" style="7" customWidth="1"/>
    <col min="10" max="10" width="13.5703125" style="7" customWidth="1"/>
    <col min="11" max="11" width="13.42578125" style="7" customWidth="1"/>
    <col min="12" max="14" width="6.85546875" style="7" hidden="1" customWidth="1" outlineLevel="1"/>
    <col min="15" max="15" width="7.5703125" style="7" hidden="1" customWidth="1" outlineLevel="1"/>
    <col min="16" max="16" width="7.5703125" style="7" customWidth="1" collapsed="1"/>
    <col min="17" max="19" width="6.85546875" style="7" hidden="1" customWidth="1" outlineLevel="1"/>
    <col min="20" max="20" width="7.5703125" style="7" hidden="1" customWidth="1" outlineLevel="1"/>
    <col min="21" max="21" width="7.5703125" style="7" customWidth="1" collapsed="1"/>
    <col min="22" max="24" width="6.85546875" style="7" hidden="1" customWidth="1" outlineLevel="1"/>
    <col min="25" max="25" width="7.5703125" style="7" hidden="1" customWidth="1" outlineLevel="1"/>
    <col min="26" max="26" width="7.5703125" style="7" customWidth="1" collapsed="1"/>
    <col min="27" max="29" width="6.85546875" style="7" hidden="1" customWidth="1" outlineLevel="1"/>
    <col min="30" max="30" width="7.5703125" style="7" hidden="1" customWidth="1" outlineLevel="1"/>
    <col min="31" max="31" width="7.5703125" style="7" customWidth="1" collapsed="1"/>
    <col min="32" max="34" width="6.85546875" style="7" hidden="1" customWidth="1" outlineLevel="1"/>
    <col min="35" max="35" width="7.5703125" style="7" hidden="1" customWidth="1" outlineLevel="1"/>
    <col min="36" max="36" width="7.5703125" style="7" customWidth="1" collapsed="1"/>
    <col min="37" max="39" width="6.85546875" style="7" hidden="1" customWidth="1" outlineLevel="1"/>
    <col min="40" max="40" width="7.5703125" style="7" hidden="1" customWidth="1" outlineLevel="1"/>
    <col min="41" max="41" width="7.5703125" style="7" customWidth="1" collapsed="1"/>
    <col min="42" max="44" width="6.85546875" style="7" hidden="1" customWidth="1" outlineLevel="1"/>
    <col min="45" max="45" width="7.5703125" style="7" hidden="1" customWidth="1" outlineLevel="1"/>
    <col min="46" max="46" width="7.5703125" style="7" customWidth="1" collapsed="1"/>
    <col min="47" max="49" width="6.85546875" style="7" hidden="1" customWidth="1" outlineLevel="1"/>
    <col min="50" max="50" width="16.28515625" style="7" hidden="1" customWidth="1" outlineLevel="1"/>
    <col min="51" max="51" width="7.7109375" style="7" customWidth="1" collapsed="1"/>
    <col min="52" max="54" width="6.85546875" style="7" hidden="1" customWidth="1" outlineLevel="1"/>
    <col min="55" max="55" width="7.5703125" style="7" hidden="1" customWidth="1" outlineLevel="1"/>
    <col min="56" max="56" width="7.5703125" style="7" customWidth="1" collapsed="1"/>
    <col min="57" max="59" width="6.85546875" style="7" hidden="1" customWidth="1" outlineLevel="1"/>
    <col min="60" max="60" width="7.5703125" style="7" hidden="1" customWidth="1" outlineLevel="1"/>
    <col min="61" max="61" width="7.5703125" style="7" customWidth="1" collapsed="1"/>
    <col min="62" max="64" width="6.85546875" style="7" hidden="1" customWidth="1" outlineLevel="1"/>
    <col min="65" max="65" width="7.5703125" style="7" hidden="1" customWidth="1" outlineLevel="1"/>
    <col min="66" max="66" width="7.5703125" style="7" customWidth="1" collapsed="1"/>
    <col min="67" max="69" width="6.85546875" style="7" hidden="1" customWidth="1" outlineLevel="1"/>
    <col min="70" max="70" width="7.5703125" style="7" hidden="1" customWidth="1" outlineLevel="1"/>
    <col min="71" max="71" width="7.5703125" style="7" bestFit="1" customWidth="1" collapsed="1"/>
    <col min="72" max="74" width="6.85546875" style="7" hidden="1" customWidth="1" outlineLevel="1"/>
    <col min="75" max="75" width="7.5703125" style="7" hidden="1" customWidth="1" outlineLevel="1"/>
    <col min="76" max="76" width="7.5703125" style="7" bestFit="1" customWidth="1" collapsed="1"/>
    <col min="77" max="79" width="6.85546875" style="7" hidden="1" customWidth="1" outlineLevel="1"/>
    <col min="80" max="80" width="7.5703125" style="7" hidden="1" customWidth="1" outlineLevel="1"/>
    <col min="81" max="81" width="7.5703125" style="7" bestFit="1" customWidth="1" collapsed="1"/>
    <col min="82" max="84" width="6.85546875" style="7" hidden="1" customWidth="1" outlineLevel="1"/>
    <col min="85" max="85" width="7.5703125" style="7" hidden="1" customWidth="1" outlineLevel="1"/>
    <col min="86" max="86" width="7.5703125" style="7" bestFit="1" customWidth="1" collapsed="1"/>
    <col min="87" max="89" width="6.85546875" style="7" hidden="1" customWidth="1" outlineLevel="1"/>
    <col min="90" max="90" width="7.5703125" style="7" hidden="1" customWidth="1" outlineLevel="1"/>
    <col min="91" max="91" width="7.5703125" style="7" bestFit="1" customWidth="1" collapsed="1"/>
    <col min="92" max="16384" width="9.140625" style="7"/>
  </cols>
  <sheetData>
    <row r="1" spans="1:182" hidden="1">
      <c r="FZ1" s="7" t="s">
        <v>1120</v>
      </c>
    </row>
    <row r="2" spans="1:182" hidden="1"/>
    <row r="3" spans="1:182" hidden="1"/>
    <row r="4" spans="1:182" hidden="1">
      <c r="L4" s="12">
        <v>38442</v>
      </c>
      <c r="M4" s="12">
        <v>38533</v>
      </c>
      <c r="N4" s="12">
        <v>38625</v>
      </c>
      <c r="O4" s="12">
        <v>38717</v>
      </c>
      <c r="P4" s="12">
        <v>38717</v>
      </c>
      <c r="Q4" s="12">
        <v>38807</v>
      </c>
      <c r="R4" s="12">
        <v>38898</v>
      </c>
      <c r="S4" s="12">
        <v>38990</v>
      </c>
      <c r="T4" s="12">
        <v>39082</v>
      </c>
      <c r="U4" s="12">
        <v>39082</v>
      </c>
      <c r="V4" s="12">
        <v>39172</v>
      </c>
      <c r="W4" s="12">
        <v>39263</v>
      </c>
      <c r="X4" s="12">
        <v>39355</v>
      </c>
      <c r="Y4" s="12">
        <v>39447</v>
      </c>
      <c r="Z4" s="12">
        <v>39447</v>
      </c>
      <c r="AA4" s="12">
        <v>39538</v>
      </c>
      <c r="AB4" s="12">
        <v>39629</v>
      </c>
      <c r="AC4" s="12">
        <v>39721</v>
      </c>
      <c r="AD4" s="12">
        <v>39813</v>
      </c>
      <c r="AE4" s="12">
        <v>39813</v>
      </c>
      <c r="AF4" s="12">
        <v>39903</v>
      </c>
      <c r="AG4" s="12">
        <v>39994</v>
      </c>
      <c r="AH4" s="12">
        <v>40086</v>
      </c>
      <c r="AI4" s="12">
        <v>40178</v>
      </c>
      <c r="AJ4" s="12">
        <v>40178</v>
      </c>
      <c r="AK4" s="12">
        <v>40268</v>
      </c>
      <c r="AL4" s="12">
        <v>40359</v>
      </c>
      <c r="AM4" s="12">
        <v>40451</v>
      </c>
      <c r="AN4" s="12">
        <v>40543</v>
      </c>
      <c r="AO4" s="12">
        <v>40543</v>
      </c>
      <c r="AP4" s="12">
        <v>40633</v>
      </c>
      <c r="AQ4" s="12">
        <v>40724</v>
      </c>
      <c r="AR4" s="12">
        <v>40816</v>
      </c>
      <c r="AS4" s="12">
        <v>40908</v>
      </c>
      <c r="AT4" s="12">
        <v>40908</v>
      </c>
      <c r="AU4" s="12">
        <v>40999</v>
      </c>
      <c r="AV4" s="12">
        <v>41090</v>
      </c>
      <c r="AW4" s="12">
        <v>41182</v>
      </c>
      <c r="AX4" s="12">
        <v>41274</v>
      </c>
      <c r="AY4" s="12">
        <v>41274</v>
      </c>
      <c r="AZ4" s="12">
        <v>41364</v>
      </c>
      <c r="BA4" s="12">
        <v>41455</v>
      </c>
      <c r="BB4" s="12">
        <v>41547</v>
      </c>
      <c r="BC4" s="12">
        <v>41639</v>
      </c>
      <c r="BD4" s="12">
        <v>41639</v>
      </c>
      <c r="BE4" s="12">
        <v>41729</v>
      </c>
      <c r="BF4" s="12">
        <v>41820</v>
      </c>
      <c r="BG4" s="12">
        <v>41912</v>
      </c>
      <c r="BH4" s="12">
        <v>42004</v>
      </c>
      <c r="BI4" s="12">
        <v>42004</v>
      </c>
      <c r="BJ4" s="12">
        <v>42094</v>
      </c>
      <c r="BK4" s="12">
        <v>42185</v>
      </c>
      <c r="BL4" s="12">
        <v>42277</v>
      </c>
      <c r="BM4" s="12">
        <v>42369</v>
      </c>
      <c r="BN4" s="12">
        <v>42369</v>
      </c>
      <c r="BO4" s="12">
        <v>42460</v>
      </c>
      <c r="BP4" s="12">
        <v>42551</v>
      </c>
      <c r="BQ4" s="12">
        <v>42643</v>
      </c>
      <c r="BR4" s="12">
        <v>42735</v>
      </c>
      <c r="BS4" s="12">
        <v>42735</v>
      </c>
      <c r="BT4" s="12">
        <v>42825</v>
      </c>
      <c r="BU4" s="12">
        <v>42916</v>
      </c>
      <c r="BV4" s="12">
        <v>43008</v>
      </c>
      <c r="BW4" s="12">
        <v>43100</v>
      </c>
      <c r="BX4" s="12">
        <v>43100</v>
      </c>
      <c r="BY4" s="12">
        <v>43190</v>
      </c>
      <c r="BZ4" s="12">
        <v>43281</v>
      </c>
      <c r="CA4" s="12">
        <v>43373</v>
      </c>
      <c r="CB4" s="12">
        <v>43465</v>
      </c>
      <c r="CC4" s="12">
        <v>43465</v>
      </c>
      <c r="CD4" s="12">
        <v>43555</v>
      </c>
      <c r="CE4" s="12">
        <v>43646</v>
      </c>
      <c r="CF4" s="12">
        <v>43738</v>
      </c>
      <c r="CG4" s="12">
        <v>43830</v>
      </c>
      <c r="CH4" s="12">
        <v>43830</v>
      </c>
      <c r="CI4" s="12">
        <v>43921</v>
      </c>
      <c r="CJ4" s="12">
        <v>44012</v>
      </c>
      <c r="CK4" s="12">
        <v>44104</v>
      </c>
      <c r="CL4" s="12">
        <v>44196</v>
      </c>
      <c r="CM4" s="12">
        <v>44196</v>
      </c>
    </row>
    <row r="5" spans="1:182" ht="15.75" collapsed="1">
      <c r="A5" s="8"/>
      <c r="B5" s="8"/>
      <c r="C5" s="8"/>
      <c r="D5" s="8"/>
      <c r="E5" s="8"/>
      <c r="F5" s="8"/>
      <c r="G5" s="9"/>
      <c r="H5" s="10" t="str">
        <f>CompanyName</f>
        <v>Eli Lilly &amp; Co.</v>
      </c>
      <c r="I5" s="10"/>
      <c r="J5" s="11">
        <f>LatestRpQ</f>
        <v>43190</v>
      </c>
      <c r="K5" s="10"/>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row>
    <row r="6" spans="1:182" ht="15.75">
      <c r="A6" s="8"/>
      <c r="B6" s="8"/>
      <c r="C6" s="8"/>
      <c r="D6" s="8"/>
      <c r="E6" s="8"/>
      <c r="F6" s="8"/>
      <c r="G6" s="9"/>
      <c r="H6" s="10" t="s">
        <v>374</v>
      </c>
      <c r="I6" s="10"/>
      <c r="J6" s="11">
        <f>LatestFiledQ</f>
        <v>43100</v>
      </c>
      <c r="K6" s="10"/>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row>
    <row r="7" spans="1:182" s="14" customFormat="1">
      <c r="H7" s="15" t="s">
        <v>375</v>
      </c>
      <c r="J7" s="16" t="s">
        <v>376</v>
      </c>
      <c r="K7" s="17"/>
      <c r="L7" s="17"/>
      <c r="M7" s="17"/>
      <c r="N7" s="17"/>
      <c r="R7" s="18"/>
    </row>
    <row r="8" spans="1:182" s="14" customFormat="1">
      <c r="H8" s="15" t="s">
        <v>377</v>
      </c>
      <c r="J8" s="16" t="s">
        <v>378</v>
      </c>
      <c r="K8" s="17"/>
      <c r="L8" s="17"/>
      <c r="M8" s="17"/>
      <c r="N8" s="17"/>
    </row>
    <row r="9" spans="1:182" s="14" customFormat="1">
      <c r="H9" s="15" t="s">
        <v>269</v>
      </c>
      <c r="J9" s="16" t="s">
        <v>611</v>
      </c>
      <c r="K9" s="17"/>
      <c r="L9" s="17"/>
      <c r="M9" s="17"/>
      <c r="N9" s="17"/>
    </row>
    <row r="10" spans="1:182" s="14" customFormat="1">
      <c r="H10" s="15" t="s">
        <v>747</v>
      </c>
      <c r="J10" s="19">
        <v>43190</v>
      </c>
      <c r="K10" s="17"/>
      <c r="L10" s="17"/>
      <c r="M10" s="17"/>
      <c r="N10" s="17"/>
    </row>
    <row r="11" spans="1:182" s="14" customFormat="1" ht="12.75" customHeight="1">
      <c r="H11" s="15" t="s">
        <v>748</v>
      </c>
      <c r="J11" s="19">
        <v>43100</v>
      </c>
      <c r="K11" s="17"/>
      <c r="L11" s="17"/>
      <c r="M11" s="17"/>
      <c r="N11" s="17"/>
      <c r="CP11" s="1199" t="s">
        <v>973</v>
      </c>
      <c r="CQ11" s="1205" t="s">
        <v>979</v>
      </c>
      <c r="CR11" s="1199" t="s">
        <v>974</v>
      </c>
      <c r="CS11" s="1206" t="s">
        <v>1017</v>
      </c>
      <c r="CT11" s="1199" t="s">
        <v>976</v>
      </c>
      <c r="CU11" s="1199" t="s">
        <v>1016</v>
      </c>
      <c r="CV11" s="1199" t="s">
        <v>975</v>
      </c>
    </row>
    <row r="12" spans="1:182" s="14" customFormat="1" ht="13.5">
      <c r="H12" s="15" t="s">
        <v>749</v>
      </c>
      <c r="J12" s="19" t="s">
        <v>1004</v>
      </c>
      <c r="K12" s="17"/>
      <c r="L12" s="17"/>
      <c r="M12" s="17"/>
      <c r="N12" s="17"/>
      <c r="CP12" s="1199"/>
      <c r="CQ12" s="1202">
        <v>23</v>
      </c>
      <c r="CR12" s="1199"/>
      <c r="CS12" s="1202">
        <v>5</v>
      </c>
      <c r="CT12" s="1202">
        <v>5</v>
      </c>
      <c r="CU12" s="1202">
        <v>9</v>
      </c>
      <c r="CV12" s="1199"/>
    </row>
    <row r="13" spans="1:182" s="14" customFormat="1" ht="13.5">
      <c r="H13" s="15" t="s">
        <v>476</v>
      </c>
      <c r="J13" s="20">
        <v>93</v>
      </c>
      <c r="K13" s="17"/>
      <c r="L13" s="17"/>
      <c r="M13" s="17"/>
      <c r="N13" s="17"/>
      <c r="CP13" s="1204">
        <f>CQ13</f>
        <v>67</v>
      </c>
      <c r="CQ13" s="1200">
        <f>CR13-CQ12</f>
        <v>67</v>
      </c>
      <c r="CR13" s="1203">
        <v>90</v>
      </c>
      <c r="CS13" s="1200">
        <f>CR13</f>
        <v>90</v>
      </c>
      <c r="CT13" s="1200">
        <f>CS12+CS13</f>
        <v>95</v>
      </c>
      <c r="CU13" s="1200">
        <f>CT12+CT13</f>
        <v>100</v>
      </c>
      <c r="CV13" s="1200">
        <f>CU12+CU13</f>
        <v>109</v>
      </c>
    </row>
    <row r="14" spans="1:182" s="14" customFormat="1">
      <c r="H14" s="15" t="s">
        <v>477</v>
      </c>
      <c r="J14" s="19">
        <v>43214</v>
      </c>
      <c r="K14" s="17"/>
      <c r="L14" s="17"/>
      <c r="M14" s="17"/>
      <c r="N14" s="17"/>
      <c r="CZ14" s="53"/>
      <c r="DA14" s="53"/>
    </row>
    <row r="15" spans="1:182">
      <c r="H15" s="15" t="s">
        <v>5</v>
      </c>
      <c r="I15" s="14"/>
      <c r="J15" s="16" t="s">
        <v>178</v>
      </c>
      <c r="CR15" s="29"/>
    </row>
    <row r="16" spans="1:182">
      <c r="H16" s="15"/>
      <c r="I16" s="14"/>
      <c r="J16" s="16"/>
      <c r="CR16" s="29"/>
    </row>
    <row r="17" spans="8:103">
      <c r="H17" s="15" t="s">
        <v>478</v>
      </c>
      <c r="J17" s="1075" t="str">
        <f>_xll.ThomsonONEAddinShim.SpreadsheetFormulas.TF($J$9,"TF.PR.PriceClose()")</f>
        <v>$80.09</v>
      </c>
      <c r="K17" s="1122">
        <f>_xll.ThomsonONEAddinShim.SpreadsheetFormulas.TF(FDS_ticker, "TF.PR.Pricedate()")</f>
        <v>43214</v>
      </c>
      <c r="CY17" s="29"/>
    </row>
    <row r="18" spans="8:103">
      <c r="H18" s="15" t="s">
        <v>118</v>
      </c>
      <c r="J18" s="21">
        <f>'IS-ANNUAL'!BN50</f>
        <v>1065.6680000000001</v>
      </c>
    </row>
    <row r="19" spans="8:103">
      <c r="H19" s="15" t="s">
        <v>479</v>
      </c>
      <c r="J19" s="22">
        <f>J18*J17</f>
        <v>85349.350120000017</v>
      </c>
    </row>
    <row r="21" spans="8:103">
      <c r="H21" s="15" t="s">
        <v>577</v>
      </c>
      <c r="J21" s="23">
        <f>CFBS!BI172</f>
        <v>3194.4999999999982</v>
      </c>
    </row>
    <row r="22" spans="8:103">
      <c r="H22" s="15"/>
      <c r="J22" s="24"/>
      <c r="K22" s="15"/>
    </row>
    <row r="23" spans="8:103">
      <c r="H23" s="15" t="s">
        <v>750</v>
      </c>
      <c r="J23" s="22">
        <f>J19+J21</f>
        <v>88543.850120000017</v>
      </c>
    </row>
    <row r="24" spans="8:103">
      <c r="H24" s="686" t="s">
        <v>87</v>
      </c>
      <c r="I24" s="686"/>
      <c r="J24" s="614">
        <v>38270</v>
      </c>
    </row>
    <row r="25" spans="8:103">
      <c r="H25" s="25" t="s">
        <v>759</v>
      </c>
      <c r="J25" s="26">
        <f>'IS-ANNUAL'!BC49</f>
        <v>0.73857064475947487</v>
      </c>
    </row>
    <row r="26" spans="8:103">
      <c r="H26" s="27" t="s">
        <v>760</v>
      </c>
      <c r="J26" s="28">
        <f>LatestRpQ</f>
        <v>43190</v>
      </c>
    </row>
    <row r="27" spans="8:103">
      <c r="H27" s="27" t="s">
        <v>761</v>
      </c>
      <c r="J27" s="29">
        <f>'IS-ANNUAL'!AX49</f>
        <v>0.84857317125722609</v>
      </c>
    </row>
    <row r="28" spans="8:103">
      <c r="H28" s="27"/>
      <c r="J28" s="29"/>
      <c r="K28" s="27"/>
    </row>
    <row r="29" spans="8:103">
      <c r="H29" s="15" t="s">
        <v>762</v>
      </c>
      <c r="J29" s="21">
        <f>CFBS!AY113</f>
        <v>14773.900000000001</v>
      </c>
      <c r="K29" s="27"/>
    </row>
    <row r="30" spans="8:103">
      <c r="H30" s="15" t="s">
        <v>187</v>
      </c>
      <c r="J30" s="26">
        <f>CFBS!BB156</f>
        <v>15.583113597606475</v>
      </c>
      <c r="K30" s="27"/>
    </row>
    <row r="31" spans="8:103">
      <c r="H31" s="15" t="s">
        <v>188</v>
      </c>
      <c r="J31" s="30">
        <f>CFBS!AY176</f>
        <v>0.27240805310954824</v>
      </c>
      <c r="K31" s="27"/>
    </row>
    <row r="32" spans="8:103">
      <c r="H32" s="27" t="s">
        <v>760</v>
      </c>
      <c r="J32" s="31" t="str">
        <f>CFBS!AY9</f>
        <v>2012A</v>
      </c>
      <c r="K32" s="27"/>
    </row>
    <row r="33" spans="8:31">
      <c r="H33" s="27"/>
      <c r="J33" s="32"/>
      <c r="K33" s="27"/>
      <c r="M33" s="33"/>
    </row>
    <row r="34" spans="8:31">
      <c r="H34" s="25" t="s">
        <v>189</v>
      </c>
      <c r="J34" s="938">
        <f>_xll.ThomsonONEAddinShim.SpreadsheetFormulas.TF(FDS_ticker, "TF.ES.EPS.LTGMean()")</f>
        <v>0.12</v>
      </c>
      <c r="AE34" s="7">
        <f>78/4.51</f>
        <v>17.294900221729492</v>
      </c>
    </row>
    <row r="35" spans="8:31">
      <c r="H35" s="27"/>
      <c r="J35" s="32"/>
      <c r="K35" s="25"/>
      <c r="M35" s="33"/>
      <c r="N35" s="34"/>
    </row>
    <row r="36" spans="8:31">
      <c r="H36" s="7" t="s">
        <v>190</v>
      </c>
      <c r="J36" s="35" t="s">
        <v>1003</v>
      </c>
      <c r="K36" s="35" t="s">
        <v>1015</v>
      </c>
      <c r="AE36" s="7">
        <f>AE34/9</f>
        <v>1.9216555801921658</v>
      </c>
    </row>
    <row r="37" spans="8:31">
      <c r="H37" s="7" t="s">
        <v>518</v>
      </c>
      <c r="J37" s="35" t="s">
        <v>827</v>
      </c>
      <c r="K37" s="35" t="s">
        <v>385</v>
      </c>
    </row>
    <row r="38" spans="8:31">
      <c r="H38" s="7" t="s">
        <v>149</v>
      </c>
      <c r="J38" s="36">
        <v>4</v>
      </c>
      <c r="K38" s="36">
        <v>3</v>
      </c>
    </row>
    <row r="39" spans="8:31">
      <c r="J39" s="33"/>
    </row>
    <row r="40" spans="8:31">
      <c r="J40" s="37" t="str">
        <f>J36 &amp; "–" &amp; J37 &amp; " CAGR"</f>
        <v>2016a–2020e CAGR</v>
      </c>
      <c r="K40" s="37" t="str">
        <f>K36 &amp; "–" &amp; K37 &amp; " CAGR"</f>
        <v>2017e–2020E CAGR</v>
      </c>
    </row>
    <row r="41" spans="8:31">
      <c r="H41" s="790" t="str">
        <f>'IS-ANNUAL'!H11</f>
        <v>Total revenues</v>
      </c>
      <c r="I41" s="322"/>
      <c r="J41" s="39">
        <f>(INDEX('IS-ANNUAL'!$11:$11,0,MATCH(summary!$J$37,'IS-ANNUAL'!$9:$9,0))/INDEX('IS-ANNUAL'!$11:$11,0,MATCH(summary!$J$36,'IS-ANNUAL'!$9:$9,0)))^(1/$J$38)-1</f>
        <v>4.7269597513697637E-2</v>
      </c>
      <c r="K41" s="791" t="e">
        <f>(INDEX('IS-ANNUAL'!$11:$11,0,MATCH(summary!$K$37,'IS-ANNUAL'!$9:$9,0))/INDEX('IS-ANNUAL'!$11:$11,0,MATCH(summary!$K$36,'IS-ANNUAL'!$9:$9,0)))^(1/$K$38)-1</f>
        <v>#N/A</v>
      </c>
    </row>
    <row r="42" spans="8:31">
      <c r="H42" s="15" t="str">
        <f>'IS-ANNUAL'!H24</f>
        <v>COGS</v>
      </c>
      <c r="J42" s="38">
        <f>(INDEX('IS-ANNUAL'!$24:$24,0,MATCH(summary!$J$37,'IS-ANNUAL'!$9:$9,0))/INDEX('IS-ANNUAL'!$24:$24,0,MATCH(summary!$J$36,'IS-ANNUAL'!$9:$9,0)))^(1/$J$38)-1</f>
        <v>4.754276042739769E-2</v>
      </c>
      <c r="K42" s="38" t="e">
        <f>(INDEX('IS-ANNUAL'!$24:$24,0,MATCH(summary!$K$37,'IS-ANNUAL'!$9:$9,0))/INDEX('IS-ANNUAL'!$24:$24,0,MATCH(summary!$K$36,'IS-ANNUAL'!$9:$9,0)))^(1/$K$38)-1</f>
        <v>#N/A</v>
      </c>
    </row>
    <row r="43" spans="8:31">
      <c r="H43" s="15" t="str">
        <f>'IS-ANNUAL'!H25</f>
        <v>Gross profit</v>
      </c>
      <c r="J43" s="38">
        <f>(INDEX('IS-ANNUAL'!$25:$25,0,MATCH(summary!$J$37,'IS-ANNUAL'!$9:$9,0))/INDEX('IS-ANNUAL'!$25:$25,0,MATCH(summary!$J$36,'IS-ANNUAL'!$9:$9,0)))^(1/$J$38)-1</f>
        <v>4.7185756195743167E-2</v>
      </c>
      <c r="K43" s="38" t="e">
        <f>(INDEX('IS-ANNUAL'!$25:$25,0,MATCH(summary!$K$37,'IS-ANNUAL'!$9:$9,0))/INDEX('IS-ANNUAL'!$25:$25,0,MATCH(summary!$K$36,'IS-ANNUAL'!$9:$9,0)))^(1/$K$38)-1</f>
        <v>#N/A</v>
      </c>
    </row>
    <row r="44" spans="8:31">
      <c r="H44" s="15" t="str">
        <f>'IS-ANNUAL'!H28</f>
        <v>R&amp;D</v>
      </c>
      <c r="J44" s="38">
        <f>(INDEX('IS-ANNUAL'!$28:$28,0,MATCH(summary!$J$37,'IS-ANNUAL'!$9:$9,0))/INDEX('IS-ANNUAL'!$28:$28,0,MATCH(summary!$J$36,'IS-ANNUAL'!$9:$9,0)))^(1/$J$38)-1</f>
        <v>3.2337096251953135E-3</v>
      </c>
      <c r="K44" s="38" t="e">
        <f>(INDEX('IS-ANNUAL'!$28:$28,0,MATCH(summary!$K$37,'IS-ANNUAL'!$9:$9,0))/INDEX('IS-ANNUAL'!$28:$28,0,MATCH(summary!$K$36,'IS-ANNUAL'!$9:$9,0)))^(1/$K$38)-1</f>
        <v>#N/A</v>
      </c>
    </row>
    <row r="45" spans="8:31">
      <c r="H45" s="15" t="str">
        <f>'IS-ANNUAL'!H26</f>
        <v>SG&amp;A</v>
      </c>
      <c r="J45" s="38">
        <f>(INDEX('IS-ANNUAL'!$26:$26,0,MATCH(summary!$J$37,'IS-ANNUAL'!$9:$9,0))/INDEX('IS-ANNUAL'!$26:$26,0,MATCH(summary!$J$36,'IS-ANNUAL'!$9:$9,0)))^(1/$J$38)-1</f>
        <v>-2.9484618440905885E-3</v>
      </c>
      <c r="K45" s="38" t="e">
        <f>(INDEX('IS-ANNUAL'!$26:$26,0,MATCH(summary!$K$37,'IS-ANNUAL'!$9:$9,0))/INDEX('IS-ANNUAL'!$26:$26,0,MATCH(summary!$K$36,'IS-ANNUAL'!$9:$9,0)))^(1/$K$38)-1</f>
        <v>#N/A</v>
      </c>
    </row>
    <row r="46" spans="8:31">
      <c r="H46" s="15" t="str">
        <f>'IS-ANNUAL'!H29</f>
        <v>Operating income, EBITA</v>
      </c>
      <c r="J46" s="38">
        <f>(INDEX('IS-ANNUAL'!$29:$29,0,MATCH(summary!$J$37,'IS-ANNUAL'!$9:$9,0))/INDEX('IS-ANNUAL'!$29:$29,0,MATCH(summary!$J$36,'IS-ANNUAL'!$9:$9,0)))^(1/$J$38)-1</f>
        <v>0.14608051579160408</v>
      </c>
      <c r="K46" s="38" t="e">
        <f>(INDEX('IS-ANNUAL'!$29:$29,0,MATCH(summary!$K$37,'IS-ANNUAL'!$9:$9,0))/INDEX('IS-ANNUAL'!$29:$29,0,MATCH(summary!$K$36,'IS-ANNUAL'!$9:$9,0)))^(1/$K$38)-1</f>
        <v>#N/A</v>
      </c>
    </row>
    <row r="47" spans="8:31">
      <c r="H47" s="15" t="str">
        <f>'IS-ANNUAL'!H44</f>
        <v>Pretax income</v>
      </c>
      <c r="J47" s="38">
        <f>(INDEX('IS-ANNUAL'!$44:$44,0,MATCH(summary!$J$37,'IS-ANNUAL'!$9:$9,0))/INDEX('IS-ANNUAL'!$44:$44,0,MATCH(summary!$J$36,'IS-ANNUAL'!$9:$9,0)))^(1/$J$38)-1</f>
        <v>0.14489101557942674</v>
      </c>
      <c r="K47" s="38" t="e">
        <f>(INDEX('IS-ANNUAL'!$44:$44,0,MATCH(summary!$K$37,'IS-ANNUAL'!$9:$9,0))/INDEX('IS-ANNUAL'!$44:$44,0,MATCH(summary!$K$36,'IS-ANNUAL'!$9:$9,0)))^(1/$K$38)-1</f>
        <v>#N/A</v>
      </c>
    </row>
    <row r="48" spans="8:31">
      <c r="H48" s="15" t="str">
        <f>'IS-ANNUAL'!H47</f>
        <v>Net income</v>
      </c>
      <c r="J48" s="38">
        <f>(INDEX('IS-ANNUAL'!$47:$47,0,MATCH(summary!$J$37,'IS-ANNUAL'!$9:$9,0))/INDEX('IS-ANNUAL'!$47:$47,0,MATCH(summary!$J$36,'IS-ANNUAL'!$9:$9,0)))^(1/$J$38)-1</f>
        <v>0.1576663775937126</v>
      </c>
      <c r="K48" s="38" t="e">
        <f>(INDEX('IS-ANNUAL'!$47:$47,0,MATCH(summary!$K$37,'IS-ANNUAL'!$9:$9,0))/INDEX('IS-ANNUAL'!$47:$47,0,MATCH(summary!$K$36,'IS-ANNUAL'!$9:$9,0)))^(1/$K$38)-1</f>
        <v>#N/A</v>
      </c>
    </row>
    <row r="49" spans="1:91">
      <c r="H49" s="790" t="str">
        <f>'IS-ANNUAL'!H49</f>
        <v>Adj. Dil. EPS</v>
      </c>
      <c r="I49" s="322"/>
      <c r="J49" s="39">
        <f>(INDEX('IS-ANNUAL'!$49:$49,0,MATCH(summary!$J$37,'IS-ANNUAL'!$9:$9,0))/INDEX('IS-ANNUAL'!$49:$49,0,MATCH(summary!$J$36,'IS-ANNUAL'!$9:$9,0)))^(1/$J$38)-1</f>
        <v>0.1627590675600108</v>
      </c>
      <c r="K49" s="791" t="e">
        <f>(INDEX('IS-ANNUAL'!$49:$49,0,MATCH(summary!$K$37,'IS-ANNUAL'!$9:$9,0))/INDEX('IS-ANNUAL'!$49:$49,0,MATCH(summary!$K$36,'IS-ANNUAL'!$9:$9,0)))^(1/$K$38)-1</f>
        <v>#N/A</v>
      </c>
    </row>
    <row r="51" spans="1:91" ht="12.75" customHeight="1" thickBot="1">
      <c r="A51" s="40"/>
      <c r="B51" s="40"/>
      <c r="C51" s="40"/>
      <c r="D51" s="40"/>
      <c r="E51" s="40"/>
      <c r="F51" s="40"/>
      <c r="G51" s="9"/>
      <c r="H51" s="41" t="s">
        <v>150</v>
      </c>
      <c r="I51" s="42"/>
      <c r="J51" s="42"/>
      <c r="K51" s="42"/>
      <c r="L51" s="43" t="str">
        <f>"1Q:" &amp; RIGHT(YEAR(L$4),2) &amp; IF(L$4&lt;=LatestRpQ, "A", "E")</f>
        <v>1Q:05A</v>
      </c>
      <c r="M51" s="43" t="str">
        <f>"2Q:" &amp; RIGHT(YEAR(M$4),2) &amp; IF(M$4&lt;=LatestRpQ, "A", "E")</f>
        <v>2Q:05A</v>
      </c>
      <c r="N51" s="43" t="str">
        <f>"3Q:" &amp; RIGHT(YEAR(N$4),2) &amp; IF(N$4&lt;=LatestRpQ, "A", "E")</f>
        <v>3Q:05A</v>
      </c>
      <c r="O51" s="43" t="str">
        <f>"4Q:" &amp; RIGHT(YEAR(O$4),2) &amp; IF(O$4&lt;=LatestRpQ, "A", "E")</f>
        <v>4Q:05A</v>
      </c>
      <c r="P51" s="44" t="str">
        <f>YEAR(P$4) &amp; IF(P$4&lt;=LatestRpQ, "A", "E")</f>
        <v>2005A</v>
      </c>
      <c r="Q51" s="43" t="str">
        <f>"1Q:" &amp; RIGHT(YEAR(Q$4),2) &amp; IF(Q$4&lt;=LatestRpQ, "A", "E")</f>
        <v>1Q:06A</v>
      </c>
      <c r="R51" s="43" t="str">
        <f>"2Q:" &amp; RIGHT(YEAR(R$4),2) &amp; IF(R$4&lt;=LatestRpQ, "A", "E")</f>
        <v>2Q:06A</v>
      </c>
      <c r="S51" s="43" t="str">
        <f>"3Q:" &amp; RIGHT(YEAR(S$4),2) &amp; IF(S$4&lt;=LatestRpQ, "A", "E")</f>
        <v>3Q:06A</v>
      </c>
      <c r="T51" s="43" t="str">
        <f>"4Q:" &amp; RIGHT(YEAR(T$4),2) &amp; IF(T$4&lt;=LatestRpQ, "A", "E")</f>
        <v>4Q:06A</v>
      </c>
      <c r="U51" s="44" t="str">
        <f>YEAR(U$4) &amp; IF(U$4&lt;=LatestRpQ, "A", "E")</f>
        <v>2006A</v>
      </c>
      <c r="V51" s="43" t="str">
        <f>"1Q:" &amp; RIGHT(YEAR(V$4),2) &amp; IF(V$4&lt;=LatestRpQ, "A", "E")</f>
        <v>1Q:07A</v>
      </c>
      <c r="W51" s="43" t="str">
        <f>"2Q:" &amp; RIGHT(YEAR(W$4),2) &amp; IF(W$4&lt;=LatestRpQ, "A", "E")</f>
        <v>2Q:07A</v>
      </c>
      <c r="X51" s="43" t="str">
        <f>"3Q:" &amp; RIGHT(YEAR(X$4),2) &amp; IF(X$4&lt;=LatestRpQ, "A", "E")</f>
        <v>3Q:07A</v>
      </c>
      <c r="Y51" s="43" t="str">
        <f>"4Q:" &amp; RIGHT(YEAR(Y$4),2) &amp; IF(Y$4&lt;=LatestRpQ, "A", "E")</f>
        <v>4Q:07A</v>
      </c>
      <c r="Z51" s="44" t="str">
        <f>YEAR(Z$4) &amp; IF(Z$4&lt;=LatestRpQ, "A", "E")</f>
        <v>2007A</v>
      </c>
      <c r="AA51" s="43" t="str">
        <f>"1Q:" &amp; RIGHT(YEAR(AA$4),2) &amp; IF(AA$4&lt;=LatestRpQ, "A", "E")</f>
        <v>1Q:08A</v>
      </c>
      <c r="AB51" s="43" t="str">
        <f>"2Q:" &amp; RIGHT(YEAR(AB$4),2) &amp; IF(AB$4&lt;=LatestRpQ, "A", "E")</f>
        <v>2Q:08A</v>
      </c>
      <c r="AC51" s="43" t="str">
        <f>"3Q:" &amp; RIGHT(YEAR(AC$4),2) &amp; IF(AC$4&lt;=LatestRpQ, "A", "E")</f>
        <v>3Q:08A</v>
      </c>
      <c r="AD51" s="43" t="str">
        <f>"4Q:" &amp; RIGHT(YEAR(AD$4),2) &amp; IF(AD$4&lt;=LatestRpQ, "A", "E")</f>
        <v>4Q:08A</v>
      </c>
      <c r="AE51" s="44" t="str">
        <f>YEAR(AE$4) &amp; IF(AE$4&lt;=LatestRpQ, "A", "E")</f>
        <v>2008A</v>
      </c>
      <c r="AF51" s="43" t="str">
        <f>"1Q:" &amp; RIGHT(YEAR(AF$4),2) &amp; IF(AF$4&lt;=LatestRpQ, "A", "E")</f>
        <v>1Q:09A</v>
      </c>
      <c r="AG51" s="43" t="str">
        <f>"2Q:" &amp; RIGHT(YEAR(AG$4),2) &amp; IF(AG$4&lt;=LatestRpQ, "A", "E")</f>
        <v>2Q:09A</v>
      </c>
      <c r="AH51" s="43" t="str">
        <f>"3Q:" &amp; RIGHT(YEAR(AH$4),2) &amp; IF(AH$4&lt;=LatestRpQ, "A", "E")</f>
        <v>3Q:09A</v>
      </c>
      <c r="AI51" s="43" t="str">
        <f>"4Q:" &amp; RIGHT(YEAR(AI$4),2) &amp; IF(AI$4&lt;=LatestRpQ, "A", "E")</f>
        <v>4Q:09A</v>
      </c>
      <c r="AJ51" s="44" t="str">
        <f>YEAR(AJ$4) &amp; IF(AJ$4&lt;=LatestRpQ, "A", "E")</f>
        <v>2009A</v>
      </c>
      <c r="AK51" s="43" t="str">
        <f>"1Q:" &amp; RIGHT(YEAR(AK$4),2) &amp; IF(AK$4&lt;=LatestRpQ, "A", "E")</f>
        <v>1Q:10A</v>
      </c>
      <c r="AL51" s="43" t="str">
        <f>"2Q:" &amp; RIGHT(YEAR(AL$4),2) &amp; IF(AL$4&lt;=LatestRpQ, "A", "E")</f>
        <v>2Q:10A</v>
      </c>
      <c r="AM51" s="43" t="str">
        <f>"3Q:" &amp; RIGHT(YEAR(AM$4),2) &amp; IF(AM$4&lt;=LatestRpQ, "A", "E")</f>
        <v>3Q:10A</v>
      </c>
      <c r="AN51" s="43" t="str">
        <f>"4Q:" &amp; RIGHT(YEAR(AN$4),2) &amp; IF(AN$4&lt;=LatestRpQ, "A", "E")</f>
        <v>4Q:10A</v>
      </c>
      <c r="AO51" s="44" t="str">
        <f>YEAR(AO$4) &amp; IF(AO$4&lt;=LatestRpQ, "A", "E")</f>
        <v>2010A</v>
      </c>
      <c r="AP51" s="43" t="str">
        <f>"1Q:" &amp; RIGHT(YEAR(AP$4),2) &amp; IF(AP$4&lt;=LatestRpQ, "A", "E")</f>
        <v>1Q:11A</v>
      </c>
      <c r="AQ51" s="43" t="str">
        <f>"2Q:" &amp; RIGHT(YEAR(AQ$4),2) &amp; IF(AQ$4&lt;=LatestRpQ, "A", "E")</f>
        <v>2Q:11A</v>
      </c>
      <c r="AR51" s="43" t="str">
        <f>"3Q:" &amp; RIGHT(YEAR(AR$4),2) &amp; IF(AR$4&lt;=LatestRpQ, "A", "E")</f>
        <v>3Q:11A</v>
      </c>
      <c r="AS51" s="43" t="str">
        <f>"4Q:" &amp; RIGHT(YEAR(AS$4),2) &amp; IF(AS$4&lt;=LatestRpQ, "A", "E")</f>
        <v>4Q:11A</v>
      </c>
      <c r="AT51" s="44" t="str">
        <f>YEAR(AT$4) &amp; IF(AT$4&lt;=LatestRpQ, "A", "E")</f>
        <v>2011A</v>
      </c>
      <c r="AU51" s="43" t="str">
        <f>"1Q:" &amp; RIGHT(YEAR(AU$4),2) &amp; IF(AU$4&lt;=LatestRpQ, "A", "E")</f>
        <v>1Q:12A</v>
      </c>
      <c r="AV51" s="43" t="str">
        <f>"2Q:" &amp; RIGHT(YEAR(AV$4),2) &amp; IF(AV$4&lt;=LatestRpQ, "A", "E")</f>
        <v>2Q:12A</v>
      </c>
      <c r="AW51" s="43" t="str">
        <f>"3Q:" &amp; RIGHT(YEAR(AW$4),2) &amp; IF(AW$4&lt;=LatestRpQ, "A", "E")</f>
        <v>3Q:12A</v>
      </c>
      <c r="AX51" s="43" t="str">
        <f>"4Q:" &amp; RIGHT(YEAR(AX$4),2) &amp; IF(AX$4&lt;=LatestRpQ, "A", "E")</f>
        <v>4Q:12A</v>
      </c>
      <c r="AY51" s="44" t="str">
        <f>YEAR(AY$4) &amp; IF(AY$4&lt;=LatestRpQ, "A", "E")</f>
        <v>2012A</v>
      </c>
      <c r="AZ51" s="43" t="str">
        <f>"1Q:" &amp; RIGHT(YEAR(AZ$4),2) &amp; IF(AZ$4&lt;=LatestRpQ, "A", "E")</f>
        <v>1Q:13A</v>
      </c>
      <c r="BA51" s="43" t="str">
        <f>"2Q:" &amp; RIGHT(YEAR(BA$4),2) &amp; IF(BA$4&lt;=LatestRpQ, "A", "E")</f>
        <v>2Q:13A</v>
      </c>
      <c r="BB51" s="43" t="str">
        <f>"3Q:" &amp; RIGHT(YEAR(BB$4),2) &amp; IF(BB$4&lt;=LatestRpQ, "A", "E")</f>
        <v>3Q:13A</v>
      </c>
      <c r="BC51" s="43" t="str">
        <f>"4Q:" &amp; RIGHT(YEAR(BC$4),2) &amp; IF(BC$4&lt;=LatestRpQ, "A", "E")</f>
        <v>4Q:13A</v>
      </c>
      <c r="BD51" s="44" t="str">
        <f>YEAR(BD$4) &amp; IF(BD$4&lt;=LatestRpQ, "A", "E")</f>
        <v>2013A</v>
      </c>
      <c r="BE51" s="43" t="str">
        <f>"1Q:" &amp; RIGHT(YEAR(BE$4),2) &amp; IF(BE$4&lt;=LatestRpQ, "A", "E")</f>
        <v>1Q:14A</v>
      </c>
      <c r="BF51" s="43" t="str">
        <f>"2Q:" &amp; RIGHT(YEAR(BF$4),2) &amp; IF(BF$4&lt;=LatestRpQ, "A", "E")</f>
        <v>2Q:14A</v>
      </c>
      <c r="BG51" s="43" t="str">
        <f>"3Q:" &amp; RIGHT(YEAR(BG$4),2) &amp; IF(BG$4&lt;=LatestRpQ, "A", "E")</f>
        <v>3Q:14A</v>
      </c>
      <c r="BH51" s="43" t="str">
        <f>"4Q:" &amp; RIGHT(YEAR(BH$4),2) &amp; IF(BH$4&lt;=LatestRpQ, "A", "E")</f>
        <v>4Q:14A</v>
      </c>
      <c r="BI51" s="44" t="str">
        <f>YEAR(BI$4) &amp; IF(BI$4&lt;=LatestRpQ, "A", "E")</f>
        <v>2014A</v>
      </c>
      <c r="BJ51" s="43" t="str">
        <f>"1Q:" &amp; RIGHT(YEAR(BJ$4),2) &amp; IF(BJ$4&lt;=LatestRpQ, "A", "E")</f>
        <v>1Q:15A</v>
      </c>
      <c r="BK51" s="43" t="str">
        <f>"2Q:" &amp; RIGHT(YEAR(BK$4),2) &amp; IF(BK$4&lt;=LatestRpQ, "A", "E")</f>
        <v>2Q:15A</v>
      </c>
      <c r="BL51" s="43" t="str">
        <f>"3Q:" &amp; RIGHT(YEAR(BL$4),2) &amp; IF(BL$4&lt;=LatestRpQ, "A", "E")</f>
        <v>3Q:15A</v>
      </c>
      <c r="BM51" s="43" t="str">
        <f>"4Q:" &amp; RIGHT(YEAR(BM$4),2) &amp; IF(BM$4&lt;=LatestRpQ, "A", "E")</f>
        <v>4Q:15A</v>
      </c>
      <c r="BN51" s="44" t="str">
        <f>YEAR(BN$4) &amp; IF(BN$4&lt;=LatestRpQ, "A", "E")</f>
        <v>2015A</v>
      </c>
      <c r="BO51" s="43" t="str">
        <f>"1Q:" &amp; RIGHT(YEAR(BO$4),2) &amp; IF(BO$4&lt;=LatestRpQ, "A", "E")</f>
        <v>1Q:16A</v>
      </c>
      <c r="BP51" s="43" t="str">
        <f>"2Q:" &amp; RIGHT(YEAR(BP$4),2) &amp; IF(BP$4&lt;=LatestRpQ, "A", "E")</f>
        <v>2Q:16A</v>
      </c>
      <c r="BQ51" s="43" t="str">
        <f>"3Q:" &amp; RIGHT(YEAR(BQ$4),2) &amp; IF(BQ$4&lt;=LatestRpQ, "A", "E")</f>
        <v>3Q:16A</v>
      </c>
      <c r="BR51" s="43" t="str">
        <f>"4Q:" &amp; RIGHT(YEAR(BR$4),2) &amp; IF(BR$4&lt;=LatestRpQ, "A", "E")</f>
        <v>4Q:16A</v>
      </c>
      <c r="BS51" s="44" t="str">
        <f>YEAR(BS$4) &amp; IF(BS$4&lt;=LatestRpQ, "A", "E")</f>
        <v>2016A</v>
      </c>
      <c r="BT51" s="43" t="str">
        <f>"1Q:" &amp; RIGHT(YEAR(BT$4),2) &amp; IF(BT$4&lt;=LatestRpQ, "A", "E")</f>
        <v>1Q:17A</v>
      </c>
      <c r="BU51" s="43" t="str">
        <f>"2Q:" &amp; RIGHT(YEAR(BU$4),2) &amp; IF(BU$4&lt;=LatestRpQ, "A", "E")</f>
        <v>2Q:17A</v>
      </c>
      <c r="BV51" s="43" t="str">
        <f>"3Q:" &amp; RIGHT(YEAR(BV$4),2) &amp; IF(BV$4&lt;=LatestRpQ, "A", "E")</f>
        <v>3Q:17A</v>
      </c>
      <c r="BW51" s="43" t="str">
        <f>"4Q:" &amp; RIGHT(YEAR(BW$4),2) &amp; IF(BW$4&lt;=LatestRpQ, "A", "E")</f>
        <v>4Q:17A</v>
      </c>
      <c r="BX51" s="44" t="str">
        <f>YEAR(BX$4) &amp; IF(BX$4&lt;=LatestRpQ, "A", "E")</f>
        <v>2017A</v>
      </c>
      <c r="BY51" s="43" t="str">
        <f>"1Q:" &amp; RIGHT(YEAR(BY$4),2) &amp; IF(BY$4&lt;=LatestRpQ, "A", "E")</f>
        <v>1Q:18A</v>
      </c>
      <c r="BZ51" s="43" t="str">
        <f>"2Q:" &amp; RIGHT(YEAR(BZ$4),2) &amp; IF(BZ$4&lt;=LatestRpQ, "A", "E")</f>
        <v>2Q:18E</v>
      </c>
      <c r="CA51" s="43" t="str">
        <f>"3Q:" &amp; RIGHT(YEAR(CA$4),2) &amp; IF(CA$4&lt;=LatestRpQ, "A", "E")</f>
        <v>3Q:18E</v>
      </c>
      <c r="CB51" s="43" t="str">
        <f>"4Q:" &amp; RIGHT(YEAR(CB$4),2) &amp; IF(CB$4&lt;=LatestRpQ, "A", "E")</f>
        <v>4Q:18E</v>
      </c>
      <c r="CC51" s="44" t="str">
        <f>YEAR(CC$4) &amp; IF(CC$4&lt;=LatestRpQ, "A", "E")</f>
        <v>2018E</v>
      </c>
      <c r="CD51" s="43" t="str">
        <f>"1Q:" &amp; RIGHT(YEAR(CD$4),2) &amp; IF(CD$4&lt;=LatestRpQ, "A", "E")</f>
        <v>1Q:19E</v>
      </c>
      <c r="CE51" s="43" t="str">
        <f>"2Q:" &amp; RIGHT(YEAR(CE$4),2) &amp; IF(CE$4&lt;=LatestRpQ, "A", "E")</f>
        <v>2Q:19E</v>
      </c>
      <c r="CF51" s="43" t="str">
        <f>"3Q:" &amp; RIGHT(YEAR(CF$4),2) &amp; IF(CF$4&lt;=LatestRpQ, "A", "E")</f>
        <v>3Q:19E</v>
      </c>
      <c r="CG51" s="43" t="str">
        <f>"4Q:" &amp; RIGHT(YEAR(CG$4),2) &amp; IF(CG$4&lt;=LatestRpQ, "A", "E")</f>
        <v>4Q:19E</v>
      </c>
      <c r="CH51" s="44" t="str">
        <f>YEAR(CH$4) &amp; IF(CH$4&lt;=LatestRpQ, "A", "E")</f>
        <v>2019E</v>
      </c>
      <c r="CI51" s="43" t="str">
        <f>"1Q:" &amp; RIGHT(YEAR(CI$4),2) &amp; IF(CI$4&lt;=LatestRpQ, "A", "E")</f>
        <v>1Q:20E</v>
      </c>
      <c r="CJ51" s="43" t="str">
        <f>"2Q:" &amp; RIGHT(YEAR(CJ$4),2) &amp; IF(CJ$4&lt;=LatestRpQ, "A", "E")</f>
        <v>2Q:20E</v>
      </c>
      <c r="CK51" s="43" t="str">
        <f>"3Q:" &amp; RIGHT(YEAR(CK$4),2) &amp; IF(CK$4&lt;=LatestRpQ, "A", "E")</f>
        <v>3Q:20E</v>
      </c>
      <c r="CL51" s="43" t="str">
        <f>"4Q:" &amp; RIGHT(YEAR(CL$4),2) &amp; IF(CL$4&lt;=LatestRpQ, "A", "E")</f>
        <v>4Q:20E</v>
      </c>
      <c r="CM51" s="44" t="str">
        <f>YEAR(CM$4) &amp; IF(CM$4&lt;=LatestRpQ, "A", "E")</f>
        <v>2020E</v>
      </c>
    </row>
    <row r="52" spans="1:91">
      <c r="L52" s="66"/>
      <c r="M52" s="66"/>
      <c r="N52" s="66"/>
      <c r="O52" s="66"/>
      <c r="Q52" s="66"/>
      <c r="R52" s="66"/>
      <c r="S52" s="66"/>
      <c r="T52" s="66"/>
      <c r="V52" s="66"/>
      <c r="W52" s="66"/>
      <c r="X52" s="66"/>
      <c r="Y52" s="66"/>
      <c r="AA52" s="66"/>
      <c r="AB52" s="66"/>
      <c r="AC52" s="66"/>
      <c r="AD52" s="66"/>
      <c r="AF52" s="66"/>
      <c r="AG52" s="66"/>
      <c r="AH52" s="66"/>
      <c r="AI52" s="66"/>
      <c r="AK52" s="66"/>
      <c r="AL52" s="66"/>
      <c r="AM52" s="66"/>
      <c r="AN52" s="66"/>
      <c r="AP52" s="66"/>
      <c r="AQ52" s="66"/>
      <c r="AR52" s="66"/>
      <c r="AS52" s="66"/>
      <c r="AU52" s="66"/>
      <c r="AV52" s="66"/>
      <c r="AW52" s="66"/>
      <c r="AX52" s="66"/>
      <c r="AZ52" s="66"/>
      <c r="BA52" s="66"/>
      <c r="BB52" s="66"/>
      <c r="BC52" s="66"/>
      <c r="BE52" s="66"/>
      <c r="BF52" s="66"/>
      <c r="BG52" s="66"/>
      <c r="BH52" s="66"/>
      <c r="BJ52" s="66"/>
      <c r="BK52" s="66"/>
      <c r="BL52" s="66"/>
      <c r="BM52" s="66"/>
      <c r="BO52" s="66"/>
      <c r="BP52" s="66"/>
      <c r="BQ52" s="66"/>
      <c r="BR52" s="66"/>
      <c r="BT52" s="66"/>
      <c r="BU52" s="66"/>
      <c r="BV52" s="66"/>
      <c r="BW52" s="66"/>
      <c r="BY52" s="66"/>
      <c r="BZ52" s="66"/>
      <c r="CA52" s="66"/>
      <c r="CB52" s="66"/>
      <c r="CD52" s="66"/>
      <c r="CE52" s="66"/>
      <c r="CF52" s="66"/>
      <c r="CG52" s="66"/>
      <c r="CI52" s="66"/>
      <c r="CJ52" s="66"/>
      <c r="CK52" s="66"/>
      <c r="CL52" s="66"/>
    </row>
    <row r="53" spans="1:91">
      <c r="H53" s="7" t="s">
        <v>969</v>
      </c>
      <c r="L53" s="66"/>
      <c r="M53" s="66"/>
      <c r="N53" s="66"/>
      <c r="O53" s="66"/>
      <c r="Q53" s="66"/>
      <c r="R53" s="66"/>
      <c r="S53" s="66"/>
      <c r="T53" s="66"/>
      <c r="V53" s="66"/>
      <c r="W53" s="66"/>
      <c r="X53" s="66"/>
      <c r="Y53" s="66"/>
      <c r="AA53" s="66"/>
      <c r="AB53" s="66"/>
      <c r="AC53" s="66"/>
      <c r="AD53" s="66"/>
      <c r="AF53" s="66"/>
      <c r="AG53" s="66"/>
      <c r="AH53" s="66"/>
      <c r="AI53" s="66"/>
      <c r="AK53" s="66"/>
      <c r="AL53" s="66"/>
      <c r="AM53" s="66"/>
      <c r="AN53" s="66"/>
      <c r="AP53" s="66"/>
      <c r="AQ53" s="66"/>
      <c r="AR53" s="66"/>
      <c r="AS53" s="66"/>
      <c r="AU53" s="66"/>
      <c r="AV53" s="66"/>
      <c r="AW53" s="66"/>
      <c r="AX53" s="66"/>
      <c r="AZ53" s="66"/>
      <c r="BA53" s="66"/>
      <c r="BB53" s="66"/>
      <c r="BC53" s="66"/>
      <c r="BE53" s="66"/>
      <c r="BF53" s="66"/>
      <c r="BG53" s="66"/>
      <c r="BH53" s="66"/>
      <c r="BJ53" s="66"/>
      <c r="BK53" s="66"/>
      <c r="BL53" s="66"/>
      <c r="BM53" s="66"/>
      <c r="BN53" s="45">
        <f>'REV-ANNUAL'!BN47-BN54</f>
        <v>2210.3999999999996</v>
      </c>
      <c r="BO53" s="66"/>
      <c r="BP53" s="66"/>
      <c r="BQ53" s="66"/>
      <c r="BR53" s="66"/>
      <c r="BS53" s="45">
        <f>'REV-ANNUAL'!BS47-BS54</f>
        <v>2297.6999999999998</v>
      </c>
      <c r="BT53" s="66"/>
      <c r="BU53" s="66"/>
      <c r="BV53" s="66"/>
      <c r="BW53" s="66"/>
      <c r="BX53" s="45">
        <f>'REV-ANNUAL'!BX47-BX54</f>
        <v>2437.5</v>
      </c>
      <c r="BY53" s="66"/>
      <c r="BZ53" s="66"/>
      <c r="CA53" s="66"/>
      <c r="CB53" s="66"/>
      <c r="CC53" s="45">
        <f>'REV-ANNUAL'!CC47-CC54</f>
        <v>2172.9949999999972</v>
      </c>
      <c r="CD53" s="66"/>
      <c r="CE53" s="66"/>
      <c r="CF53" s="66"/>
      <c r="CG53" s="66"/>
      <c r="CH53" s="45">
        <f>'REV-ANNUAL'!CD47-CH54</f>
        <v>1890.1836999999996</v>
      </c>
      <c r="CI53" s="66"/>
      <c r="CJ53" s="66"/>
      <c r="CK53" s="66"/>
      <c r="CL53" s="66"/>
      <c r="CM53" s="45">
        <f>'REV-ANNUAL'!CE47-CM54</f>
        <v>1482.8744790000001</v>
      </c>
    </row>
    <row r="54" spans="1:91">
      <c r="H54" s="7" t="s">
        <v>970</v>
      </c>
      <c r="L54" s="66"/>
      <c r="M54" s="66"/>
      <c r="N54" s="66"/>
      <c r="O54" s="66"/>
      <c r="Q54" s="66"/>
      <c r="R54" s="66"/>
      <c r="S54" s="66"/>
      <c r="T54" s="66"/>
      <c r="V54" s="66"/>
      <c r="W54" s="66"/>
      <c r="X54" s="66"/>
      <c r="Y54" s="66"/>
      <c r="AA54" s="66"/>
      <c r="AB54" s="66"/>
      <c r="AC54" s="66"/>
      <c r="AD54" s="66"/>
      <c r="AF54" s="66"/>
      <c r="AG54" s="66"/>
      <c r="AH54" s="66"/>
      <c r="AI54" s="66"/>
      <c r="AK54" s="66"/>
      <c r="AL54" s="66"/>
      <c r="AM54" s="66"/>
      <c r="AN54" s="66"/>
      <c r="AP54" s="66"/>
      <c r="AQ54" s="66"/>
      <c r="AR54" s="66"/>
      <c r="AS54" s="66"/>
      <c r="AU54" s="66"/>
      <c r="AV54" s="66"/>
      <c r="AW54" s="66"/>
      <c r="AX54" s="66"/>
      <c r="AZ54" s="66"/>
      <c r="BA54" s="66"/>
      <c r="BB54" s="66"/>
      <c r="BC54" s="66"/>
      <c r="BE54" s="66"/>
      <c r="BF54" s="66"/>
      <c r="BG54" s="66"/>
      <c r="BH54" s="66"/>
      <c r="BJ54" s="66"/>
      <c r="BK54" s="66"/>
      <c r="BL54" s="66"/>
      <c r="BM54" s="66"/>
      <c r="BN54" s="45">
        <f>'REV-ANNUAL'!BN50+'REV-ANNUAL'!BN53+'REV-ANNUAL'!BN68+'REV-ANNUAL'!BN71+'REV-ANNUAL'!BN74+'REV-ANNUAL'!BN77</f>
        <v>4826.3999999999996</v>
      </c>
      <c r="BO54" s="66"/>
      <c r="BP54" s="66"/>
      <c r="BQ54" s="66"/>
      <c r="BR54" s="66"/>
      <c r="BS54" s="45">
        <f>'REV-ANNUAL'!BS50+'REV-ANNUAL'!BS53+'REV-ANNUAL'!BS68+'REV-ANNUAL'!BS71+'REV-ANNUAL'!BS74+'REV-ANNUAL'!BS77</f>
        <v>5785.1000000000013</v>
      </c>
      <c r="BT54" s="66"/>
      <c r="BU54" s="66"/>
      <c r="BV54" s="66"/>
      <c r="BW54" s="66"/>
      <c r="BX54" s="45">
        <f>'REV-ANNUAL'!BX50+'REV-ANNUAL'!BX53+'REV-ANNUAL'!BX68+'REV-ANNUAL'!BX71+'REV-ANNUAL'!BX74+'REV-ANNUAL'!BX77</f>
        <v>7647.7999999999993</v>
      </c>
      <c r="BY54" s="66"/>
      <c r="BZ54" s="66"/>
      <c r="CA54" s="66"/>
      <c r="CB54" s="66"/>
      <c r="CC54" s="45">
        <f>'REV-ANNUAL'!CC50+'REV-ANNUAL'!CC53+'REV-ANNUAL'!CC68+'REV-ANNUAL'!CC71+'REV-ANNUAL'!CC74+'REV-ANNUAL'!CC77</f>
        <v>9708.719000000001</v>
      </c>
      <c r="CD54" s="66"/>
      <c r="CE54" s="66"/>
      <c r="CF54" s="66"/>
      <c r="CG54" s="66"/>
      <c r="CH54" s="45">
        <f>'REV-ANNUAL'!CD50+'REV-ANNUAL'!CD53+'REV-ANNUAL'!CD68+'REV-ANNUAL'!CD71+'REV-ANNUAL'!CD74+'REV-ANNUAL'!CD77</f>
        <v>10776.09895</v>
      </c>
      <c r="CI54" s="66"/>
      <c r="CJ54" s="66"/>
      <c r="CK54" s="66"/>
      <c r="CL54" s="66"/>
      <c r="CM54" s="45">
        <f>'REV-ANNUAL'!CE50+'REV-ANNUAL'!CE53+'REV-ANNUAL'!CE68+'REV-ANNUAL'!CE71+'REV-ANNUAL'!CE74+'REV-ANNUAL'!CE77</f>
        <v>11389.553501</v>
      </c>
    </row>
    <row r="55" spans="1:91">
      <c r="H55" s="7" t="s">
        <v>736</v>
      </c>
      <c r="L55" s="66"/>
      <c r="M55" s="66"/>
      <c r="N55" s="66"/>
      <c r="O55" s="66"/>
      <c r="Q55" s="66"/>
      <c r="R55" s="66"/>
      <c r="S55" s="66"/>
      <c r="T55" s="66"/>
      <c r="V55" s="66"/>
      <c r="W55" s="66"/>
      <c r="X55" s="66"/>
      <c r="Y55" s="66"/>
      <c r="AA55" s="66"/>
      <c r="AB55" s="66"/>
      <c r="AC55" s="66"/>
      <c r="AD55" s="66"/>
      <c r="AF55" s="66"/>
      <c r="AG55" s="66"/>
      <c r="AH55" s="66"/>
      <c r="AI55" s="66"/>
      <c r="AK55" s="66"/>
      <c r="AL55" s="66"/>
      <c r="AM55" s="66"/>
      <c r="AN55" s="66"/>
      <c r="AP55" s="66"/>
      <c r="AQ55" s="66"/>
      <c r="AR55" s="66"/>
      <c r="AS55" s="66"/>
      <c r="AU55" s="66"/>
      <c r="AV55" s="66"/>
      <c r="AW55" s="66"/>
      <c r="AX55" s="66"/>
      <c r="AZ55" s="66"/>
      <c r="BA55" s="66"/>
      <c r="BB55" s="66"/>
      <c r="BC55" s="66"/>
      <c r="BE55" s="66"/>
      <c r="BF55" s="66"/>
      <c r="BG55" s="66"/>
      <c r="BH55" s="66"/>
      <c r="BJ55" s="66"/>
      <c r="BK55" s="66"/>
      <c r="BL55" s="66"/>
      <c r="BM55" s="66"/>
      <c r="BN55" s="45" t="e">
        <f>'REV-ANNUAL'!BN106+'REV-ANNUAL'!#REF!+PIPELINE!#REF!</f>
        <v>#REF!</v>
      </c>
      <c r="BO55" s="66"/>
      <c r="BP55" s="66"/>
      <c r="BQ55" s="66"/>
      <c r="BR55" s="66"/>
      <c r="BS55" s="45" t="e">
        <f>'REV-ANNUAL'!BS106+'REV-ANNUAL'!#REF!+PIPELINE!#REF!</f>
        <v>#REF!</v>
      </c>
      <c r="BT55" s="66"/>
      <c r="BU55" s="66"/>
      <c r="BV55" s="66"/>
      <c r="BW55" s="66"/>
      <c r="BX55" s="45" t="e">
        <f>'REV-ANNUAL'!BX106+'REV-ANNUAL'!#REF!+PIPELINE!#REF!</f>
        <v>#REF!</v>
      </c>
      <c r="BY55" s="66"/>
      <c r="BZ55" s="66"/>
      <c r="CA55" s="66"/>
      <c r="CB55" s="66"/>
      <c r="CC55" s="45" t="e">
        <f>'REV-ANNUAL'!CC106+'REV-ANNUAL'!#REF!+PIPELINE!#REF!</f>
        <v>#REF!</v>
      </c>
      <c r="CD55" s="66"/>
      <c r="CE55" s="66"/>
      <c r="CF55" s="66"/>
      <c r="CG55" s="66"/>
      <c r="CH55" s="45" t="e">
        <f>'REV-ANNUAL'!CD106+'REV-ANNUAL'!#REF!+PIPELINE!#REF!</f>
        <v>#REF!</v>
      </c>
      <c r="CI55" s="66"/>
      <c r="CJ55" s="66"/>
      <c r="CK55" s="66"/>
      <c r="CL55" s="66"/>
      <c r="CM55" s="45" t="e">
        <f>'REV-ANNUAL'!CE106+'REV-ANNUAL'!#REF!+PIPELINE!#REF!</f>
        <v>#REF!</v>
      </c>
    </row>
    <row r="56" spans="1:91">
      <c r="H56" s="7" t="s">
        <v>739</v>
      </c>
      <c r="L56" s="66"/>
      <c r="M56" s="66"/>
      <c r="N56" s="66"/>
      <c r="O56" s="66"/>
      <c r="Q56" s="66"/>
      <c r="R56" s="66"/>
      <c r="S56" s="66"/>
      <c r="T56" s="66"/>
      <c r="V56" s="66"/>
      <c r="W56" s="66"/>
      <c r="X56" s="66"/>
      <c r="Y56" s="66"/>
      <c r="AA56" s="66"/>
      <c r="AB56" s="66"/>
      <c r="AC56" s="66"/>
      <c r="AD56" s="66"/>
      <c r="AF56" s="66"/>
      <c r="AG56" s="66"/>
      <c r="AH56" s="66"/>
      <c r="AI56" s="66"/>
      <c r="AK56" s="66"/>
      <c r="AL56" s="66"/>
      <c r="AM56" s="66"/>
      <c r="AN56" s="66"/>
      <c r="AP56" s="66"/>
      <c r="AQ56" s="66"/>
      <c r="AR56" s="66"/>
      <c r="AS56" s="66"/>
      <c r="AU56" s="66"/>
      <c r="AV56" s="66"/>
      <c r="AW56" s="66"/>
      <c r="AX56" s="66"/>
      <c r="AZ56" s="66"/>
      <c r="BA56" s="66"/>
      <c r="BB56" s="66"/>
      <c r="BC56" s="66"/>
      <c r="BE56" s="66"/>
      <c r="BF56" s="66"/>
      <c r="BG56" s="66"/>
      <c r="BH56" s="66"/>
      <c r="BJ56" s="66"/>
      <c r="BK56" s="66"/>
      <c r="BL56" s="66"/>
      <c r="BM56" s="66"/>
      <c r="BN56" s="45">
        <f>'REV-ANNUAL'!BN137</f>
        <v>3068</v>
      </c>
      <c r="BO56" s="66"/>
      <c r="BP56" s="66"/>
      <c r="BQ56" s="66"/>
      <c r="BR56" s="66"/>
      <c r="BS56" s="45">
        <f>'REV-ANNUAL'!BS137</f>
        <v>3225.4</v>
      </c>
      <c r="BT56" s="66"/>
      <c r="BU56" s="66"/>
      <c r="BV56" s="66"/>
      <c r="BW56" s="66"/>
      <c r="BX56" s="45">
        <f>'REV-ANNUAL'!BX137</f>
        <v>2871.3</v>
      </c>
      <c r="BY56" s="66"/>
      <c r="BZ56" s="66"/>
      <c r="CA56" s="66"/>
      <c r="CB56" s="66"/>
      <c r="CC56" s="45">
        <f>'REV-ANNUAL'!CC137</f>
        <v>1746.538</v>
      </c>
      <c r="CD56" s="66"/>
      <c r="CE56" s="66"/>
      <c r="CF56" s="66"/>
      <c r="CG56" s="66"/>
      <c r="CH56" s="45">
        <f>'REV-ANNUAL'!CD137</f>
        <v>691.90919999999994</v>
      </c>
      <c r="CI56" s="66"/>
      <c r="CJ56" s="66"/>
      <c r="CK56" s="66"/>
      <c r="CL56" s="66"/>
      <c r="CM56" s="45">
        <f>'REV-ANNUAL'!CE137</f>
        <v>588.41256199999998</v>
      </c>
    </row>
    <row r="57" spans="1:91">
      <c r="H57" s="7" t="s">
        <v>233</v>
      </c>
      <c r="L57" s="66"/>
      <c r="M57" s="66"/>
      <c r="N57" s="66"/>
      <c r="O57" s="66"/>
      <c r="Q57" s="66"/>
      <c r="R57" s="66"/>
      <c r="S57" s="66"/>
      <c r="T57" s="66"/>
      <c r="V57" s="66"/>
      <c r="W57" s="66"/>
      <c r="X57" s="66"/>
      <c r="Y57" s="66"/>
      <c r="AA57" s="66"/>
      <c r="AB57" s="66"/>
      <c r="AC57" s="66"/>
      <c r="AD57" s="66"/>
      <c r="AF57" s="66"/>
      <c r="AG57" s="66"/>
      <c r="AH57" s="66"/>
      <c r="AI57" s="66"/>
      <c r="AK57" s="66"/>
      <c r="AL57" s="66"/>
      <c r="AM57" s="66"/>
      <c r="AN57" s="66"/>
      <c r="AP57" s="66"/>
      <c r="AQ57" s="66"/>
      <c r="AR57" s="66"/>
      <c r="AS57" s="66"/>
      <c r="AU57" s="66"/>
      <c r="AV57" s="66"/>
      <c r="AW57" s="66"/>
      <c r="AX57" s="66"/>
      <c r="AZ57" s="66"/>
      <c r="BA57" s="66"/>
      <c r="BB57" s="66"/>
      <c r="BC57" s="66"/>
      <c r="BE57" s="66"/>
      <c r="BF57" s="66"/>
      <c r="BG57" s="66"/>
      <c r="BH57" s="66"/>
      <c r="BJ57" s="66"/>
      <c r="BK57" s="66"/>
      <c r="BL57" s="66"/>
      <c r="BM57" s="66"/>
      <c r="BN57" s="45">
        <f>'REV-ANNUAL'!BN15</f>
        <v>2935.5</v>
      </c>
      <c r="BO57" s="66"/>
      <c r="BP57" s="66"/>
      <c r="BQ57" s="66"/>
      <c r="BR57" s="66"/>
      <c r="BS57" s="45">
        <f>'REV-ANNUAL'!BS15+PIPELINE!BS14+PIPELINE!BS17+PIPELINE!BS11+PIPELINE!BS29</f>
        <v>2720.3</v>
      </c>
      <c r="BT57" s="66"/>
      <c r="BU57" s="66"/>
      <c r="BV57" s="66"/>
      <c r="BW57" s="66"/>
      <c r="BX57" s="45">
        <f>'REV-ANNUAL'!BX15+PIPELINE!BX14+PIPELINE!BX17+PIPELINE!BX11+PIPELINE!BX29</f>
        <v>2171.1</v>
      </c>
      <c r="BY57" s="66"/>
      <c r="BZ57" s="66"/>
      <c r="CA57" s="66"/>
      <c r="CB57" s="66"/>
      <c r="CC57" s="45">
        <f>'REV-ANNUAL'!CC15+PIPELINE!CC14+PIPELINE!CC17+PIPELINE!CC11+PIPELINE!CC29</f>
        <v>1818.9459999999999</v>
      </c>
      <c r="CD57" s="66"/>
      <c r="CE57" s="66"/>
      <c r="CF57" s="66"/>
      <c r="CG57" s="66"/>
      <c r="CH57" s="45">
        <f>'REV-ANNUAL'!CD15+PIPELINE!CD14+PIPELINE!CD17+PIPELINE!CD11+PIPELINE!CD29</f>
        <v>1632.66705</v>
      </c>
      <c r="CI57" s="66"/>
      <c r="CJ57" s="66"/>
      <c r="CK57" s="66"/>
      <c r="CL57" s="66"/>
      <c r="CM57" s="45">
        <f>'REV-ANNUAL'!CE15+PIPELINE!CE14+PIPELINE!CE17+PIPELINE!CE11+PIPELINE!CE29</f>
        <v>1564.7208175000001</v>
      </c>
    </row>
    <row r="58" spans="1:91">
      <c r="H58" s="7" t="s">
        <v>950</v>
      </c>
      <c r="L58" s="66"/>
      <c r="M58" s="66"/>
      <c r="N58" s="66"/>
      <c r="O58" s="66"/>
      <c r="Q58" s="66"/>
      <c r="R58" s="66"/>
      <c r="S58" s="66"/>
      <c r="T58" s="66"/>
      <c r="V58" s="66"/>
      <c r="W58" s="66"/>
      <c r="X58" s="66"/>
      <c r="Y58" s="66"/>
      <c r="AA58" s="66"/>
      <c r="AB58" s="66"/>
      <c r="AC58" s="66"/>
      <c r="AD58" s="66"/>
      <c r="AF58" s="66"/>
      <c r="AG58" s="66"/>
      <c r="AH58" s="66"/>
      <c r="AI58" s="66"/>
      <c r="AK58" s="66"/>
      <c r="AL58" s="66"/>
      <c r="AM58" s="66"/>
      <c r="AN58" s="66"/>
      <c r="AP58" s="66"/>
      <c r="AQ58" s="66"/>
      <c r="AR58" s="66"/>
      <c r="AS58" s="66"/>
      <c r="AU58" s="66"/>
      <c r="AV58" s="66"/>
      <c r="AW58" s="66"/>
      <c r="AX58" s="66"/>
      <c r="AZ58" s="66"/>
      <c r="BA58" s="66"/>
      <c r="BB58" s="66"/>
      <c r="BC58" s="66"/>
      <c r="BE58" s="66"/>
      <c r="BF58" s="66"/>
      <c r="BG58" s="66"/>
      <c r="BH58" s="66"/>
      <c r="BJ58" s="66"/>
      <c r="BK58" s="66"/>
      <c r="BL58" s="66"/>
      <c r="BM58" s="66"/>
      <c r="BN58" s="45">
        <f>'REV-ANNUAL'!BN168+PIPELINE!BN20</f>
        <v>0</v>
      </c>
      <c r="BO58" s="66"/>
      <c r="BP58" s="66"/>
      <c r="BQ58" s="66"/>
      <c r="BR58" s="66"/>
      <c r="BS58" s="45">
        <f>'REV-ANNUAL'!BS168+PIPELINE!BS20</f>
        <v>113.1</v>
      </c>
      <c r="BT58" s="66"/>
      <c r="BU58" s="66"/>
      <c r="BV58" s="66"/>
      <c r="BW58" s="66"/>
      <c r="BX58" s="45">
        <f>'REV-ANNUAL'!BX168+PIPELINE!BX20</f>
        <v>605</v>
      </c>
      <c r="BY58" s="66"/>
      <c r="BZ58" s="66"/>
      <c r="CA58" s="66"/>
      <c r="CB58" s="66"/>
      <c r="CC58" s="45">
        <f>'REV-ANNUAL'!CC168+PIPELINE!CC20</f>
        <v>972.94399999999996</v>
      </c>
      <c r="CD58" s="66"/>
      <c r="CE58" s="66"/>
      <c r="CF58" s="66"/>
      <c r="CG58" s="66"/>
      <c r="CH58" s="45">
        <f>'REV-ANNUAL'!CD168+PIPELINE!CD20</f>
        <v>1406.8505999999998</v>
      </c>
      <c r="CI58" s="66"/>
      <c r="CJ58" s="66"/>
      <c r="CK58" s="66"/>
      <c r="CL58" s="66"/>
      <c r="CM58" s="45">
        <f>'REV-ANNUAL'!CE168+PIPELINE!CE20</f>
        <v>1832.6657419999999</v>
      </c>
    </row>
    <row r="59" spans="1:91">
      <c r="H59" s="7" t="s">
        <v>285</v>
      </c>
      <c r="L59" s="66"/>
      <c r="M59" s="66"/>
      <c r="N59" s="66"/>
      <c r="O59" s="66"/>
      <c r="Q59" s="66"/>
      <c r="R59" s="66"/>
      <c r="S59" s="66"/>
      <c r="T59" s="66"/>
      <c r="V59" s="66"/>
      <c r="W59" s="66"/>
      <c r="X59" s="66"/>
      <c r="Y59" s="66"/>
      <c r="AA59" s="66"/>
      <c r="AB59" s="66"/>
      <c r="AC59" s="66"/>
      <c r="AD59" s="66"/>
      <c r="AF59" s="66"/>
      <c r="AG59" s="66"/>
      <c r="AH59" s="66"/>
      <c r="AI59" s="66"/>
      <c r="AK59" s="66"/>
      <c r="AL59" s="66"/>
      <c r="AM59" s="66"/>
      <c r="AN59" s="66"/>
      <c r="AP59" s="66"/>
      <c r="AQ59" s="66"/>
      <c r="AR59" s="66"/>
      <c r="AS59" s="66"/>
      <c r="AU59" s="66"/>
      <c r="AV59" s="66"/>
      <c r="AW59" s="66"/>
      <c r="AX59" s="66"/>
      <c r="AZ59" s="66"/>
      <c r="BA59" s="66"/>
      <c r="BB59" s="66"/>
      <c r="BC59" s="66"/>
      <c r="BE59" s="66"/>
      <c r="BF59" s="66"/>
      <c r="BG59" s="66"/>
      <c r="BH59" s="66"/>
      <c r="BJ59" s="66"/>
      <c r="BK59" s="66"/>
      <c r="BL59" s="66"/>
      <c r="BM59" s="66"/>
      <c r="BN59" s="45">
        <f>'REV-ANNUAL'!BN178+PIPELINE!BN32</f>
        <v>227.5</v>
      </c>
      <c r="BO59" s="66"/>
      <c r="BP59" s="66"/>
      <c r="BQ59" s="66"/>
      <c r="BR59" s="66"/>
      <c r="BS59" s="45">
        <f>'REV-ANNUAL'!BS178+PIPELINE!BS32</f>
        <v>200.5</v>
      </c>
      <c r="BT59" s="66"/>
      <c r="BU59" s="66"/>
      <c r="BV59" s="66"/>
      <c r="BW59" s="66"/>
      <c r="BX59" s="45">
        <f>'REV-ANNUAL'!BX178+PIPELINE!BX32</f>
        <v>241.3</v>
      </c>
      <c r="BY59" s="66"/>
      <c r="BZ59" s="66"/>
      <c r="CA59" s="66"/>
      <c r="CB59" s="66"/>
      <c r="CC59" s="45">
        <f>'REV-ANNUAL'!CC178+PIPELINE!CC32</f>
        <v>245.89</v>
      </c>
      <c r="CD59" s="66"/>
      <c r="CE59" s="66"/>
      <c r="CF59" s="66"/>
      <c r="CG59" s="66"/>
      <c r="CH59" s="45">
        <f>'REV-ANNUAL'!CD178+PIPELINE!CD32</f>
        <v>233.59549999999999</v>
      </c>
      <c r="CI59" s="66"/>
      <c r="CJ59" s="66"/>
      <c r="CK59" s="66"/>
      <c r="CL59" s="66"/>
      <c r="CM59" s="45">
        <f>'REV-ANNUAL'!CE178+PIPELINE!CE32</f>
        <v>221.91572499999998</v>
      </c>
    </row>
    <row r="60" spans="1:91">
      <c r="H60" s="7" t="s">
        <v>706</v>
      </c>
      <c r="L60" s="66"/>
      <c r="M60" s="66"/>
      <c r="N60" s="66"/>
      <c r="O60" s="66"/>
      <c r="Q60" s="66"/>
      <c r="R60" s="66"/>
      <c r="S60" s="66"/>
      <c r="T60" s="66"/>
      <c r="V60" s="66"/>
      <c r="W60" s="66"/>
      <c r="X60" s="66"/>
      <c r="Y60" s="66"/>
      <c r="AA60" s="66"/>
      <c r="AB60" s="66"/>
      <c r="AC60" s="66"/>
      <c r="AD60" s="66"/>
      <c r="AF60" s="66"/>
      <c r="AG60" s="66"/>
      <c r="AH60" s="66"/>
      <c r="AI60" s="66"/>
      <c r="AK60" s="66"/>
      <c r="AL60" s="66"/>
      <c r="AM60" s="66"/>
      <c r="AN60" s="66"/>
      <c r="AP60" s="66"/>
      <c r="AQ60" s="66"/>
      <c r="AR60" s="66"/>
      <c r="AS60" s="66"/>
      <c r="AU60" s="66"/>
      <c r="AV60" s="66"/>
      <c r="AW60" s="66"/>
      <c r="AX60" s="66"/>
      <c r="AZ60" s="66"/>
      <c r="BA60" s="66"/>
      <c r="BB60" s="66"/>
      <c r="BC60" s="66"/>
      <c r="BE60" s="66"/>
      <c r="BF60" s="66"/>
      <c r="BG60" s="66"/>
      <c r="BH60" s="66"/>
      <c r="BJ60" s="66"/>
      <c r="BK60" s="66"/>
      <c r="BL60" s="66"/>
      <c r="BM60" s="66"/>
      <c r="BN60" s="45">
        <f>'REV-ANNUAL'!BN206</f>
        <v>3181.1000000000004</v>
      </c>
      <c r="BO60" s="66"/>
      <c r="BP60" s="66"/>
      <c r="BQ60" s="66"/>
      <c r="BR60" s="66"/>
      <c r="BS60" s="45">
        <f>'REV-ANNUAL'!BS206</f>
        <v>3158.2</v>
      </c>
      <c r="BT60" s="66"/>
      <c r="BU60" s="66"/>
      <c r="BV60" s="66"/>
      <c r="BW60" s="66"/>
      <c r="BX60" s="45">
        <f>'REV-ANNUAL'!BX206</f>
        <v>3085.7</v>
      </c>
      <c r="BY60" s="66"/>
      <c r="BZ60" s="66"/>
      <c r="CA60" s="66"/>
      <c r="CB60" s="66"/>
      <c r="CC60" s="45">
        <f>'REV-ANNUAL'!CC206</f>
        <v>3161.5010000000002</v>
      </c>
      <c r="CD60" s="66"/>
      <c r="CE60" s="66"/>
      <c r="CF60" s="66"/>
      <c r="CG60" s="66"/>
      <c r="CH60" s="45">
        <f>'REV-ANNUAL'!CD206</f>
        <v>3369.7132000000001</v>
      </c>
      <c r="CI60" s="66"/>
      <c r="CJ60" s="66"/>
      <c r="CK60" s="66"/>
      <c r="CL60" s="66"/>
      <c r="CM60" s="45">
        <f>'REV-ANNUAL'!CE206</f>
        <v>3602.4887300000009</v>
      </c>
    </row>
    <row r="61" spans="1:91">
      <c r="L61" s="66"/>
      <c r="M61" s="66"/>
      <c r="N61" s="66"/>
      <c r="O61" s="66"/>
      <c r="Q61" s="66"/>
      <c r="R61" s="66"/>
      <c r="S61" s="66"/>
      <c r="T61" s="66"/>
      <c r="V61" s="66"/>
      <c r="W61" s="66"/>
      <c r="X61" s="66"/>
      <c r="Y61" s="66"/>
      <c r="AA61" s="66"/>
      <c r="AB61" s="66"/>
      <c r="AC61" s="66"/>
      <c r="AD61" s="66"/>
      <c r="AF61" s="66"/>
      <c r="AG61" s="66"/>
      <c r="AH61" s="66"/>
      <c r="AI61" s="66"/>
      <c r="AK61" s="66"/>
      <c r="AL61" s="66"/>
      <c r="AM61" s="66"/>
      <c r="AN61" s="66"/>
      <c r="AP61" s="66"/>
      <c r="AQ61" s="66"/>
      <c r="AR61" s="66"/>
      <c r="AS61" s="66"/>
      <c r="AU61" s="66"/>
      <c r="AV61" s="66"/>
      <c r="AW61" s="66"/>
      <c r="AX61" s="66"/>
      <c r="AZ61" s="66"/>
      <c r="BA61" s="66"/>
      <c r="BB61" s="66"/>
      <c r="BC61" s="66"/>
      <c r="BE61" s="66"/>
      <c r="BF61" s="66"/>
      <c r="BG61" s="66"/>
      <c r="BH61" s="66"/>
      <c r="BJ61" s="66"/>
      <c r="BK61" s="66"/>
      <c r="BL61" s="66"/>
      <c r="BM61" s="66"/>
      <c r="BN61" s="45" t="e">
        <f>SUM(BN53:BN60)</f>
        <v>#REF!</v>
      </c>
      <c r="BO61" s="66"/>
      <c r="BP61" s="66"/>
      <c r="BQ61" s="66"/>
      <c r="BR61" s="66"/>
      <c r="BS61" s="45" t="e">
        <f>SUM(BS53:BS60)</f>
        <v>#REF!</v>
      </c>
      <c r="BT61" s="66"/>
      <c r="BU61" s="66"/>
      <c r="BV61" s="66"/>
      <c r="BW61" s="66"/>
      <c r="BX61" s="45" t="e">
        <f>SUM(BX53:BX60)</f>
        <v>#REF!</v>
      </c>
      <c r="BY61" s="66"/>
      <c r="BZ61" s="66"/>
      <c r="CA61" s="66"/>
      <c r="CB61" s="66"/>
      <c r="CC61" s="45" t="e">
        <f>SUM(CC53:CC60)</f>
        <v>#REF!</v>
      </c>
      <c r="CD61" s="66"/>
      <c r="CE61" s="66"/>
      <c r="CF61" s="66"/>
      <c r="CG61" s="66"/>
      <c r="CH61" s="45" t="e">
        <f>SUM(CH53:CH60)</f>
        <v>#REF!</v>
      </c>
      <c r="CI61" s="66"/>
      <c r="CJ61" s="66"/>
      <c r="CK61" s="66"/>
      <c r="CL61" s="66"/>
      <c r="CM61" s="45" t="e">
        <f>SUM(CM53:CM60)</f>
        <v>#REF!</v>
      </c>
    </row>
    <row r="62" spans="1:91" s="832" customFormat="1" ht="13.5" thickBot="1">
      <c r="H62" s="1201"/>
      <c r="I62" s="1201" t="s">
        <v>968</v>
      </c>
      <c r="L62" s="1197"/>
      <c r="M62" s="1197"/>
      <c r="N62" s="1197"/>
      <c r="O62" s="1197"/>
      <c r="Q62" s="1197"/>
      <c r="R62" s="1197"/>
      <c r="S62" s="1197"/>
      <c r="T62" s="1197"/>
      <c r="V62" s="1197"/>
      <c r="W62" s="1197"/>
      <c r="X62" s="1197"/>
      <c r="Y62" s="1197"/>
      <c r="AA62" s="1197"/>
      <c r="AB62" s="1197"/>
      <c r="AC62" s="1197"/>
      <c r="AD62" s="1197"/>
      <c r="AF62" s="1197"/>
      <c r="AG62" s="1197"/>
      <c r="AH62" s="1197"/>
      <c r="AI62" s="1197"/>
      <c r="AK62" s="1197"/>
      <c r="AL62" s="1197"/>
      <c r="AM62" s="1197"/>
      <c r="AN62" s="1197"/>
      <c r="AP62" s="1197"/>
      <c r="AQ62" s="1197"/>
      <c r="AR62" s="1197"/>
      <c r="AS62" s="1197"/>
      <c r="AU62" s="1197"/>
      <c r="AV62" s="1197"/>
      <c r="AW62" s="1197"/>
      <c r="AX62" s="1197"/>
      <c r="AZ62" s="1197"/>
      <c r="BA62" s="1197"/>
      <c r="BB62" s="1197"/>
      <c r="BC62" s="1197"/>
      <c r="BE62" s="1197"/>
      <c r="BF62" s="1197"/>
      <c r="BG62" s="1197"/>
      <c r="BH62" s="1197"/>
      <c r="BJ62" s="1197"/>
      <c r="BK62" s="1197"/>
      <c r="BL62" s="1197"/>
      <c r="BM62" s="1197"/>
      <c r="BN62" s="1198"/>
      <c r="BO62" s="1197"/>
      <c r="BP62" s="1197"/>
      <c r="BQ62" s="1197"/>
      <c r="BR62" s="1197"/>
      <c r="BS62" s="44" t="str">
        <f>YEAR(BS$4) &amp; IF(BS$4&lt;=LatestRpQ, "A", "E")</f>
        <v>2016A</v>
      </c>
      <c r="BT62" s="43" t="str">
        <f>"1Q:" &amp; RIGHT(YEAR(BT$4),2) &amp; IF(BT$4&lt;=LatestRpQ, "A", "E")</f>
        <v>1Q:17A</v>
      </c>
      <c r="BU62" s="43" t="str">
        <f>"2Q:" &amp; RIGHT(YEAR(BU$4),2) &amp; IF(BU$4&lt;=LatestRpQ, "A", "E")</f>
        <v>2Q:17A</v>
      </c>
      <c r="BV62" s="43" t="str">
        <f>"3Q:" &amp; RIGHT(YEAR(BV$4),2) &amp; IF(BV$4&lt;=LatestRpQ, "A", "E")</f>
        <v>3Q:17A</v>
      </c>
      <c r="BW62" s="43" t="str">
        <f>"4Q:" &amp; RIGHT(YEAR(BW$4),2) &amp; IF(BW$4&lt;=LatestRpQ, "A", "E")</f>
        <v>4Q:17A</v>
      </c>
      <c r="BX62" s="44" t="str">
        <f>YEAR(BX$4) &amp; IF(BX$4&lt;=LatestRpQ, "A", "E")</f>
        <v>2017A</v>
      </c>
      <c r="BY62" s="43" t="str">
        <f>"1Q:" &amp; RIGHT(YEAR(BY$4),2) &amp; IF(BY$4&lt;=LatestRpQ, "A", "E")</f>
        <v>1Q:18A</v>
      </c>
      <c r="BZ62" s="43" t="str">
        <f>"2Q:" &amp; RIGHT(YEAR(BZ$4),2) &amp; IF(BZ$4&lt;=LatestRpQ, "A", "E")</f>
        <v>2Q:18E</v>
      </c>
      <c r="CA62" s="43" t="str">
        <f>"3Q:" &amp; RIGHT(YEAR(CA$4),2) &amp; IF(CA$4&lt;=LatestRpQ, "A", "E")</f>
        <v>3Q:18E</v>
      </c>
      <c r="CB62" s="43" t="str">
        <f>"4Q:" &amp; RIGHT(YEAR(CB$4),2) &amp; IF(CB$4&lt;=LatestRpQ, "A", "E")</f>
        <v>4Q:18E</v>
      </c>
      <c r="CC62" s="44" t="str">
        <f>YEAR(CC$4) &amp; IF(CC$4&lt;=LatestRpQ, "A", "E")</f>
        <v>2018E</v>
      </c>
      <c r="CD62" s="43" t="str">
        <f>"1Q:" &amp; RIGHT(YEAR(CD$4),2) &amp; IF(CD$4&lt;=LatestRpQ, "A", "E")</f>
        <v>1Q:19E</v>
      </c>
      <c r="CE62" s="43" t="str">
        <f>"2Q:" &amp; RIGHT(YEAR(CE$4),2) &amp; IF(CE$4&lt;=LatestRpQ, "A", "E")</f>
        <v>2Q:19E</v>
      </c>
      <c r="CF62" s="43" t="str">
        <f>"3Q:" &amp; RIGHT(YEAR(CF$4),2) &amp; IF(CF$4&lt;=LatestRpQ, "A", "E")</f>
        <v>3Q:19E</v>
      </c>
      <c r="CG62" s="43" t="str">
        <f>"4Q:" &amp; RIGHT(YEAR(CG$4),2) &amp; IF(CG$4&lt;=LatestRpQ, "A", "E")</f>
        <v>4Q:19E</v>
      </c>
      <c r="CH62" s="44" t="str">
        <f>YEAR(CH$4) &amp; IF(CH$4&lt;=LatestRpQ, "A", "E")</f>
        <v>2019E</v>
      </c>
      <c r="CI62" s="43" t="str">
        <f>"1Q:" &amp; RIGHT(YEAR(CI$4),2) &amp; IF(CI$4&lt;=LatestRpQ, "A", "E")</f>
        <v>1Q:20E</v>
      </c>
      <c r="CJ62" s="43" t="str">
        <f>"2Q:" &amp; RIGHT(YEAR(CJ$4),2) &amp; IF(CJ$4&lt;=LatestRpQ, "A", "E")</f>
        <v>2Q:20E</v>
      </c>
      <c r="CK62" s="43" t="str">
        <f>"3Q:" &amp; RIGHT(YEAR(CK$4),2) &amp; IF(CK$4&lt;=LatestRpQ, "A", "E")</f>
        <v>3Q:20E</v>
      </c>
      <c r="CL62" s="43" t="str">
        <f>"4Q:" &amp; RIGHT(YEAR(CL$4),2) &amp; IF(CL$4&lt;=LatestRpQ, "A", "E")</f>
        <v>4Q:20E</v>
      </c>
      <c r="CM62" s="44" t="str">
        <f>YEAR(CM$4) &amp; IF(CM$4&lt;=LatestRpQ, "A", "E")</f>
        <v>2020E</v>
      </c>
    </row>
    <row r="63" spans="1:91">
      <c r="I63" s="7" t="s">
        <v>977</v>
      </c>
      <c r="L63" s="66"/>
      <c r="M63" s="66"/>
      <c r="N63" s="66"/>
      <c r="O63" s="66"/>
      <c r="Q63" s="66"/>
      <c r="R63" s="66"/>
      <c r="S63" s="66"/>
      <c r="T63" s="66"/>
      <c r="V63" s="66"/>
      <c r="W63" s="66"/>
      <c r="X63" s="66"/>
      <c r="Y63" s="66"/>
      <c r="AA63" s="66"/>
      <c r="AB63" s="66"/>
      <c r="AC63" s="66"/>
      <c r="AD63" s="66"/>
      <c r="AF63" s="66"/>
      <c r="AG63" s="66"/>
      <c r="AH63" s="66"/>
      <c r="AI63" s="66"/>
      <c r="AK63" s="66"/>
      <c r="AL63" s="66"/>
      <c r="AM63" s="66"/>
      <c r="AN63" s="66"/>
      <c r="AP63" s="66"/>
      <c r="AQ63" s="66"/>
      <c r="AR63" s="66"/>
      <c r="AS63" s="66"/>
      <c r="AU63" s="66"/>
      <c r="AV63" s="66"/>
      <c r="AW63" s="66"/>
      <c r="AX63" s="66"/>
      <c r="AZ63" s="66"/>
      <c r="BA63" s="66"/>
      <c r="BB63" s="66"/>
      <c r="BC63" s="66"/>
      <c r="BE63" s="66"/>
      <c r="BF63" s="66"/>
      <c r="BG63" s="66"/>
      <c r="BH63" s="66"/>
      <c r="BJ63" s="66"/>
      <c r="BK63" s="66"/>
      <c r="BL63" s="66"/>
      <c r="BM63" s="66"/>
      <c r="BN63" s="48"/>
      <c r="BO63" s="66"/>
      <c r="BP63" s="66"/>
      <c r="BQ63" s="66"/>
      <c r="BR63" s="66"/>
      <c r="BS63" s="48">
        <v>0.26994951459626859</v>
      </c>
      <c r="BT63" s="66"/>
      <c r="BU63" s="66"/>
      <c r="BV63" s="66"/>
      <c r="BW63" s="66"/>
      <c r="BX63" s="48">
        <v>0.31278787614751558</v>
      </c>
      <c r="BY63" s="66"/>
      <c r="BZ63" s="66"/>
      <c r="CA63" s="66"/>
      <c r="CB63" s="66"/>
      <c r="CC63" s="48">
        <v>0.35582573449379135</v>
      </c>
      <c r="CD63" s="66"/>
      <c r="CE63" s="66"/>
      <c r="CF63" s="66"/>
      <c r="CG63" s="66"/>
      <c r="CH63" s="48">
        <v>0.37722731955448796</v>
      </c>
      <c r="CI63" s="66"/>
      <c r="CJ63" s="66"/>
      <c r="CK63" s="66"/>
      <c r="CL63" s="66"/>
      <c r="CM63" s="48">
        <v>0.36232127307941681</v>
      </c>
    </row>
    <row r="64" spans="1:91">
      <c r="I64" s="7" t="s">
        <v>736</v>
      </c>
      <c r="L64" s="66"/>
      <c r="M64" s="66"/>
      <c r="N64" s="66"/>
      <c r="O64" s="66"/>
      <c r="Q64" s="66"/>
      <c r="R64" s="66"/>
      <c r="S64" s="66"/>
      <c r="T64" s="66"/>
      <c r="V64" s="66"/>
      <c r="W64" s="66"/>
      <c r="X64" s="66"/>
      <c r="Y64" s="66"/>
      <c r="AA64" s="66"/>
      <c r="AB64" s="66"/>
      <c r="AC64" s="66"/>
      <c r="AD64" s="66"/>
      <c r="AF64" s="66"/>
      <c r="AG64" s="66"/>
      <c r="AH64" s="66"/>
      <c r="AI64" s="66"/>
      <c r="AK64" s="66"/>
      <c r="AL64" s="66"/>
      <c r="AM64" s="66"/>
      <c r="AN64" s="66"/>
      <c r="AP64" s="66"/>
      <c r="AQ64" s="66"/>
      <c r="AR64" s="66"/>
      <c r="AS64" s="66"/>
      <c r="AU64" s="66"/>
      <c r="AV64" s="66"/>
      <c r="AW64" s="66"/>
      <c r="AX64" s="66"/>
      <c r="AZ64" s="66"/>
      <c r="BA64" s="66"/>
      <c r="BB64" s="66"/>
      <c r="BC64" s="66"/>
      <c r="BE64" s="66"/>
      <c r="BF64" s="66"/>
      <c r="BG64" s="66"/>
      <c r="BH64" s="66"/>
      <c r="BJ64" s="66"/>
      <c r="BK64" s="66"/>
      <c r="BL64" s="66"/>
      <c r="BM64" s="66"/>
      <c r="BN64" s="48"/>
      <c r="BO64" s="66"/>
      <c r="BP64" s="66"/>
      <c r="BQ64" s="66"/>
      <c r="BR64" s="66"/>
      <c r="BS64" s="48">
        <v>0.17906302658145218</v>
      </c>
      <c r="BT64" s="66"/>
      <c r="BU64" s="66"/>
      <c r="BV64" s="66"/>
      <c r="BW64" s="66"/>
      <c r="BX64" s="48">
        <v>0.17018684044303678</v>
      </c>
      <c r="BY64" s="66"/>
      <c r="BZ64" s="66"/>
      <c r="CA64" s="66"/>
      <c r="CB64" s="66"/>
      <c r="CC64" s="48">
        <v>0.17543151985569783</v>
      </c>
      <c r="CD64" s="66"/>
      <c r="CE64" s="66"/>
      <c r="CF64" s="66"/>
      <c r="CG64" s="66"/>
      <c r="CH64" s="48">
        <v>0.18467924011062337</v>
      </c>
      <c r="CI64" s="66"/>
      <c r="CJ64" s="66"/>
      <c r="CK64" s="66"/>
      <c r="CL64" s="66"/>
      <c r="CM64" s="48">
        <v>0.1936273124599939</v>
      </c>
    </row>
    <row r="65" spans="8:256">
      <c r="I65" s="7" t="s">
        <v>706</v>
      </c>
      <c r="L65" s="66"/>
      <c r="M65" s="66"/>
      <c r="N65" s="66"/>
      <c r="O65" s="66"/>
      <c r="Q65" s="66"/>
      <c r="R65" s="66"/>
      <c r="S65" s="66"/>
      <c r="T65" s="66"/>
      <c r="V65" s="66"/>
      <c r="W65" s="66"/>
      <c r="X65" s="66"/>
      <c r="Y65" s="66"/>
      <c r="AA65" s="66"/>
      <c r="AB65" s="66"/>
      <c r="AC65" s="66"/>
      <c r="AD65" s="66"/>
      <c r="AF65" s="66"/>
      <c r="AG65" s="66"/>
      <c r="AH65" s="66"/>
      <c r="AI65" s="66"/>
      <c r="AK65" s="66"/>
      <c r="AL65" s="66"/>
      <c r="AM65" s="66"/>
      <c r="AN65" s="66"/>
      <c r="AP65" s="66"/>
      <c r="AQ65" s="66"/>
      <c r="AR65" s="66"/>
      <c r="AS65" s="66"/>
      <c r="AU65" s="66"/>
      <c r="AV65" s="66"/>
      <c r="AW65" s="66"/>
      <c r="AX65" s="66"/>
      <c r="AZ65" s="66"/>
      <c r="BA65" s="66"/>
      <c r="BB65" s="66"/>
      <c r="BC65" s="66"/>
      <c r="BE65" s="66"/>
      <c r="BF65" s="66"/>
      <c r="BG65" s="66"/>
      <c r="BH65" s="66"/>
      <c r="BJ65" s="66"/>
      <c r="BK65" s="66"/>
      <c r="BL65" s="66"/>
      <c r="BM65" s="66"/>
      <c r="BN65" s="48"/>
      <c r="BO65" s="66"/>
      <c r="BP65" s="66"/>
      <c r="BQ65" s="66"/>
      <c r="BR65" s="66"/>
      <c r="BS65" s="48">
        <v>0.14924931307212363</v>
      </c>
      <c r="BT65" s="66"/>
      <c r="BU65" s="66"/>
      <c r="BV65" s="66"/>
      <c r="BW65" s="66"/>
      <c r="BX65" s="48">
        <v>0.15549697539838178</v>
      </c>
      <c r="BY65" s="66"/>
      <c r="BZ65" s="66"/>
      <c r="CA65" s="66"/>
      <c r="CB65" s="66"/>
      <c r="CC65" s="48">
        <v>0.1646052793565437</v>
      </c>
      <c r="CD65" s="66"/>
      <c r="CE65" s="66"/>
      <c r="CF65" s="66"/>
      <c r="CG65" s="66"/>
      <c r="CH65" s="48">
        <v>0.16952261795153833</v>
      </c>
      <c r="CI65" s="66"/>
      <c r="CJ65" s="66"/>
      <c r="CK65" s="66"/>
      <c r="CL65" s="66"/>
      <c r="CM65" s="48">
        <v>0.16764661906612494</v>
      </c>
    </row>
    <row r="66" spans="8:256">
      <c r="I66" s="7" t="s">
        <v>950</v>
      </c>
      <c r="L66" s="66"/>
      <c r="M66" s="66"/>
      <c r="N66" s="66"/>
      <c r="O66" s="66"/>
      <c r="Q66" s="66"/>
      <c r="R66" s="66"/>
      <c r="S66" s="66"/>
      <c r="T66" s="66"/>
      <c r="V66" s="66"/>
      <c r="W66" s="66"/>
      <c r="X66" s="66"/>
      <c r="Y66" s="66"/>
      <c r="AA66" s="66"/>
      <c r="AB66" s="66"/>
      <c r="AC66" s="66"/>
      <c r="AD66" s="66"/>
      <c r="AF66" s="66"/>
      <c r="AG66" s="66"/>
      <c r="AH66" s="66"/>
      <c r="AI66" s="66"/>
      <c r="AK66" s="66"/>
      <c r="AL66" s="66"/>
      <c r="AM66" s="66"/>
      <c r="AN66" s="66"/>
      <c r="AP66" s="66"/>
      <c r="AQ66" s="66"/>
      <c r="AR66" s="66"/>
      <c r="AS66" s="66"/>
      <c r="AU66" s="66"/>
      <c r="AV66" s="66"/>
      <c r="AW66" s="66"/>
      <c r="AX66" s="66"/>
      <c r="AZ66" s="66"/>
      <c r="BA66" s="66"/>
      <c r="BB66" s="66"/>
      <c r="BC66" s="66"/>
      <c r="BE66" s="66"/>
      <c r="BF66" s="66"/>
      <c r="BG66" s="66"/>
      <c r="BH66" s="66"/>
      <c r="BJ66" s="66"/>
      <c r="BK66" s="66"/>
      <c r="BL66" s="66"/>
      <c r="BM66" s="66"/>
      <c r="BN66" s="48"/>
      <c r="BO66" s="66"/>
      <c r="BP66" s="66"/>
      <c r="BQ66" s="66"/>
      <c r="BR66" s="66"/>
      <c r="BS66" s="48">
        <v>5.0665674859198756E-3</v>
      </c>
      <c r="BT66" s="66"/>
      <c r="BU66" s="66"/>
      <c r="BV66" s="66"/>
      <c r="BW66" s="66"/>
      <c r="BX66" s="48">
        <v>2.7506443554279957E-2</v>
      </c>
      <c r="BY66" s="66"/>
      <c r="BZ66" s="66"/>
      <c r="CA66" s="66"/>
      <c r="CB66" s="66"/>
      <c r="CC66" s="48">
        <v>7.0861689609538411E-2</v>
      </c>
      <c r="CD66" s="66"/>
      <c r="CE66" s="66"/>
      <c r="CF66" s="66"/>
      <c r="CG66" s="66"/>
      <c r="CH66" s="48">
        <v>0.1088329955229265</v>
      </c>
      <c r="CI66" s="66"/>
      <c r="CJ66" s="66"/>
      <c r="CK66" s="66"/>
      <c r="CL66" s="66"/>
      <c r="CM66" s="48">
        <v>0.132640072827344</v>
      </c>
    </row>
    <row r="67" spans="8:256">
      <c r="I67" s="7" t="s">
        <v>233</v>
      </c>
      <c r="L67" s="66"/>
      <c r="M67" s="66"/>
      <c r="N67" s="66"/>
      <c r="O67" s="66"/>
      <c r="Q67" s="66"/>
      <c r="R67" s="66"/>
      <c r="S67" s="66"/>
      <c r="T67" s="66"/>
      <c r="V67" s="66"/>
      <c r="W67" s="66"/>
      <c r="X67" s="66"/>
      <c r="Y67" s="66"/>
      <c r="AA67" s="66"/>
      <c r="AB67" s="66"/>
      <c r="AC67" s="66"/>
      <c r="AD67" s="66"/>
      <c r="AF67" s="66"/>
      <c r="AG67" s="66"/>
      <c r="AH67" s="66"/>
      <c r="AI67" s="66"/>
      <c r="AK67" s="66"/>
      <c r="AL67" s="66"/>
      <c r="AM67" s="66"/>
      <c r="AN67" s="66"/>
      <c r="AP67" s="66"/>
      <c r="AQ67" s="66"/>
      <c r="AR67" s="66"/>
      <c r="AS67" s="66"/>
      <c r="AU67" s="66"/>
      <c r="AV67" s="66"/>
      <c r="AW67" s="66"/>
      <c r="AX67" s="66"/>
      <c r="AZ67" s="66"/>
      <c r="BA67" s="66"/>
      <c r="BB67" s="66"/>
      <c r="BC67" s="66"/>
      <c r="BE67" s="66"/>
      <c r="BF67" s="66"/>
      <c r="BG67" s="66"/>
      <c r="BH67" s="66"/>
      <c r="BJ67" s="66"/>
      <c r="BK67" s="66"/>
      <c r="BL67" s="66"/>
      <c r="BM67" s="66"/>
      <c r="BN67" s="48"/>
      <c r="BO67" s="66"/>
      <c r="BP67" s="66"/>
      <c r="BQ67" s="66"/>
      <c r="BR67" s="66"/>
      <c r="BS67" s="48">
        <v>0.12752317907185037</v>
      </c>
      <c r="BT67" s="66"/>
      <c r="BU67" s="66"/>
      <c r="BV67" s="66"/>
      <c r="BW67" s="66"/>
      <c r="BX67" s="48">
        <v>8.9004116436656164E-2</v>
      </c>
      <c r="BY67" s="66"/>
      <c r="BZ67" s="66"/>
      <c r="CA67" s="66"/>
      <c r="CB67" s="66"/>
      <c r="CC67" s="48">
        <v>7.2493976937716059E-2</v>
      </c>
      <c r="CD67" s="66"/>
      <c r="CE67" s="66"/>
      <c r="CF67" s="66"/>
      <c r="CG67" s="66"/>
      <c r="CH67" s="48">
        <v>6.834855018884578E-2</v>
      </c>
      <c r="CI67" s="66"/>
      <c r="CJ67" s="66"/>
      <c r="CK67" s="66"/>
      <c r="CL67" s="66"/>
      <c r="CM67" s="48">
        <v>7.2177670974573893E-2</v>
      </c>
    </row>
    <row r="68" spans="8:256">
      <c r="I68" s="7" t="s">
        <v>978</v>
      </c>
      <c r="L68" s="66"/>
      <c r="M68" s="66"/>
      <c r="N68" s="66"/>
      <c r="O68" s="66"/>
      <c r="Q68" s="66"/>
      <c r="R68" s="66"/>
      <c r="S68" s="66"/>
      <c r="T68" s="66"/>
      <c r="V68" s="66"/>
      <c r="W68" s="66"/>
      <c r="X68" s="66"/>
      <c r="Y68" s="66"/>
      <c r="AA68" s="66"/>
      <c r="AB68" s="66"/>
      <c r="AC68" s="66"/>
      <c r="AD68" s="66"/>
      <c r="AF68" s="66"/>
      <c r="AG68" s="66"/>
      <c r="AH68" s="66"/>
      <c r="AI68" s="66"/>
      <c r="AK68" s="66"/>
      <c r="AL68" s="66"/>
      <c r="AM68" s="66"/>
      <c r="AN68" s="66"/>
      <c r="AP68" s="66"/>
      <c r="AQ68" s="66"/>
      <c r="AR68" s="66"/>
      <c r="AS68" s="66"/>
      <c r="AU68" s="66"/>
      <c r="AV68" s="66"/>
      <c r="AW68" s="66"/>
      <c r="AX68" s="66"/>
      <c r="AZ68" s="66"/>
      <c r="BA68" s="66"/>
      <c r="BB68" s="66"/>
      <c r="BC68" s="66"/>
      <c r="BE68" s="66"/>
      <c r="BF68" s="66"/>
      <c r="BG68" s="66"/>
      <c r="BH68" s="66"/>
      <c r="BJ68" s="66"/>
      <c r="BK68" s="66"/>
      <c r="BL68" s="66"/>
      <c r="BM68" s="66"/>
      <c r="BN68" s="48"/>
      <c r="BO68" s="66"/>
      <c r="BP68" s="66"/>
      <c r="BQ68" s="66"/>
      <c r="BR68" s="66"/>
      <c r="BS68" s="48">
        <v>0.10700524114584123</v>
      </c>
      <c r="BT68" s="66"/>
      <c r="BU68" s="66"/>
      <c r="BV68" s="66"/>
      <c r="BW68" s="66"/>
      <c r="BX68" s="48">
        <v>9.8785804292158899E-2</v>
      </c>
      <c r="BY68" s="66"/>
      <c r="BZ68" s="66"/>
      <c r="CA68" s="66"/>
      <c r="CB68" s="66"/>
      <c r="CC68" s="48">
        <v>9.8477276419153797E-2</v>
      </c>
      <c r="CD68" s="66"/>
      <c r="CE68" s="66"/>
      <c r="CF68" s="66"/>
      <c r="CG68" s="66"/>
      <c r="CH68" s="48">
        <v>5.7047620627337509E-2</v>
      </c>
      <c r="CI68" s="66"/>
      <c r="CJ68" s="66"/>
      <c r="CK68" s="66"/>
      <c r="CL68" s="66"/>
      <c r="CM68" s="48">
        <v>3.5149192855498126E-2</v>
      </c>
    </row>
    <row r="69" spans="8:256">
      <c r="I69" s="7" t="s">
        <v>285</v>
      </c>
      <c r="L69" s="66"/>
      <c r="M69" s="66"/>
      <c r="N69" s="66"/>
      <c r="O69" s="66"/>
      <c r="Q69" s="66"/>
      <c r="R69" s="66"/>
      <c r="S69" s="66"/>
      <c r="T69" s="66"/>
      <c r="V69" s="66"/>
      <c r="W69" s="66"/>
      <c r="X69" s="66"/>
      <c r="Y69" s="66"/>
      <c r="AA69" s="66"/>
      <c r="AB69" s="66"/>
      <c r="AC69" s="66"/>
      <c r="AD69" s="66"/>
      <c r="AF69" s="66"/>
      <c r="AG69" s="66"/>
      <c r="AH69" s="66"/>
      <c r="AI69" s="66"/>
      <c r="AK69" s="66"/>
      <c r="AL69" s="66"/>
      <c r="AM69" s="66"/>
      <c r="AN69" s="66"/>
      <c r="AP69" s="66"/>
      <c r="AQ69" s="66"/>
      <c r="AR69" s="66"/>
      <c r="AS69" s="66"/>
      <c r="AU69" s="66"/>
      <c r="AV69" s="66"/>
      <c r="AW69" s="66"/>
      <c r="AX69" s="66"/>
      <c r="AZ69" s="66"/>
      <c r="BA69" s="66"/>
      <c r="BB69" s="66"/>
      <c r="BC69" s="66"/>
      <c r="BE69" s="66"/>
      <c r="BF69" s="66"/>
      <c r="BG69" s="66"/>
      <c r="BH69" s="66"/>
      <c r="BJ69" s="66"/>
      <c r="BK69" s="66"/>
      <c r="BL69" s="66"/>
      <c r="BM69" s="66"/>
      <c r="BN69" s="48"/>
      <c r="BO69" s="66"/>
      <c r="BP69" s="66"/>
      <c r="BQ69" s="66"/>
      <c r="BR69" s="66"/>
      <c r="BS69" s="48">
        <v>1.0510755544760372E-2</v>
      </c>
      <c r="BT69" s="66"/>
      <c r="BU69" s="66"/>
      <c r="BV69" s="66"/>
      <c r="BW69" s="66"/>
      <c r="BX69" s="48">
        <v>9.8006489527632055E-3</v>
      </c>
      <c r="BY69" s="66"/>
      <c r="BZ69" s="66"/>
      <c r="CA69" s="66"/>
      <c r="CB69" s="66"/>
      <c r="CC69" s="48">
        <v>9.6605255700702303E-3</v>
      </c>
      <c r="CD69" s="66"/>
      <c r="CE69" s="66"/>
      <c r="CF69" s="66"/>
      <c r="CG69" s="66"/>
      <c r="CH69" s="48">
        <v>1.126530951249389E-2</v>
      </c>
      <c r="CI69" s="66"/>
      <c r="CJ69" s="66"/>
      <c r="CK69" s="66"/>
      <c r="CL69" s="66"/>
      <c r="CM69" s="48">
        <v>1.8230145880344651E-2</v>
      </c>
    </row>
    <row r="70" spans="8:256">
      <c r="I70" s="7" t="s">
        <v>739</v>
      </c>
      <c r="L70" s="66"/>
      <c r="M70" s="66"/>
      <c r="N70" s="66"/>
      <c r="O70" s="66"/>
      <c r="Q70" s="66"/>
      <c r="R70" s="66"/>
      <c r="S70" s="66"/>
      <c r="T70" s="66"/>
      <c r="V70" s="66"/>
      <c r="W70" s="66"/>
      <c r="X70" s="66"/>
      <c r="Y70" s="66"/>
      <c r="AA70" s="66"/>
      <c r="AB70" s="66"/>
      <c r="AC70" s="66"/>
      <c r="AD70" s="66"/>
      <c r="AF70" s="66"/>
      <c r="AG70" s="66"/>
      <c r="AH70" s="66"/>
      <c r="AI70" s="66"/>
      <c r="AK70" s="66"/>
      <c r="AL70" s="66"/>
      <c r="AM70" s="66"/>
      <c r="AN70" s="66"/>
      <c r="AP70" s="66"/>
      <c r="AQ70" s="66"/>
      <c r="AR70" s="66"/>
      <c r="AS70" s="66"/>
      <c r="AU70" s="66"/>
      <c r="AV70" s="66"/>
      <c r="AW70" s="66"/>
      <c r="AX70" s="66"/>
      <c r="AZ70" s="66"/>
      <c r="BA70" s="66"/>
      <c r="BB70" s="66"/>
      <c r="BC70" s="66"/>
      <c r="BE70" s="66"/>
      <c r="BF70" s="66"/>
      <c r="BG70" s="66"/>
      <c r="BH70" s="66"/>
      <c r="BJ70" s="66"/>
      <c r="BK70" s="66"/>
      <c r="BL70" s="66"/>
      <c r="BM70" s="66"/>
      <c r="BN70" s="48"/>
      <c r="BO70" s="66"/>
      <c r="BP70" s="66"/>
      <c r="BQ70" s="66"/>
      <c r="BR70" s="66"/>
      <c r="BS70" s="48">
        <v>0.15163240250178375</v>
      </c>
      <c r="BT70" s="66"/>
      <c r="BU70" s="66"/>
      <c r="BV70" s="66"/>
      <c r="BW70" s="66"/>
      <c r="BX70" s="48">
        <v>0.13643129477520757</v>
      </c>
      <c r="BY70" s="66"/>
      <c r="BZ70" s="66"/>
      <c r="CA70" s="66"/>
      <c r="CB70" s="66"/>
      <c r="CC70" s="48">
        <v>5.2643997757488653E-2</v>
      </c>
      <c r="CD70" s="66"/>
      <c r="CE70" s="66"/>
      <c r="CF70" s="66"/>
      <c r="CG70" s="66"/>
      <c r="CH70" s="48">
        <v>2.3076346531746651E-2</v>
      </c>
      <c r="CI70" s="66"/>
      <c r="CJ70" s="66"/>
      <c r="CK70" s="66"/>
      <c r="CL70" s="66"/>
      <c r="CM70" s="48">
        <v>1.8207712856703726E-2</v>
      </c>
    </row>
    <row r="71" spans="8:256">
      <c r="L71" s="66"/>
      <c r="M71" s="66"/>
      <c r="N71" s="66"/>
      <c r="O71" s="66"/>
      <c r="Q71" s="66"/>
      <c r="R71" s="66"/>
      <c r="S71" s="66"/>
      <c r="T71" s="66"/>
      <c r="V71" s="66"/>
      <c r="W71" s="66"/>
      <c r="X71" s="66"/>
      <c r="Y71" s="66"/>
      <c r="AA71" s="66"/>
      <c r="AB71" s="66"/>
      <c r="AC71" s="66"/>
      <c r="AD71" s="66"/>
      <c r="AF71" s="66"/>
      <c r="AG71" s="66"/>
      <c r="AH71" s="66"/>
      <c r="AI71" s="66"/>
      <c r="AK71" s="66"/>
      <c r="AL71" s="66"/>
      <c r="AM71" s="66"/>
      <c r="AN71" s="66"/>
      <c r="AP71" s="66"/>
      <c r="AQ71" s="66"/>
      <c r="AR71" s="66"/>
      <c r="AS71" s="66"/>
      <c r="AU71" s="66"/>
      <c r="AV71" s="66"/>
      <c r="AW71" s="66"/>
      <c r="AX71" s="66"/>
      <c r="AZ71" s="66"/>
      <c r="BA71" s="66"/>
      <c r="BB71" s="66"/>
      <c r="BC71" s="66"/>
      <c r="BE71" s="66"/>
      <c r="BF71" s="66"/>
      <c r="BG71" s="66"/>
      <c r="BH71" s="66"/>
      <c r="BJ71" s="66"/>
      <c r="BK71" s="66"/>
      <c r="BL71" s="66"/>
      <c r="BM71" s="66"/>
      <c r="BN71" s="217"/>
      <c r="BO71" s="66"/>
      <c r="BP71" s="66"/>
      <c r="BQ71" s="66"/>
      <c r="BR71" s="66"/>
      <c r="BS71" s="217"/>
      <c r="BT71" s="66"/>
      <c r="BU71" s="66"/>
      <c r="BV71" s="66"/>
      <c r="BW71" s="66"/>
      <c r="BX71" s="217"/>
      <c r="BY71" s="66"/>
      <c r="BZ71" s="66"/>
      <c r="CA71" s="66"/>
      <c r="CB71" s="66"/>
      <c r="CC71" s="217"/>
      <c r="CD71" s="66"/>
      <c r="CE71" s="66"/>
      <c r="CF71" s="66"/>
      <c r="CG71" s="66"/>
      <c r="CH71" s="217"/>
      <c r="CI71" s="66"/>
      <c r="CJ71" s="66"/>
      <c r="CK71" s="66"/>
      <c r="CL71" s="66"/>
      <c r="CM71" s="217"/>
    </row>
    <row r="72" spans="8:256">
      <c r="L72" s="66"/>
      <c r="M72" s="66"/>
      <c r="N72" s="66"/>
      <c r="O72" s="66"/>
      <c r="Q72" s="66"/>
      <c r="R72" s="66"/>
      <c r="S72" s="66"/>
      <c r="T72" s="66"/>
      <c r="V72" s="66"/>
      <c r="W72" s="66"/>
      <c r="X72" s="66"/>
      <c r="Y72" s="66"/>
      <c r="AA72" s="66"/>
      <c r="AB72" s="66"/>
      <c r="AC72" s="66"/>
      <c r="AD72" s="66"/>
      <c r="AF72" s="66"/>
      <c r="AG72" s="66"/>
      <c r="AH72" s="66"/>
      <c r="AI72" s="66"/>
      <c r="AK72" s="66"/>
      <c r="AL72" s="66"/>
      <c r="AM72" s="66"/>
      <c r="AN72" s="66"/>
      <c r="AP72" s="66"/>
      <c r="AQ72" s="66"/>
      <c r="AR72" s="66"/>
      <c r="AS72" s="66"/>
      <c r="AU72" s="66"/>
      <c r="AV72" s="66"/>
      <c r="AW72" s="66"/>
      <c r="AX72" s="66"/>
      <c r="AZ72" s="66"/>
      <c r="BA72" s="66"/>
      <c r="BB72" s="66"/>
      <c r="BC72" s="66"/>
      <c r="BE72" s="66"/>
      <c r="BF72" s="66"/>
      <c r="BG72" s="66"/>
      <c r="BH72" s="66"/>
      <c r="BJ72" s="66"/>
      <c r="BK72" s="66"/>
      <c r="BL72" s="66"/>
      <c r="BM72" s="66"/>
      <c r="BN72" s="217"/>
      <c r="BO72" s="66"/>
      <c r="BP72" s="66"/>
      <c r="BQ72" s="66"/>
      <c r="BR72" s="66"/>
      <c r="BS72" s="217"/>
      <c r="BT72" s="66"/>
      <c r="BU72" s="66"/>
      <c r="BV72" s="66"/>
      <c r="BW72" s="66"/>
      <c r="BX72" s="217"/>
      <c r="BY72" s="66"/>
      <c r="BZ72" s="66"/>
      <c r="CA72" s="66"/>
      <c r="CB72" s="66"/>
      <c r="CC72" s="217"/>
      <c r="CD72" s="66"/>
      <c r="CE72" s="66"/>
      <c r="CF72" s="66"/>
      <c r="CG72" s="66"/>
      <c r="CH72" s="217"/>
      <c r="CI72" s="66"/>
      <c r="CJ72" s="66"/>
      <c r="CK72" s="66"/>
      <c r="CL72" s="66"/>
      <c r="CM72" s="217"/>
    </row>
    <row r="73" spans="8:256">
      <c r="H73" s="15" t="s">
        <v>151</v>
      </c>
      <c r="L73" s="724">
        <f>'IS-ANNUAL'!L11</f>
        <v>3497.4</v>
      </c>
      <c r="M73" s="724">
        <f>'IS-ANNUAL'!M11</f>
        <v>3667.7</v>
      </c>
      <c r="N73" s="724">
        <f>'IS-ANNUAL'!N11</f>
        <v>3601.1</v>
      </c>
      <c r="O73" s="724">
        <f>'IS-ANNUAL'!O11</f>
        <v>3879.1</v>
      </c>
      <c r="P73" s="45">
        <f>'IS-ANNUAL'!P11</f>
        <v>14645.3</v>
      </c>
      <c r="Q73" s="724">
        <f>'IS-ANNUAL'!Q11</f>
        <v>3714.8</v>
      </c>
      <c r="R73" s="724">
        <f>'IS-ANNUAL'!R11</f>
        <v>3867.1</v>
      </c>
      <c r="S73" s="724">
        <f>'IS-ANNUAL'!S11</f>
        <v>3864.05</v>
      </c>
      <c r="T73" s="724">
        <f>'IS-ANNUAL'!T11</f>
        <v>4245.3</v>
      </c>
      <c r="U73" s="45">
        <f>'IS-ANNUAL'!U11</f>
        <v>15691.25</v>
      </c>
      <c r="V73" s="724">
        <f>'IS-ANNUAL'!V11</f>
        <v>4226.2</v>
      </c>
      <c r="W73" s="724">
        <f>'IS-ANNUAL'!W11</f>
        <v>4630.8999999999996</v>
      </c>
      <c r="X73" s="724">
        <f>'IS-ANNUAL'!X11</f>
        <v>4586.8</v>
      </c>
      <c r="Y73" s="724">
        <f>'IS-ANNUAL'!Y11</f>
        <v>5189.7999999999993</v>
      </c>
      <c r="Z73" s="45">
        <f>'IS-ANNUAL'!Z11</f>
        <v>18633.699999999997</v>
      </c>
      <c r="AA73" s="724">
        <f>'IS-ANNUAL'!AA11</f>
        <v>4911</v>
      </c>
      <c r="AB73" s="724">
        <f>'IS-ANNUAL'!AB11</f>
        <v>5251</v>
      </c>
      <c r="AC73" s="724">
        <f>'IS-ANNUAL'!AC11</f>
        <v>5308.7000000000007</v>
      </c>
      <c r="AD73" s="724">
        <f>'IS-ANNUAL'!AD11</f>
        <v>5261.7000000000007</v>
      </c>
      <c r="AE73" s="45">
        <f>'IS-ANNUAL'!AE11</f>
        <v>20732.400000000001</v>
      </c>
      <c r="AF73" s="724">
        <f>'IS-ANNUAL'!AF11</f>
        <v>5046.5</v>
      </c>
      <c r="AG73" s="724">
        <f>'IS-ANNUAL'!AG11</f>
        <v>5292.61</v>
      </c>
      <c r="AH73" s="724">
        <f>'IS-ANNUAL'!AH11</f>
        <v>5562.2000000000007</v>
      </c>
      <c r="AI73" s="724">
        <f>'IS-ANNUAL'!AI11</f>
        <v>5934.7</v>
      </c>
      <c r="AJ73" s="45">
        <f>'IS-ANNUAL'!AJ11</f>
        <v>21836.010000000002</v>
      </c>
      <c r="AK73" s="724"/>
      <c r="AL73" s="724"/>
      <c r="AM73" s="724"/>
      <c r="AN73" s="724"/>
      <c r="AO73" s="45">
        <f>'IS-ANNUAL'!AO11</f>
        <v>23076.080000000002</v>
      </c>
      <c r="AP73" s="724"/>
      <c r="AQ73" s="724"/>
      <c r="AR73" s="724"/>
      <c r="AS73" s="724"/>
      <c r="AT73" s="45">
        <f>'IS-ANNUAL'!AT11</f>
        <v>24286.600000000002</v>
      </c>
      <c r="AU73" s="724"/>
      <c r="AV73" s="724"/>
      <c r="AW73" s="724"/>
      <c r="AX73" s="724"/>
      <c r="AY73" s="45">
        <f>'IS-ANNUAL'!AY11</f>
        <v>22603.300000000003</v>
      </c>
      <c r="AZ73" s="724"/>
      <c r="BA73" s="724"/>
      <c r="BB73" s="724"/>
      <c r="BC73" s="724"/>
      <c r="BD73" s="45">
        <f>'IS-ANNUAL'!BD11</f>
        <v>23112.800000000003</v>
      </c>
      <c r="BE73" s="724"/>
      <c r="BF73" s="724"/>
      <c r="BG73" s="724"/>
      <c r="BH73" s="724"/>
      <c r="BI73" s="45">
        <f>'IS-ANNUAL'!BI11</f>
        <v>19615.599999999999</v>
      </c>
      <c r="BJ73" s="724"/>
      <c r="BK73" s="724"/>
      <c r="BL73" s="724"/>
      <c r="BM73" s="724"/>
      <c r="BN73" s="45">
        <f>'IS-ANNUAL'!BN11</f>
        <v>19958.699999999997</v>
      </c>
      <c r="BO73" s="724"/>
      <c r="BP73" s="724"/>
      <c r="BQ73" s="724"/>
      <c r="BR73" s="724"/>
      <c r="BS73" s="45">
        <f>'IS-ANNUAL'!BS11</f>
        <v>21210.200000000004</v>
      </c>
      <c r="BT73" s="724"/>
      <c r="BU73" s="724"/>
      <c r="BV73" s="724"/>
      <c r="BW73" s="724"/>
      <c r="BX73" s="45">
        <f>'IS-ANNUAL'!BX11</f>
        <v>22871.599999999999</v>
      </c>
      <c r="BY73" s="724"/>
      <c r="BZ73" s="724"/>
      <c r="CA73" s="724"/>
      <c r="CB73" s="724"/>
      <c r="CC73" s="45">
        <f>'IS-ANNUAL'!CC11</f>
        <v>24022.338999999996</v>
      </c>
      <c r="CD73" s="724"/>
      <c r="CE73" s="724"/>
      <c r="CF73" s="724"/>
      <c r="CG73" s="724"/>
      <c r="CH73" s="45">
        <f>'IS-ANNUAL'!CD11</f>
        <v>24592.02145</v>
      </c>
      <c r="CI73" s="724"/>
      <c r="CJ73" s="724"/>
      <c r="CK73" s="724"/>
      <c r="CL73" s="724"/>
      <c r="CM73" s="45">
        <f>'IS-ANNUAL'!CE11</f>
        <v>25514.011554000001</v>
      </c>
    </row>
    <row r="74" spans="8:256">
      <c r="H74" s="7" t="s">
        <v>622</v>
      </c>
      <c r="L74" s="66"/>
      <c r="M74" s="66"/>
      <c r="N74" s="66"/>
      <c r="O74" s="66"/>
      <c r="P74" s="45">
        <f>'IS-ANNUAL'!P24</f>
        <v>3474.2</v>
      </c>
      <c r="Q74" s="66"/>
      <c r="R74" s="66"/>
      <c r="S74" s="66"/>
      <c r="T74" s="66"/>
      <c r="U74" s="45">
        <f>'IS-ANNUAL'!U24</f>
        <v>3546.5</v>
      </c>
      <c r="V74" s="66"/>
      <c r="W74" s="66"/>
      <c r="X74" s="66"/>
      <c r="Y74" s="66"/>
      <c r="Z74" s="45">
        <f>'IS-ANNUAL'!Z24</f>
        <v>4248.8</v>
      </c>
      <c r="AA74" s="66"/>
      <c r="AB74" s="66"/>
      <c r="AC74" s="66"/>
      <c r="AD74" s="66"/>
      <c r="AE74" s="45">
        <f>'IS-ANNUAL'!AE24</f>
        <v>4468.4999999999991</v>
      </c>
      <c r="AF74" s="66"/>
      <c r="AG74" s="66"/>
      <c r="AH74" s="66"/>
      <c r="AI74" s="66"/>
      <c r="AJ74" s="45">
        <f>'IS-ANNUAL'!AJ24</f>
        <v>4247</v>
      </c>
      <c r="AK74" s="66"/>
      <c r="AL74" s="66"/>
      <c r="AM74" s="66"/>
      <c r="AN74" s="66"/>
      <c r="AO74" s="45">
        <f>'IS-ANNUAL'!AO24</f>
        <v>4366.2</v>
      </c>
      <c r="AP74" s="66"/>
      <c r="AQ74" s="66"/>
      <c r="AR74" s="66"/>
      <c r="AS74" s="66"/>
      <c r="AT74" s="45">
        <f>'IS-ANNUAL'!AT24</f>
        <v>5067.8999999999996</v>
      </c>
      <c r="AU74" s="66"/>
      <c r="AV74" s="66"/>
      <c r="AW74" s="66"/>
      <c r="AX74" s="66"/>
      <c r="AY74" s="45">
        <f>'IS-ANNUAL'!AY24</f>
        <v>4796.5</v>
      </c>
      <c r="AZ74" s="66"/>
      <c r="BA74" s="66"/>
      <c r="BB74" s="66"/>
      <c r="BC74" s="66"/>
      <c r="BD74" s="45">
        <f>'IS-ANNUAL'!BD24</f>
        <v>4908.1000000000004</v>
      </c>
      <c r="BE74" s="66"/>
      <c r="BF74" s="66"/>
      <c r="BG74" s="66"/>
      <c r="BH74" s="66"/>
      <c r="BI74" s="45">
        <f>'IS-ANNUAL'!BI24</f>
        <v>4547.3999999999996</v>
      </c>
      <c r="BJ74" s="66"/>
      <c r="BK74" s="66"/>
      <c r="BL74" s="66"/>
      <c r="BM74" s="66"/>
      <c r="BN74" s="45">
        <f>'IS-ANNUAL'!BN24</f>
        <v>4367.5</v>
      </c>
      <c r="BO74" s="66"/>
      <c r="BP74" s="66"/>
      <c r="BQ74" s="66"/>
      <c r="BR74" s="66"/>
      <c r="BS74" s="45">
        <f>'IS-ANNUAL'!BS24</f>
        <v>4979.2</v>
      </c>
      <c r="BT74" s="66"/>
      <c r="BU74" s="66"/>
      <c r="BV74" s="66"/>
      <c r="BW74" s="66"/>
      <c r="BX74" s="45">
        <f>'IS-ANNUAL'!BX24</f>
        <v>5359</v>
      </c>
      <c r="BY74" s="66"/>
      <c r="BZ74" s="66"/>
      <c r="CA74" s="66"/>
      <c r="CB74" s="66"/>
      <c r="CC74" s="45">
        <f>'IS-ANNUAL'!CC24</f>
        <v>6012.929415999999</v>
      </c>
      <c r="CD74" s="66"/>
      <c r="CE74" s="66"/>
      <c r="CF74" s="66"/>
      <c r="CG74" s="66"/>
      <c r="CH74" s="45">
        <f>'IS-ANNUAL'!CD24</f>
        <v>5975.8612123499997</v>
      </c>
      <c r="CI74" s="66"/>
      <c r="CJ74" s="66"/>
      <c r="CK74" s="66"/>
      <c r="CL74" s="66"/>
      <c r="CM74" s="45">
        <f>'IS-ANNUAL'!CE24</f>
        <v>5995.7927151899994</v>
      </c>
      <c r="IV74" s="45"/>
    </row>
    <row r="75" spans="8:256">
      <c r="H75" s="15" t="s">
        <v>152</v>
      </c>
      <c r="L75" s="724">
        <f>'IS-ANNUAL'!L25</f>
        <v>2638.4</v>
      </c>
      <c r="M75" s="724">
        <f>'IS-ANNUAL'!M25</f>
        <v>2796.3999999999996</v>
      </c>
      <c r="N75" s="724">
        <f>'IS-ANNUAL'!N25</f>
        <v>2755.3999999999996</v>
      </c>
      <c r="O75" s="724">
        <f>'IS-ANNUAL'!O25</f>
        <v>2980.8999999999996</v>
      </c>
      <c r="P75" s="45">
        <f>'IS-ANNUAL'!P25</f>
        <v>11171.099999999999</v>
      </c>
      <c r="Q75" s="724">
        <f>'IS-ANNUAL'!Q25</f>
        <v>2908.3</v>
      </c>
      <c r="R75" s="724">
        <f>'IS-ANNUAL'!R25</f>
        <v>3006.5</v>
      </c>
      <c r="S75" s="724">
        <f>'IS-ANNUAL'!S25</f>
        <v>3003.65</v>
      </c>
      <c r="T75" s="724">
        <f>'IS-ANNUAL'!T25</f>
        <v>3226.3</v>
      </c>
      <c r="U75" s="45">
        <f>'IS-ANNUAL'!U25</f>
        <v>12144.75</v>
      </c>
      <c r="V75" s="724">
        <f>'IS-ANNUAL'!V25</f>
        <v>3303.7</v>
      </c>
      <c r="W75" s="724">
        <f>'IS-ANNUAL'!W25</f>
        <v>3631.9999999999995</v>
      </c>
      <c r="X75" s="724">
        <f>'IS-ANNUAL'!X25</f>
        <v>3532.2000000000003</v>
      </c>
      <c r="Y75" s="724">
        <f>'IS-ANNUAL'!Y25</f>
        <v>3916.9999999999991</v>
      </c>
      <c r="Z75" s="45">
        <f>'IS-ANNUAL'!Z25</f>
        <v>14384.899999999998</v>
      </c>
      <c r="AA75" s="724">
        <f>'IS-ANNUAL'!AA25</f>
        <v>3755.9</v>
      </c>
      <c r="AB75" s="724">
        <f>'IS-ANNUAL'!AB25</f>
        <v>4067.7</v>
      </c>
      <c r="AC75" s="724">
        <f>'IS-ANNUAL'!AC25</f>
        <v>4109.5000000000009</v>
      </c>
      <c r="AD75" s="724">
        <f>'IS-ANNUAL'!AD25</f>
        <v>4330.8000000000011</v>
      </c>
      <c r="AE75" s="45">
        <f>'IS-ANNUAL'!AE25</f>
        <v>16263.900000000001</v>
      </c>
      <c r="AF75" s="724">
        <f>'IS-ANNUAL'!AF25</f>
        <v>4230.1000000000004</v>
      </c>
      <c r="AG75" s="724">
        <f>'IS-ANNUAL'!AG25</f>
        <v>4345.21</v>
      </c>
      <c r="AH75" s="724">
        <f>'IS-ANNUAL'!AH25</f>
        <v>4510.3000000000011</v>
      </c>
      <c r="AI75" s="724">
        <f>'IS-ANNUAL'!AI25</f>
        <v>4503.3999999999996</v>
      </c>
      <c r="AJ75" s="45">
        <f>'IS-ANNUAL'!AJ25</f>
        <v>17589.010000000002</v>
      </c>
      <c r="AK75" s="724"/>
      <c r="AL75" s="724"/>
      <c r="AM75" s="724"/>
      <c r="AN75" s="724"/>
      <c r="AO75" s="45">
        <f>'IS-ANNUAL'!AO25</f>
        <v>18709.88</v>
      </c>
      <c r="AP75" s="724"/>
      <c r="AQ75" s="724"/>
      <c r="AR75" s="724"/>
      <c r="AS75" s="724"/>
      <c r="AT75" s="45">
        <f>'IS-ANNUAL'!AT25</f>
        <v>19218.700000000004</v>
      </c>
      <c r="AU75" s="724"/>
      <c r="AV75" s="724"/>
      <c r="AW75" s="724"/>
      <c r="AX75" s="724"/>
      <c r="AY75" s="45">
        <f>'IS-ANNUAL'!AY25</f>
        <v>17806.800000000003</v>
      </c>
      <c r="AZ75" s="724"/>
      <c r="BA75" s="724"/>
      <c r="BB75" s="724"/>
      <c r="BC75" s="724"/>
      <c r="BD75" s="45">
        <f>'IS-ANNUAL'!BD25</f>
        <v>18204.700000000004</v>
      </c>
      <c r="BE75" s="724"/>
      <c r="BF75" s="724"/>
      <c r="BG75" s="724"/>
      <c r="BH75" s="724"/>
      <c r="BI75" s="45">
        <f>'IS-ANNUAL'!BI25</f>
        <v>15068.199999999999</v>
      </c>
      <c r="BJ75" s="724"/>
      <c r="BK75" s="724"/>
      <c r="BL75" s="724"/>
      <c r="BM75" s="724"/>
      <c r="BN75" s="45">
        <f>'IS-ANNUAL'!BN25</f>
        <v>15591.199999999997</v>
      </c>
      <c r="BO75" s="724"/>
      <c r="BP75" s="724"/>
      <c r="BQ75" s="724"/>
      <c r="BR75" s="724"/>
      <c r="BS75" s="45">
        <f>'IS-ANNUAL'!BS25</f>
        <v>16231.000000000004</v>
      </c>
      <c r="BT75" s="724"/>
      <c r="BU75" s="724"/>
      <c r="BV75" s="724"/>
      <c r="BW75" s="724"/>
      <c r="BX75" s="45">
        <f>'IS-ANNUAL'!BX25</f>
        <v>17512.599999999999</v>
      </c>
      <c r="BY75" s="724"/>
      <c r="BZ75" s="724"/>
      <c r="CA75" s="724"/>
      <c r="CB75" s="724"/>
      <c r="CC75" s="45">
        <f>'IS-ANNUAL'!CC25</f>
        <v>18009.409583999997</v>
      </c>
      <c r="CD75" s="724"/>
      <c r="CE75" s="724"/>
      <c r="CF75" s="724"/>
      <c r="CG75" s="724"/>
      <c r="CH75" s="45">
        <f>'IS-ANNUAL'!CD25</f>
        <v>18616.160237650001</v>
      </c>
      <c r="CI75" s="724"/>
      <c r="CJ75" s="724"/>
      <c r="CK75" s="724"/>
      <c r="CL75" s="724"/>
      <c r="CM75" s="45">
        <f>'IS-ANNUAL'!CE25</f>
        <v>19518.21883881</v>
      </c>
    </row>
    <row r="76" spans="8:256">
      <c r="H76" s="46" t="s">
        <v>153</v>
      </c>
      <c r="L76" s="725">
        <f t="shared" ref="L76:AJ76" si="0">L75/L73</f>
        <v>0.75438897466689536</v>
      </c>
      <c r="M76" s="725">
        <f t="shared" si="0"/>
        <v>0.76243967609128327</v>
      </c>
      <c r="N76" s="725">
        <f t="shared" si="0"/>
        <v>0.76515509149981942</v>
      </c>
      <c r="O76" s="725">
        <f t="shared" si="0"/>
        <v>0.76845144492279127</v>
      </c>
      <c r="P76" s="32">
        <f t="shared" si="0"/>
        <v>0.76277713669231761</v>
      </c>
      <c r="Q76" s="725">
        <f t="shared" si="0"/>
        <v>0.78289544524604282</v>
      </c>
      <c r="R76" s="725">
        <f t="shared" si="0"/>
        <v>0.77745597476144912</v>
      </c>
      <c r="S76" s="725">
        <f t="shared" si="0"/>
        <v>0.77733207386032788</v>
      </c>
      <c r="T76" s="725">
        <f t="shared" si="0"/>
        <v>0.75996984900949283</v>
      </c>
      <c r="U76" s="32">
        <f t="shared" si="0"/>
        <v>0.7739823149844659</v>
      </c>
      <c r="V76" s="725">
        <f t="shared" si="0"/>
        <v>0.78171880176044672</v>
      </c>
      <c r="W76" s="725">
        <f t="shared" si="0"/>
        <v>0.78429678896110899</v>
      </c>
      <c r="X76" s="725">
        <f t="shared" si="0"/>
        <v>0.77007935815819306</v>
      </c>
      <c r="Y76" s="725">
        <f t="shared" si="0"/>
        <v>0.7547497013372384</v>
      </c>
      <c r="Z76" s="32">
        <f t="shared" si="0"/>
        <v>0.7719830200121286</v>
      </c>
      <c r="AA76" s="725">
        <f t="shared" si="0"/>
        <v>0.7647933211158624</v>
      </c>
      <c r="AB76" s="725">
        <f t="shared" si="0"/>
        <v>0.77465244715292325</v>
      </c>
      <c r="AC76" s="725">
        <f t="shared" si="0"/>
        <v>0.77410665511330468</v>
      </c>
      <c r="AD76" s="725">
        <f t="shared" si="0"/>
        <v>0.82307999315810487</v>
      </c>
      <c r="AE76" s="32">
        <f t="shared" si="0"/>
        <v>0.7844677895467963</v>
      </c>
      <c r="AF76" s="725">
        <f t="shared" si="0"/>
        <v>0.83822451203804627</v>
      </c>
      <c r="AG76" s="725">
        <f t="shared" si="0"/>
        <v>0.82099569021711416</v>
      </c>
      <c r="AH76" s="725">
        <f t="shared" si="0"/>
        <v>0.81088418251770888</v>
      </c>
      <c r="AI76" s="725">
        <f t="shared" si="0"/>
        <v>0.75882521441690398</v>
      </c>
      <c r="AJ76" s="32">
        <f t="shared" si="0"/>
        <v>0.80550476025610906</v>
      </c>
      <c r="AK76" s="725"/>
      <c r="AL76" s="725"/>
      <c r="AM76" s="725"/>
      <c r="AN76" s="725"/>
      <c r="AO76" s="32">
        <f>AO75/AO73</f>
        <v>0.81079108756773244</v>
      </c>
      <c r="AP76" s="725"/>
      <c r="AQ76" s="725"/>
      <c r="AR76" s="725"/>
      <c r="AS76" s="725"/>
      <c r="AT76" s="32">
        <f>AT75/AT73</f>
        <v>0.79132937504632195</v>
      </c>
      <c r="AU76" s="725"/>
      <c r="AV76" s="725"/>
      <c r="AW76" s="725"/>
      <c r="AX76" s="725"/>
      <c r="AY76" s="32">
        <f>AY75/AY73</f>
        <v>0.7877964721965377</v>
      </c>
      <c r="AZ76" s="725"/>
      <c r="BA76" s="725"/>
      <c r="BB76" s="725"/>
      <c r="BC76" s="725"/>
      <c r="BD76" s="32">
        <f>BD75/BD73</f>
        <v>0.78764580665259087</v>
      </c>
      <c r="BE76" s="725"/>
      <c r="BF76" s="725"/>
      <c r="BG76" s="725"/>
      <c r="BH76" s="725"/>
      <c r="BI76" s="32">
        <f>BI75/BI73</f>
        <v>0.76817431024286797</v>
      </c>
      <c r="BJ76" s="725"/>
      <c r="BK76" s="725"/>
      <c r="BL76" s="725"/>
      <c r="BM76" s="725"/>
      <c r="BN76" s="32">
        <f>BN75/BN73</f>
        <v>0.78117312249795823</v>
      </c>
      <c r="BO76" s="725"/>
      <c r="BP76" s="725"/>
      <c r="BQ76" s="725"/>
      <c r="BR76" s="725"/>
      <c r="BS76" s="32">
        <f>BS75/BS73</f>
        <v>0.76524502362071078</v>
      </c>
      <c r="BT76" s="725"/>
      <c r="BU76" s="725"/>
      <c r="BV76" s="725"/>
      <c r="BW76" s="725"/>
      <c r="BX76" s="32">
        <f>BX75/BX73</f>
        <v>0.76569194984172506</v>
      </c>
      <c r="BY76" s="725"/>
      <c r="BZ76" s="725"/>
      <c r="CA76" s="725"/>
      <c r="CB76" s="725"/>
      <c r="CC76" s="32">
        <f>CC75/CC73</f>
        <v>0.7496942568331918</v>
      </c>
      <c r="CD76" s="725"/>
      <c r="CE76" s="725"/>
      <c r="CF76" s="725"/>
      <c r="CG76" s="725"/>
      <c r="CH76" s="32">
        <f>CH75/CH73</f>
        <v>0.75700000000000001</v>
      </c>
      <c r="CI76" s="725"/>
      <c r="CJ76" s="725"/>
      <c r="CK76" s="725"/>
      <c r="CL76" s="725"/>
      <c r="CM76" s="32">
        <f>CM75/CM73</f>
        <v>0.76500000000000001</v>
      </c>
    </row>
    <row r="77" spans="8:256">
      <c r="L77" s="66"/>
      <c r="M77" s="66"/>
      <c r="N77" s="66"/>
      <c r="O77" s="66"/>
      <c r="Q77" s="66"/>
      <c r="R77" s="66"/>
      <c r="S77" s="66"/>
      <c r="T77" s="66"/>
      <c r="V77" s="66"/>
      <c r="W77" s="66"/>
      <c r="X77" s="66"/>
      <c r="Y77" s="66"/>
      <c r="AA77" s="66"/>
      <c r="AB77" s="66"/>
      <c r="AC77" s="66"/>
      <c r="AD77" s="66"/>
      <c r="AF77" s="66"/>
      <c r="AG77" s="66"/>
      <c r="AH77" s="66"/>
      <c r="AI77" s="66"/>
      <c r="AK77" s="66"/>
      <c r="AL77" s="66"/>
      <c r="AM77" s="66"/>
      <c r="AN77" s="66"/>
      <c r="AP77" s="66"/>
      <c r="AQ77" s="66"/>
      <c r="AR77" s="66"/>
      <c r="AS77" s="66"/>
      <c r="AU77" s="66"/>
      <c r="AV77" s="66"/>
      <c r="AW77" s="66"/>
      <c r="AX77" s="66"/>
      <c r="AZ77" s="66"/>
      <c r="BA77" s="66"/>
      <c r="BB77" s="66"/>
      <c r="BC77" s="66"/>
      <c r="BE77" s="66"/>
      <c r="BF77" s="66"/>
      <c r="BG77" s="66"/>
      <c r="BH77" s="66"/>
      <c r="BJ77" s="66"/>
      <c r="BK77" s="66"/>
      <c r="BL77" s="66"/>
      <c r="BM77" s="66"/>
      <c r="BO77" s="66"/>
      <c r="BP77" s="66"/>
      <c r="BQ77" s="66"/>
      <c r="BR77" s="66"/>
      <c r="BT77" s="66"/>
      <c r="BU77" s="66"/>
      <c r="BV77" s="66"/>
      <c r="BW77" s="66"/>
      <c r="BY77" s="66"/>
      <c r="BZ77" s="66"/>
      <c r="CA77" s="66"/>
      <c r="CB77" s="66"/>
      <c r="CD77" s="66"/>
      <c r="CE77" s="66"/>
      <c r="CF77" s="66"/>
      <c r="CG77" s="66"/>
      <c r="CI77" s="66"/>
      <c r="CJ77" s="66"/>
      <c r="CK77" s="66"/>
      <c r="CL77" s="66"/>
    </row>
    <row r="78" spans="8:256">
      <c r="H78" s="15" t="s">
        <v>693</v>
      </c>
      <c r="L78" s="408">
        <f>'IS-ANNUAL'!L29+CFBS!L16</f>
        <v>1004.5</v>
      </c>
      <c r="M78" s="408">
        <f>'IS-ANNUAL'!M29+CFBS!M16</f>
        <v>1046.5999999999997</v>
      </c>
      <c r="N78" s="408">
        <f>'IS-ANNUAL'!N29+CFBS!N16</f>
        <v>1117.3999999999996</v>
      </c>
      <c r="O78" s="408">
        <f>'IS-ANNUAL'!O29+CFBS!O16</f>
        <v>1206.4999999999998</v>
      </c>
      <c r="P78" s="47">
        <f>P80-P79</f>
        <v>4364.2729999999983</v>
      </c>
      <c r="Q78" s="408">
        <f>'IS-ANNUAL'!Q29+CFBS!Q16</f>
        <v>1229.5000000000002</v>
      </c>
      <c r="R78" s="408">
        <f>'IS-ANNUAL'!R29+CFBS!R16</f>
        <v>1202.8999999999999</v>
      </c>
      <c r="S78" s="408">
        <f>'IS-ANNUAL'!S29+CFBS!S16</f>
        <v>1263.95</v>
      </c>
      <c r="T78" s="408">
        <f>'IS-ANNUAL'!T29+CFBS!T16</f>
        <v>1231.1000000000001</v>
      </c>
      <c r="U78" s="47">
        <f>U80-U79</f>
        <v>4830.45</v>
      </c>
      <c r="V78" s="408">
        <f>'IS-ANNUAL'!V29+CFBS!V16</f>
        <v>1377.7999999999997</v>
      </c>
      <c r="W78" s="408">
        <f>'IS-ANNUAL'!W29+CFBS!W16</f>
        <v>1515.3999999999992</v>
      </c>
      <c r="X78" s="408">
        <f>'IS-ANNUAL'!X29+CFBS!X16</f>
        <v>1475.4000000000005</v>
      </c>
      <c r="Y78" s="408">
        <f>'IS-ANNUAL'!Y29+CFBS!Y16</f>
        <v>1482.3999999999992</v>
      </c>
      <c r="Z78" s="47">
        <f>Z80-Z79</f>
        <v>5839.9999999999982</v>
      </c>
      <c r="AA78" s="408">
        <f>'IS-ANNUAL'!AA29+CFBS!AA16</f>
        <v>1545.3000000000002</v>
      </c>
      <c r="AB78" s="408">
        <f>'IS-ANNUAL'!AB29+CFBS!AB16</f>
        <v>1615.3</v>
      </c>
      <c r="AC78" s="408">
        <f>'IS-ANNUAL'!AC29+CFBS!AC16</f>
        <v>1723.200000000001</v>
      </c>
      <c r="AD78" s="408">
        <f>'IS-ANNUAL'!AD29+CFBS!AD16</f>
        <v>1769.100000000001</v>
      </c>
      <c r="AE78" s="47">
        <f>AE80-AE79</f>
        <v>6652.9000000000015</v>
      </c>
      <c r="AF78" s="408">
        <f>'IS-ANNUAL'!AF29+CFBS!AF16</f>
        <v>2059.9000000000005</v>
      </c>
      <c r="AG78" s="408">
        <f>'IS-ANNUAL'!AG29+CFBS!AG16</f>
        <v>1902.6100000000001</v>
      </c>
      <c r="AH78" s="408">
        <f>'IS-ANNUAL'!AH29+CFBS!AH16</f>
        <v>1996.100000000001</v>
      </c>
      <c r="AI78" s="408">
        <f>'IS-ANNUAL'!AI29+CFBS!AI16</f>
        <v>1709.1999999999994</v>
      </c>
      <c r="AJ78" s="47">
        <f>AJ80-AJ79</f>
        <v>7667.8100000000022</v>
      </c>
      <c r="AK78" s="408"/>
      <c r="AL78" s="408"/>
      <c r="AM78" s="408"/>
      <c r="AN78" s="408"/>
      <c r="AO78" s="47">
        <f>AO80-AO79</f>
        <v>8100.4799999999987</v>
      </c>
      <c r="AP78" s="408"/>
      <c r="AQ78" s="408"/>
      <c r="AR78" s="408"/>
      <c r="AS78" s="408"/>
      <c r="AT78" s="47">
        <f>AT80-AT79</f>
        <v>7691.600000000004</v>
      </c>
      <c r="AU78" s="408"/>
      <c r="AV78" s="408"/>
      <c r="AW78" s="408"/>
      <c r="AX78" s="408"/>
      <c r="AY78" s="47">
        <f>AY80-AY79</f>
        <v>6477.4086840000027</v>
      </c>
      <c r="AZ78" s="408"/>
      <c r="BA78" s="408"/>
      <c r="BB78" s="408"/>
      <c r="BC78" s="408"/>
      <c r="BD78" s="47">
        <f>BD80-BD79</f>
        <v>6993.4000000000033</v>
      </c>
      <c r="BE78" s="408"/>
      <c r="BF78" s="408"/>
      <c r="BG78" s="408"/>
      <c r="BH78" s="408"/>
      <c r="BI78" s="47">
        <f>BI80-BI79</f>
        <v>5356.7999999999984</v>
      </c>
      <c r="BJ78" s="408"/>
      <c r="BK78" s="408"/>
      <c r="BL78" s="408"/>
      <c r="BM78" s="408"/>
      <c r="BN78" s="47">
        <f>BN80-BN79</f>
        <v>5772.899999999996</v>
      </c>
      <c r="BO78" s="408"/>
      <c r="BP78" s="408"/>
      <c r="BQ78" s="408"/>
      <c r="BR78" s="408"/>
      <c r="BS78" s="47">
        <f>BS80-BS79</f>
        <v>6039.3000000000029</v>
      </c>
      <c r="BT78" s="408"/>
      <c r="BU78" s="408"/>
      <c r="BV78" s="408"/>
      <c r="BW78" s="408"/>
      <c r="BX78" s="47">
        <f>BX80-BX79</f>
        <v>7216.2999999999993</v>
      </c>
      <c r="BY78" s="408"/>
      <c r="BZ78" s="408"/>
      <c r="CA78" s="408"/>
      <c r="CB78" s="408"/>
      <c r="CC78" s="47">
        <f>CC80-CC79</f>
        <v>7735.287583999997</v>
      </c>
      <c r="CD78" s="408"/>
      <c r="CE78" s="408"/>
      <c r="CF78" s="408"/>
      <c r="CG78" s="408"/>
      <c r="CH78" s="47">
        <f>CH80-CH79</f>
        <v>8228.1388376500017</v>
      </c>
      <c r="CI78" s="408"/>
      <c r="CJ78" s="408"/>
      <c r="CK78" s="408"/>
      <c r="CL78" s="408"/>
      <c r="CM78" s="47">
        <f>CM80-CM79</f>
        <v>9013.2462248099982</v>
      </c>
    </row>
    <row r="79" spans="8:256">
      <c r="H79" s="15" t="s">
        <v>458</v>
      </c>
      <c r="L79" s="724">
        <f>'IS-ANNUAL'!L42</f>
        <v>-12.73</v>
      </c>
      <c r="M79" s="724">
        <f>'IS-ANNUAL'!M42</f>
        <v>-0.54300000000000004</v>
      </c>
      <c r="N79" s="724">
        <f>'IS-ANNUAL'!N42</f>
        <v>6</v>
      </c>
      <c r="O79" s="724">
        <f>'IS-ANNUAL'!O42</f>
        <v>18</v>
      </c>
      <c r="P79" s="45">
        <f>'IS-ANNUAL'!P42</f>
        <v>10.727</v>
      </c>
      <c r="Q79" s="724">
        <f>'IS-ANNUAL'!Q42</f>
        <v>20</v>
      </c>
      <c r="R79" s="724">
        <f>'IS-ANNUAL'!R42</f>
        <v>23</v>
      </c>
      <c r="S79" s="724">
        <f>'IS-ANNUAL'!S42</f>
        <v>23.8</v>
      </c>
      <c r="T79" s="724">
        <f>'IS-ANNUAL'!T42</f>
        <v>30.2</v>
      </c>
      <c r="U79" s="45">
        <f>'IS-ANNUAL'!U42</f>
        <v>97</v>
      </c>
      <c r="V79" s="724">
        <f>'IS-ANNUAL'!V42</f>
        <v>11</v>
      </c>
      <c r="W79" s="724">
        <f>'IS-ANNUAL'!W42</f>
        <v>0</v>
      </c>
      <c r="X79" s="724">
        <f>'IS-ANNUAL'!X42</f>
        <v>0</v>
      </c>
      <c r="Y79" s="724">
        <f>'IS-ANNUAL'!Y42</f>
        <v>0</v>
      </c>
      <c r="Z79" s="45">
        <f>'IS-ANNUAL'!Z42</f>
        <v>11</v>
      </c>
      <c r="AA79" s="724">
        <f>'IS-ANNUAL'!AA42</f>
        <v>0</v>
      </c>
      <c r="AB79" s="724">
        <f>'IS-ANNUAL'!AB42</f>
        <v>0</v>
      </c>
      <c r="AC79" s="724">
        <f>'IS-ANNUAL'!AC42</f>
        <v>0</v>
      </c>
      <c r="AD79" s="724">
        <f>'IS-ANNUAL'!AD42</f>
        <v>0</v>
      </c>
      <c r="AE79" s="45"/>
      <c r="AF79" s="724"/>
      <c r="AG79" s="724"/>
      <c r="AH79" s="724"/>
      <c r="AI79" s="724"/>
      <c r="AJ79" s="45"/>
      <c r="AK79" s="724"/>
      <c r="AL79" s="724"/>
      <c r="AM79" s="724"/>
      <c r="AN79" s="724"/>
      <c r="AO79" s="45"/>
      <c r="AP79" s="724"/>
      <c r="AQ79" s="724"/>
      <c r="AR79" s="724"/>
      <c r="AS79" s="724"/>
      <c r="AT79" s="45"/>
      <c r="AU79" s="724"/>
      <c r="AV79" s="724"/>
      <c r="AW79" s="724"/>
      <c r="AX79" s="724"/>
      <c r="AY79" s="45"/>
      <c r="AZ79" s="724"/>
      <c r="BA79" s="724"/>
      <c r="BB79" s="724"/>
      <c r="BC79" s="724"/>
      <c r="BD79" s="45"/>
      <c r="BE79" s="724"/>
      <c r="BF79" s="724"/>
      <c r="BG79" s="724"/>
      <c r="BH79" s="724"/>
      <c r="BI79" s="45"/>
      <c r="BJ79" s="724"/>
      <c r="BK79" s="724"/>
      <c r="BL79" s="724"/>
      <c r="BM79" s="724"/>
      <c r="BN79" s="45"/>
      <c r="BO79" s="724"/>
      <c r="BP79" s="724"/>
      <c r="BQ79" s="724"/>
      <c r="BR79" s="724"/>
      <c r="BS79" s="45"/>
      <c r="BT79" s="724"/>
      <c r="BU79" s="724"/>
      <c r="BV79" s="724"/>
      <c r="BW79" s="724"/>
      <c r="BX79" s="45"/>
      <c r="BY79" s="724"/>
      <c r="BZ79" s="724"/>
      <c r="CA79" s="724"/>
      <c r="CB79" s="724"/>
      <c r="CC79" s="45"/>
      <c r="CD79" s="724"/>
      <c r="CE79" s="724"/>
      <c r="CF79" s="724"/>
      <c r="CG79" s="724"/>
      <c r="CH79" s="45"/>
      <c r="CI79" s="724"/>
      <c r="CJ79" s="724"/>
      <c r="CK79" s="724"/>
      <c r="CL79" s="724"/>
      <c r="CM79" s="45"/>
    </row>
    <row r="80" spans="8:256">
      <c r="H80" s="15" t="s">
        <v>459</v>
      </c>
      <c r="L80" s="724">
        <f>CFBS!L148</f>
        <v>1004.5</v>
      </c>
      <c r="M80" s="724">
        <f>CFBS!M148</f>
        <v>1046.5999999999997</v>
      </c>
      <c r="N80" s="724">
        <f>CFBS!N148</f>
        <v>1117.3999999999996</v>
      </c>
      <c r="O80" s="724">
        <f>CFBS!O148</f>
        <v>1206.4999999999998</v>
      </c>
      <c r="P80" s="45">
        <f>CFBS!P148</f>
        <v>4374.9999999999982</v>
      </c>
      <c r="Q80" s="724">
        <f>CFBS!Q148</f>
        <v>1229.5000000000002</v>
      </c>
      <c r="R80" s="724">
        <f>CFBS!R148</f>
        <v>1202.8999999999999</v>
      </c>
      <c r="S80" s="724">
        <f>CFBS!S148</f>
        <v>1263.95</v>
      </c>
      <c r="T80" s="724">
        <f>CFBS!T148</f>
        <v>1231.1000000000001</v>
      </c>
      <c r="U80" s="45">
        <f>CFBS!U148</f>
        <v>4927.45</v>
      </c>
      <c r="V80" s="724">
        <f>CFBS!V148</f>
        <v>1377.7999999999997</v>
      </c>
      <c r="W80" s="724">
        <f>CFBS!W148</f>
        <v>1515.3999999999992</v>
      </c>
      <c r="X80" s="724">
        <f>CFBS!X148</f>
        <v>1475.4000000000005</v>
      </c>
      <c r="Y80" s="724">
        <f>CFBS!Y148</f>
        <v>1482.3999999999992</v>
      </c>
      <c r="Z80" s="45">
        <f>CFBS!Z148</f>
        <v>5850.9999999999982</v>
      </c>
      <c r="AA80" s="724">
        <f>CFBS!AA148</f>
        <v>1545.3000000000002</v>
      </c>
      <c r="AB80" s="724">
        <f>CFBS!AB148</f>
        <v>1615.3</v>
      </c>
      <c r="AC80" s="724">
        <f>CFBS!AC148</f>
        <v>1723.200000000001</v>
      </c>
      <c r="AD80" s="724">
        <f>CFBS!AD148</f>
        <v>1769.100000000001</v>
      </c>
      <c r="AE80" s="45">
        <f>CFBS!AE148</f>
        <v>6652.9000000000015</v>
      </c>
      <c r="AF80" s="724">
        <f>CFBS!AF148</f>
        <v>2059.9000000000005</v>
      </c>
      <c r="AG80" s="724">
        <f>CFBS!AG148</f>
        <v>1902.6100000000001</v>
      </c>
      <c r="AH80" s="724">
        <f>CFBS!AH148</f>
        <v>1996.100000000001</v>
      </c>
      <c r="AI80" s="724">
        <f>CFBS!AI148</f>
        <v>1709.1999999999994</v>
      </c>
      <c r="AJ80" s="45">
        <f>CFBS!AJ148</f>
        <v>7667.8100000000022</v>
      </c>
      <c r="AK80" s="724"/>
      <c r="AL80" s="724"/>
      <c r="AM80" s="724"/>
      <c r="AN80" s="724"/>
      <c r="AO80" s="45">
        <f>CFBS!AO148</f>
        <v>8100.4799999999987</v>
      </c>
      <c r="AP80" s="724"/>
      <c r="AQ80" s="724"/>
      <c r="AR80" s="724"/>
      <c r="AS80" s="724"/>
      <c r="AT80" s="45">
        <f>CFBS!AT148</f>
        <v>7691.600000000004</v>
      </c>
      <c r="AU80" s="724"/>
      <c r="AV80" s="724"/>
      <c r="AW80" s="724"/>
      <c r="AX80" s="724"/>
      <c r="AY80" s="45">
        <f>CFBS!AY148</f>
        <v>6477.4086840000027</v>
      </c>
      <c r="AZ80" s="724"/>
      <c r="BA80" s="724"/>
      <c r="BB80" s="724"/>
      <c r="BC80" s="724"/>
      <c r="BD80" s="45">
        <f>CFBS!BD148</f>
        <v>6993.4000000000033</v>
      </c>
      <c r="BE80" s="724"/>
      <c r="BF80" s="724"/>
      <c r="BG80" s="724"/>
      <c r="BH80" s="724"/>
      <c r="BI80" s="45">
        <f>CFBS!BI148</f>
        <v>5356.7999999999984</v>
      </c>
      <c r="BJ80" s="724"/>
      <c r="BK80" s="724"/>
      <c r="BL80" s="724"/>
      <c r="BM80" s="724"/>
      <c r="BN80" s="45">
        <f>CFBS!BN148</f>
        <v>5772.899999999996</v>
      </c>
      <c r="BO80" s="724"/>
      <c r="BP80" s="724"/>
      <c r="BQ80" s="724"/>
      <c r="BR80" s="724"/>
      <c r="BS80" s="45">
        <f>CFBS!BS148</f>
        <v>6039.3000000000029</v>
      </c>
      <c r="BT80" s="724"/>
      <c r="BU80" s="724"/>
      <c r="BV80" s="724"/>
      <c r="BW80" s="724"/>
      <c r="BX80" s="45">
        <f>CFBS!BX148</f>
        <v>7216.2999999999993</v>
      </c>
      <c r="BY80" s="724"/>
      <c r="BZ80" s="724"/>
      <c r="CA80" s="724"/>
      <c r="CB80" s="724"/>
      <c r="CC80" s="45">
        <f>CFBS!CC148</f>
        <v>7735.287583999997</v>
      </c>
      <c r="CD80" s="724"/>
      <c r="CE80" s="724"/>
      <c r="CF80" s="724"/>
      <c r="CG80" s="724"/>
      <c r="CH80" s="45">
        <f>CFBS!CD148</f>
        <v>8228.1388376500017</v>
      </c>
      <c r="CI80" s="724"/>
      <c r="CJ80" s="724"/>
      <c r="CK80" s="724"/>
      <c r="CL80" s="724"/>
      <c r="CM80" s="45">
        <f>CFBS!CE148</f>
        <v>9013.2462248099982</v>
      </c>
    </row>
    <row r="81" spans="8:91">
      <c r="H81" s="46" t="s">
        <v>153</v>
      </c>
      <c r="L81" s="725">
        <f t="shared" ref="L81:AJ81" si="1">L80/L73</f>
        <v>0.28721335849488189</v>
      </c>
      <c r="M81" s="725">
        <f t="shared" si="1"/>
        <v>0.28535594514273244</v>
      </c>
      <c r="N81" s="725">
        <f t="shared" si="1"/>
        <v>0.31029407680986354</v>
      </c>
      <c r="O81" s="725">
        <f t="shared" si="1"/>
        <v>0.31102575339640631</v>
      </c>
      <c r="P81" s="32">
        <f t="shared" si="1"/>
        <v>0.29873065078899019</v>
      </c>
      <c r="Q81" s="725">
        <f t="shared" si="1"/>
        <v>0.33097340368256706</v>
      </c>
      <c r="R81" s="725">
        <f t="shared" si="1"/>
        <v>0.31105996741744457</v>
      </c>
      <c r="S81" s="725">
        <f t="shared" si="1"/>
        <v>0.32710498052561432</v>
      </c>
      <c r="T81" s="725">
        <f t="shared" si="1"/>
        <v>0.28999128447930655</v>
      </c>
      <c r="U81" s="32">
        <f t="shared" si="1"/>
        <v>0.31402533258981913</v>
      </c>
      <c r="V81" s="725">
        <f t="shared" si="1"/>
        <v>0.32601391320808287</v>
      </c>
      <c r="W81" s="725">
        <f t="shared" si="1"/>
        <v>0.32723660627523793</v>
      </c>
      <c r="X81" s="725">
        <f t="shared" si="1"/>
        <v>0.32166216098369244</v>
      </c>
      <c r="Y81" s="725">
        <f t="shared" si="1"/>
        <v>0.28563721145323506</v>
      </c>
      <c r="Z81" s="32">
        <f t="shared" si="1"/>
        <v>0.31400097672496602</v>
      </c>
      <c r="AA81" s="725">
        <f t="shared" si="1"/>
        <v>0.31466096518020775</v>
      </c>
      <c r="AB81" s="725">
        <f t="shared" si="1"/>
        <v>0.30761759664825744</v>
      </c>
      <c r="AC81" s="725">
        <f t="shared" si="1"/>
        <v>0.32459924275246305</v>
      </c>
      <c r="AD81" s="725">
        <f t="shared" si="1"/>
        <v>0.33622213353098823</v>
      </c>
      <c r="AE81" s="32">
        <f t="shared" si="1"/>
        <v>0.32089386660492758</v>
      </c>
      <c r="AF81" s="725">
        <f t="shared" si="1"/>
        <v>0.40818388982463105</v>
      </c>
      <c r="AG81" s="725">
        <f t="shared" si="1"/>
        <v>0.35948426201817257</v>
      </c>
      <c r="AH81" s="725">
        <f t="shared" si="1"/>
        <v>0.35886879292366342</v>
      </c>
      <c r="AI81" s="725">
        <f t="shared" si="1"/>
        <v>0.28800107840328903</v>
      </c>
      <c r="AJ81" s="32">
        <f t="shared" si="1"/>
        <v>0.35115435466461142</v>
      </c>
      <c r="AK81" s="725"/>
      <c r="AL81" s="725"/>
      <c r="AM81" s="725"/>
      <c r="AN81" s="725"/>
      <c r="AO81" s="32">
        <f>AO80/AO73</f>
        <v>0.35103362442841235</v>
      </c>
      <c r="AP81" s="725"/>
      <c r="AQ81" s="725"/>
      <c r="AR81" s="725"/>
      <c r="AS81" s="725"/>
      <c r="AT81" s="32">
        <f>AT80/AT73</f>
        <v>0.31670139089045002</v>
      </c>
      <c r="AU81" s="725"/>
      <c r="AV81" s="725"/>
      <c r="AW81" s="725"/>
      <c r="AX81" s="725"/>
      <c r="AY81" s="32">
        <f>AY80/AY73</f>
        <v>0.28656915954749979</v>
      </c>
      <c r="AZ81" s="725"/>
      <c r="BA81" s="725"/>
      <c r="BB81" s="725"/>
      <c r="BC81" s="725"/>
      <c r="BD81" s="32">
        <f>BD80/BD73</f>
        <v>0.30257692707071415</v>
      </c>
      <c r="BE81" s="725"/>
      <c r="BF81" s="725"/>
      <c r="BG81" s="725"/>
      <c r="BH81" s="725"/>
      <c r="BI81" s="32">
        <f>BI80/BI73</f>
        <v>0.27308876608413707</v>
      </c>
      <c r="BJ81" s="725"/>
      <c r="BK81" s="725"/>
      <c r="BL81" s="725"/>
      <c r="BM81" s="725"/>
      <c r="BN81" s="32">
        <f>BN80/BN73</f>
        <v>0.28924228531918394</v>
      </c>
      <c r="BO81" s="725"/>
      <c r="BP81" s="725"/>
      <c r="BQ81" s="725"/>
      <c r="BR81" s="725"/>
      <c r="BS81" s="32">
        <f>BS80/BS73</f>
        <v>0.28473564605708584</v>
      </c>
      <c r="BT81" s="725"/>
      <c r="BU81" s="725"/>
      <c r="BV81" s="725"/>
      <c r="BW81" s="725"/>
      <c r="BX81" s="32">
        <f>BX80/BX73</f>
        <v>0.31551356267161018</v>
      </c>
      <c r="BY81" s="725"/>
      <c r="BZ81" s="725"/>
      <c r="CA81" s="725"/>
      <c r="CB81" s="725"/>
      <c r="CC81" s="32">
        <f>CC80/CC73</f>
        <v>0.32200393075794986</v>
      </c>
      <c r="CD81" s="725"/>
      <c r="CE81" s="725"/>
      <c r="CF81" s="725"/>
      <c r="CG81" s="725"/>
      <c r="CH81" s="32">
        <f>CH80/CH73</f>
        <v>0.33458570513933905</v>
      </c>
      <c r="CI81" s="725"/>
      <c r="CJ81" s="725"/>
      <c r="CK81" s="725"/>
      <c r="CL81" s="725"/>
      <c r="CM81" s="32">
        <f>CM80/CM73</f>
        <v>0.35326652595314562</v>
      </c>
    </row>
    <row r="82" spans="8:91">
      <c r="H82" s="46"/>
      <c r="L82" s="66"/>
      <c r="M82" s="66"/>
      <c r="N82" s="66"/>
      <c r="O82" s="66"/>
      <c r="P82" s="32"/>
      <c r="Q82" s="66"/>
      <c r="R82" s="66"/>
      <c r="S82" s="66"/>
      <c r="T82" s="66"/>
      <c r="U82" s="32"/>
      <c r="V82" s="66"/>
      <c r="W82" s="66"/>
      <c r="X82" s="66"/>
      <c r="Y82" s="66"/>
      <c r="AA82" s="66"/>
      <c r="AB82" s="66"/>
      <c r="AC82" s="66"/>
      <c r="AD82" s="66"/>
      <c r="AF82" s="66"/>
      <c r="AG82" s="66"/>
      <c r="AH82" s="66"/>
      <c r="AI82" s="66"/>
      <c r="AK82" s="66"/>
      <c r="AL82" s="66"/>
      <c r="AM82" s="66"/>
      <c r="AN82" s="66"/>
      <c r="AP82" s="66"/>
      <c r="AQ82" s="66"/>
      <c r="AR82" s="66"/>
      <c r="AS82" s="66"/>
      <c r="AU82" s="66"/>
      <c r="AV82" s="66"/>
      <c r="AW82" s="66"/>
      <c r="AX82" s="66"/>
      <c r="AZ82" s="66"/>
      <c r="BA82" s="66"/>
      <c r="BB82" s="66"/>
      <c r="BC82" s="66"/>
      <c r="BE82" s="66"/>
      <c r="BF82" s="66"/>
      <c r="BG82" s="66"/>
      <c r="BH82" s="66"/>
      <c r="BJ82" s="66"/>
      <c r="BK82" s="66"/>
      <c r="BL82" s="66"/>
      <c r="BM82" s="66"/>
      <c r="BO82" s="66"/>
      <c r="BP82" s="66"/>
      <c r="BQ82" s="66"/>
      <c r="BR82" s="66"/>
      <c r="BT82" s="66"/>
      <c r="BU82" s="66"/>
      <c r="BV82" s="66"/>
      <c r="BW82" s="66"/>
      <c r="BY82" s="66"/>
      <c r="BZ82" s="66"/>
      <c r="CA82" s="66"/>
      <c r="CB82" s="66"/>
      <c r="CD82" s="66"/>
      <c r="CE82" s="66"/>
      <c r="CF82" s="66"/>
      <c r="CG82" s="66"/>
      <c r="CI82" s="66"/>
      <c r="CJ82" s="66"/>
      <c r="CK82" s="66"/>
      <c r="CL82" s="66"/>
    </row>
    <row r="83" spans="8:91">
      <c r="H83" s="25" t="s">
        <v>683</v>
      </c>
      <c r="L83" s="724">
        <f>'IS-ANNUAL'!L44</f>
        <v>944.4</v>
      </c>
      <c r="M83" s="724">
        <f>'IS-ANNUAL'!M44</f>
        <v>933.6569999999997</v>
      </c>
      <c r="N83" s="724">
        <f>'IS-ANNUAL'!N44</f>
        <v>1018.2</v>
      </c>
      <c r="O83" s="724">
        <f>'IS-ANNUAL'!O44</f>
        <v>1066</v>
      </c>
      <c r="P83" s="45">
        <f>'IS-ANNUAL'!P44</f>
        <v>3962.2569999999987</v>
      </c>
      <c r="Q83" s="724">
        <f>'IS-ANNUAL'!Q44</f>
        <v>1056.3000000000002</v>
      </c>
      <c r="R83" s="724">
        <f>'IS-ANNUAL'!R44</f>
        <v>1040.8</v>
      </c>
      <c r="S83" s="724">
        <f>'IS-ANNUAL'!S44</f>
        <v>1105.75</v>
      </c>
      <c r="T83" s="724">
        <f>'IS-ANNUAL'!T44</f>
        <v>1160.2000000000003</v>
      </c>
      <c r="U83" s="45">
        <f>'IS-ANNUAL'!U44</f>
        <v>4363.0499999999993</v>
      </c>
      <c r="V83" s="724">
        <f>'IS-ANNUAL'!V44</f>
        <v>1170.6999999999998</v>
      </c>
      <c r="W83" s="724">
        <f>'IS-ANNUAL'!W44</f>
        <v>1254.8999999999992</v>
      </c>
      <c r="X83" s="724">
        <f>'IS-ANNUAL'!X44</f>
        <v>1260.1000000000006</v>
      </c>
      <c r="Y83" s="724">
        <f>'IS-ANNUAL'!Y44</f>
        <v>1239.1999999999989</v>
      </c>
      <c r="Z83" s="45">
        <f>'IS-ANNUAL'!Z44</f>
        <v>4924.8999999999978</v>
      </c>
      <c r="AA83" s="724">
        <f>'IS-ANNUAL'!AA44</f>
        <v>1222.5000000000002</v>
      </c>
      <c r="AB83" s="724">
        <f>'IS-ANNUAL'!AB44</f>
        <v>1296.8</v>
      </c>
      <c r="AC83" s="724">
        <f>'IS-ANNUAL'!AC44</f>
        <v>1363.600000000001</v>
      </c>
      <c r="AD83" s="724">
        <f>'IS-ANNUAL'!AD44</f>
        <v>1379.5000000000011</v>
      </c>
      <c r="AE83" s="45">
        <f>'IS-ANNUAL'!AE44</f>
        <v>5262.4000000000024</v>
      </c>
      <c r="AF83" s="724">
        <f>'IS-ANNUAL'!AF44</f>
        <v>1682.9000000000005</v>
      </c>
      <c r="AG83" s="724">
        <f>'IS-ANNUAL'!AG44</f>
        <v>1572.5100000000002</v>
      </c>
      <c r="AH83" s="724">
        <f>'IS-ANNUAL'!AH44</f>
        <v>1619.5000000000009</v>
      </c>
      <c r="AI83" s="724">
        <f>'IS-ANNUAL'!AI44</f>
        <v>1265.5999999999995</v>
      </c>
      <c r="AJ83" s="45">
        <f>'IS-ANNUAL'!AJ44</f>
        <v>6140.5100000000011</v>
      </c>
      <c r="AK83" s="724"/>
      <c r="AL83" s="724"/>
      <c r="AM83" s="724"/>
      <c r="AN83" s="724"/>
      <c r="AO83" s="45">
        <f>'IS-ANNUAL'!AO44</f>
        <v>6767.2800000000007</v>
      </c>
      <c r="AP83" s="724"/>
      <c r="AQ83" s="724"/>
      <c r="AR83" s="724"/>
      <c r="AS83" s="724"/>
      <c r="AT83" s="45">
        <f>'IS-ANNUAL'!AT44</f>
        <v>6139.0000000000045</v>
      </c>
      <c r="AU83" s="724"/>
      <c r="AV83" s="724"/>
      <c r="AW83" s="724"/>
      <c r="AX83" s="724"/>
      <c r="AY83" s="45">
        <f>'IS-ANNUAL'!AY44</f>
        <v>4901.4086840000027</v>
      </c>
      <c r="AZ83" s="724"/>
      <c r="BA83" s="724"/>
      <c r="BB83" s="724"/>
      <c r="BC83" s="724"/>
      <c r="BD83" s="45">
        <f>'IS-ANNUAL'!BD44</f>
        <v>5571.3000000000038</v>
      </c>
      <c r="BE83" s="724"/>
      <c r="BF83" s="724"/>
      <c r="BG83" s="724"/>
      <c r="BH83" s="724"/>
      <c r="BI83" s="45">
        <f>'IS-ANNUAL'!BI44</f>
        <v>4226.2999999999984</v>
      </c>
      <c r="BJ83" s="724"/>
      <c r="BK83" s="724"/>
      <c r="BL83" s="724"/>
      <c r="BM83" s="724"/>
      <c r="BN83" s="45">
        <f>'IS-ANNUAL'!BN44</f>
        <v>4598.4999999999964</v>
      </c>
      <c r="BO83" s="724"/>
      <c r="BP83" s="724"/>
      <c r="BQ83" s="724"/>
      <c r="BR83" s="724"/>
      <c r="BS83" s="45">
        <f>'IS-ANNUAL'!BS44</f>
        <v>4661.8000000000038</v>
      </c>
      <c r="BT83" s="724"/>
      <c r="BU83" s="724"/>
      <c r="BV83" s="724"/>
      <c r="BW83" s="724"/>
      <c r="BX83" s="45">
        <f>'IS-ANNUAL'!BX44</f>
        <v>5701.3999999999987</v>
      </c>
      <c r="BY83" s="724"/>
      <c r="BZ83" s="724"/>
      <c r="CA83" s="724"/>
      <c r="CB83" s="724"/>
      <c r="CC83" s="45">
        <f>'IS-ANNUAL'!CC44</f>
        <v>6569.3765589999975</v>
      </c>
      <c r="CD83" s="724"/>
      <c r="CE83" s="724"/>
      <c r="CF83" s="724"/>
      <c r="CG83" s="724"/>
      <c r="CH83" s="45">
        <f>'IS-ANNUAL'!CD44</f>
        <v>7206.5952189000018</v>
      </c>
      <c r="CI83" s="724"/>
      <c r="CJ83" s="724"/>
      <c r="CK83" s="724"/>
      <c r="CL83" s="724"/>
      <c r="CM83" s="45">
        <f>'IS-ANNUAL'!CE44</f>
        <v>8009.5889123099987</v>
      </c>
    </row>
    <row r="84" spans="8:91">
      <c r="H84" s="46" t="s">
        <v>153</v>
      </c>
      <c r="L84" s="725">
        <f t="shared" ref="L84:AJ84" si="2">L83/L73</f>
        <v>0.27002916452221648</v>
      </c>
      <c r="M84" s="725">
        <f t="shared" si="2"/>
        <v>0.25456198707636934</v>
      </c>
      <c r="N84" s="725">
        <f t="shared" si="2"/>
        <v>0.28274693843547805</v>
      </c>
      <c r="O84" s="725">
        <f t="shared" si="2"/>
        <v>0.27480601170374575</v>
      </c>
      <c r="P84" s="32">
        <f t="shared" si="2"/>
        <v>0.27054802564645303</v>
      </c>
      <c r="Q84" s="725">
        <f t="shared" si="2"/>
        <v>0.28434909012598258</v>
      </c>
      <c r="R84" s="725">
        <f t="shared" si="2"/>
        <v>0.26914225129942332</v>
      </c>
      <c r="S84" s="725">
        <f t="shared" si="2"/>
        <v>0.28616348132141145</v>
      </c>
      <c r="T84" s="725">
        <f t="shared" si="2"/>
        <v>0.27329046239370602</v>
      </c>
      <c r="U84" s="32">
        <f t="shared" si="2"/>
        <v>0.27805624153588782</v>
      </c>
      <c r="V84" s="725">
        <f t="shared" si="2"/>
        <v>0.27701007997728455</v>
      </c>
      <c r="W84" s="725">
        <f t="shared" si="2"/>
        <v>0.27098404197888082</v>
      </c>
      <c r="X84" s="725">
        <f t="shared" si="2"/>
        <v>0.27472311851399678</v>
      </c>
      <c r="Y84" s="725">
        <f t="shared" si="2"/>
        <v>0.23877606073451754</v>
      </c>
      <c r="Z84" s="32">
        <f t="shared" si="2"/>
        <v>0.26430070249064858</v>
      </c>
      <c r="AA84" s="725">
        <f t="shared" si="2"/>
        <v>0.24893097128894323</v>
      </c>
      <c r="AB84" s="725">
        <f t="shared" si="2"/>
        <v>0.24696248333650733</v>
      </c>
      <c r="AC84" s="725">
        <f t="shared" si="2"/>
        <v>0.25686137849190965</v>
      </c>
      <c r="AD84" s="725">
        <f t="shared" si="2"/>
        <v>0.26217762320162702</v>
      </c>
      <c r="AE84" s="32">
        <f t="shared" si="2"/>
        <v>0.25382493102583403</v>
      </c>
      <c r="AF84" s="725">
        <f t="shared" si="2"/>
        <v>0.33347864856831477</v>
      </c>
      <c r="AG84" s="725">
        <f t="shared" si="2"/>
        <v>0.29711427821056158</v>
      </c>
      <c r="AH84" s="725">
        <f t="shared" si="2"/>
        <v>0.29116177052245529</v>
      </c>
      <c r="AI84" s="725">
        <f t="shared" si="2"/>
        <v>0.21325425042546373</v>
      </c>
      <c r="AJ84" s="32">
        <f t="shared" si="2"/>
        <v>0.28121025773481512</v>
      </c>
      <c r="AK84" s="725"/>
      <c r="AL84" s="725"/>
      <c r="AM84" s="725"/>
      <c r="AN84" s="725"/>
      <c r="AO84" s="32">
        <f>AO83/AO73</f>
        <v>0.29325951374756892</v>
      </c>
      <c r="AP84" s="725"/>
      <c r="AQ84" s="725"/>
      <c r="AR84" s="725"/>
      <c r="AS84" s="725"/>
      <c r="AT84" s="32">
        <f>AT83/AT73</f>
        <v>0.25277313415628389</v>
      </c>
      <c r="AU84" s="725"/>
      <c r="AV84" s="725"/>
      <c r="AW84" s="725"/>
      <c r="AX84" s="725"/>
      <c r="AY84" s="32">
        <f>AY83/AY73</f>
        <v>0.2168448272597365</v>
      </c>
      <c r="AZ84" s="725"/>
      <c r="BA84" s="725"/>
      <c r="BB84" s="725"/>
      <c r="BC84" s="725"/>
      <c r="BD84" s="32">
        <f>BD83/BD73</f>
        <v>0.24104825032016905</v>
      </c>
      <c r="BE84" s="725"/>
      <c r="BF84" s="725"/>
      <c r="BG84" s="725"/>
      <c r="BH84" s="725"/>
      <c r="BI84" s="32">
        <f>BI83/BI73</f>
        <v>0.2154560655804563</v>
      </c>
      <c r="BJ84" s="725"/>
      <c r="BK84" s="725"/>
      <c r="BL84" s="725"/>
      <c r="BM84" s="725"/>
      <c r="BN84" s="32">
        <f>BN83/BN73</f>
        <v>0.23040077760575572</v>
      </c>
      <c r="BO84" s="725"/>
      <c r="BP84" s="725"/>
      <c r="BQ84" s="725"/>
      <c r="BR84" s="725"/>
      <c r="BS84" s="32">
        <f>BS83/BS73</f>
        <v>0.21979047816616548</v>
      </c>
      <c r="BT84" s="725"/>
      <c r="BU84" s="725"/>
      <c r="BV84" s="725"/>
      <c r="BW84" s="725"/>
      <c r="BX84" s="32">
        <f>BX83/BX73</f>
        <v>0.24927858129732941</v>
      </c>
      <c r="BY84" s="725"/>
      <c r="BZ84" s="725"/>
      <c r="CA84" s="725"/>
      <c r="CB84" s="725"/>
      <c r="CC84" s="32">
        <f>CC83/CC73</f>
        <v>0.27346948017842887</v>
      </c>
      <c r="CD84" s="725"/>
      <c r="CE84" s="725"/>
      <c r="CF84" s="725"/>
      <c r="CG84" s="725"/>
      <c r="CH84" s="32">
        <f>CH83/CH73</f>
        <v>0.29304606917134912</v>
      </c>
      <c r="CI84" s="725"/>
      <c r="CJ84" s="725"/>
      <c r="CK84" s="725"/>
      <c r="CL84" s="725"/>
      <c r="CM84" s="32">
        <f>CM83/CM73</f>
        <v>0.31392903053907578</v>
      </c>
    </row>
    <row r="85" spans="8:91">
      <c r="L85" s="66"/>
      <c r="M85" s="66"/>
      <c r="N85" s="66"/>
      <c r="O85" s="66"/>
      <c r="Q85" s="66"/>
      <c r="R85" s="66"/>
      <c r="S85" s="66"/>
      <c r="T85" s="66"/>
      <c r="V85" s="66"/>
      <c r="W85" s="66"/>
      <c r="X85" s="66"/>
      <c r="Y85" s="66"/>
      <c r="AA85" s="66"/>
      <c r="AB85" s="66"/>
      <c r="AC85" s="66"/>
      <c r="AD85" s="66"/>
      <c r="AF85" s="66"/>
      <c r="AG85" s="66"/>
      <c r="AH85" s="66"/>
      <c r="AI85" s="66"/>
      <c r="AK85" s="66"/>
      <c r="AL85" s="66"/>
      <c r="AM85" s="66"/>
      <c r="AN85" s="66"/>
      <c r="AP85" s="66"/>
      <c r="AQ85" s="66"/>
      <c r="AR85" s="66"/>
      <c r="AS85" s="66"/>
      <c r="AU85" s="66"/>
      <c r="AV85" s="66"/>
      <c r="AW85" s="66"/>
      <c r="AX85" s="66"/>
      <c r="AZ85" s="66"/>
      <c r="BA85" s="66"/>
      <c r="BB85" s="66"/>
      <c r="BC85" s="66"/>
      <c r="BE85" s="66"/>
      <c r="BF85" s="66"/>
      <c r="BG85" s="66"/>
      <c r="BH85" s="66"/>
      <c r="BJ85" s="66"/>
      <c r="BK85" s="66"/>
      <c r="BL85" s="66"/>
      <c r="BM85" s="66"/>
      <c r="BO85" s="66"/>
      <c r="BP85" s="66"/>
      <c r="BQ85" s="66"/>
      <c r="BR85" s="66"/>
      <c r="BT85" s="66"/>
      <c r="BU85" s="66"/>
      <c r="BV85" s="66"/>
      <c r="BW85" s="66"/>
      <c r="BY85" s="66"/>
      <c r="BZ85" s="66"/>
      <c r="CA85" s="66"/>
      <c r="CB85" s="66"/>
      <c r="CD85" s="66"/>
      <c r="CE85" s="66"/>
      <c r="CF85" s="66"/>
      <c r="CG85" s="66"/>
      <c r="CI85" s="66"/>
      <c r="CJ85" s="66"/>
      <c r="CK85" s="66"/>
      <c r="CL85" s="66"/>
    </row>
    <row r="86" spans="8:91">
      <c r="H86" s="15" t="s">
        <v>684</v>
      </c>
      <c r="L86" s="724">
        <f>'IS-ANNUAL'!L47</f>
        <v>736.63199999999995</v>
      </c>
      <c r="M86" s="724">
        <f>'IS-ANNUAL'!M47</f>
        <v>728.2524599999997</v>
      </c>
      <c r="N86" s="724">
        <f>'IS-ANNUAL'!N47</f>
        <v>794.1</v>
      </c>
      <c r="O86" s="724">
        <f>'IS-ANNUAL'!O47</f>
        <v>871</v>
      </c>
      <c r="P86" s="45">
        <f>'IS-ANNUAL'!P47</f>
        <v>3129.9844599999988</v>
      </c>
      <c r="Q86" s="724">
        <f>'IS-ANNUAL'!Q47</f>
        <v>834.4000000000002</v>
      </c>
      <c r="R86" s="724">
        <f>'IS-ANNUAL'!R47</f>
        <v>822.3</v>
      </c>
      <c r="S86" s="724">
        <f>'IS-ANNUAL'!S47</f>
        <v>873.55</v>
      </c>
      <c r="T86" s="724">
        <f>'IS-ANNUAL'!T47</f>
        <v>929.60000000000025</v>
      </c>
      <c r="U86" s="45">
        <f>'IS-ANNUAL'!U47</f>
        <v>3459.8499999999995</v>
      </c>
      <c r="V86" s="724">
        <f>'IS-ANNUAL'!V47</f>
        <v>913.0999999999998</v>
      </c>
      <c r="W86" s="724">
        <f>'IS-ANNUAL'!W47</f>
        <v>978.79999999999916</v>
      </c>
      <c r="X86" s="724">
        <f>'IS-ANNUAL'!X47</f>
        <v>996.80000000000064</v>
      </c>
      <c r="Y86" s="724">
        <f>'IS-ANNUAL'!Y47</f>
        <v>986.09999999999889</v>
      </c>
      <c r="Z86" s="45">
        <f>'IS-ANNUAL'!Z47</f>
        <v>3874.7999999999979</v>
      </c>
      <c r="AA86" s="724">
        <f>'IS-ANNUAL'!AA47</f>
        <v>962.4000000000002</v>
      </c>
      <c r="AB86" s="724">
        <f>'IS-ANNUAL'!AB47</f>
        <v>1023.1999999999999</v>
      </c>
      <c r="AC86" s="724">
        <f>'IS-ANNUAL'!AC47</f>
        <v>1075.400000000001</v>
      </c>
      <c r="AD86" s="724">
        <f>'IS-ANNUAL'!AD47</f>
        <v>1116.1000000000013</v>
      </c>
      <c r="AE86" s="45">
        <f>'IS-ANNUAL'!AE47</f>
        <v>4177.1000000000022</v>
      </c>
      <c r="AF86" s="724">
        <f>'IS-ANNUAL'!AF47</f>
        <v>1312.6000000000006</v>
      </c>
      <c r="AG86" s="724">
        <f>'IS-ANNUAL'!AG47</f>
        <v>1226.5100000000002</v>
      </c>
      <c r="AH86" s="724">
        <f>'IS-ANNUAL'!AH47</f>
        <v>1312.0000000000009</v>
      </c>
      <c r="AI86" s="724">
        <f>'IS-ANNUAL'!AI47</f>
        <v>999.89999999999941</v>
      </c>
      <c r="AJ86" s="45">
        <f>'IS-ANNUAL'!AJ47</f>
        <v>4851.0100000000011</v>
      </c>
      <c r="AK86" s="724"/>
      <c r="AL86" s="724"/>
      <c r="AM86" s="724"/>
      <c r="AN86" s="724"/>
      <c r="AO86" s="45">
        <f>'IS-ANNUAL'!AO47</f>
        <v>5240.880000000001</v>
      </c>
      <c r="AP86" s="724"/>
      <c r="AQ86" s="724"/>
      <c r="AR86" s="724"/>
      <c r="AS86" s="724"/>
      <c r="AT86" s="45">
        <f>'IS-ANNUAL'!AT47</f>
        <v>4913.600000000004</v>
      </c>
      <c r="AU86" s="724"/>
      <c r="AV86" s="724"/>
      <c r="AW86" s="724"/>
      <c r="AX86" s="724"/>
      <c r="AY86" s="45">
        <f>'IS-ANNUAL'!AY47</f>
        <v>3784.0086840000026</v>
      </c>
      <c r="AZ86" s="724"/>
      <c r="BA86" s="724"/>
      <c r="BB86" s="724"/>
      <c r="BC86" s="724"/>
      <c r="BD86" s="45">
        <f>'IS-ANNUAL'!BD47</f>
        <v>4502.3000000000038</v>
      </c>
      <c r="BE86" s="724"/>
      <c r="BF86" s="724"/>
      <c r="BG86" s="724"/>
      <c r="BH86" s="724"/>
      <c r="BI86" s="45">
        <f>'IS-ANNUAL'!BI47</f>
        <v>3335.9999999999982</v>
      </c>
      <c r="BJ86" s="724"/>
      <c r="BK86" s="724"/>
      <c r="BL86" s="724"/>
      <c r="BM86" s="724"/>
      <c r="BN86" s="45">
        <f>'IS-ANNUAL'!BN47</f>
        <v>3630.1999999999962</v>
      </c>
      <c r="BO86" s="724"/>
      <c r="BP86" s="724"/>
      <c r="BQ86" s="724"/>
      <c r="BR86" s="724"/>
      <c r="BS86" s="45">
        <f>'IS-ANNUAL'!BS47</f>
        <v>3723.600000000004</v>
      </c>
      <c r="BT86" s="724"/>
      <c r="BU86" s="724"/>
      <c r="BV86" s="724"/>
      <c r="BW86" s="724"/>
      <c r="BX86" s="45">
        <f>'IS-ANNUAL'!BX47</f>
        <v>4530.6999999999989</v>
      </c>
      <c r="BY86" s="724"/>
      <c r="BZ86" s="724"/>
      <c r="CA86" s="724"/>
      <c r="CB86" s="724"/>
      <c r="CC86" s="45">
        <f>'IS-ANNUAL'!CC47</f>
        <v>5446.6656611749977</v>
      </c>
      <c r="CD86" s="724"/>
      <c r="CE86" s="724"/>
      <c r="CF86" s="724"/>
      <c r="CG86" s="724"/>
      <c r="CH86" s="45">
        <f>'IS-ANNUAL'!CD47</f>
        <v>5995.8872221248012</v>
      </c>
      <c r="CI86" s="724"/>
      <c r="CJ86" s="724"/>
      <c r="CK86" s="724"/>
      <c r="CL86" s="724"/>
      <c r="CM86" s="45">
        <f>'IS-ANNUAL'!CE47</f>
        <v>6688.0067417788487</v>
      </c>
    </row>
    <row r="87" spans="8:91">
      <c r="H87" s="46" t="s">
        <v>153</v>
      </c>
      <c r="L87" s="725">
        <f t="shared" ref="L87:AJ87" si="3">L86/L73</f>
        <v>0.21062274832732886</v>
      </c>
      <c r="M87" s="725">
        <f t="shared" si="3"/>
        <v>0.19855834991956806</v>
      </c>
      <c r="N87" s="725">
        <f t="shared" si="3"/>
        <v>0.22051595345866543</v>
      </c>
      <c r="O87" s="725">
        <f t="shared" si="3"/>
        <v>0.22453661931891419</v>
      </c>
      <c r="P87" s="32">
        <f t="shared" si="3"/>
        <v>0.21371938164462312</v>
      </c>
      <c r="Q87" s="725">
        <f t="shared" si="3"/>
        <v>0.22461505330031231</v>
      </c>
      <c r="R87" s="725">
        <f t="shared" si="3"/>
        <v>0.21263996276279382</v>
      </c>
      <c r="S87" s="725">
        <f t="shared" si="3"/>
        <v>0.22607109121258781</v>
      </c>
      <c r="T87" s="725">
        <f t="shared" si="3"/>
        <v>0.21897156855817027</v>
      </c>
      <c r="U87" s="32">
        <f t="shared" si="3"/>
        <v>0.2204954990838843</v>
      </c>
      <c r="V87" s="725">
        <f t="shared" si="3"/>
        <v>0.21605697789976808</v>
      </c>
      <c r="W87" s="725">
        <f t="shared" si="3"/>
        <v>0.2113628020471181</v>
      </c>
      <c r="X87" s="725">
        <f t="shared" si="3"/>
        <v>0.21731926397488457</v>
      </c>
      <c r="Y87" s="725">
        <f t="shared" si="3"/>
        <v>0.19000732205479962</v>
      </c>
      <c r="Z87" s="32">
        <f t="shared" si="3"/>
        <v>0.20794581859748726</v>
      </c>
      <c r="AA87" s="725">
        <f t="shared" si="3"/>
        <v>0.19596823457544293</v>
      </c>
      <c r="AB87" s="725">
        <f t="shared" si="3"/>
        <v>0.19485812226242619</v>
      </c>
      <c r="AC87" s="725">
        <f t="shared" si="3"/>
        <v>0.20257313466573754</v>
      </c>
      <c r="AD87" s="725">
        <f t="shared" si="3"/>
        <v>0.21211775661858356</v>
      </c>
      <c r="AE87" s="32">
        <f t="shared" si="3"/>
        <v>0.20147691535953396</v>
      </c>
      <c r="AF87" s="725">
        <f t="shared" si="3"/>
        <v>0.26010106014069168</v>
      </c>
      <c r="AG87" s="725">
        <f t="shared" si="3"/>
        <v>0.23174010554338981</v>
      </c>
      <c r="AH87" s="725">
        <f t="shared" si="3"/>
        <v>0.23587789004350809</v>
      </c>
      <c r="AI87" s="725">
        <f t="shared" si="3"/>
        <v>0.16848366387517472</v>
      </c>
      <c r="AJ87" s="32">
        <f t="shared" si="3"/>
        <v>0.22215642876148164</v>
      </c>
      <c r="AK87" s="725"/>
      <c r="AL87" s="725"/>
      <c r="AM87" s="725"/>
      <c r="AN87" s="725"/>
      <c r="AO87" s="32">
        <f>AO86/AO73</f>
        <v>0.22711309719848435</v>
      </c>
      <c r="AP87" s="725"/>
      <c r="AQ87" s="725"/>
      <c r="AR87" s="725"/>
      <c r="AS87" s="725"/>
      <c r="AT87" s="32">
        <f>AT86/AT73</f>
        <v>0.20231732725041807</v>
      </c>
      <c r="AU87" s="725"/>
      <c r="AV87" s="725"/>
      <c r="AW87" s="725"/>
      <c r="AX87" s="725"/>
      <c r="AY87" s="32">
        <f>AY86/AY73</f>
        <v>0.16740956780647084</v>
      </c>
      <c r="AZ87" s="725"/>
      <c r="BA87" s="725"/>
      <c r="BB87" s="725"/>
      <c r="BC87" s="725"/>
      <c r="BD87" s="32">
        <f>BD86/BD73</f>
        <v>0.19479682253989145</v>
      </c>
      <c r="BE87" s="725"/>
      <c r="BF87" s="725"/>
      <c r="BG87" s="725"/>
      <c r="BH87" s="725"/>
      <c r="BI87" s="32">
        <f>BI86/BI73</f>
        <v>0.17006872081404589</v>
      </c>
      <c r="BJ87" s="725"/>
      <c r="BK87" s="725"/>
      <c r="BL87" s="725"/>
      <c r="BM87" s="725"/>
      <c r="BN87" s="32">
        <f>BN86/BN73</f>
        <v>0.18188559375109584</v>
      </c>
      <c r="BO87" s="725"/>
      <c r="BP87" s="725"/>
      <c r="BQ87" s="725"/>
      <c r="BR87" s="725"/>
      <c r="BS87" s="32">
        <f>BS86/BS73</f>
        <v>0.17555704330935132</v>
      </c>
      <c r="BT87" s="725"/>
      <c r="BU87" s="725"/>
      <c r="BV87" s="725"/>
      <c r="BW87" s="725"/>
      <c r="BX87" s="32">
        <f>BX86/BX73</f>
        <v>0.19809283128421271</v>
      </c>
      <c r="BY87" s="725"/>
      <c r="BZ87" s="725"/>
      <c r="CA87" s="725"/>
      <c r="CB87" s="725"/>
      <c r="CC87" s="32">
        <f>CC86/CC73</f>
        <v>0.22673336102595998</v>
      </c>
      <c r="CD87" s="725"/>
      <c r="CE87" s="725"/>
      <c r="CF87" s="725"/>
      <c r="CG87" s="725"/>
      <c r="CH87" s="32">
        <f>CH86/CH73</f>
        <v>0.24381432955056248</v>
      </c>
      <c r="CI87" s="725"/>
      <c r="CJ87" s="725"/>
      <c r="CK87" s="725"/>
      <c r="CL87" s="725"/>
      <c r="CM87" s="32">
        <f>CM86/CM73</f>
        <v>0.2621307405001283</v>
      </c>
    </row>
    <row r="88" spans="8:91">
      <c r="L88" s="66"/>
      <c r="M88" s="66"/>
      <c r="N88" s="66"/>
      <c r="O88" s="66"/>
      <c r="Q88" s="66"/>
      <c r="R88" s="66"/>
      <c r="S88" s="66"/>
      <c r="T88" s="66"/>
      <c r="V88" s="66"/>
      <c r="W88" s="66"/>
      <c r="X88" s="66"/>
      <c r="Y88" s="66"/>
      <c r="AA88" s="66"/>
      <c r="AB88" s="66"/>
      <c r="AC88" s="66"/>
      <c r="AD88" s="66"/>
      <c r="AF88" s="66"/>
      <c r="AG88" s="66"/>
      <c r="AH88" s="66"/>
      <c r="AI88" s="66"/>
      <c r="AK88" s="66"/>
      <c r="AL88" s="66"/>
      <c r="AM88" s="66"/>
      <c r="AN88" s="66"/>
      <c r="AP88" s="66"/>
      <c r="AQ88" s="66"/>
      <c r="AR88" s="66"/>
      <c r="AS88" s="66"/>
      <c r="AU88" s="66"/>
      <c r="AV88" s="66"/>
      <c r="AW88" s="66"/>
      <c r="AX88" s="66"/>
      <c r="AZ88" s="66"/>
      <c r="BA88" s="66"/>
      <c r="BB88" s="66"/>
      <c r="BC88" s="66"/>
      <c r="BE88" s="66"/>
      <c r="BF88" s="66"/>
      <c r="BG88" s="66"/>
      <c r="BH88" s="66"/>
      <c r="BJ88" s="66"/>
      <c r="BK88" s="66"/>
      <c r="BL88" s="66"/>
      <c r="BM88" s="66"/>
      <c r="BO88" s="66"/>
      <c r="BP88" s="66"/>
      <c r="BQ88" s="66"/>
      <c r="BR88" s="66"/>
      <c r="BT88" s="66"/>
      <c r="BU88" s="66"/>
      <c r="BV88" s="66"/>
      <c r="BW88" s="66"/>
      <c r="BY88" s="66"/>
      <c r="BZ88" s="66"/>
      <c r="CA88" s="66"/>
      <c r="CB88" s="66"/>
      <c r="CD88" s="66"/>
      <c r="CE88" s="66"/>
      <c r="CF88" s="66"/>
      <c r="CG88" s="66"/>
      <c r="CI88" s="66"/>
      <c r="CJ88" s="66"/>
      <c r="CK88" s="66"/>
      <c r="CL88" s="66"/>
    </row>
    <row r="89" spans="8:91">
      <c r="H89" s="15" t="s">
        <v>705</v>
      </c>
      <c r="L89" s="726">
        <f>'IS-ANNUAL'!L49</f>
        <v>0.67630492443543477</v>
      </c>
      <c r="M89" s="726">
        <f>'IS-ANNUAL'!M49</f>
        <v>0.66798731264085442</v>
      </c>
      <c r="N89" s="726">
        <f>'IS-ANNUAL'!N49</f>
        <v>0.72762291521969746</v>
      </c>
      <c r="O89" s="726">
        <f>'IS-ANNUAL'!O49</f>
        <v>0.79651690746595127</v>
      </c>
      <c r="P89" s="29">
        <f>'IS-ANNUAL'!P49</f>
        <v>2.8687207389604676</v>
      </c>
      <c r="Q89" s="726">
        <f>'IS-ANNUAL'!Q49</f>
        <v>0.76762153240956277</v>
      </c>
      <c r="R89" s="726">
        <f>'IS-ANNUAL'!R49</f>
        <v>0.75766370898637259</v>
      </c>
      <c r="S89" s="726">
        <f>'IS-ANNUAL'!S49</f>
        <v>0.80406880630920863</v>
      </c>
      <c r="T89" s="726">
        <f>'IS-ANNUAL'!T49</f>
        <v>0.85355115292760908</v>
      </c>
      <c r="U89" s="29">
        <f>'IS-ANNUAL'!U49</f>
        <v>3.1830715810454584</v>
      </c>
      <c r="V89" s="726">
        <f>'IS-ANNUAL'!V49</f>
        <v>0.83779942544080566</v>
      </c>
      <c r="W89" s="726">
        <f>'IS-ANNUAL'!W49</f>
        <v>0.89802614074458664</v>
      </c>
      <c r="X89" s="726">
        <f>'IS-ANNUAL'!X49</f>
        <v>0.91430416389966185</v>
      </c>
      <c r="Y89" s="726">
        <f>'IS-ANNUAL'!Y49</f>
        <v>0.90249634828067071</v>
      </c>
      <c r="Z89" s="29">
        <f>'IS-ANNUAL'!Z49</f>
        <v>3.5526712997419687</v>
      </c>
      <c r="AA89" s="726">
        <f>'IS-ANNUAL'!AA49</f>
        <v>0.87966246700351736</v>
      </c>
      <c r="AB89" s="726">
        <f>'IS-ANNUAL'!AB49</f>
        <v>0.9354270125576869</v>
      </c>
      <c r="AC89" s="726">
        <f>'IS-ANNUAL'!AC49</f>
        <v>0.98297660746016646</v>
      </c>
      <c r="AD89" s="726">
        <f>'IS-ANNUAL'!AD49</f>
        <v>1.017851850163016</v>
      </c>
      <c r="AE89" s="29">
        <f>'IS-ANNUAL'!AE49</f>
        <v>3.8160649565130225</v>
      </c>
      <c r="AF89" s="726">
        <f>'IS-ANNUAL'!AF49</f>
        <v>1.1962568443462607</v>
      </c>
      <c r="AG89" s="726">
        <f>'IS-ANNUAL'!AG49</f>
        <v>1.1178412942610052</v>
      </c>
      <c r="AH89" s="726">
        <f>'IS-ANNUAL'!AH49</f>
        <v>1.1952263824360034</v>
      </c>
      <c r="AI89" s="726">
        <f>'IS-ANNUAL'!AI49</f>
        <v>0.90780582270413335</v>
      </c>
      <c r="AJ89" s="29">
        <f>'IS-ANNUAL'!AJ49</f>
        <v>4.4164169103535684</v>
      </c>
      <c r="AK89" s="726"/>
      <c r="AL89" s="726"/>
      <c r="AM89" s="726"/>
      <c r="AN89" s="726"/>
      <c r="AO89" s="29">
        <f>'IS-ANNUAL'!AO49</f>
        <v>4.7409771467185564</v>
      </c>
      <c r="AP89" s="726"/>
      <c r="AQ89" s="726"/>
      <c r="AR89" s="726"/>
      <c r="AS89" s="726"/>
      <c r="AT89" s="29">
        <f>'IS-ANNUAL'!AT49</f>
        <v>4.4110620379661443</v>
      </c>
      <c r="AU89" s="726"/>
      <c r="AV89" s="726"/>
      <c r="AW89" s="726"/>
      <c r="AX89" s="726"/>
      <c r="AY89" s="29">
        <f>'IS-ANNUAL'!AY49</f>
        <v>3.3867353177104436</v>
      </c>
      <c r="AZ89" s="726"/>
      <c r="BA89" s="726"/>
      <c r="BB89" s="726"/>
      <c r="BC89" s="726"/>
      <c r="BD89" s="29">
        <f>'IS-ANNUAL'!BD49</f>
        <v>4.1504019454519421</v>
      </c>
      <c r="BE89" s="726"/>
      <c r="BF89" s="726"/>
      <c r="BG89" s="726"/>
      <c r="BH89" s="726"/>
      <c r="BI89" s="29">
        <f>'IS-ANNUAL'!BI49</f>
        <v>3.1058365474381371</v>
      </c>
      <c r="BJ89" s="726"/>
      <c r="BK89" s="726"/>
      <c r="BL89" s="726"/>
      <c r="BM89" s="726"/>
      <c r="BN89" s="29">
        <f>'IS-ANNUAL'!BN49</f>
        <v>3.4065018373452105</v>
      </c>
      <c r="BO89" s="726"/>
      <c r="BP89" s="726"/>
      <c r="BQ89" s="726"/>
      <c r="BR89" s="726"/>
      <c r="BS89" s="29">
        <f>'IS-ANNUAL'!BS49</f>
        <v>3.5083272837080361</v>
      </c>
      <c r="BT89" s="726"/>
      <c r="BU89" s="726"/>
      <c r="BV89" s="726"/>
      <c r="BW89" s="726"/>
      <c r="BX89" s="29">
        <f>'IS-ANNUAL'!BX49</f>
        <v>4.2879901117000259</v>
      </c>
      <c r="BY89" s="726"/>
      <c r="BZ89" s="726"/>
      <c r="CA89" s="726"/>
      <c r="CB89" s="726"/>
      <c r="CC89" s="29">
        <f>'IS-ANNUAL'!CC49</f>
        <v>5.1913866081679432</v>
      </c>
      <c r="CD89" s="726"/>
      <c r="CE89" s="726"/>
      <c r="CF89" s="726"/>
      <c r="CG89" s="726"/>
      <c r="CH89" s="29">
        <f>'IS-ANNUAL'!CD49</f>
        <v>5.7320629652620507</v>
      </c>
      <c r="CI89" s="726"/>
      <c r="CJ89" s="726"/>
      <c r="CK89" s="726"/>
      <c r="CL89" s="726"/>
      <c r="CM89" s="29">
        <f>'IS-ANNUAL'!CE49</f>
        <v>6.4129675261779697</v>
      </c>
    </row>
    <row r="90" spans="8:91">
      <c r="H90" s="27" t="s">
        <v>216</v>
      </c>
      <c r="L90" s="66"/>
      <c r="M90" s="66"/>
      <c r="N90" s="66"/>
      <c r="O90" s="66"/>
      <c r="P90" s="48">
        <v>1.7156201311945729E-2</v>
      </c>
      <c r="Q90" s="325">
        <f t="shared" ref="Q90:AJ90" si="4">Q89/L89-1</f>
        <v>0.13502283463388531</v>
      </c>
      <c r="R90" s="325">
        <f t="shared" si="4"/>
        <v>0.13424865210536252</v>
      </c>
      <c r="S90" s="325">
        <f t="shared" si="4"/>
        <v>0.10506251176329329</v>
      </c>
      <c r="T90" s="325">
        <f t="shared" si="4"/>
        <v>7.1604563477638328E-2</v>
      </c>
      <c r="U90" s="48">
        <f t="shared" si="4"/>
        <v>0.10957875328042621</v>
      </c>
      <c r="V90" s="325">
        <f t="shared" si="4"/>
        <v>9.1422517566638106E-2</v>
      </c>
      <c r="W90" s="325">
        <f t="shared" si="4"/>
        <v>0.18525690236106929</v>
      </c>
      <c r="X90" s="325">
        <f t="shared" si="4"/>
        <v>0.13709692096681292</v>
      </c>
      <c r="Y90" s="325">
        <f t="shared" si="4"/>
        <v>5.734301357942484E-2</v>
      </c>
      <c r="Z90" s="48">
        <f t="shared" si="4"/>
        <v>0.11611417126067836</v>
      </c>
      <c r="AA90" s="325">
        <f t="shared" si="4"/>
        <v>4.9967856615186435E-2</v>
      </c>
      <c r="AB90" s="325">
        <f t="shared" si="4"/>
        <v>4.1647865375154636E-2</v>
      </c>
      <c r="AC90" s="325">
        <f t="shared" si="4"/>
        <v>7.5108969500483402E-2</v>
      </c>
      <c r="AD90" s="325">
        <f t="shared" si="4"/>
        <v>0.12781824779912632</v>
      </c>
      <c r="AE90" s="48">
        <f t="shared" si="4"/>
        <v>7.4139607790392636E-2</v>
      </c>
      <c r="AF90" s="325">
        <f t="shared" si="4"/>
        <v>0.3599043828949422</v>
      </c>
      <c r="AG90" s="325">
        <f t="shared" si="4"/>
        <v>0.1950064294215248</v>
      </c>
      <c r="AH90" s="325">
        <f t="shared" si="4"/>
        <v>0.21592556055250589</v>
      </c>
      <c r="AI90" s="325">
        <f t="shared" si="4"/>
        <v>-0.1081159575838645</v>
      </c>
      <c r="AJ90" s="48">
        <f t="shared" si="4"/>
        <v>0.15732225753020868</v>
      </c>
      <c r="AK90" s="325"/>
      <c r="AL90" s="325"/>
      <c r="AM90" s="325"/>
      <c r="AN90" s="325"/>
      <c r="AO90" s="48">
        <f>AO89/AJ89-1</f>
        <v>7.3489492263311806E-2</v>
      </c>
      <c r="AP90" s="325"/>
      <c r="AQ90" s="325"/>
      <c r="AR90" s="325"/>
      <c r="AS90" s="325"/>
      <c r="AT90" s="48">
        <f>AT89/AO89-1</f>
        <v>-6.9587998115696714E-2</v>
      </c>
      <c r="AU90" s="325"/>
      <c r="AV90" s="325"/>
      <c r="AW90" s="325"/>
      <c r="AX90" s="325"/>
      <c r="AY90" s="48">
        <f>AY89/AT89-1</f>
        <v>-0.23221770889624527</v>
      </c>
      <c r="AZ90" s="325"/>
      <c r="BA90" s="325"/>
      <c r="BB90" s="325"/>
      <c r="BC90" s="325"/>
      <c r="BD90" s="48">
        <f>BD89/AY89-1</f>
        <v>0.22548754363767798</v>
      </c>
      <c r="BE90" s="325"/>
      <c r="BF90" s="325"/>
      <c r="BG90" s="325"/>
      <c r="BH90" s="325"/>
      <c r="BI90" s="48">
        <f>BI89/BD89-1</f>
        <v>-0.25167812942995837</v>
      </c>
      <c r="BJ90" s="325"/>
      <c r="BK90" s="325"/>
      <c r="BL90" s="325"/>
      <c r="BM90" s="325"/>
      <c r="BN90" s="48">
        <f>BN89/BI89-1</f>
        <v>9.6806539981982853E-2</v>
      </c>
      <c r="BO90" s="325"/>
      <c r="BP90" s="325"/>
      <c r="BQ90" s="325"/>
      <c r="BR90" s="325"/>
      <c r="BS90" s="48">
        <f>BS89/BN89-1</f>
        <v>2.9891499028863455E-2</v>
      </c>
      <c r="BT90" s="325"/>
      <c r="BU90" s="325"/>
      <c r="BV90" s="325"/>
      <c r="BW90" s="325"/>
      <c r="BX90" s="48">
        <f>BX89/BS89-1</f>
        <v>0.22223206814614671</v>
      </c>
      <c r="BY90" s="325"/>
      <c r="BZ90" s="325"/>
      <c r="CA90" s="325"/>
      <c r="CB90" s="325"/>
      <c r="CC90" s="48">
        <f>CC89/BX89-1</f>
        <v>0.21068063893220002</v>
      </c>
      <c r="CD90" s="325"/>
      <c r="CE90" s="325"/>
      <c r="CF90" s="325"/>
      <c r="CG90" s="325"/>
      <c r="CH90" s="48">
        <f>CH89/CC89-1</f>
        <v>0.10414873672544944</v>
      </c>
      <c r="CI90" s="325"/>
      <c r="CJ90" s="325"/>
      <c r="CK90" s="325"/>
      <c r="CL90" s="325"/>
      <c r="CM90" s="48">
        <f>CM89/CH89-1</f>
        <v>0.1187887441297133</v>
      </c>
    </row>
    <row r="91" spans="8:91">
      <c r="H91" s="27" t="s">
        <v>217</v>
      </c>
      <c r="L91" s="66"/>
      <c r="M91" s="66"/>
      <c r="N91" s="66"/>
      <c r="O91" s="66"/>
      <c r="P91" s="49"/>
      <c r="Q91" s="732"/>
      <c r="R91" s="732"/>
      <c r="S91" s="732"/>
      <c r="T91" s="732"/>
      <c r="U91" s="49"/>
      <c r="V91" s="732"/>
      <c r="W91" s="732"/>
      <c r="X91" s="732"/>
      <c r="Y91" s="732"/>
      <c r="Z91" s="49"/>
      <c r="AA91" s="732"/>
      <c r="AB91" s="732"/>
      <c r="AC91" s="732"/>
      <c r="AD91" s="732"/>
      <c r="AE91" s="49"/>
      <c r="AF91" s="732"/>
      <c r="AG91" s="732"/>
      <c r="AH91" s="732"/>
      <c r="AI91" s="732"/>
      <c r="AJ91" s="49">
        <f>$J$17/AJ$89</f>
        <v>18.134610392474965</v>
      </c>
      <c r="AK91" s="732"/>
      <c r="AL91" s="732"/>
      <c r="AM91" s="732"/>
      <c r="AN91" s="732"/>
      <c r="AO91" s="49">
        <f>$J$17/AO$89</f>
        <v>16.893141966616291</v>
      </c>
      <c r="AP91" s="732"/>
      <c r="AQ91" s="732"/>
      <c r="AR91" s="732"/>
      <c r="AS91" s="732"/>
      <c r="AT91" s="49">
        <f>$J$17/AT$89</f>
        <v>18.156625164339779</v>
      </c>
      <c r="AU91" s="732"/>
      <c r="AV91" s="732"/>
      <c r="AW91" s="732"/>
      <c r="AX91" s="732"/>
      <c r="AY91" s="49">
        <f>$J$17/AY$89</f>
        <v>23.648142676276148</v>
      </c>
      <c r="AZ91" s="732"/>
      <c r="BA91" s="732"/>
      <c r="BB91" s="732"/>
      <c r="BC91" s="732"/>
      <c r="BD91" s="49">
        <f>$J$17/BD$89</f>
        <v>19.296926189947346</v>
      </c>
      <c r="BE91" s="732"/>
      <c r="BF91" s="732"/>
      <c r="BG91" s="732"/>
      <c r="BH91" s="732"/>
      <c r="BI91" s="49">
        <f>$J$17/BI$89</f>
        <v>25.786933335581548</v>
      </c>
      <c r="BJ91" s="732"/>
      <c r="BK91" s="732"/>
      <c r="BL91" s="732"/>
      <c r="BM91" s="732"/>
      <c r="BN91" s="49">
        <f>$J$17/BN$89</f>
        <v>23.510922296292243</v>
      </c>
      <c r="BO91" s="732"/>
      <c r="BP91" s="732"/>
      <c r="BQ91" s="732"/>
      <c r="BR91" s="732"/>
      <c r="BS91" s="49">
        <f>$J$17/BS$89</f>
        <v>22.828542927543221</v>
      </c>
      <c r="BT91" s="732"/>
      <c r="BU91" s="732"/>
      <c r="BV91" s="732"/>
      <c r="BW91" s="732"/>
      <c r="BX91" s="49">
        <f>$J$17/BX$89</f>
        <v>18.677748295517254</v>
      </c>
      <c r="BY91" s="732"/>
      <c r="BZ91" s="732"/>
      <c r="CA91" s="732"/>
      <c r="CB91" s="732"/>
      <c r="CC91" s="49">
        <f>$J$17/CC$89</f>
        <v>15.427477482410815</v>
      </c>
      <c r="CD91" s="732"/>
      <c r="CE91" s="732"/>
      <c r="CF91" s="732"/>
      <c r="CG91" s="732"/>
      <c r="CH91" s="49">
        <f>$J$17/CH$89</f>
        <v>13.972281966434846</v>
      </c>
      <c r="CI91" s="732"/>
      <c r="CJ91" s="732"/>
      <c r="CK91" s="732"/>
      <c r="CL91" s="732"/>
      <c r="CM91" s="49">
        <f>$J$17/CM$89</f>
        <v>12.488758078544709</v>
      </c>
    </row>
    <row r="92" spans="8:91">
      <c r="H92" s="27" t="str">
        <f>"PEG (" &amp; K40 &amp; ")"</f>
        <v>PEG (2017e–2020E CAGR)</v>
      </c>
      <c r="I92" s="27"/>
      <c r="J92" s="27"/>
      <c r="K92" s="27"/>
      <c r="L92" s="727"/>
      <c r="M92" s="727"/>
      <c r="N92" s="727"/>
      <c r="O92" s="727"/>
      <c r="P92" s="50"/>
      <c r="Q92" s="733"/>
      <c r="R92" s="733"/>
      <c r="S92" s="733"/>
      <c r="T92" s="733"/>
      <c r="U92" s="50"/>
      <c r="V92" s="733"/>
      <c r="W92" s="733"/>
      <c r="X92" s="733"/>
      <c r="Y92" s="733"/>
      <c r="Z92" s="50"/>
      <c r="AA92" s="733"/>
      <c r="AB92" s="733"/>
      <c r="AC92" s="733"/>
      <c r="AD92" s="733"/>
      <c r="AF92" s="733"/>
      <c r="AG92" s="733"/>
      <c r="AH92" s="733"/>
      <c r="AI92" s="733"/>
      <c r="AJ92" s="51" t="e">
        <f>IF(ISNUMBER(AJ$91), IF($K$49&gt;0, AJ$91/$K$49/100, "NM"), "NM")</f>
        <v>#N/A</v>
      </c>
      <c r="AK92" s="734"/>
      <c r="AL92" s="734"/>
      <c r="AM92" s="734"/>
      <c r="AN92" s="734"/>
      <c r="AO92" s="51" t="e">
        <f>IF(ISNUMBER(AO$91), IF($K$49&gt;0, AO$91/$K$49/100, "NM"), "NM")</f>
        <v>#N/A</v>
      </c>
      <c r="AP92" s="734"/>
      <c r="AQ92" s="734"/>
      <c r="AR92" s="734"/>
      <c r="AS92" s="734"/>
      <c r="AT92" s="51" t="e">
        <f>IF(ISNUMBER(AT$91), IF($K$49&gt;0, AT$91/$K$49/100, "NM"), "NM")</f>
        <v>#N/A</v>
      </c>
      <c r="AU92" s="734"/>
      <c r="AV92" s="734"/>
      <c r="AW92" s="734"/>
      <c r="AX92" s="734"/>
      <c r="AY92" s="51" t="e">
        <f>IF(ISNUMBER(AY$91), IF($K$49&gt;0, AY$91/$K$49/100, "NM"), "NM")</f>
        <v>#N/A</v>
      </c>
      <c r="AZ92" s="734"/>
      <c r="BA92" s="734"/>
      <c r="BB92" s="734"/>
      <c r="BC92" s="734"/>
      <c r="BD92" s="51" t="e">
        <f>IF(ISNUMBER(BD$91), IF($K$49&gt;0, BD$91/$K$49/100, "NM"), "NM")</f>
        <v>#N/A</v>
      </c>
      <c r="BE92" s="734"/>
      <c r="BF92" s="734"/>
      <c r="BG92" s="734"/>
      <c r="BH92" s="734"/>
      <c r="BI92" s="51" t="e">
        <f>IF(ISNUMBER(BI$91), IF($K$49&gt;0, BI$91/$K$49/100, "NM"), "NM")</f>
        <v>#N/A</v>
      </c>
      <c r="BJ92" s="734"/>
      <c r="BK92" s="734"/>
      <c r="BL92" s="734"/>
      <c r="BM92" s="734"/>
      <c r="BN92" s="51" t="e">
        <f>IF(ISNUMBER(BN$91), IF($K$49&gt;0, BN$91/$K$49/100, "NM"), "NM")</f>
        <v>#N/A</v>
      </c>
      <c r="BO92" s="734"/>
      <c r="BP92" s="734"/>
      <c r="BQ92" s="734"/>
      <c r="BR92" s="734"/>
      <c r="BS92" s="51" t="e">
        <f>IF(ISNUMBER(BS$91), IF($K$49&gt;0, BS$91/$K$49/100, "NM"), "NM")</f>
        <v>#N/A</v>
      </c>
      <c r="BT92" s="734"/>
      <c r="BU92" s="734"/>
      <c r="BV92" s="734"/>
      <c r="BW92" s="734"/>
      <c r="BX92" s="51" t="e">
        <f>IF(ISNUMBER(BX$91), IF($K$49&gt;0, BX$91/$K$49/100, "NM"), "NM")</f>
        <v>#N/A</v>
      </c>
      <c r="BY92" s="734"/>
      <c r="BZ92" s="734"/>
      <c r="CA92" s="734"/>
      <c r="CB92" s="734"/>
      <c r="CC92" s="51" t="e">
        <f>IF(ISNUMBER(CC$91), IF($K$49&gt;0, CC$91/$K$49/100, "NM"), "NM")</f>
        <v>#N/A</v>
      </c>
      <c r="CD92" s="734"/>
      <c r="CE92" s="734"/>
      <c r="CF92" s="734"/>
      <c r="CG92" s="734"/>
      <c r="CH92" s="51" t="e">
        <f>IF(ISNUMBER(CH$91), IF($K$49&gt;0, CH$91/$K$49/100, "NM"), "NM")</f>
        <v>#N/A</v>
      </c>
      <c r="CI92" s="734"/>
      <c r="CJ92" s="734"/>
      <c r="CK92" s="734"/>
      <c r="CL92" s="734"/>
      <c r="CM92" s="51" t="e">
        <f>IF(ISNUMBER(CM$91), IF($K$49&gt;0, CM$91/$K$49/100, "NM"), "NM")</f>
        <v>#N/A</v>
      </c>
    </row>
    <row r="93" spans="8:91">
      <c r="H93" s="27" t="str">
        <f>"PEG (" &amp; J40 &amp; ")"</f>
        <v>PEG (2016a–2020e CAGR)</v>
      </c>
      <c r="I93" s="27"/>
      <c r="J93" s="27"/>
      <c r="K93" s="27"/>
      <c r="L93" s="727"/>
      <c r="M93" s="727"/>
      <c r="N93" s="727"/>
      <c r="O93" s="727"/>
      <c r="P93" s="50"/>
      <c r="Q93" s="733"/>
      <c r="R93" s="733"/>
      <c r="S93" s="733"/>
      <c r="T93" s="733"/>
      <c r="U93" s="50"/>
      <c r="V93" s="733"/>
      <c r="W93" s="733"/>
      <c r="X93" s="733"/>
      <c r="Y93" s="733"/>
      <c r="Z93" s="50"/>
      <c r="AA93" s="733"/>
      <c r="AB93" s="733"/>
      <c r="AC93" s="733"/>
      <c r="AD93" s="733"/>
      <c r="AF93" s="733"/>
      <c r="AG93" s="733"/>
      <c r="AH93" s="733"/>
      <c r="AI93" s="733"/>
      <c r="AJ93" s="51">
        <f>IF(ISNUMBER(AJ$91), IF($J$49&gt;0, AJ$91/$J$49/100, "NM"), "NM")</f>
        <v>1.1141996980161222</v>
      </c>
      <c r="AK93" s="734"/>
      <c r="AL93" s="734"/>
      <c r="AM93" s="734"/>
      <c r="AN93" s="734"/>
      <c r="AO93" s="51">
        <f>IF(ISNUMBER(AO$91), IF($J$49&gt;0, AO$91/$J$49/100, "NM"), "NM")</f>
        <v>1.037923245682618</v>
      </c>
      <c r="AP93" s="734"/>
      <c r="AQ93" s="734"/>
      <c r="AR93" s="734"/>
      <c r="AS93" s="734"/>
      <c r="AT93" s="51">
        <f>IF(ISNUMBER(AT$91), IF($J$49&gt;0, AT$91/$J$49/100, "NM"), "NM")</f>
        <v>1.1155522968110678</v>
      </c>
      <c r="AU93" s="734"/>
      <c r="AV93" s="734"/>
      <c r="AW93" s="734"/>
      <c r="AX93" s="734"/>
      <c r="AY93" s="51">
        <f>IF(ISNUMBER(AY$91), IF($J$49&gt;0, AY$91/$J$49/100, "NM"), "NM")</f>
        <v>1.4529539294366416</v>
      </c>
      <c r="AZ93" s="734"/>
      <c r="BA93" s="734"/>
      <c r="BB93" s="734"/>
      <c r="BC93" s="734"/>
      <c r="BD93" s="51">
        <f>IF(ISNUMBER(BD$91), IF($J$49&gt;0, BD$91/$J$49/100, "NM"), "NM")</f>
        <v>1.1856129725511231</v>
      </c>
      <c r="BE93" s="734"/>
      <c r="BF93" s="734"/>
      <c r="BG93" s="734"/>
      <c r="BH93" s="734"/>
      <c r="BI93" s="51">
        <f>IF(ISNUMBER(BI$91), IF($J$49&gt;0, BI$91/$J$49/100, "NM"), "NM")</f>
        <v>1.584362316776831</v>
      </c>
      <c r="BJ93" s="734"/>
      <c r="BK93" s="734"/>
      <c r="BL93" s="734"/>
      <c r="BM93" s="734"/>
      <c r="BN93" s="51">
        <f>IF(ISNUMBER(BN$91), IF($J$49&gt;0, BN$91/$J$49/100, "NM"), "NM")</f>
        <v>1.4445230394075308</v>
      </c>
      <c r="BO93" s="734"/>
      <c r="BP93" s="734"/>
      <c r="BQ93" s="734"/>
      <c r="BR93" s="734"/>
      <c r="BS93" s="51">
        <f>IF(ISNUMBER(BS$91), IF($J$49&gt;0, BS$91/$J$49/100, "NM"), "NM")</f>
        <v>1.4025973034728847</v>
      </c>
      <c r="BT93" s="734"/>
      <c r="BU93" s="734"/>
      <c r="BV93" s="734"/>
      <c r="BW93" s="734"/>
      <c r="BX93" s="51">
        <f>IF(ISNUMBER(BX$91), IF($J$49&gt;0, BX$91/$J$49/100, "NM"), "NM")</f>
        <v>1.1475703673855586</v>
      </c>
      <c r="BY93" s="734"/>
      <c r="BZ93" s="734"/>
      <c r="CA93" s="734"/>
      <c r="CB93" s="734"/>
      <c r="CC93" s="51">
        <f>IF(ISNUMBER(CC$91), IF($J$49&gt;0, CC$91/$J$49/100, "NM"), "NM")</f>
        <v>0.94787207334685419</v>
      </c>
      <c r="CD93" s="734"/>
      <c r="CE93" s="734"/>
      <c r="CF93" s="734"/>
      <c r="CG93" s="734"/>
      <c r="CH93" s="51">
        <f>IF(ISNUMBER(CH$91), IF($J$49&gt;0, CH$91/$J$49/100, "NM"), "NM")</f>
        <v>0.85846411975069425</v>
      </c>
      <c r="CI93" s="734"/>
      <c r="CJ93" s="734"/>
      <c r="CK93" s="734"/>
      <c r="CL93" s="734"/>
      <c r="CM93" s="51">
        <f>IF(ISNUMBER(CM$91), IF($J$49&gt;0, CM$91/$J$49/100, "NM"), "NM")</f>
        <v>0.76731565655719836</v>
      </c>
    </row>
    <row r="94" spans="8:91">
      <c r="L94" s="66"/>
      <c r="M94" s="66"/>
      <c r="N94" s="66"/>
      <c r="O94" s="66"/>
      <c r="Q94" s="66"/>
      <c r="R94" s="66"/>
      <c r="S94" s="66"/>
      <c r="T94" s="66"/>
      <c r="V94" s="66"/>
      <c r="W94" s="66"/>
      <c r="X94" s="66"/>
      <c r="Y94" s="66"/>
      <c r="AA94" s="66"/>
      <c r="AB94" s="66"/>
      <c r="AC94" s="66"/>
      <c r="AD94" s="66"/>
      <c r="AF94" s="66"/>
      <c r="AG94" s="66"/>
      <c r="AH94" s="66"/>
      <c r="AI94" s="66"/>
      <c r="AK94" s="66"/>
      <c r="AL94" s="66"/>
      <c r="AM94" s="66"/>
      <c r="AN94" s="66"/>
      <c r="AP94" s="66"/>
      <c r="AQ94" s="66"/>
      <c r="AR94" s="66"/>
      <c r="AS94" s="66"/>
      <c r="AU94" s="66"/>
      <c r="AV94" s="66"/>
      <c r="AW94" s="66"/>
      <c r="AX94" s="66"/>
      <c r="AZ94" s="66"/>
      <c r="BA94" s="66"/>
      <c r="BB94" s="66"/>
      <c r="BC94" s="66"/>
      <c r="BE94" s="66"/>
      <c r="BF94" s="66"/>
      <c r="BG94" s="66"/>
      <c r="BH94" s="66"/>
      <c r="BJ94" s="66"/>
      <c r="BK94" s="66"/>
      <c r="BL94" s="66"/>
      <c r="BM94" s="66"/>
      <c r="BO94" s="66"/>
      <c r="BP94" s="66"/>
      <c r="BQ94" s="66"/>
      <c r="BR94" s="66"/>
      <c r="BT94" s="66"/>
      <c r="BU94" s="66"/>
      <c r="BV94" s="66"/>
      <c r="BW94" s="66"/>
      <c r="BY94" s="66"/>
      <c r="BZ94" s="66"/>
      <c r="CA94" s="66"/>
      <c r="CB94" s="66"/>
      <c r="CD94" s="66"/>
      <c r="CE94" s="66"/>
      <c r="CF94" s="66"/>
      <c r="CG94" s="66"/>
      <c r="CI94" s="66"/>
      <c r="CJ94" s="66"/>
      <c r="CK94" s="66"/>
      <c r="CL94" s="66"/>
    </row>
    <row r="95" spans="8:91">
      <c r="H95" s="250" t="s">
        <v>159</v>
      </c>
      <c r="L95" s="724">
        <f>CFBS!L16</f>
        <v>158.69999999999999</v>
      </c>
      <c r="M95" s="724">
        <f>CFBS!M16</f>
        <v>158.69999999999999</v>
      </c>
      <c r="N95" s="724">
        <f>CFBS!N16</f>
        <v>183.9</v>
      </c>
      <c r="O95" s="724">
        <f>CFBS!O16</f>
        <v>225.10000000000002</v>
      </c>
      <c r="P95" s="45">
        <f>CFBS!P16</f>
        <v>726.4</v>
      </c>
      <c r="Q95" s="724">
        <f>CFBS!Q16</f>
        <v>204.9</v>
      </c>
      <c r="R95" s="724">
        <f>CFBS!R16</f>
        <v>209.1</v>
      </c>
      <c r="S95" s="724">
        <f>CFBS!S16</f>
        <v>214.20000000000002</v>
      </c>
      <c r="T95" s="724">
        <f>CFBS!T16</f>
        <v>173.59999999999991</v>
      </c>
      <c r="U95" s="45">
        <f>CFBS!U16</f>
        <v>801.8</v>
      </c>
      <c r="V95" s="724">
        <f>CFBS!V16</f>
        <v>245.1</v>
      </c>
      <c r="W95" s="724">
        <f>CFBS!W16</f>
        <v>262.5</v>
      </c>
      <c r="X95" s="724">
        <f>CFBS!X16</f>
        <v>265.5</v>
      </c>
      <c r="Y95" s="724">
        <f>CFBS!Y16</f>
        <v>274.80000000000007</v>
      </c>
      <c r="Z95" s="45">
        <f>CFBS!Z16</f>
        <v>1047.9000000000001</v>
      </c>
      <c r="AA95" s="724">
        <f>CFBS!AA16</f>
        <v>277.5</v>
      </c>
      <c r="AB95" s="724">
        <f>CFBS!AB16</f>
        <v>281.5</v>
      </c>
      <c r="AC95" s="724">
        <f>CFBS!AC16</f>
        <v>283.29999999999995</v>
      </c>
      <c r="AD95" s="724">
        <f>CFBS!AD16</f>
        <v>280.29999999999995</v>
      </c>
      <c r="AE95" s="45">
        <f>CFBS!AE16</f>
        <v>1122.5999999999999</v>
      </c>
      <c r="AF95" s="724">
        <f>CFBS!AF16</f>
        <v>306.3</v>
      </c>
      <c r="AG95" s="724">
        <f>CFBS!AG16</f>
        <v>305.99999999999994</v>
      </c>
      <c r="AH95" s="724">
        <f>CFBS!AH16</f>
        <v>309.7</v>
      </c>
      <c r="AI95" s="724">
        <f>CFBS!AI16</f>
        <v>375.7999999999999</v>
      </c>
      <c r="AJ95" s="45">
        <f>CFBS!AJ16</f>
        <v>1297.8</v>
      </c>
      <c r="AK95" s="724"/>
      <c r="AL95" s="724"/>
      <c r="AM95" s="724"/>
      <c r="AN95" s="724"/>
      <c r="AO95" s="45">
        <f>CFBS!AO16</f>
        <v>1328.2</v>
      </c>
      <c r="AP95" s="724"/>
      <c r="AQ95" s="724"/>
      <c r="AR95" s="724"/>
      <c r="AS95" s="724"/>
      <c r="AT95" s="45">
        <f>CFBS!AT16</f>
        <v>1373.6</v>
      </c>
      <c r="AU95" s="724"/>
      <c r="AV95" s="724"/>
      <c r="AW95" s="724"/>
      <c r="AX95" s="724"/>
      <c r="AY95" s="45">
        <f>CFBS!AY16</f>
        <v>1462.2</v>
      </c>
      <c r="AZ95" s="724"/>
      <c r="BA95" s="724"/>
      <c r="BB95" s="724"/>
      <c r="BC95" s="724"/>
      <c r="BD95" s="45">
        <f>CFBS!BD16</f>
        <v>1445.6</v>
      </c>
      <c r="BE95" s="724"/>
      <c r="BF95" s="724"/>
      <c r="BG95" s="724"/>
      <c r="BH95" s="724"/>
      <c r="BI95" s="45">
        <f>CFBS!BI16</f>
        <v>1379</v>
      </c>
      <c r="BJ95" s="724"/>
      <c r="BK95" s="724"/>
      <c r="BL95" s="724"/>
      <c r="BM95" s="724"/>
      <c r="BN95" s="45">
        <f>CFBS!BN16</f>
        <v>1427.7</v>
      </c>
      <c r="BO95" s="724"/>
      <c r="BP95" s="724"/>
      <c r="BQ95" s="724"/>
      <c r="BR95" s="724"/>
      <c r="BS95" s="45">
        <f>CFBS!BS16</f>
        <v>1496.6</v>
      </c>
      <c r="BT95" s="724"/>
      <c r="BU95" s="724"/>
      <c r="BV95" s="724"/>
      <c r="BW95" s="724"/>
      <c r="BX95" s="45">
        <f>CFBS!BX16</f>
        <v>1567.3</v>
      </c>
      <c r="BY95" s="724"/>
      <c r="BZ95" s="724"/>
      <c r="CA95" s="724"/>
      <c r="CB95" s="724"/>
      <c r="CC95" s="45">
        <f>CFBS!CC16</f>
        <v>1354.7</v>
      </c>
      <c r="CD95" s="724"/>
      <c r="CE95" s="724"/>
      <c r="CF95" s="724"/>
      <c r="CG95" s="724"/>
      <c r="CH95" s="45">
        <f>CFBS!CD16</f>
        <v>1177.0999999999999</v>
      </c>
      <c r="CI95" s="724"/>
      <c r="CJ95" s="724"/>
      <c r="CK95" s="724"/>
      <c r="CL95" s="724"/>
      <c r="CM95" s="45">
        <f>CFBS!CE16</f>
        <v>1175.8</v>
      </c>
    </row>
    <row r="96" spans="8:91">
      <c r="L96" s="66"/>
      <c r="M96" s="66"/>
      <c r="N96" s="66"/>
      <c r="O96" s="66"/>
      <c r="Q96" s="66"/>
      <c r="R96" s="66"/>
      <c r="S96" s="66"/>
      <c r="T96" s="66"/>
      <c r="V96" s="66"/>
      <c r="W96" s="66"/>
      <c r="X96" s="66"/>
      <c r="Y96" s="66"/>
      <c r="AA96" s="66"/>
      <c r="AB96" s="66"/>
      <c r="AC96" s="66"/>
      <c r="AD96" s="66"/>
      <c r="AF96" s="66"/>
      <c r="AG96" s="66"/>
      <c r="AH96" s="66"/>
      <c r="AI96" s="66"/>
      <c r="AK96" s="66"/>
      <c r="AL96" s="66"/>
      <c r="AM96" s="66"/>
      <c r="AN96" s="66"/>
      <c r="AP96" s="66"/>
      <c r="AQ96" s="66"/>
      <c r="AR96" s="66"/>
      <c r="AS96" s="66"/>
      <c r="AU96" s="66"/>
      <c r="AV96" s="66"/>
      <c r="AW96" s="66"/>
      <c r="AX96" s="66"/>
      <c r="AZ96" s="66"/>
      <c r="BA96" s="66"/>
      <c r="BB96" s="66"/>
      <c r="BC96" s="66"/>
      <c r="BE96" s="66"/>
      <c r="BF96" s="66"/>
      <c r="BG96" s="66"/>
      <c r="BH96" s="66"/>
      <c r="BJ96" s="66"/>
      <c r="BK96" s="66"/>
      <c r="BL96" s="66"/>
      <c r="BM96" s="66"/>
      <c r="BO96" s="66"/>
      <c r="BP96" s="66"/>
      <c r="BQ96" s="66"/>
      <c r="BR96" s="66"/>
      <c r="BT96" s="66"/>
      <c r="BU96" s="66"/>
      <c r="BV96" s="66"/>
      <c r="BW96" s="66"/>
      <c r="BY96" s="66"/>
      <c r="BZ96" s="66"/>
      <c r="CA96" s="66"/>
      <c r="CB96" s="66"/>
      <c r="CD96" s="66"/>
      <c r="CE96" s="66"/>
      <c r="CF96" s="66"/>
      <c r="CG96" s="66"/>
      <c r="CI96" s="66"/>
      <c r="CJ96" s="66"/>
      <c r="CK96" s="66"/>
      <c r="CL96" s="66"/>
    </row>
    <row r="97" spans="8:91">
      <c r="H97" s="15" t="s">
        <v>218</v>
      </c>
      <c r="L97" s="724">
        <f>CFBS!L30</f>
        <v>804.8</v>
      </c>
      <c r="M97" s="724">
        <f>CFBS!M30</f>
        <v>674.1</v>
      </c>
      <c r="N97" s="724">
        <f>CFBS!N30</f>
        <v>-379.6</v>
      </c>
      <c r="O97" s="724">
        <f>CFBS!O30</f>
        <v>814.3</v>
      </c>
      <c r="P97" s="52">
        <f>CFBS!P30</f>
        <v>1913.6</v>
      </c>
      <c r="Q97" s="724">
        <f>CFBS!Q30</f>
        <v>254.50000000000011</v>
      </c>
      <c r="R97" s="724">
        <f>CFBS!R30</f>
        <v>687.69999999999993</v>
      </c>
      <c r="S97" s="724">
        <f>CFBS!S30</f>
        <v>1176.0000000000002</v>
      </c>
      <c r="T97" s="724">
        <f>CFBS!T30</f>
        <v>1857.6999999999994</v>
      </c>
      <c r="U97" s="52">
        <f>CFBS!U30</f>
        <v>3975.8999999999996</v>
      </c>
      <c r="V97" s="724">
        <f>CFBS!V30</f>
        <v>891.8</v>
      </c>
      <c r="W97" s="724">
        <f>CFBS!W30</f>
        <v>588.50000000000011</v>
      </c>
      <c r="X97" s="724">
        <f>CFBS!X30</f>
        <v>1444.5</v>
      </c>
      <c r="Y97" s="724">
        <f>CFBS!Y30</f>
        <v>2229.6999999999998</v>
      </c>
      <c r="Z97" s="52">
        <f>CFBS!Z30</f>
        <v>5154.5</v>
      </c>
      <c r="AA97" s="724">
        <f>CFBS!AA30</f>
        <v>1702.6000000000001</v>
      </c>
      <c r="AB97" s="724">
        <f>CFBS!AB30</f>
        <v>1080.8999999999999</v>
      </c>
      <c r="AC97" s="724">
        <f>CFBS!AC30</f>
        <v>2131.6</v>
      </c>
      <c r="AD97" s="724">
        <f>CFBS!AD30</f>
        <v>2380.5</v>
      </c>
      <c r="AE97" s="52">
        <f>CFBS!AE30</f>
        <v>7295.6</v>
      </c>
      <c r="AF97" s="724">
        <f>CFBS!AF30</f>
        <v>87.900000000000091</v>
      </c>
      <c r="AG97" s="724">
        <f>CFBS!AG30</f>
        <v>923.29999999999973</v>
      </c>
      <c r="AH97" s="724">
        <f>CFBS!AH30</f>
        <v>1305.7000000000003</v>
      </c>
      <c r="AI97" s="724">
        <f>CFBS!AI30</f>
        <v>2018.6000000000008</v>
      </c>
      <c r="AJ97" s="52">
        <f>CFBS!AJ30</f>
        <v>4335.5000000000009</v>
      </c>
      <c r="AK97" s="724">
        <f>CFBS!AK30</f>
        <v>957.99999999999989</v>
      </c>
      <c r="AL97" s="724">
        <f>CFBS!AL30</f>
        <v>1911.6</v>
      </c>
      <c r="AM97" s="724">
        <f>CFBS!AM30</f>
        <v>1759.1000000000001</v>
      </c>
      <c r="AN97" s="724">
        <f>CFBS!AN30</f>
        <v>2228.1000000000004</v>
      </c>
      <c r="AO97" s="52">
        <f>CFBS!AO30</f>
        <v>6856.8</v>
      </c>
      <c r="AP97" s="724">
        <f>CFBS!AP30</f>
        <v>1176.1000000000004</v>
      </c>
      <c r="AQ97" s="724">
        <f>CFBS!AQ30</f>
        <v>2040.2999999999997</v>
      </c>
      <c r="AR97" s="724">
        <f>CFBS!AR30</f>
        <v>2073.4</v>
      </c>
      <c r="AS97" s="724">
        <f>CFBS!AS30</f>
        <v>1944.6999999999998</v>
      </c>
      <c r="AT97" s="52">
        <f>CFBS!AT30</f>
        <v>7234.5</v>
      </c>
      <c r="AU97" s="724">
        <f>CFBS!AU30</f>
        <v>852.5</v>
      </c>
      <c r="AV97" s="724">
        <f>CFBS!AV30</f>
        <v>1306</v>
      </c>
      <c r="AW97" s="724">
        <f>CFBS!AW30</f>
        <v>1544.3000000000004</v>
      </c>
      <c r="AX97" s="724">
        <f>CFBS!AX30</f>
        <v>1602</v>
      </c>
      <c r="AY97" s="52">
        <f>CFBS!AY30</f>
        <v>5304.8</v>
      </c>
      <c r="AZ97" s="724">
        <f>CFBS!AZ30</f>
        <v>379.40000000000009</v>
      </c>
      <c r="BA97" s="724">
        <f>CFBS!BA30</f>
        <v>1637.1999999999998</v>
      </c>
      <c r="BB97" s="724">
        <f>CFBS!BB30</f>
        <v>1991.6000000000006</v>
      </c>
      <c r="BC97" s="724">
        <f>CFBS!BC30</f>
        <v>1726.7999999999993</v>
      </c>
      <c r="BD97" s="52">
        <f>CFBS!BD30</f>
        <v>5735</v>
      </c>
      <c r="BE97" s="724">
        <f>CFBS!BE30</f>
        <v>272.30000000000018</v>
      </c>
      <c r="BF97" s="724">
        <f>CFBS!BF30</f>
        <v>1053.9000000000001</v>
      </c>
      <c r="BG97" s="724">
        <f>CFBS!BG30</f>
        <v>1691.2999999999997</v>
      </c>
      <c r="BH97" s="724">
        <f>CFBS!BH30</f>
        <v>1349.6000000000004</v>
      </c>
      <c r="BI97" s="52">
        <f>CFBS!BI30</f>
        <v>4367.1000000000004</v>
      </c>
      <c r="BJ97" s="724">
        <f>CFBS!BJ30</f>
        <v>-84.800000000000068</v>
      </c>
      <c r="BK97" s="724">
        <f>CFBS!BK30</f>
        <v>948.60000000000014</v>
      </c>
      <c r="BL97" s="724">
        <f>CFBS!BL30</f>
        <v>1104.6999999999998</v>
      </c>
      <c r="BM97" s="724">
        <f>CFBS!BM30</f>
        <v>804.30000000000064</v>
      </c>
      <c r="BN97" s="52">
        <f>CFBS!BN30</f>
        <v>2772.8000000000006</v>
      </c>
      <c r="BO97" s="724">
        <f>CFBS!BO30</f>
        <v>-326.90000000000009</v>
      </c>
      <c r="BP97" s="724">
        <f>CFBS!BP30</f>
        <v>1401.8</v>
      </c>
      <c r="BQ97" s="724">
        <f>CFBS!BQ30</f>
        <v>1659.2</v>
      </c>
      <c r="BR97" s="724">
        <f>CFBS!BR30</f>
        <v>2116.9</v>
      </c>
      <c r="BS97" s="52">
        <f>CFBS!BS30</f>
        <v>4851</v>
      </c>
      <c r="BT97" s="724">
        <f>CFBS!BT30</f>
        <v>339.89999999999986</v>
      </c>
      <c r="BU97" s="724">
        <f>CFBS!BU30</f>
        <v>1651.1</v>
      </c>
      <c r="BV97" s="724">
        <f>CFBS!BV30</f>
        <v>1881.0999999999997</v>
      </c>
      <c r="BW97" s="724">
        <f>CFBS!BW30</f>
        <v>1743.5</v>
      </c>
      <c r="BX97" s="52">
        <f>CFBS!BX30</f>
        <v>5615.5999999999995</v>
      </c>
      <c r="BY97" s="724">
        <f>CFBS!BY30</f>
        <v>0</v>
      </c>
      <c r="BZ97" s="724">
        <f>CFBS!BZ30</f>
        <v>0</v>
      </c>
      <c r="CA97" s="724">
        <f>CFBS!CA30</f>
        <v>0</v>
      </c>
      <c r="CB97" s="724">
        <f>CFBS!CB30</f>
        <v>0</v>
      </c>
      <c r="CC97" s="52">
        <f>CFBS!CC30</f>
        <v>7801.2555478416652</v>
      </c>
      <c r="CD97" s="724" t="e">
        <f>CFBS!#REF!</f>
        <v>#REF!</v>
      </c>
      <c r="CE97" s="724" t="e">
        <f>CFBS!#REF!</f>
        <v>#REF!</v>
      </c>
      <c r="CF97" s="724" t="e">
        <f>CFBS!#REF!</f>
        <v>#REF!</v>
      </c>
      <c r="CG97" s="724" t="e">
        <f>CFBS!#REF!</f>
        <v>#REF!</v>
      </c>
      <c r="CH97" s="52">
        <f>CFBS!CD30</f>
        <v>4168.9931247743079</v>
      </c>
      <c r="CI97" s="724" t="e">
        <f>CFBS!#REF!</f>
        <v>#REF!</v>
      </c>
      <c r="CJ97" s="724" t="e">
        <f>CFBS!#REF!</f>
        <v>#REF!</v>
      </c>
      <c r="CK97" s="724" t="e">
        <f>CFBS!#REF!</f>
        <v>#REF!</v>
      </c>
      <c r="CL97" s="724" t="e">
        <f>CFBS!#REF!</f>
        <v>#REF!</v>
      </c>
      <c r="CM97" s="52">
        <f>CFBS!CE30</f>
        <v>8682.0398668984199</v>
      </c>
    </row>
    <row r="98" spans="8:91">
      <c r="H98" s="686" t="s">
        <v>2</v>
      </c>
      <c r="L98" s="258">
        <f>CFBS!L191</f>
        <v>1089.201</v>
      </c>
      <c r="M98" s="258">
        <f>CFBS!M191</f>
        <v>1090.2190000000001</v>
      </c>
      <c r="N98" s="258">
        <f>CFBS!N191</f>
        <v>1091.3620000000001</v>
      </c>
      <c r="O98" s="258">
        <f>CFBS!O191</f>
        <v>1093.511</v>
      </c>
      <c r="P98" s="79">
        <f>CFBS!P191</f>
        <v>1091.0732499999999</v>
      </c>
      <c r="Q98" s="258">
        <f>CFBS!Q191</f>
        <v>1086.9939999999999</v>
      </c>
      <c r="R98" s="258">
        <f>CFBS!R191</f>
        <v>1085.31</v>
      </c>
      <c r="S98" s="258">
        <f>CFBS!S191</f>
        <v>1086.412</v>
      </c>
      <c r="T98" s="258">
        <f>CFBS!T191</f>
        <v>1089.097</v>
      </c>
      <c r="U98" s="79">
        <f>CFBS!U191</f>
        <v>1086.95325</v>
      </c>
      <c r="V98" s="258">
        <f>CFBS!V191</f>
        <v>1089.8789999999999</v>
      </c>
      <c r="W98" s="258">
        <f>CFBS!W191</f>
        <v>1089.9459999999999</v>
      </c>
      <c r="X98" s="258">
        <f>CFBS!X191</f>
        <v>1090.2280000000001</v>
      </c>
      <c r="Y98" s="258">
        <f>CFBS!Y191</f>
        <v>1092.636</v>
      </c>
      <c r="Z98" s="79">
        <f>CFBS!Z191</f>
        <v>1090.6722500000001</v>
      </c>
      <c r="AA98" s="258">
        <f>CFBS!AA191</f>
        <v>1094.056</v>
      </c>
      <c r="AB98" s="258">
        <f>CFBS!AB191</f>
        <v>1093.8320000000001</v>
      </c>
      <c r="AC98" s="258">
        <f>CFBS!AC191</f>
        <v>1094.0239999999999</v>
      </c>
      <c r="AD98" s="258">
        <f>CFBS!AD191</f>
        <v>1096.5250000000001</v>
      </c>
      <c r="AE98" s="79">
        <f>CFBS!AE191</f>
        <v>1094.60925</v>
      </c>
      <c r="AF98" s="258">
        <f>CFBS!AF191</f>
        <v>1097.2560000000001</v>
      </c>
      <c r="AG98" s="258">
        <f>CFBS!AG191</f>
        <v>1097.213</v>
      </c>
      <c r="AH98" s="258">
        <f>CFBS!AH191</f>
        <v>1097.7</v>
      </c>
      <c r="AI98" s="258">
        <f>CFBS!AI191</f>
        <v>1101.4469999999999</v>
      </c>
      <c r="AJ98" s="79">
        <f>CFBS!AJ191</f>
        <v>1098.404</v>
      </c>
      <c r="AK98" s="724"/>
      <c r="AL98" s="724"/>
      <c r="AM98" s="724"/>
      <c r="AN98" s="724"/>
      <c r="AO98" s="79">
        <f>CFBS!AO191</f>
        <v>1105.443</v>
      </c>
      <c r="AP98" s="724"/>
      <c r="AQ98" s="724"/>
      <c r="AR98" s="724"/>
      <c r="AS98" s="724"/>
      <c r="AT98" s="79">
        <f>CFBS!AT191</f>
        <v>1113.9267500000001</v>
      </c>
      <c r="AU98" s="724"/>
      <c r="AV98" s="724"/>
      <c r="AW98" s="724"/>
      <c r="AX98" s="724"/>
      <c r="AY98" s="79">
        <f>CFBS!AY191</f>
        <v>1117.3027500000001</v>
      </c>
      <c r="AZ98" s="724"/>
      <c r="BA98" s="724"/>
      <c r="BB98" s="724"/>
      <c r="BC98" s="724"/>
      <c r="BD98" s="79">
        <f>CFBS!BD191</f>
        <v>1084.7865000000002</v>
      </c>
      <c r="BE98" s="724"/>
      <c r="BF98" s="724"/>
      <c r="BG98" s="724"/>
      <c r="BH98" s="724"/>
      <c r="BI98" s="79">
        <f>CFBS!BI191</f>
        <v>1074.1067499999999</v>
      </c>
      <c r="BJ98" s="724"/>
      <c r="BK98" s="724"/>
      <c r="BL98" s="724"/>
      <c r="BM98" s="724"/>
      <c r="BN98" s="79">
        <f>CFBS!BN191</f>
        <v>1065.6680000000001</v>
      </c>
      <c r="BO98" s="724"/>
      <c r="BP98" s="724"/>
      <c r="BQ98" s="724"/>
      <c r="BR98" s="724"/>
      <c r="BS98" s="79">
        <f>CFBS!BS191</f>
        <v>1061.3605000000002</v>
      </c>
      <c r="BT98" s="724"/>
      <c r="BU98" s="724"/>
      <c r="BV98" s="724"/>
      <c r="BW98" s="724"/>
      <c r="BX98" s="79">
        <f>CFBS!BX191</f>
        <v>1056.6022500000001</v>
      </c>
      <c r="BY98" s="724"/>
      <c r="BZ98" s="724"/>
      <c r="CA98" s="724"/>
      <c r="CB98" s="724"/>
      <c r="CC98" s="79">
        <f>CFBS!CC191</f>
        <v>1049.1735777499998</v>
      </c>
      <c r="CD98" s="724"/>
      <c r="CE98" s="724"/>
      <c r="CF98" s="724"/>
      <c r="CG98" s="724"/>
      <c r="CH98" s="79">
        <f>CFBS!CD191</f>
        <v>1046.0260570167497</v>
      </c>
      <c r="CI98" s="724"/>
      <c r="CJ98" s="724"/>
      <c r="CK98" s="724"/>
      <c r="CL98" s="724"/>
      <c r="CM98" s="79">
        <f>CFBS!CE191</f>
        <v>1042.8879788456995</v>
      </c>
    </row>
    <row r="99" spans="8:91">
      <c r="H99" s="696" t="s">
        <v>280</v>
      </c>
      <c r="L99" s="726">
        <f t="shared" ref="L99:AJ99" si="5">L97/L98</f>
        <v>0.73889025074343484</v>
      </c>
      <c r="M99" s="726">
        <f t="shared" si="5"/>
        <v>0.61831613648267003</v>
      </c>
      <c r="N99" s="726">
        <f t="shared" si="5"/>
        <v>-0.3478222624573698</v>
      </c>
      <c r="O99" s="726">
        <f t="shared" si="5"/>
        <v>0.74466557720955706</v>
      </c>
      <c r="P99" s="53">
        <f t="shared" si="5"/>
        <v>1.7538694125256944</v>
      </c>
      <c r="Q99" s="726">
        <f t="shared" si="5"/>
        <v>0.23413192713115263</v>
      </c>
      <c r="R99" s="726">
        <f t="shared" si="5"/>
        <v>0.63364384369442828</v>
      </c>
      <c r="S99" s="726">
        <f t="shared" si="5"/>
        <v>1.0824622702989291</v>
      </c>
      <c r="T99" s="726">
        <f t="shared" si="5"/>
        <v>1.7057250180654242</v>
      </c>
      <c r="U99" s="53">
        <f t="shared" si="5"/>
        <v>3.6578390100954201</v>
      </c>
      <c r="V99" s="726">
        <f t="shared" si="5"/>
        <v>0.81825597153445473</v>
      </c>
      <c r="W99" s="726">
        <f t="shared" si="5"/>
        <v>0.53993500595442356</v>
      </c>
      <c r="X99" s="726">
        <f t="shared" si="5"/>
        <v>1.3249522118309196</v>
      </c>
      <c r="Y99" s="726">
        <f t="shared" si="5"/>
        <v>2.0406612998290372</v>
      </c>
      <c r="Z99" s="53">
        <f t="shared" si="5"/>
        <v>4.7259843642304089</v>
      </c>
      <c r="AA99" s="726">
        <f t="shared" si="5"/>
        <v>1.5562274691606282</v>
      </c>
      <c r="AB99" s="726">
        <f t="shared" si="5"/>
        <v>0.98817734350430386</v>
      </c>
      <c r="AC99" s="726">
        <f t="shared" si="5"/>
        <v>1.9484033257040065</v>
      </c>
      <c r="AD99" s="726">
        <f t="shared" si="5"/>
        <v>2.1709491347666492</v>
      </c>
      <c r="AE99" s="53">
        <f t="shared" si="5"/>
        <v>6.6650268120792884</v>
      </c>
      <c r="AF99" s="726">
        <f t="shared" si="5"/>
        <v>8.0108926266978797E-2</v>
      </c>
      <c r="AG99" s="726">
        <f t="shared" si="5"/>
        <v>0.8414956804193896</v>
      </c>
      <c r="AH99" s="726">
        <f t="shared" si="5"/>
        <v>1.1894871094105859</v>
      </c>
      <c r="AI99" s="726">
        <f t="shared" si="5"/>
        <v>1.8326801017207375</v>
      </c>
      <c r="AJ99" s="53">
        <f t="shared" si="5"/>
        <v>3.9470905058612322</v>
      </c>
      <c r="AK99" s="726"/>
      <c r="AL99" s="726"/>
      <c r="AM99" s="726"/>
      <c r="AN99" s="726"/>
      <c r="AO99" s="53">
        <f>AO97/AO98</f>
        <v>6.2027621505586454</v>
      </c>
      <c r="AP99" s="726"/>
      <c r="AQ99" s="726"/>
      <c r="AR99" s="726"/>
      <c r="AS99" s="726"/>
      <c r="AT99" s="53">
        <f>AT97/AT98</f>
        <v>6.4945922162296572</v>
      </c>
      <c r="AU99" s="726"/>
      <c r="AV99" s="726"/>
      <c r="AW99" s="726"/>
      <c r="AX99" s="726"/>
      <c r="AY99" s="53">
        <f>AY97/AY98</f>
        <v>4.7478626540568349</v>
      </c>
      <c r="AZ99" s="726"/>
      <c r="BA99" s="726"/>
      <c r="BB99" s="726"/>
      <c r="BC99" s="726"/>
      <c r="BD99" s="53">
        <f>BD97/BD98</f>
        <v>5.286754582583761</v>
      </c>
      <c r="BE99" s="726"/>
      <c r="BF99" s="726"/>
      <c r="BG99" s="726"/>
      <c r="BH99" s="726"/>
      <c r="BI99" s="53">
        <f>BI97/BI98</f>
        <v>4.0657969982964923</v>
      </c>
      <c r="BJ99" s="726"/>
      <c r="BK99" s="726"/>
      <c r="BL99" s="726"/>
      <c r="BM99" s="726"/>
      <c r="BN99" s="53">
        <f>BN97/BN98</f>
        <v>2.6019360626386456</v>
      </c>
      <c r="BO99" s="726"/>
      <c r="BP99" s="726"/>
      <c r="BQ99" s="726"/>
      <c r="BR99" s="726"/>
      <c r="BS99" s="53">
        <f>BS97/BS98</f>
        <v>4.5705488380244024</v>
      </c>
      <c r="BT99" s="726"/>
      <c r="BU99" s="726"/>
      <c r="BV99" s="726"/>
      <c r="BW99" s="726"/>
      <c r="BX99" s="53">
        <f>BX97/BX98</f>
        <v>5.314771949425622</v>
      </c>
      <c r="BY99" s="726"/>
      <c r="BZ99" s="726"/>
      <c r="CA99" s="726"/>
      <c r="CB99" s="726"/>
      <c r="CC99" s="53">
        <f>CC97/CC98</f>
        <v>7.4356195326342576</v>
      </c>
      <c r="CD99" s="726"/>
      <c r="CE99" s="726"/>
      <c r="CF99" s="726"/>
      <c r="CG99" s="726"/>
      <c r="CH99" s="53">
        <f>CH97/CH98</f>
        <v>3.9855537984055696</v>
      </c>
      <c r="CI99" s="726"/>
      <c r="CJ99" s="726"/>
      <c r="CK99" s="726"/>
      <c r="CL99" s="726"/>
      <c r="CM99" s="53">
        <f>CM97/CM98</f>
        <v>8.3249975481623331</v>
      </c>
    </row>
    <row r="100" spans="8:91">
      <c r="H100" s="686"/>
      <c r="L100" s="66"/>
      <c r="M100" s="66"/>
      <c r="N100" s="66"/>
      <c r="O100" s="66"/>
      <c r="P100" s="14"/>
      <c r="Q100" s="66"/>
      <c r="R100" s="66"/>
      <c r="S100" s="66"/>
      <c r="T100" s="66"/>
      <c r="U100" s="14"/>
      <c r="V100" s="66"/>
      <c r="W100" s="66"/>
      <c r="X100" s="66"/>
      <c r="Y100" s="66"/>
      <c r="AA100" s="66"/>
      <c r="AB100" s="66"/>
      <c r="AC100" s="66"/>
      <c r="AD100" s="66"/>
      <c r="AF100" s="66"/>
      <c r="AG100" s="66"/>
      <c r="AH100" s="66"/>
      <c r="AI100" s="66"/>
      <c r="AK100" s="66"/>
      <c r="AL100" s="66"/>
      <c r="AM100" s="66"/>
      <c r="AN100" s="66"/>
      <c r="AP100" s="66"/>
      <c r="AQ100" s="66"/>
      <c r="AR100" s="66"/>
      <c r="AS100" s="66"/>
      <c r="AU100" s="66"/>
      <c r="AV100" s="66"/>
      <c r="AW100" s="66"/>
      <c r="AX100" s="66"/>
      <c r="AZ100" s="66"/>
      <c r="BA100" s="66"/>
      <c r="BB100" s="66"/>
      <c r="BC100" s="66"/>
      <c r="BE100" s="66"/>
      <c r="BF100" s="66"/>
      <c r="BG100" s="66"/>
      <c r="BH100" s="66"/>
      <c r="BJ100" s="66"/>
      <c r="BK100" s="66"/>
      <c r="BL100" s="66"/>
      <c r="BM100" s="66"/>
      <c r="BO100" s="66"/>
      <c r="BP100" s="66"/>
      <c r="BQ100" s="66"/>
      <c r="BR100" s="66"/>
      <c r="BT100" s="66"/>
      <c r="BU100" s="66"/>
      <c r="BV100" s="66"/>
      <c r="BW100" s="66"/>
      <c r="BY100" s="66"/>
      <c r="BZ100" s="66"/>
      <c r="CA100" s="66"/>
      <c r="CB100" s="66"/>
      <c r="CD100" s="66"/>
      <c r="CE100" s="66"/>
      <c r="CF100" s="66"/>
      <c r="CG100" s="66"/>
      <c r="CI100" s="66"/>
      <c r="CJ100" s="66"/>
      <c r="CK100" s="66"/>
      <c r="CL100" s="66"/>
    </row>
    <row r="101" spans="8:91">
      <c r="H101" s="686" t="s">
        <v>281</v>
      </c>
      <c r="L101" s="728">
        <f t="shared" ref="L101:AJ101" si="6">L97/L86</f>
        <v>1.0925401014346376</v>
      </c>
      <c r="M101" s="728">
        <f t="shared" si="6"/>
        <v>0.92564053954586067</v>
      </c>
      <c r="N101" s="728">
        <f t="shared" si="6"/>
        <v>-0.47802543760231708</v>
      </c>
      <c r="O101" s="728">
        <f t="shared" si="6"/>
        <v>0.93490241102181393</v>
      </c>
      <c r="P101" s="54">
        <f t="shared" si="6"/>
        <v>0.61137683731503278</v>
      </c>
      <c r="Q101" s="728">
        <f t="shared" si="6"/>
        <v>0.30500958772770859</v>
      </c>
      <c r="R101" s="728">
        <f t="shared" si="6"/>
        <v>0.83631278122339781</v>
      </c>
      <c r="S101" s="728">
        <f t="shared" si="6"/>
        <v>1.346230896914888</v>
      </c>
      <c r="T101" s="728">
        <f t="shared" si="6"/>
        <v>1.9983864027538714</v>
      </c>
      <c r="U101" s="54">
        <f t="shared" si="6"/>
        <v>1.1491538650519533</v>
      </c>
      <c r="V101" s="728">
        <f t="shared" si="6"/>
        <v>0.97667287263169444</v>
      </c>
      <c r="W101" s="728">
        <f t="shared" si="6"/>
        <v>0.60124642419288987</v>
      </c>
      <c r="X101" s="728">
        <f t="shared" si="6"/>
        <v>1.4491372391653281</v>
      </c>
      <c r="Y101" s="728">
        <f t="shared" si="6"/>
        <v>2.2611297028698938</v>
      </c>
      <c r="Z101" s="54">
        <f t="shared" si="6"/>
        <v>1.3302622070816565</v>
      </c>
      <c r="AA101" s="728">
        <f t="shared" si="6"/>
        <v>1.7691188694929341</v>
      </c>
      <c r="AB101" s="728">
        <f t="shared" si="6"/>
        <v>1.0563917122752149</v>
      </c>
      <c r="AC101" s="728">
        <f t="shared" si="6"/>
        <v>1.9821461781662617</v>
      </c>
      <c r="AD101" s="728">
        <f t="shared" si="6"/>
        <v>2.1328733984409975</v>
      </c>
      <c r="AE101" s="54">
        <f t="shared" si="6"/>
        <v>1.7465705872495263</v>
      </c>
      <c r="AF101" s="728">
        <f t="shared" si="6"/>
        <v>6.6966326375133362E-2</v>
      </c>
      <c r="AG101" s="728">
        <f t="shared" si="6"/>
        <v>0.75278636130157894</v>
      </c>
      <c r="AH101" s="728">
        <f t="shared" si="6"/>
        <v>0.9951981707317068</v>
      </c>
      <c r="AI101" s="728">
        <f t="shared" si="6"/>
        <v>2.018801880188021</v>
      </c>
      <c r="AJ101" s="54">
        <f t="shared" si="6"/>
        <v>0.8937314085108049</v>
      </c>
      <c r="AK101" s="728"/>
      <c r="AL101" s="728"/>
      <c r="AM101" s="728"/>
      <c r="AN101" s="728"/>
      <c r="AO101" s="54">
        <f>AO97/AO86</f>
        <v>1.3083298987956218</v>
      </c>
      <c r="AP101" s="728"/>
      <c r="AQ101" s="728"/>
      <c r="AR101" s="728"/>
      <c r="AS101" s="728"/>
      <c r="AT101" s="54">
        <f>AT97/AT86</f>
        <v>1.4723420709866482</v>
      </c>
      <c r="AU101" s="728"/>
      <c r="AV101" s="728"/>
      <c r="AW101" s="728"/>
      <c r="AX101" s="728"/>
      <c r="AY101" s="54">
        <f>AY97/AY86</f>
        <v>1.4018995311586859</v>
      </c>
      <c r="AZ101" s="728"/>
      <c r="BA101" s="728"/>
      <c r="BB101" s="728"/>
      <c r="BC101" s="728"/>
      <c r="BD101" s="54">
        <f>BD97/BD86</f>
        <v>1.273793394487261</v>
      </c>
      <c r="BE101" s="728"/>
      <c r="BF101" s="728"/>
      <c r="BG101" s="728"/>
      <c r="BH101" s="728"/>
      <c r="BI101" s="54">
        <f>BI97/BI86</f>
        <v>1.3090827338129505</v>
      </c>
      <c r="BJ101" s="728"/>
      <c r="BK101" s="728"/>
      <c r="BL101" s="728"/>
      <c r="BM101" s="728"/>
      <c r="BN101" s="54">
        <f>BN97/BN86</f>
        <v>0.76381466585863134</v>
      </c>
      <c r="BO101" s="728"/>
      <c r="BP101" s="728"/>
      <c r="BQ101" s="728"/>
      <c r="BR101" s="728"/>
      <c r="BS101" s="54">
        <f>BS97/BS86</f>
        <v>1.30277151144054</v>
      </c>
      <c r="BT101" s="728"/>
      <c r="BU101" s="728"/>
      <c r="BV101" s="728"/>
      <c r="BW101" s="728"/>
      <c r="BX101" s="54">
        <f>BX97/BX86</f>
        <v>1.2394552718123029</v>
      </c>
      <c r="BY101" s="728"/>
      <c r="BZ101" s="728"/>
      <c r="CA101" s="728"/>
      <c r="CB101" s="728"/>
      <c r="CC101" s="54">
        <f>CC97/CC86</f>
        <v>1.4322993246034339</v>
      </c>
      <c r="CD101" s="728"/>
      <c r="CE101" s="728"/>
      <c r="CF101" s="728"/>
      <c r="CG101" s="728"/>
      <c r="CH101" s="54">
        <f>CH97/CH86</f>
        <v>0.69530879590108685</v>
      </c>
      <c r="CI101" s="728"/>
      <c r="CJ101" s="728"/>
      <c r="CK101" s="728"/>
      <c r="CL101" s="728"/>
      <c r="CM101" s="54">
        <f>CM97/CM86</f>
        <v>1.2981505853849074</v>
      </c>
    </row>
    <row r="102" spans="8:91">
      <c r="H102" s="686"/>
      <c r="L102" s="66"/>
      <c r="M102" s="66"/>
      <c r="N102" s="66"/>
      <c r="O102" s="66"/>
      <c r="P102" s="14"/>
      <c r="Q102" s="66"/>
      <c r="R102" s="66"/>
      <c r="S102" s="66"/>
      <c r="T102" s="66"/>
      <c r="U102" s="14"/>
      <c r="V102" s="66"/>
      <c r="W102" s="66"/>
      <c r="X102" s="66"/>
      <c r="Y102" s="66"/>
      <c r="AA102" s="66"/>
      <c r="AB102" s="66"/>
      <c r="AC102" s="66"/>
      <c r="AD102" s="66"/>
      <c r="AF102" s="66"/>
      <c r="AG102" s="66"/>
      <c r="AH102" s="66"/>
      <c r="AI102" s="66"/>
      <c r="AK102" s="66"/>
      <c r="AL102" s="66"/>
      <c r="AM102" s="66"/>
      <c r="AN102" s="66"/>
      <c r="AP102" s="66"/>
      <c r="AQ102" s="66"/>
      <c r="AR102" s="66"/>
      <c r="AS102" s="66"/>
      <c r="AU102" s="66"/>
      <c r="AV102" s="66"/>
      <c r="AW102" s="66"/>
      <c r="AX102" s="66"/>
      <c r="AZ102" s="66"/>
      <c r="BA102" s="66"/>
      <c r="BB102" s="66"/>
      <c r="BC102" s="66"/>
      <c r="BE102" s="66"/>
      <c r="BF102" s="66"/>
      <c r="BG102" s="66"/>
      <c r="BH102" s="66"/>
      <c r="BJ102" s="66"/>
      <c r="BK102" s="66"/>
      <c r="BL102" s="66"/>
      <c r="BM102" s="66"/>
      <c r="BO102" s="66"/>
      <c r="BP102" s="66"/>
      <c r="BQ102" s="66"/>
      <c r="BR102" s="66"/>
      <c r="BT102" s="66"/>
      <c r="BU102" s="66"/>
      <c r="BV102" s="66"/>
      <c r="BW102" s="66"/>
      <c r="BY102" s="66"/>
      <c r="BZ102" s="66"/>
      <c r="CA102" s="66"/>
      <c r="CB102" s="66"/>
      <c r="CD102" s="66"/>
      <c r="CE102" s="66"/>
      <c r="CF102" s="66"/>
      <c r="CG102" s="66"/>
      <c r="CI102" s="66"/>
      <c r="CJ102" s="66"/>
      <c r="CK102" s="66"/>
      <c r="CL102" s="66"/>
    </row>
    <row r="103" spans="8:91">
      <c r="H103" s="697" t="s">
        <v>71</v>
      </c>
      <c r="L103" s="724">
        <f>-CFBS!L32</f>
        <v>242.2</v>
      </c>
      <c r="M103" s="724">
        <f>-CFBS!M32</f>
        <v>377.7</v>
      </c>
      <c r="N103" s="724">
        <f>-CFBS!N32</f>
        <v>258.60000000000002</v>
      </c>
      <c r="O103" s="724">
        <f>-CFBS!O32</f>
        <v>408.5</v>
      </c>
      <c r="P103" s="52">
        <f>-CFBS!P32</f>
        <v>1287</v>
      </c>
      <c r="Q103" s="724">
        <f>-CFBS!Q32</f>
        <v>160.69999999999999</v>
      </c>
      <c r="R103" s="724">
        <f>-CFBS!R32</f>
        <v>231.40000000000003</v>
      </c>
      <c r="S103" s="724">
        <f>-CFBS!S32</f>
        <v>275.69999999999993</v>
      </c>
      <c r="T103" s="724">
        <f>-CFBS!T32</f>
        <v>344.79999999999995</v>
      </c>
      <c r="U103" s="52">
        <f>-CFBS!U32</f>
        <v>1012.5999999999999</v>
      </c>
      <c r="V103" s="724">
        <f>-CFBS!V32</f>
        <v>239.4</v>
      </c>
      <c r="W103" s="724">
        <f>-CFBS!W32</f>
        <v>246.20000000000002</v>
      </c>
      <c r="X103" s="724">
        <f>-CFBS!X32</f>
        <v>230.1</v>
      </c>
      <c r="Y103" s="724">
        <f>-CFBS!Y32</f>
        <v>334.40000000000003</v>
      </c>
      <c r="Z103" s="52">
        <f>-CFBS!Z32</f>
        <v>1050.1000000000001</v>
      </c>
      <c r="AA103" s="724">
        <f>-CFBS!AA32</f>
        <v>184.2</v>
      </c>
      <c r="AB103" s="724">
        <f>-CFBS!AB32</f>
        <v>266.40000000000003</v>
      </c>
      <c r="AC103" s="724">
        <f>-CFBS!AC32</f>
        <v>220.89999999999998</v>
      </c>
      <c r="AD103" s="724">
        <f>-CFBS!AD32</f>
        <v>250.00000000000006</v>
      </c>
      <c r="AE103" s="52">
        <f>-CFBS!AE32</f>
        <v>921.5</v>
      </c>
      <c r="AF103" s="724">
        <f>-CFBS!AF32</f>
        <v>157</v>
      </c>
      <c r="AG103" s="724">
        <f>-CFBS!AG32</f>
        <v>176.89999999999998</v>
      </c>
      <c r="AH103" s="724">
        <f>-CFBS!AH32</f>
        <v>174.3</v>
      </c>
      <c r="AI103" s="724">
        <f>-CFBS!AI32</f>
        <v>239.10000000000008</v>
      </c>
      <c r="AJ103" s="52">
        <f>-CFBS!AJ32</f>
        <v>747.3</v>
      </c>
      <c r="AK103" s="724"/>
      <c r="AL103" s="724"/>
      <c r="AM103" s="724"/>
      <c r="AN103" s="724"/>
      <c r="AO103" s="52">
        <f>-CFBS!AO32</f>
        <v>669.69999999999993</v>
      </c>
      <c r="AP103" s="724"/>
      <c r="AQ103" s="724"/>
      <c r="AR103" s="724"/>
      <c r="AS103" s="724"/>
      <c r="AT103" s="52">
        <f>-CFBS!AT32</f>
        <v>646.70000000000005</v>
      </c>
      <c r="AU103" s="724"/>
      <c r="AV103" s="724"/>
      <c r="AW103" s="724"/>
      <c r="AX103" s="724"/>
      <c r="AY103" s="52">
        <f>-CFBS!AY32</f>
        <v>883.4</v>
      </c>
      <c r="AZ103" s="724"/>
      <c r="BA103" s="724"/>
      <c r="BB103" s="724"/>
      <c r="BC103" s="724"/>
      <c r="BD103" s="52">
        <f>-CFBS!BD32</f>
        <v>832.7</v>
      </c>
      <c r="BE103" s="724"/>
      <c r="BF103" s="724"/>
      <c r="BG103" s="724"/>
      <c r="BH103" s="724"/>
      <c r="BI103" s="52">
        <f>-CFBS!BI32</f>
        <v>1147.3</v>
      </c>
      <c r="BJ103" s="724"/>
      <c r="BK103" s="724"/>
      <c r="BL103" s="724"/>
      <c r="BM103" s="724"/>
      <c r="BN103" s="52">
        <f>-CFBS!BN32</f>
        <v>973.6</v>
      </c>
      <c r="BO103" s="724"/>
      <c r="BP103" s="724"/>
      <c r="BQ103" s="724"/>
      <c r="BR103" s="724"/>
      <c r="BS103" s="52">
        <f>-CFBS!BS32</f>
        <v>963.6</v>
      </c>
      <c r="BT103" s="724"/>
      <c r="BU103" s="724"/>
      <c r="BV103" s="724"/>
      <c r="BW103" s="724"/>
      <c r="BX103" s="52">
        <f>-CFBS!BX32</f>
        <v>1036.0999999999999</v>
      </c>
      <c r="BY103" s="724"/>
      <c r="BZ103" s="724"/>
      <c r="CA103" s="724"/>
      <c r="CB103" s="724"/>
      <c r="CC103" s="52">
        <f>-CFBS!CC32</f>
        <v>1200</v>
      </c>
      <c r="CD103" s="724"/>
      <c r="CE103" s="724"/>
      <c r="CF103" s="724"/>
      <c r="CG103" s="724"/>
      <c r="CH103" s="52">
        <f>-CFBS!CD32</f>
        <v>1000</v>
      </c>
      <c r="CI103" s="724"/>
      <c r="CJ103" s="724"/>
      <c r="CK103" s="724"/>
      <c r="CL103" s="724"/>
      <c r="CM103" s="52">
        <f>-CFBS!CE32</f>
        <v>1000</v>
      </c>
    </row>
    <row r="104" spans="8:91">
      <c r="L104" s="66"/>
      <c r="M104" s="66"/>
      <c r="N104" s="66"/>
      <c r="O104" s="66"/>
      <c r="P104" s="14"/>
      <c r="Q104" s="66"/>
      <c r="R104" s="66"/>
      <c r="S104" s="66"/>
      <c r="T104" s="66"/>
      <c r="U104" s="14"/>
      <c r="V104" s="66"/>
      <c r="W104" s="66"/>
      <c r="X104" s="66"/>
      <c r="Y104" s="66"/>
      <c r="AA104" s="66"/>
      <c r="AB104" s="66"/>
      <c r="AC104" s="66"/>
      <c r="AD104" s="66"/>
      <c r="AF104" s="66"/>
      <c r="AG104" s="66"/>
      <c r="AH104" s="66"/>
      <c r="AI104" s="66"/>
      <c r="AK104" s="66"/>
      <c r="AL104" s="66"/>
      <c r="AM104" s="66"/>
      <c r="AN104" s="66"/>
      <c r="AP104" s="66"/>
      <c r="AQ104" s="66"/>
      <c r="AR104" s="66"/>
      <c r="AS104" s="66"/>
      <c r="AU104" s="66"/>
      <c r="AV104" s="66"/>
      <c r="AW104" s="66"/>
      <c r="AX104" s="66"/>
      <c r="AZ104" s="66"/>
      <c r="BA104" s="66"/>
      <c r="BB104" s="66"/>
      <c r="BC104" s="66"/>
      <c r="BE104" s="66"/>
      <c r="BF104" s="66"/>
      <c r="BG104" s="66"/>
      <c r="BH104" s="66"/>
      <c r="BJ104" s="66"/>
      <c r="BK104" s="66"/>
      <c r="BL104" s="66"/>
      <c r="BM104" s="66"/>
      <c r="BO104" s="66"/>
      <c r="BP104" s="66"/>
      <c r="BQ104" s="66"/>
      <c r="BR104" s="66"/>
      <c r="BT104" s="66"/>
      <c r="BU104" s="66"/>
      <c r="BV104" s="66"/>
      <c r="BW104" s="66"/>
      <c r="BY104" s="66"/>
      <c r="BZ104" s="66"/>
      <c r="CA104" s="66"/>
      <c r="CB104" s="66"/>
      <c r="CD104" s="66"/>
      <c r="CE104" s="66"/>
      <c r="CF104" s="66"/>
      <c r="CG104" s="66"/>
      <c r="CI104" s="66"/>
      <c r="CJ104" s="66"/>
      <c r="CK104" s="66"/>
      <c r="CL104" s="66"/>
    </row>
    <row r="105" spans="8:91">
      <c r="H105" s="695" t="s">
        <v>125</v>
      </c>
      <c r="L105" s="724">
        <f>CFBS!L66</f>
        <v>5620.3000000000011</v>
      </c>
      <c r="M105" s="724">
        <f>CFBS!M66</f>
        <v>5501.1000000000013</v>
      </c>
      <c r="N105" s="724">
        <f>CFBS!N66</f>
        <v>6232.9000000000005</v>
      </c>
      <c r="O105" s="724">
        <f>CFBS!O66</f>
        <v>5037.7</v>
      </c>
      <c r="P105" s="52">
        <f>CFBS!P66</f>
        <v>5037.7</v>
      </c>
      <c r="Q105" s="724">
        <f>CFBS!Q66</f>
        <v>4503.7</v>
      </c>
      <c r="R105" s="724">
        <f>CFBS!R66</f>
        <v>4590.7</v>
      </c>
      <c r="S105" s="724">
        <f>CFBS!S66</f>
        <v>3618.5000000000005</v>
      </c>
      <c r="T105" s="724">
        <f>CFBS!T66</f>
        <v>3891</v>
      </c>
      <c r="U105" s="52">
        <f>CFBS!U66</f>
        <v>3891</v>
      </c>
      <c r="V105" s="724">
        <f>CFBS!V66</f>
        <v>3363.9</v>
      </c>
      <c r="W105" s="724">
        <f>CFBS!W66</f>
        <v>3004.4</v>
      </c>
      <c r="X105" s="724">
        <f>CFBS!X66</f>
        <v>3565.8</v>
      </c>
      <c r="Y105" s="724">
        <f>CFBS!Y66</f>
        <v>4831.2</v>
      </c>
      <c r="Z105" s="52">
        <f>CFBS!Z66</f>
        <v>4831.2</v>
      </c>
      <c r="AA105" s="724">
        <f>CFBS!AA66</f>
        <v>5434.5</v>
      </c>
      <c r="AB105" s="724">
        <f>CFBS!AB66</f>
        <v>5170</v>
      </c>
      <c r="AC105" s="724">
        <f>CFBS!AC66</f>
        <v>6118.7999999999993</v>
      </c>
      <c r="AD105" s="724">
        <f>CFBS!AD66</f>
        <v>5926.0999999999985</v>
      </c>
      <c r="AE105" s="52">
        <f>CFBS!AE66</f>
        <v>5926.0999999999985</v>
      </c>
      <c r="AF105" s="724">
        <f>CFBS!AF66</f>
        <v>3508.3</v>
      </c>
      <c r="AG105" s="724">
        <f>CFBS!AG66</f>
        <v>3490.4</v>
      </c>
      <c r="AH105" s="724">
        <f>CFBS!AH66</f>
        <v>3929.1000000000008</v>
      </c>
      <c r="AI105" s="724">
        <f>CFBS!AI66</f>
        <v>4497.6000000000013</v>
      </c>
      <c r="AJ105" s="52">
        <f>CFBS!AJ66</f>
        <v>4497.6000000000013</v>
      </c>
      <c r="AK105" s="724"/>
      <c r="AL105" s="724"/>
      <c r="AM105" s="724"/>
      <c r="AN105" s="724"/>
      <c r="AO105" s="52">
        <f>CFBS!AO66</f>
        <v>6727.0000000000045</v>
      </c>
      <c r="AP105" s="724"/>
      <c r="AQ105" s="724"/>
      <c r="AR105" s="724"/>
      <c r="AS105" s="724"/>
      <c r="AT105" s="52">
        <f>CFBS!AT66</f>
        <v>6897.100000000004</v>
      </c>
      <c r="AU105" s="724"/>
      <c r="AV105" s="724"/>
      <c r="AW105" s="724"/>
      <c r="AX105" s="724"/>
      <c r="AY105" s="52">
        <f>CFBS!AY66</f>
        <v>5684.3000000000038</v>
      </c>
      <c r="AZ105" s="724"/>
      <c r="BA105" s="724"/>
      <c r="BB105" s="724"/>
      <c r="BC105" s="724"/>
      <c r="BD105" s="52">
        <f>CFBS!BD66</f>
        <v>5397.3000000000047</v>
      </c>
      <c r="BE105" s="724"/>
      <c r="BF105" s="724"/>
      <c r="BG105" s="724"/>
      <c r="BH105" s="724"/>
      <c r="BI105" s="52">
        <f>CFBS!BI66</f>
        <v>4827.0000000000018</v>
      </c>
      <c r="BJ105" s="724"/>
      <c r="BK105" s="724"/>
      <c r="BL105" s="724"/>
      <c r="BM105" s="724"/>
      <c r="BN105" s="52">
        <f>CFBS!BN66</f>
        <v>4451.8000000000047</v>
      </c>
      <c r="BO105" s="724"/>
      <c r="BP105" s="724"/>
      <c r="BQ105" s="724"/>
      <c r="BR105" s="724"/>
      <c r="BS105" s="52">
        <f>CFBS!BS66</f>
        <v>6038.6000000000058</v>
      </c>
      <c r="BT105" s="724"/>
      <c r="BU105" s="724"/>
      <c r="BV105" s="724"/>
      <c r="BW105" s="724"/>
      <c r="BX105" s="52">
        <f>CFBS!BX66</f>
        <v>8034.100000000004</v>
      </c>
      <c r="BY105" s="724"/>
      <c r="BZ105" s="724"/>
      <c r="CA105" s="724"/>
      <c r="CB105" s="724"/>
      <c r="CC105" s="52">
        <f>CFBS!CC66</f>
        <v>5786.5349979041712</v>
      </c>
      <c r="CD105" s="724"/>
      <c r="CE105" s="724"/>
      <c r="CF105" s="724"/>
      <c r="CG105" s="724"/>
      <c r="CH105" s="52">
        <f>CFBS!CD66</f>
        <v>4627.3776703996191</v>
      </c>
      <c r="CI105" s="724"/>
      <c r="CJ105" s="724"/>
      <c r="CK105" s="724"/>
      <c r="CL105" s="724"/>
      <c r="CM105" s="52">
        <f>CFBS!CE66</f>
        <v>9098.2019072221883</v>
      </c>
    </row>
    <row r="106" spans="8:91">
      <c r="H106" s="695" t="s">
        <v>221</v>
      </c>
      <c r="L106" s="724">
        <f>'IS-ANNUAL'!L36</f>
        <v>46</v>
      </c>
      <c r="M106" s="724">
        <f>'IS-ANNUAL'!M36</f>
        <v>46.3</v>
      </c>
      <c r="N106" s="724">
        <f>'IS-ANNUAL'!N36</f>
        <v>52</v>
      </c>
      <c r="O106" s="724">
        <f>'IS-ANNUAL'!O36</f>
        <v>67.900000000000006</v>
      </c>
      <c r="P106" s="52">
        <f>'IS-ANNUAL'!P36</f>
        <v>212.20000000000002</v>
      </c>
      <c r="Q106" s="724">
        <f>'IS-ANNUAL'!Q36</f>
        <v>59.7</v>
      </c>
      <c r="R106" s="724">
        <f>'IS-ANNUAL'!R36</f>
        <v>68</v>
      </c>
      <c r="S106" s="724">
        <f>'IS-ANNUAL'!S36</f>
        <v>67.5</v>
      </c>
      <c r="T106" s="724">
        <f>'IS-ANNUAL'!T36</f>
        <v>66.3</v>
      </c>
      <c r="U106" s="52">
        <f>'IS-ANNUAL'!U36</f>
        <v>261.5</v>
      </c>
      <c r="V106" s="724">
        <f>'IS-ANNUAL'!V36</f>
        <v>57</v>
      </c>
      <c r="W106" s="724">
        <f>'IS-ANNUAL'!W36</f>
        <v>50</v>
      </c>
      <c r="X106" s="724">
        <f>'IS-ANNUAL'!X36</f>
        <v>50</v>
      </c>
      <c r="Y106" s="724">
        <f>'IS-ANNUAL'!Y36</f>
        <v>58</v>
      </c>
      <c r="Z106" s="52">
        <f>'IS-ANNUAL'!Z36</f>
        <v>215</v>
      </c>
      <c r="AA106" s="724">
        <f>'IS-ANNUAL'!AA36</f>
        <v>17.8</v>
      </c>
      <c r="AB106" s="724">
        <f>'IS-ANNUAL'!AB36</f>
        <v>2.5</v>
      </c>
      <c r="AC106" s="724">
        <f>'IS-ANNUAL'!AC36</f>
        <v>4.7</v>
      </c>
      <c r="AD106" s="724">
        <f>'IS-ANNUAL'!AD36</f>
        <v>1.8</v>
      </c>
      <c r="AE106" s="52">
        <f>'IS-ANNUAL'!AE36</f>
        <v>26.8</v>
      </c>
      <c r="AF106" s="724">
        <f>'IS-ANNUAL'!AF36</f>
        <v>27.4</v>
      </c>
      <c r="AG106" s="724">
        <f>'IS-ANNUAL'!AG36</f>
        <v>18.8</v>
      </c>
      <c r="AH106" s="724">
        <f>'IS-ANNUAL'!AH36</f>
        <v>15.2</v>
      </c>
      <c r="AI106" s="724">
        <f>'IS-ANNUAL'!AI36</f>
        <v>13.8</v>
      </c>
      <c r="AJ106" s="52">
        <f>'IS-ANNUAL'!AJ36</f>
        <v>75.2</v>
      </c>
      <c r="AK106" s="724"/>
      <c r="AL106" s="724"/>
      <c r="AM106" s="724"/>
      <c r="AN106" s="724"/>
      <c r="AO106" s="52">
        <f>'IS-ANNUAL'!AO36</f>
        <v>51.900000000000006</v>
      </c>
      <c r="AP106" s="724"/>
      <c r="AQ106" s="724"/>
      <c r="AR106" s="724"/>
      <c r="AS106" s="724"/>
      <c r="AT106" s="52">
        <f>'IS-ANNUAL'!AT36</f>
        <v>79.900000000000006</v>
      </c>
      <c r="AU106" s="724"/>
      <c r="AV106" s="724"/>
      <c r="AW106" s="724"/>
      <c r="AX106" s="724"/>
      <c r="AY106" s="52">
        <f>'IS-ANNUAL'!AY36</f>
        <v>105.1</v>
      </c>
      <c r="AZ106" s="724"/>
      <c r="BA106" s="724"/>
      <c r="BB106" s="724"/>
      <c r="BC106" s="724"/>
      <c r="BD106" s="52">
        <f>'IS-ANNUAL'!BD36</f>
        <v>119.7</v>
      </c>
      <c r="BE106" s="724"/>
      <c r="BF106" s="724"/>
      <c r="BG106" s="724"/>
      <c r="BH106" s="724"/>
      <c r="BI106" s="52">
        <f>'IS-ANNUAL'!BI36</f>
        <v>121</v>
      </c>
      <c r="BJ106" s="724"/>
      <c r="BK106" s="724"/>
      <c r="BL106" s="724"/>
      <c r="BM106" s="724"/>
      <c r="BN106" s="52">
        <f>'IS-ANNUAL'!BN36</f>
        <v>87</v>
      </c>
      <c r="BO106" s="724"/>
      <c r="BP106" s="724"/>
      <c r="BQ106" s="724"/>
      <c r="BR106" s="724"/>
      <c r="BS106" s="52">
        <f>'IS-ANNUAL'!BS36</f>
        <v>108.70000000000002</v>
      </c>
      <c r="BT106" s="724"/>
      <c r="BU106" s="724"/>
      <c r="BV106" s="724"/>
      <c r="BW106" s="724"/>
      <c r="BX106" s="52">
        <f>'IS-ANNUAL'!BX36</f>
        <v>167.3</v>
      </c>
      <c r="BY106" s="724"/>
      <c r="BZ106" s="724"/>
      <c r="CA106" s="724"/>
      <c r="CB106" s="724"/>
      <c r="CC106" s="52">
        <f>'IS-ANNUAL'!CC36</f>
        <v>180.5</v>
      </c>
      <c r="CD106" s="724"/>
      <c r="CE106" s="724"/>
      <c r="CF106" s="724"/>
      <c r="CG106" s="724"/>
      <c r="CH106" s="52">
        <f>'IS-ANNUAL'!CD36</f>
        <v>180.5</v>
      </c>
      <c r="CI106" s="724"/>
      <c r="CJ106" s="724"/>
      <c r="CK106" s="724"/>
      <c r="CL106" s="724"/>
      <c r="CM106" s="52">
        <f>'IS-ANNUAL'!CE36</f>
        <v>180.5</v>
      </c>
    </row>
    <row r="107" spans="8:91">
      <c r="H107" s="695" t="s">
        <v>70</v>
      </c>
      <c r="L107" s="724">
        <f>CFBS!L86+CFBS!L96</f>
        <v>4590.1000000000004</v>
      </c>
      <c r="M107" s="724">
        <f>CFBS!M86+CFBS!M96</f>
        <v>4676.1000000000004</v>
      </c>
      <c r="N107" s="724">
        <f>CFBS!N86+CFBS!N96</f>
        <v>6510.2000000000007</v>
      </c>
      <c r="O107" s="724">
        <f>CFBS!O86+CFBS!O96</f>
        <v>6498.2</v>
      </c>
      <c r="P107" s="52">
        <f>CFBS!P86+CFBS!P96</f>
        <v>6498.2</v>
      </c>
      <c r="Q107" s="724">
        <f>CFBS!Q86+CFBS!Q96</f>
        <v>6348.5</v>
      </c>
      <c r="R107" s="724">
        <f>CFBS!R86+CFBS!R96</f>
        <v>6316.6</v>
      </c>
      <c r="S107" s="724">
        <f>CFBS!S86+CFBS!S96</f>
        <v>4887.5</v>
      </c>
      <c r="T107" s="724">
        <f>CFBS!T86+CFBS!T96</f>
        <v>3713.8</v>
      </c>
      <c r="U107" s="52">
        <f>CFBS!U86+CFBS!U96</f>
        <v>3713.8</v>
      </c>
      <c r="V107" s="724">
        <f>CFBS!V86+CFBS!V96</f>
        <v>5358.2</v>
      </c>
      <c r="W107" s="724">
        <f>CFBS!W86+CFBS!W96</f>
        <v>5038.2</v>
      </c>
      <c r="X107" s="724">
        <f>CFBS!X86+CFBS!X96</f>
        <v>4974.3</v>
      </c>
      <c r="Y107" s="724">
        <f>CFBS!Y86+CFBS!Y96</f>
        <v>5007.2</v>
      </c>
      <c r="Z107" s="52">
        <f>CFBS!Z86+CFBS!Z96</f>
        <v>5007.2</v>
      </c>
      <c r="AA107" s="724">
        <f>CFBS!AA86+CFBS!AA96</f>
        <v>4721.3</v>
      </c>
      <c r="AB107" s="724">
        <f>CFBS!AB86+CFBS!AB96</f>
        <v>4613.8</v>
      </c>
      <c r="AC107" s="724">
        <f>CFBS!AC86+CFBS!AC96</f>
        <v>4612.1000000000004</v>
      </c>
      <c r="AD107" s="724">
        <f>CFBS!AD86+CFBS!AD96</f>
        <v>10462</v>
      </c>
      <c r="AE107" s="52">
        <f>CFBS!AE86+CFBS!AE96</f>
        <v>10462</v>
      </c>
      <c r="AF107" s="724">
        <f>CFBS!AF86+CFBS!AF96</f>
        <v>8473.6</v>
      </c>
      <c r="AG107" s="724">
        <f>CFBS!AG86+CFBS!AG96</f>
        <v>7722.9</v>
      </c>
      <c r="AH107" s="724">
        <f>CFBS!AH86+CFBS!AH96</f>
        <v>7392.2</v>
      </c>
      <c r="AI107" s="724">
        <f>CFBS!AI86+CFBS!AI96</f>
        <v>6662.0999999999995</v>
      </c>
      <c r="AJ107" s="52">
        <f>CFBS!AJ86+CFBS!AJ96</f>
        <v>6662.0999999999995</v>
      </c>
      <c r="AK107" s="724"/>
      <c r="AL107" s="724"/>
      <c r="AM107" s="724"/>
      <c r="AN107" s="724"/>
      <c r="AO107" s="52">
        <f>CFBS!AO86+CFBS!AO96</f>
        <v>6926.5</v>
      </c>
      <c r="AP107" s="724"/>
      <c r="AQ107" s="724"/>
      <c r="AR107" s="724"/>
      <c r="AS107" s="724"/>
      <c r="AT107" s="52">
        <f>CFBS!AT86+CFBS!AT96</f>
        <v>6987</v>
      </c>
      <c r="AU107" s="724"/>
      <c r="AV107" s="724"/>
      <c r="AW107" s="724"/>
      <c r="AX107" s="724"/>
      <c r="AY107" s="52">
        <f>CFBS!AY86+CFBS!AY96</f>
        <v>5531.2999999999993</v>
      </c>
      <c r="AZ107" s="724"/>
      <c r="BA107" s="724"/>
      <c r="BB107" s="724"/>
      <c r="BC107" s="724"/>
      <c r="BD107" s="52">
        <f>CFBS!BD86+CFBS!BD96</f>
        <v>5212.9000000000005</v>
      </c>
      <c r="BE107" s="724"/>
      <c r="BF107" s="724"/>
      <c r="BG107" s="724"/>
      <c r="BH107" s="724"/>
      <c r="BI107" s="52">
        <f>CFBS!BI86+CFBS!BI96</f>
        <v>8021.5</v>
      </c>
      <c r="BJ107" s="724"/>
      <c r="BK107" s="724"/>
      <c r="BL107" s="724"/>
      <c r="BM107" s="724"/>
      <c r="BN107" s="52">
        <f>CFBS!BN86+CFBS!BN96</f>
        <v>7978.5</v>
      </c>
      <c r="BO107" s="724"/>
      <c r="BP107" s="724"/>
      <c r="BQ107" s="724"/>
      <c r="BR107" s="724"/>
      <c r="BS107" s="52">
        <f>CFBS!BS86+CFBS!BS96</f>
        <v>10305.199999999999</v>
      </c>
      <c r="BT107" s="724"/>
      <c r="BU107" s="724"/>
      <c r="BV107" s="724"/>
      <c r="BW107" s="724"/>
      <c r="BX107" s="52">
        <f>CFBS!BX86+CFBS!BX96</f>
        <v>13647.1</v>
      </c>
      <c r="BY107" s="724"/>
      <c r="BZ107" s="724"/>
      <c r="CA107" s="724"/>
      <c r="CB107" s="724"/>
      <c r="CC107" s="52">
        <f>CFBS!CC86+CFBS!CC96</f>
        <v>5605.8200000000006</v>
      </c>
      <c r="CD107" s="724"/>
      <c r="CE107" s="724"/>
      <c r="CF107" s="724"/>
      <c r="CG107" s="724"/>
      <c r="CH107" s="52">
        <f>CFBS!CD86+CFBS!CD96</f>
        <v>4704.45</v>
      </c>
      <c r="CI107" s="724"/>
      <c r="CJ107" s="724"/>
      <c r="CK107" s="724"/>
      <c r="CL107" s="724"/>
      <c r="CM107" s="52">
        <f>CFBS!CE86+CFBS!CE96</f>
        <v>4704.45</v>
      </c>
    </row>
    <row r="108" spans="8:91">
      <c r="H108" s="695" t="s">
        <v>686</v>
      </c>
      <c r="L108" s="724">
        <f>-'IS-ANNUAL'!L35</f>
        <v>24.6</v>
      </c>
      <c r="M108" s="724">
        <f>-'IS-ANNUAL'!M35</f>
        <v>12</v>
      </c>
      <c r="N108" s="724">
        <f>-'IS-ANNUAL'!N35</f>
        <v>24.3</v>
      </c>
      <c r="O108" s="724">
        <f>-'IS-ANNUAL'!O35</f>
        <v>44.3</v>
      </c>
      <c r="P108" s="52">
        <f>-'IS-ANNUAL'!P35</f>
        <v>105.2</v>
      </c>
      <c r="Q108" s="724">
        <f>-'IS-ANNUAL'!Q35</f>
        <v>65</v>
      </c>
      <c r="R108" s="724">
        <f>-'IS-ANNUAL'!R35</f>
        <v>66</v>
      </c>
      <c r="S108" s="724">
        <f>-'IS-ANNUAL'!S35</f>
        <v>62.7</v>
      </c>
      <c r="T108" s="724">
        <f>-'IS-ANNUAL'!T35</f>
        <v>44.6</v>
      </c>
      <c r="U108" s="52">
        <f>-'IS-ANNUAL'!U35</f>
        <v>238.29999999999998</v>
      </c>
      <c r="V108" s="724">
        <f>-'IS-ANNUAL'!V35</f>
        <v>53</v>
      </c>
      <c r="W108" s="724">
        <f>-'IS-ANNUAL'!W35</f>
        <v>59</v>
      </c>
      <c r="X108" s="724">
        <f>-'IS-ANNUAL'!X35</f>
        <v>55.8</v>
      </c>
      <c r="Y108" s="724">
        <f>-'IS-ANNUAL'!Y35</f>
        <v>60.4</v>
      </c>
      <c r="Z108" s="52">
        <f>-'IS-ANNUAL'!Z35</f>
        <v>228.20000000000002</v>
      </c>
      <c r="AA108" s="724">
        <f>-'IS-ANNUAL'!AA35</f>
        <v>73.8</v>
      </c>
      <c r="AB108" s="724">
        <f>-'IS-ANNUAL'!AB35</f>
        <v>68.599999999999994</v>
      </c>
      <c r="AC108" s="724">
        <f>-'IS-ANNUAL'!AC35</f>
        <v>62</v>
      </c>
      <c r="AD108" s="724">
        <f>-'IS-ANNUAL'!AD35</f>
        <v>61.1</v>
      </c>
      <c r="AE108" s="52">
        <f>-'IS-ANNUAL'!AE35</f>
        <v>265.5</v>
      </c>
      <c r="AF108" s="724">
        <f>-'IS-ANNUAL'!AF35</f>
        <v>87.6</v>
      </c>
      <c r="AG108" s="724">
        <f>-'IS-ANNUAL'!AG35</f>
        <v>64.3</v>
      </c>
      <c r="AH108" s="724">
        <f>-'IS-ANNUAL'!AH35</f>
        <v>59.2</v>
      </c>
      <c r="AI108" s="724">
        <f>-'IS-ANNUAL'!AI35</f>
        <v>50.2</v>
      </c>
      <c r="AJ108" s="52">
        <f>-'IS-ANNUAL'!AJ35</f>
        <v>261.29999999999995</v>
      </c>
      <c r="AK108" s="724"/>
      <c r="AL108" s="724"/>
      <c r="AM108" s="724"/>
      <c r="AN108" s="724"/>
      <c r="AO108" s="52">
        <f>-'IS-ANNUAL'!AO35</f>
        <v>185.5</v>
      </c>
      <c r="AP108" s="724"/>
      <c r="AQ108" s="724"/>
      <c r="AR108" s="724"/>
      <c r="AS108" s="724"/>
      <c r="AT108" s="52">
        <f>-'IS-ANNUAL'!AT35</f>
        <v>185.9</v>
      </c>
      <c r="AU108" s="724"/>
      <c r="AV108" s="724"/>
      <c r="AW108" s="724"/>
      <c r="AX108" s="724"/>
      <c r="AY108" s="52">
        <f>-'IS-ANNUAL'!AY35</f>
        <v>177.9</v>
      </c>
      <c r="AZ108" s="724"/>
      <c r="BA108" s="724"/>
      <c r="BB108" s="724"/>
      <c r="BC108" s="724"/>
      <c r="BD108" s="52">
        <f>-'IS-ANNUAL'!BD35</f>
        <v>160.1</v>
      </c>
      <c r="BE108" s="724"/>
      <c r="BF108" s="724"/>
      <c r="BG108" s="724"/>
      <c r="BH108" s="724"/>
      <c r="BI108" s="52">
        <f>-'IS-ANNUAL'!BI35</f>
        <v>148.80000000000001</v>
      </c>
      <c r="BJ108" s="724"/>
      <c r="BK108" s="724"/>
      <c r="BL108" s="724"/>
      <c r="BM108" s="724"/>
      <c r="BN108" s="52">
        <f>-'IS-ANNUAL'!BN35</f>
        <v>172.39999999999998</v>
      </c>
      <c r="BO108" s="724"/>
      <c r="BP108" s="724"/>
      <c r="BQ108" s="724"/>
      <c r="BR108" s="724"/>
      <c r="BS108" s="52">
        <f>-'IS-ANNUAL'!BS35</f>
        <v>185.20000000000002</v>
      </c>
      <c r="BT108" s="724"/>
      <c r="BU108" s="724"/>
      <c r="BV108" s="724"/>
      <c r="BW108" s="724"/>
      <c r="BX108" s="52">
        <f>-'IS-ANNUAL'!BX35</f>
        <v>225</v>
      </c>
      <c r="BY108" s="724"/>
      <c r="BZ108" s="724"/>
      <c r="CA108" s="724"/>
      <c r="CB108" s="724"/>
      <c r="CC108" s="52">
        <f>-'IS-ANNUAL'!CC35</f>
        <v>224.911025</v>
      </c>
      <c r="CD108" s="724"/>
      <c r="CE108" s="724"/>
      <c r="CF108" s="724"/>
      <c r="CG108" s="724"/>
      <c r="CH108" s="52">
        <f>-'IS-ANNUAL'!CD35</f>
        <v>149.94361874999998</v>
      </c>
      <c r="CI108" s="724"/>
      <c r="CJ108" s="724"/>
      <c r="CK108" s="724"/>
      <c r="CL108" s="724"/>
      <c r="CM108" s="52">
        <f>-'IS-ANNUAL'!CE35</f>
        <v>133.35731249999998</v>
      </c>
    </row>
    <row r="109" spans="8:91">
      <c r="H109" s="15" t="s">
        <v>282</v>
      </c>
      <c r="L109" s="724">
        <f>CFBS!L172</f>
        <v>-1030.2</v>
      </c>
      <c r="M109" s="724">
        <f>CFBS!M172</f>
        <v>-825</v>
      </c>
      <c r="N109" s="724">
        <f>CFBS!N172</f>
        <v>277.3</v>
      </c>
      <c r="O109" s="724">
        <f>CFBS!O172</f>
        <v>1460.5</v>
      </c>
      <c r="P109" s="52">
        <f>CFBS!P172</f>
        <v>1460.5</v>
      </c>
      <c r="Q109" s="724">
        <f>CFBS!Q172</f>
        <v>1844.8000000000002</v>
      </c>
      <c r="R109" s="724">
        <f>CFBS!R172</f>
        <v>1725.9000000000005</v>
      </c>
      <c r="S109" s="724">
        <f>CFBS!S172</f>
        <v>1268.9999999999995</v>
      </c>
      <c r="T109" s="724">
        <f>CFBS!T172</f>
        <v>-177.19999999999982</v>
      </c>
      <c r="U109" s="52">
        <f>CFBS!U172</f>
        <v>-177.19999999999982</v>
      </c>
      <c r="V109" s="724">
        <f>CFBS!V172</f>
        <v>1994.2999999999997</v>
      </c>
      <c r="W109" s="724">
        <f>CFBS!W172</f>
        <v>2033.7999999999997</v>
      </c>
      <c r="X109" s="724">
        <f>CFBS!X172</f>
        <v>1408.5</v>
      </c>
      <c r="Y109" s="724">
        <f>CFBS!Y172</f>
        <v>176</v>
      </c>
      <c r="Z109" s="52">
        <f>CFBS!Z172</f>
        <v>176</v>
      </c>
      <c r="AA109" s="724">
        <f>CFBS!AA172</f>
        <v>-713.19999999999982</v>
      </c>
      <c r="AB109" s="724">
        <f>CFBS!AB172</f>
        <v>-556.19999999999982</v>
      </c>
      <c r="AC109" s="724">
        <f>CFBS!AC172</f>
        <v>-1506.6999999999989</v>
      </c>
      <c r="AD109" s="724">
        <f>CFBS!AD172</f>
        <v>4535.9000000000015</v>
      </c>
      <c r="AE109" s="52">
        <f>CFBS!AE172</f>
        <v>4535.9000000000015</v>
      </c>
      <c r="AF109" s="724">
        <f>CFBS!AF172</f>
        <v>4965.3</v>
      </c>
      <c r="AG109" s="724">
        <f>CFBS!AG172</f>
        <v>4232.5</v>
      </c>
      <c r="AH109" s="724">
        <f>CFBS!AH172</f>
        <v>3463.099999999999</v>
      </c>
      <c r="AI109" s="724">
        <f>CFBS!AI172</f>
        <v>2164.4999999999982</v>
      </c>
      <c r="AJ109" s="52">
        <f>CFBS!AJ172</f>
        <v>2164.4999999999982</v>
      </c>
      <c r="AK109" s="724"/>
      <c r="AL109" s="724"/>
      <c r="AM109" s="724"/>
      <c r="AN109" s="724"/>
      <c r="AO109" s="52">
        <f>CFBS!AO172</f>
        <v>199.49999999999545</v>
      </c>
      <c r="AP109" s="724"/>
      <c r="AQ109" s="724"/>
      <c r="AR109" s="724"/>
      <c r="AS109" s="724"/>
      <c r="AT109" s="52">
        <f>CFBS!AT172</f>
        <v>89.899999999995998</v>
      </c>
      <c r="AU109" s="724"/>
      <c r="AV109" s="724"/>
      <c r="AW109" s="724"/>
      <c r="AX109" s="724"/>
      <c r="AY109" s="52">
        <f>CFBS!AY172</f>
        <v>-153.00000000000455</v>
      </c>
      <c r="AZ109" s="724"/>
      <c r="BA109" s="724"/>
      <c r="BB109" s="724"/>
      <c r="BC109" s="724"/>
      <c r="BD109" s="52">
        <f>CFBS!BD172</f>
        <v>-184.40000000000418</v>
      </c>
      <c r="BE109" s="724"/>
      <c r="BF109" s="724"/>
      <c r="BG109" s="724"/>
      <c r="BH109" s="724"/>
      <c r="BI109" s="52">
        <f>CFBS!BI172</f>
        <v>3194.4999999999982</v>
      </c>
      <c r="BJ109" s="724"/>
      <c r="BK109" s="724"/>
      <c r="BL109" s="724"/>
      <c r="BM109" s="724"/>
      <c r="BN109" s="52">
        <f>CFBS!BN172</f>
        <v>3526.6999999999953</v>
      </c>
      <c r="BO109" s="724"/>
      <c r="BP109" s="724"/>
      <c r="BQ109" s="724"/>
      <c r="BR109" s="724"/>
      <c r="BS109" s="52">
        <f>CFBS!BS172</f>
        <v>4266.5999999999931</v>
      </c>
      <c r="BT109" s="724"/>
      <c r="BU109" s="724"/>
      <c r="BV109" s="724"/>
      <c r="BW109" s="724"/>
      <c r="BX109" s="52">
        <f>CFBS!BX172</f>
        <v>5612.9999999999964</v>
      </c>
      <c r="BY109" s="724"/>
      <c r="BZ109" s="724"/>
      <c r="CA109" s="724"/>
      <c r="CB109" s="724"/>
      <c r="CC109" s="52">
        <f>CFBS!CC172</f>
        <v>-180.71499790417056</v>
      </c>
      <c r="CD109" s="724"/>
      <c r="CE109" s="724"/>
      <c r="CF109" s="724"/>
      <c r="CG109" s="724"/>
      <c r="CH109" s="52">
        <f>CFBS!CD172</f>
        <v>77.072329600380726</v>
      </c>
      <c r="CI109" s="724"/>
      <c r="CJ109" s="724"/>
      <c r="CK109" s="724"/>
      <c r="CL109" s="724"/>
      <c r="CM109" s="52">
        <f>CFBS!CE172</f>
        <v>-4393.7519072221885</v>
      </c>
    </row>
    <row r="110" spans="8:91">
      <c r="H110" s="27" t="s">
        <v>283</v>
      </c>
      <c r="L110" s="725">
        <f>CFBS!L174</f>
        <v>-6.3640126267150141E-2</v>
      </c>
      <c r="M110" s="725">
        <f>CFBS!M174</f>
        <v>-5.5201300743377514E-2</v>
      </c>
      <c r="N110" s="725">
        <f>CFBS!N174</f>
        <v>1.5497247603878514E-2</v>
      </c>
      <c r="O110" s="725">
        <f>CFBS!O174</f>
        <v>8.4470303815478209E-2</v>
      </c>
      <c r="P110" s="55">
        <f>CFBS!P174</f>
        <v>8.4470303815478209E-2</v>
      </c>
      <c r="Q110" s="725">
        <f>CFBS!Q174</f>
        <v>0.1022463378540906</v>
      </c>
      <c r="R110" s="725">
        <f>CFBS!R174</f>
        <v>9.4595261193416352E-2</v>
      </c>
      <c r="S110" s="725">
        <f>CFBS!S174</f>
        <v>7.0727112617181828E-2</v>
      </c>
      <c r="T110" s="725">
        <f>CFBS!T174</f>
        <v>-1.2058933614617701E-2</v>
      </c>
      <c r="U110" s="55">
        <f>CFBS!U174</f>
        <v>-1.2058933614617701E-2</v>
      </c>
      <c r="V110" s="725">
        <f>CFBS!V174</f>
        <v>0.11806110548718039</v>
      </c>
      <c r="W110" s="725">
        <f>CFBS!W174</f>
        <v>0.12253135882204096</v>
      </c>
      <c r="X110" s="725">
        <f>CFBS!X174</f>
        <v>7.8594067361560604E-2</v>
      </c>
      <c r="Y110" s="725">
        <f>CFBS!Y174</f>
        <v>9.4260802502195845E-3</v>
      </c>
      <c r="Z110" s="55">
        <f>CFBS!Z174</f>
        <v>9.4260802502195845E-3</v>
      </c>
      <c r="AA110" s="725">
        <f>CFBS!AA174</f>
        <v>-3.6329368616763856E-2</v>
      </c>
      <c r="AB110" s="725">
        <f>CFBS!AB174</f>
        <v>-2.874151241744953E-2</v>
      </c>
      <c r="AC110" s="725">
        <f>CFBS!AC174</f>
        <v>-8.2092439126715516E-2</v>
      </c>
      <c r="AD110" s="725">
        <f>CFBS!AD174</f>
        <v>0.26375651991882459</v>
      </c>
      <c r="AE110" s="55">
        <f>CFBS!AE174</f>
        <v>0.26375651991882459</v>
      </c>
      <c r="AF110" s="725">
        <f>CFBS!AF174</f>
        <v>0.30653027459502169</v>
      </c>
      <c r="AG110" s="725">
        <f>CFBS!AG174</f>
        <v>0.25993526951587254</v>
      </c>
      <c r="AH110" s="725">
        <f>CFBS!AH174</f>
        <v>0.20021159494022148</v>
      </c>
      <c r="AI110" s="725">
        <f>CFBS!AI174</f>
        <v>0.133715111753586</v>
      </c>
      <c r="AJ110" s="55">
        <f>CFBS!AJ174</f>
        <v>0.133715111753586</v>
      </c>
      <c r="AK110" s="725"/>
      <c r="AL110" s="725"/>
      <c r="AM110" s="725"/>
      <c r="AN110" s="725"/>
      <c r="AO110" s="55">
        <f>CFBS!AO174</f>
        <v>1.0315781853531169E-2</v>
      </c>
      <c r="AP110" s="725"/>
      <c r="AQ110" s="725"/>
      <c r="AR110" s="725"/>
      <c r="AS110" s="725"/>
      <c r="AT110" s="55">
        <f>CFBS!AT174</f>
        <v>4.3805365791856768E-3</v>
      </c>
      <c r="AU110" s="725"/>
      <c r="AV110" s="725"/>
      <c r="AW110" s="725"/>
      <c r="AX110" s="725"/>
      <c r="AY110" s="55">
        <f>CFBS!AY174</f>
        <v>-7.535015661013166E-3</v>
      </c>
      <c r="AZ110" s="725"/>
      <c r="BA110" s="725"/>
      <c r="BB110" s="725"/>
      <c r="BC110" s="725"/>
      <c r="BD110" s="55">
        <f>CFBS!BD174</f>
        <v>-8.0687506563519151E-3</v>
      </c>
      <c r="BE110" s="725"/>
      <c r="BF110" s="725"/>
      <c r="BG110" s="725"/>
      <c r="BH110" s="725"/>
      <c r="BI110" s="55">
        <f>CFBS!BI174</f>
        <v>0.13646110997197719</v>
      </c>
      <c r="BJ110" s="725"/>
      <c r="BK110" s="725"/>
      <c r="BL110" s="725"/>
      <c r="BM110" s="725"/>
      <c r="BN110" s="55">
        <f>CFBS!BN174</f>
        <v>0.15626440041118683</v>
      </c>
      <c r="BO110" s="725"/>
      <c r="BP110" s="725"/>
      <c r="BQ110" s="725"/>
      <c r="BR110" s="725"/>
      <c r="BS110" s="55">
        <f>CFBS!BS174</f>
        <v>0.17496319564334803</v>
      </c>
      <c r="BT110" s="725"/>
      <c r="BU110" s="725"/>
      <c r="BV110" s="725"/>
      <c r="BW110" s="725"/>
      <c r="BX110" s="55">
        <f>CFBS!BX174</f>
        <v>0.22172624925933232</v>
      </c>
      <c r="BY110" s="725"/>
      <c r="BZ110" s="725"/>
      <c r="CA110" s="725"/>
      <c r="CB110" s="725"/>
      <c r="CC110" s="55">
        <f>CFBS!CC174</f>
        <v>-9.8430014583132646E-3</v>
      </c>
      <c r="CD110" s="725"/>
      <c r="CE110" s="725"/>
      <c r="CF110" s="725"/>
      <c r="CG110" s="725"/>
      <c r="CH110" s="55">
        <f>CFBS!CD174</f>
        <v>4.0505795817892092E-3</v>
      </c>
      <c r="CI110" s="725"/>
      <c r="CJ110" s="725"/>
      <c r="CK110" s="725"/>
      <c r="CL110" s="725"/>
      <c r="CM110" s="55">
        <f>CFBS!CE174</f>
        <v>-0.2043199464913816</v>
      </c>
    </row>
    <row r="111" spans="8:91">
      <c r="L111" s="66"/>
      <c r="M111" s="66"/>
      <c r="N111" s="66"/>
      <c r="O111" s="66"/>
      <c r="P111" s="14"/>
      <c r="Q111" s="66"/>
      <c r="R111" s="66"/>
      <c r="S111" s="66"/>
      <c r="T111" s="66"/>
      <c r="U111" s="14"/>
      <c r="V111" s="66"/>
      <c r="W111" s="66"/>
      <c r="X111" s="66"/>
      <c r="Y111" s="66"/>
      <c r="AA111" s="66"/>
      <c r="AB111" s="66"/>
      <c r="AC111" s="66"/>
      <c r="AD111" s="66"/>
      <c r="AF111" s="66"/>
      <c r="AG111" s="66"/>
      <c r="AH111" s="66"/>
      <c r="AI111" s="66"/>
      <c r="AK111" s="66"/>
      <c r="AL111" s="66"/>
      <c r="AM111" s="66"/>
      <c r="AN111" s="66"/>
      <c r="AP111" s="66"/>
      <c r="AQ111" s="66"/>
      <c r="AR111" s="66"/>
      <c r="AS111" s="66"/>
      <c r="AU111" s="66"/>
      <c r="AV111" s="66"/>
      <c r="AW111" s="66"/>
      <c r="AX111" s="66"/>
      <c r="AZ111" s="66"/>
      <c r="BA111" s="66"/>
      <c r="BB111" s="66"/>
      <c r="BC111" s="66"/>
      <c r="BE111" s="66"/>
      <c r="BF111" s="66"/>
      <c r="BG111" s="66"/>
      <c r="BH111" s="66"/>
      <c r="BJ111" s="66"/>
      <c r="BK111" s="66"/>
      <c r="BL111" s="66"/>
      <c r="BM111" s="66"/>
      <c r="BO111" s="66"/>
      <c r="BP111" s="66"/>
      <c r="BQ111" s="66"/>
      <c r="BR111" s="66"/>
      <c r="BT111" s="66"/>
      <c r="BU111" s="66"/>
      <c r="BV111" s="66"/>
      <c r="BW111" s="66"/>
      <c r="BY111" s="66"/>
      <c r="BZ111" s="66"/>
      <c r="CA111" s="66"/>
      <c r="CB111" s="66"/>
      <c r="CD111" s="66"/>
      <c r="CE111" s="66"/>
      <c r="CF111" s="66"/>
      <c r="CG111" s="66"/>
      <c r="CI111" s="66"/>
      <c r="CJ111" s="66"/>
      <c r="CK111" s="66"/>
      <c r="CL111" s="66"/>
    </row>
    <row r="112" spans="8:91">
      <c r="H112" s="15" t="s">
        <v>284</v>
      </c>
      <c r="L112" s="726">
        <f>CFBS!L180</f>
        <v>0.38</v>
      </c>
      <c r="M112" s="726">
        <f>CFBS!M180</f>
        <v>0.38</v>
      </c>
      <c r="N112" s="726">
        <f>CFBS!N180</f>
        <v>0.38</v>
      </c>
      <c r="O112" s="726">
        <f>CFBS!O180</f>
        <v>0.38</v>
      </c>
      <c r="P112" s="53">
        <f>CFBS!P180</f>
        <v>1.52</v>
      </c>
      <c r="Q112" s="726">
        <f>CFBS!Q180</f>
        <v>0.4</v>
      </c>
      <c r="R112" s="726">
        <f>CFBS!R180</f>
        <v>0.4</v>
      </c>
      <c r="S112" s="726">
        <f>CFBS!S180</f>
        <v>0.4</v>
      </c>
      <c r="T112" s="726">
        <f>CFBS!T180</f>
        <v>0.4</v>
      </c>
      <c r="U112" s="53">
        <f>CFBS!U180</f>
        <v>1.6</v>
      </c>
      <c r="V112" s="726">
        <f>CFBS!V180</f>
        <v>0.42499999999999999</v>
      </c>
      <c r="W112" s="726">
        <f>CFBS!W180</f>
        <v>0.42499999999999999</v>
      </c>
      <c r="X112" s="726">
        <f>CFBS!X180</f>
        <v>0.42499999999999999</v>
      </c>
      <c r="Y112" s="726">
        <f>CFBS!Y180</f>
        <v>0.42499999999999999</v>
      </c>
      <c r="Z112" s="53">
        <f>CFBS!Z180</f>
        <v>1.7</v>
      </c>
      <c r="AA112" s="726">
        <f>CFBS!AA180</f>
        <v>0.47</v>
      </c>
      <c r="AB112" s="726">
        <f>CFBS!AB180</f>
        <v>0.47</v>
      </c>
      <c r="AC112" s="726">
        <f>CFBS!AC180</f>
        <v>0.47</v>
      </c>
      <c r="AD112" s="726">
        <f>CFBS!AD180</f>
        <v>0.47</v>
      </c>
      <c r="AE112" s="53">
        <f>CFBS!AE180</f>
        <v>1.88</v>
      </c>
      <c r="AF112" s="726">
        <f>CFBS!AF180</f>
        <v>0.49</v>
      </c>
      <c r="AG112" s="726">
        <f>CFBS!AG180</f>
        <v>0.49</v>
      </c>
      <c r="AH112" s="726">
        <f>CFBS!AH180</f>
        <v>0.49</v>
      </c>
      <c r="AI112" s="726">
        <f>CFBS!AI180</f>
        <v>0.49</v>
      </c>
      <c r="AJ112" s="53">
        <f>CFBS!AJ180</f>
        <v>1.96</v>
      </c>
      <c r="AK112" s="726"/>
      <c r="AL112" s="726"/>
      <c r="AM112" s="726"/>
      <c r="AN112" s="726"/>
      <c r="AO112" s="53">
        <f>CFBS!AO180</f>
        <v>1.96</v>
      </c>
      <c r="AP112" s="726"/>
      <c r="AQ112" s="726"/>
      <c r="AR112" s="726"/>
      <c r="AS112" s="726"/>
      <c r="AT112" s="53">
        <f>CFBS!AT180</f>
        <v>1.96</v>
      </c>
      <c r="AU112" s="726"/>
      <c r="AV112" s="726"/>
      <c r="AW112" s="726"/>
      <c r="AX112" s="726"/>
      <c r="AY112" s="53">
        <f>CFBS!AY180</f>
        <v>1.96</v>
      </c>
      <c r="AZ112" s="726"/>
      <c r="BA112" s="726"/>
      <c r="BB112" s="726"/>
      <c r="BC112" s="726"/>
      <c r="BD112" s="53">
        <f>CFBS!BD180</f>
        <v>1.96</v>
      </c>
      <c r="BE112" s="726"/>
      <c r="BF112" s="726"/>
      <c r="BG112" s="726"/>
      <c r="BH112" s="726"/>
      <c r="BI112" s="53">
        <f>CFBS!BI180</f>
        <v>1.96</v>
      </c>
      <c r="BJ112" s="726"/>
      <c r="BK112" s="726"/>
      <c r="BL112" s="726"/>
      <c r="BM112" s="726"/>
      <c r="BN112" s="53">
        <f>CFBS!BN180</f>
        <v>1.99</v>
      </c>
      <c r="BO112" s="726"/>
      <c r="BP112" s="726"/>
      <c r="BQ112" s="726"/>
      <c r="BR112" s="726"/>
      <c r="BS112" s="53">
        <f>CFBS!BS180</f>
        <v>2.04</v>
      </c>
      <c r="BT112" s="726"/>
      <c r="BU112" s="726"/>
      <c r="BV112" s="726"/>
      <c r="BW112" s="726"/>
      <c r="BX112" s="53">
        <f>CFBS!BX180</f>
        <v>2.08</v>
      </c>
      <c r="BY112" s="726"/>
      <c r="BZ112" s="726"/>
      <c r="CA112" s="726"/>
      <c r="CB112" s="726"/>
      <c r="CC112" s="53">
        <f>CFBS!CC180</f>
        <v>2.25</v>
      </c>
      <c r="CD112" s="726"/>
      <c r="CE112" s="726"/>
      <c r="CF112" s="726"/>
      <c r="CG112" s="726"/>
      <c r="CH112" s="53">
        <f>CFBS!CD180</f>
        <v>2.3199999999999998</v>
      </c>
      <c r="CI112" s="726"/>
      <c r="CJ112" s="726"/>
      <c r="CK112" s="726"/>
      <c r="CL112" s="726"/>
      <c r="CM112" s="53">
        <f>CFBS!CE180</f>
        <v>2.36</v>
      </c>
    </row>
    <row r="113" spans="8:91">
      <c r="H113" s="686" t="s">
        <v>88</v>
      </c>
      <c r="L113" s="725">
        <f t="shared" ref="L113:AJ113" si="7">L112/$J$17</f>
        <v>4.7446622549631662E-3</v>
      </c>
      <c r="M113" s="725">
        <f t="shared" si="7"/>
        <v>4.7446622549631662E-3</v>
      </c>
      <c r="N113" s="725">
        <f t="shared" si="7"/>
        <v>4.7446622549631662E-3</v>
      </c>
      <c r="O113" s="725">
        <f t="shared" si="7"/>
        <v>4.7446622549631662E-3</v>
      </c>
      <c r="P113" s="55">
        <f t="shared" si="7"/>
        <v>1.8978649019852665E-2</v>
      </c>
      <c r="Q113" s="725">
        <f t="shared" si="7"/>
        <v>4.9943813210138596E-3</v>
      </c>
      <c r="R113" s="725">
        <f t="shared" si="7"/>
        <v>4.9943813210138596E-3</v>
      </c>
      <c r="S113" s="725">
        <f t="shared" si="7"/>
        <v>4.9943813210138596E-3</v>
      </c>
      <c r="T113" s="725">
        <f t="shared" si="7"/>
        <v>4.9943813210138596E-3</v>
      </c>
      <c r="U113" s="55">
        <f t="shared" si="7"/>
        <v>1.9977525284055438E-2</v>
      </c>
      <c r="V113" s="725">
        <f t="shared" si="7"/>
        <v>5.306530153577225E-3</v>
      </c>
      <c r="W113" s="725">
        <f t="shared" si="7"/>
        <v>5.306530153577225E-3</v>
      </c>
      <c r="X113" s="725">
        <f t="shared" si="7"/>
        <v>5.306530153577225E-3</v>
      </c>
      <c r="Y113" s="725">
        <f t="shared" si="7"/>
        <v>5.306530153577225E-3</v>
      </c>
      <c r="Z113" s="55">
        <f t="shared" si="7"/>
        <v>2.12261206143089E-2</v>
      </c>
      <c r="AA113" s="725">
        <f t="shared" si="7"/>
        <v>5.8683980521912846E-3</v>
      </c>
      <c r="AB113" s="725">
        <f t="shared" si="7"/>
        <v>5.8683980521912846E-3</v>
      </c>
      <c r="AC113" s="725">
        <f t="shared" si="7"/>
        <v>5.8683980521912846E-3</v>
      </c>
      <c r="AD113" s="725">
        <f t="shared" si="7"/>
        <v>5.8683980521912846E-3</v>
      </c>
      <c r="AE113" s="55">
        <f t="shared" si="7"/>
        <v>2.3473592208765139E-2</v>
      </c>
      <c r="AF113" s="725">
        <f t="shared" si="7"/>
        <v>6.1181171182419771E-3</v>
      </c>
      <c r="AG113" s="725">
        <f t="shared" si="7"/>
        <v>6.1181171182419771E-3</v>
      </c>
      <c r="AH113" s="725">
        <f t="shared" si="7"/>
        <v>6.1181171182419771E-3</v>
      </c>
      <c r="AI113" s="725">
        <f t="shared" si="7"/>
        <v>6.1181171182419771E-3</v>
      </c>
      <c r="AJ113" s="55">
        <f t="shared" si="7"/>
        <v>2.4472468472967909E-2</v>
      </c>
      <c r="AK113" s="726"/>
      <c r="AL113" s="726"/>
      <c r="AM113" s="726"/>
      <c r="AN113" s="726"/>
      <c r="AO113" s="55">
        <f>AO112/$J$17</f>
        <v>2.4472468472967909E-2</v>
      </c>
      <c r="AP113" s="726"/>
      <c r="AQ113" s="726"/>
      <c r="AR113" s="726"/>
      <c r="AS113" s="726"/>
      <c r="AT113" s="55">
        <f>AT112/$J$17</f>
        <v>2.4472468472967909E-2</v>
      </c>
      <c r="AU113" s="726"/>
      <c r="AV113" s="726"/>
      <c r="AW113" s="726"/>
      <c r="AX113" s="726"/>
      <c r="AY113" s="55">
        <f>AY112/$J$17</f>
        <v>2.4472468472967909E-2</v>
      </c>
      <c r="AZ113" s="726"/>
      <c r="BA113" s="726"/>
      <c r="BB113" s="726"/>
      <c r="BC113" s="726"/>
      <c r="BD113" s="55">
        <f>BD112/$J$17</f>
        <v>2.4472468472967909E-2</v>
      </c>
      <c r="BE113" s="726"/>
      <c r="BF113" s="726"/>
      <c r="BG113" s="726"/>
      <c r="BH113" s="726"/>
      <c r="BI113" s="55">
        <f>BI112/$J$17</f>
        <v>2.4472468472967909E-2</v>
      </c>
      <c r="BJ113" s="726"/>
      <c r="BK113" s="726"/>
      <c r="BL113" s="726"/>
      <c r="BM113" s="726"/>
      <c r="BN113" s="55">
        <f>BN112/$J$17</f>
        <v>2.4847047072043948E-2</v>
      </c>
      <c r="BO113" s="726"/>
      <c r="BP113" s="726"/>
      <c r="BQ113" s="726"/>
      <c r="BR113" s="726"/>
      <c r="BS113" s="55">
        <f>BS112/$J$17</f>
        <v>2.5471344737170682E-2</v>
      </c>
      <c r="BT113" s="726"/>
      <c r="BU113" s="726"/>
      <c r="BV113" s="726"/>
      <c r="BW113" s="726"/>
      <c r="BX113" s="55">
        <f>BX112/$J$17</f>
        <v>2.5970782869272069E-2</v>
      </c>
      <c r="BY113" s="726"/>
      <c r="BZ113" s="726"/>
      <c r="CA113" s="726"/>
      <c r="CB113" s="726"/>
      <c r="CC113" s="55">
        <f>CC112/$J$17</f>
        <v>2.8093394930702956E-2</v>
      </c>
      <c r="CD113" s="726"/>
      <c r="CE113" s="726"/>
      <c r="CF113" s="726"/>
      <c r="CG113" s="726"/>
      <c r="CH113" s="55">
        <f>CH112/$J$17</f>
        <v>2.8967411661880382E-2</v>
      </c>
      <c r="CI113" s="726"/>
      <c r="CJ113" s="726"/>
      <c r="CK113" s="726"/>
      <c r="CL113" s="726"/>
      <c r="CM113" s="55">
        <f>CM112/$J$17</f>
        <v>2.9466849793981769E-2</v>
      </c>
    </row>
    <row r="114" spans="8:91">
      <c r="H114" s="56"/>
      <c r="L114" s="66"/>
      <c r="M114" s="66"/>
      <c r="N114" s="66"/>
      <c r="O114" s="66"/>
      <c r="P114" s="56"/>
      <c r="Q114" s="66"/>
      <c r="R114" s="66"/>
      <c r="S114" s="66"/>
      <c r="T114" s="66"/>
      <c r="U114" s="56"/>
      <c r="V114" s="66"/>
      <c r="W114" s="66"/>
      <c r="X114" s="66"/>
      <c r="Y114" s="66"/>
      <c r="AA114" s="66"/>
      <c r="AB114" s="66"/>
      <c r="AC114" s="66"/>
      <c r="AD114" s="66"/>
      <c r="AF114" s="66"/>
      <c r="AG114" s="66"/>
      <c r="AH114" s="66"/>
      <c r="AI114" s="66"/>
      <c r="AK114" s="66"/>
      <c r="AL114" s="66"/>
      <c r="AM114" s="66"/>
      <c r="AN114" s="66"/>
      <c r="AP114" s="66"/>
      <c r="AQ114" s="66"/>
      <c r="AR114" s="66"/>
      <c r="AS114" s="66"/>
      <c r="AU114" s="66"/>
      <c r="AV114" s="66"/>
      <c r="AW114" s="66"/>
      <c r="AX114" s="66"/>
      <c r="AZ114" s="66"/>
      <c r="BA114" s="66"/>
      <c r="BB114" s="66"/>
      <c r="BC114" s="66"/>
      <c r="BE114" s="66"/>
      <c r="BF114" s="66"/>
      <c r="BG114" s="66"/>
      <c r="BH114" s="66"/>
      <c r="BJ114" s="66"/>
      <c r="BK114" s="66"/>
      <c r="BL114" s="66"/>
      <c r="BM114" s="66"/>
      <c r="BO114" s="66"/>
      <c r="BP114" s="66"/>
      <c r="BQ114" s="66"/>
      <c r="BR114" s="66"/>
      <c r="BT114" s="66"/>
      <c r="BU114" s="66"/>
      <c r="BV114" s="66"/>
      <c r="BW114" s="66"/>
      <c r="BY114" s="66"/>
      <c r="BZ114" s="66"/>
      <c r="CA114" s="66"/>
      <c r="CB114" s="66"/>
      <c r="CD114" s="66"/>
      <c r="CE114" s="66"/>
      <c r="CF114" s="66"/>
      <c r="CG114" s="66"/>
      <c r="CI114" s="66"/>
      <c r="CJ114" s="66"/>
      <c r="CK114" s="66"/>
      <c r="CL114" s="66"/>
    </row>
    <row r="115" spans="8:91">
      <c r="H115" s="15" t="s">
        <v>621</v>
      </c>
      <c r="L115" s="66"/>
      <c r="M115" s="66"/>
      <c r="N115" s="66"/>
      <c r="O115" s="66"/>
      <c r="Q115" s="66"/>
      <c r="R115" s="66"/>
      <c r="S115" s="66"/>
      <c r="T115" s="66"/>
      <c r="V115" s="66"/>
      <c r="W115" s="66"/>
      <c r="X115" s="66"/>
      <c r="Y115" s="66"/>
      <c r="AA115" s="66"/>
      <c r="AB115" s="66"/>
      <c r="AC115" s="66"/>
      <c r="AD115" s="66"/>
      <c r="AF115" s="66"/>
      <c r="AG115" s="66"/>
      <c r="AH115" s="66"/>
      <c r="AI115" s="66"/>
      <c r="AK115" s="66"/>
      <c r="AL115" s="66"/>
      <c r="AM115" s="66"/>
      <c r="AN115" s="66"/>
      <c r="AP115" s="66"/>
      <c r="AQ115" s="66"/>
      <c r="AR115" s="66"/>
      <c r="AS115" s="66"/>
      <c r="AU115" s="66"/>
      <c r="AV115" s="66"/>
      <c r="AW115" s="66"/>
      <c r="AX115" s="66"/>
      <c r="AZ115" s="66"/>
      <c r="BA115" s="66"/>
      <c r="BB115" s="66"/>
      <c r="BC115" s="66"/>
      <c r="BE115" s="66"/>
      <c r="BF115" s="66"/>
      <c r="BG115" s="66"/>
      <c r="BH115" s="66"/>
      <c r="BJ115" s="66"/>
      <c r="BK115" s="66"/>
      <c r="BL115" s="66"/>
      <c r="BM115" s="66"/>
      <c r="BO115" s="66"/>
      <c r="BP115" s="66"/>
      <c r="BQ115" s="66"/>
      <c r="BR115" s="66"/>
      <c r="BT115" s="66"/>
      <c r="BU115" s="66"/>
      <c r="BV115" s="66"/>
      <c r="BW115" s="66"/>
      <c r="BY115" s="66"/>
      <c r="BZ115" s="66"/>
      <c r="CA115" s="66"/>
      <c r="CB115" s="66"/>
      <c r="CD115" s="66"/>
      <c r="CE115" s="66"/>
      <c r="CF115" s="66"/>
      <c r="CG115" s="66"/>
      <c r="CI115" s="66"/>
      <c r="CJ115" s="66"/>
      <c r="CK115" s="66"/>
      <c r="CL115" s="66"/>
    </row>
    <row r="116" spans="8:91">
      <c r="H116" s="27" t="s">
        <v>622</v>
      </c>
      <c r="L116" s="74">
        <f>'IS-ANNUAL'!L56</f>
        <v>0.24561102533310458</v>
      </c>
      <c r="M116" s="74">
        <f>'IS-ANNUAL'!M56</f>
        <v>0.23756032390871665</v>
      </c>
      <c r="N116" s="74">
        <f>'IS-ANNUAL'!N56</f>
        <v>0.23484490850018053</v>
      </c>
      <c r="O116" s="74">
        <f>'IS-ANNUAL'!O56</f>
        <v>0.23154855507720865</v>
      </c>
      <c r="P116" s="57">
        <f>'IS-ANNUAL'!P56</f>
        <v>0.2372228633076823</v>
      </c>
      <c r="Q116" s="74">
        <f>'IS-ANNUAL'!Q56</f>
        <v>0.21710455475395712</v>
      </c>
      <c r="R116" s="74">
        <f>'IS-ANNUAL'!R56</f>
        <v>0.22254402523855085</v>
      </c>
      <c r="S116" s="74">
        <f>'IS-ANNUAL'!S56</f>
        <v>0.2226679261396721</v>
      </c>
      <c r="T116" s="74">
        <f>'IS-ANNUAL'!T56</f>
        <v>0.24003015099050715</v>
      </c>
      <c r="U116" s="57">
        <f>'IS-ANNUAL'!U56</f>
        <v>0.22601768501553413</v>
      </c>
      <c r="V116" s="74">
        <f>'IS-ANNUAL'!V56</f>
        <v>0.21828119823955328</v>
      </c>
      <c r="W116" s="74">
        <f>'IS-ANNUAL'!W56</f>
        <v>0.21570321103889095</v>
      </c>
      <c r="X116" s="74">
        <f>'IS-ANNUAL'!X56</f>
        <v>0.22992064184180688</v>
      </c>
      <c r="Y116" s="74">
        <f>'IS-ANNUAL'!Y56</f>
        <v>0.2452502986627616</v>
      </c>
      <c r="Z116" s="57">
        <f>'IS-ANNUAL'!Z56</f>
        <v>0.22801697998787149</v>
      </c>
      <c r="AA116" s="74">
        <f>'IS-ANNUAL'!AA56</f>
        <v>0.23520667888413763</v>
      </c>
      <c r="AB116" s="74">
        <f>'IS-ANNUAL'!AB56</f>
        <v>0.22534755284707675</v>
      </c>
      <c r="AC116" s="74">
        <f>'IS-ANNUAL'!AC56</f>
        <v>0.22589334488669541</v>
      </c>
      <c r="AD116" s="74">
        <f>'IS-ANNUAL'!AD56</f>
        <v>0.17692000684189518</v>
      </c>
      <c r="AE116" s="57">
        <f>'IS-ANNUAL'!AE56</f>
        <v>0.21553221045320362</v>
      </c>
      <c r="AF116" s="74">
        <f>'IS-ANNUAL'!AF56</f>
        <v>0.16177548796195382</v>
      </c>
      <c r="AG116" s="74">
        <f>'IS-ANNUAL'!AG56</f>
        <v>0.17900430978288595</v>
      </c>
      <c r="AH116" s="74">
        <f>'IS-ANNUAL'!AH56</f>
        <v>0.18911581748229117</v>
      </c>
      <c r="AI116" s="74">
        <f>'IS-ANNUAL'!AI56</f>
        <v>0.24117478558309602</v>
      </c>
      <c r="AJ116" s="57">
        <f>'IS-ANNUAL'!AJ56</f>
        <v>0.19449523974389094</v>
      </c>
      <c r="AK116" s="74"/>
      <c r="AL116" s="74"/>
      <c r="AM116" s="74"/>
      <c r="AN116" s="74"/>
      <c r="AO116" s="57">
        <f>'IS-ANNUAL'!AO56</f>
        <v>0.18920891243226751</v>
      </c>
      <c r="AP116" s="74"/>
      <c r="AQ116" s="74"/>
      <c r="AR116" s="74"/>
      <c r="AS116" s="74"/>
      <c r="AT116" s="57">
        <f>'IS-ANNUAL'!AT56</f>
        <v>0.20867062495367814</v>
      </c>
      <c r="AU116" s="74"/>
      <c r="AV116" s="74"/>
      <c r="AW116" s="74"/>
      <c r="AX116" s="74"/>
      <c r="AY116" s="57">
        <f>'IS-ANNUAL'!AY56</f>
        <v>0.2122035278034623</v>
      </c>
      <c r="AZ116" s="74"/>
      <c r="BA116" s="74"/>
      <c r="BB116" s="74"/>
      <c r="BC116" s="74"/>
      <c r="BD116" s="57">
        <f>'IS-ANNUAL'!BD56</f>
        <v>0.21235419334740921</v>
      </c>
      <c r="BE116" s="74"/>
      <c r="BF116" s="74"/>
      <c r="BG116" s="74"/>
      <c r="BH116" s="74"/>
      <c r="BI116" s="57">
        <f>'IS-ANNUAL'!BI56</f>
        <v>0.23182568975713208</v>
      </c>
      <c r="BJ116" s="74"/>
      <c r="BK116" s="74"/>
      <c r="BL116" s="74"/>
      <c r="BM116" s="74"/>
      <c r="BN116" s="57">
        <f>'IS-ANNUAL'!BN56</f>
        <v>0.21882687750204174</v>
      </c>
      <c r="BO116" s="74"/>
      <c r="BP116" s="74"/>
      <c r="BQ116" s="74"/>
      <c r="BR116" s="74"/>
      <c r="BS116" s="57">
        <f>'IS-ANNUAL'!BS56</f>
        <v>0.23475497637928916</v>
      </c>
      <c r="BT116" s="74"/>
      <c r="BU116" s="74"/>
      <c r="BV116" s="74"/>
      <c r="BW116" s="74"/>
      <c r="BX116" s="57">
        <f>'IS-ANNUAL'!BX56</f>
        <v>0.23430805015827491</v>
      </c>
      <c r="BY116" s="74"/>
      <c r="BZ116" s="74"/>
      <c r="CA116" s="74"/>
      <c r="CB116" s="74"/>
      <c r="CC116" s="57">
        <f>'IS-ANNUAL'!CC56</f>
        <v>0.2503057431668082</v>
      </c>
      <c r="CD116" s="74"/>
      <c r="CE116" s="74"/>
      <c r="CF116" s="74"/>
      <c r="CG116" s="74"/>
      <c r="CH116" s="57">
        <f>'IS-ANNUAL'!CD56</f>
        <v>0.24299999999999999</v>
      </c>
      <c r="CI116" s="74"/>
      <c r="CJ116" s="74"/>
      <c r="CK116" s="74"/>
      <c r="CL116" s="74"/>
      <c r="CM116" s="57">
        <f>'IS-ANNUAL'!CE56</f>
        <v>0.23499999999999999</v>
      </c>
    </row>
    <row r="117" spans="8:91">
      <c r="H117" s="27" t="s">
        <v>571</v>
      </c>
      <c r="L117" s="74">
        <f>'IS-ANNUAL'!L59</f>
        <v>0.20077772059244012</v>
      </c>
      <c r="M117" s="74">
        <f>'IS-ANNUAL'!M59</f>
        <v>0.20786869155056303</v>
      </c>
      <c r="N117" s="74">
        <f>'IS-ANNUAL'!N59</f>
        <v>0.20854738829802005</v>
      </c>
      <c r="O117" s="74">
        <f>'IS-ANNUAL'!O59</f>
        <v>0.20878554303833363</v>
      </c>
      <c r="P117" s="57">
        <f>'IS-ANNUAL'!P59</f>
        <v>0.20658504776276346</v>
      </c>
      <c r="Q117" s="74">
        <f>'IS-ANNUAL'!Q59</f>
        <v>0.19941854204802409</v>
      </c>
      <c r="R117" s="74">
        <f>'IS-ANNUAL'!R59</f>
        <v>0.2003568565591787</v>
      </c>
      <c r="S117" s="74">
        <f>'IS-ANNUAL'!S59</f>
        <v>0.19557200346786402</v>
      </c>
      <c r="T117" s="74">
        <f>'IS-ANNUAL'!T59</f>
        <v>0.20210585824323368</v>
      </c>
      <c r="U117" s="57">
        <f>'IS-ANNUAL'!U59</f>
        <v>0.19942961841790807</v>
      </c>
      <c r="V117" s="74">
        <f>'IS-ANNUAL'!V59</f>
        <v>0.19738772419667788</v>
      </c>
      <c r="W117" s="74">
        <f>'IS-ANNUAL'!W59</f>
        <v>0.18449977326221687</v>
      </c>
      <c r="X117" s="74">
        <f>'IS-ANNUAL'!X59</f>
        <v>0.18411528734629806</v>
      </c>
      <c r="Y117" s="74">
        <f>'IS-ANNUAL'!Y59</f>
        <v>0.18374503834444492</v>
      </c>
      <c r="Z117" s="57">
        <f>'IS-ANNUAL'!Z59</f>
        <v>0.18711796368944442</v>
      </c>
      <c r="AA117" s="74">
        <f>'IS-ANNUAL'!AA59</f>
        <v>0.18592954591732846</v>
      </c>
      <c r="AB117" s="74">
        <f>'IS-ANNUAL'!AB59</f>
        <v>0.18935440868406017</v>
      </c>
      <c r="AC117" s="74">
        <f>'IS-ANNUAL'!AC59</f>
        <v>0.18769190197223423</v>
      </c>
      <c r="AD117" s="74">
        <f>'IS-ANNUAL'!AD59</f>
        <v>0.20934298800767809</v>
      </c>
      <c r="AE117" s="57">
        <f>'IS-ANNUAL'!AE59</f>
        <v>0.19319036869826936</v>
      </c>
      <c r="AF117" s="74">
        <f>'IS-ANNUAL'!AF59</f>
        <v>0.18771425740612305</v>
      </c>
      <c r="AG117" s="74">
        <f>'IS-ANNUAL'!AG59</f>
        <v>0.19657598047088301</v>
      </c>
      <c r="AH117" s="74">
        <f>'IS-ANNUAL'!AH59</f>
        <v>0.20173672287943614</v>
      </c>
      <c r="AI117" s="74">
        <f>'IS-ANNUAL'!AI59</f>
        <v>0.20501457529445466</v>
      </c>
      <c r="AJ117" s="57">
        <f>'IS-ANNUAL'!AJ59</f>
        <v>0.19813601477559314</v>
      </c>
      <c r="AK117" s="74"/>
      <c r="AL117" s="74"/>
      <c r="AM117" s="74"/>
      <c r="AN117" s="74"/>
      <c r="AO117" s="57">
        <f>'IS-ANNUAL'!AO59</f>
        <v>0.21165639918045007</v>
      </c>
      <c r="AP117" s="74"/>
      <c r="AQ117" s="74"/>
      <c r="AR117" s="74"/>
      <c r="AS117" s="74"/>
      <c r="AT117" s="57">
        <f>'IS-ANNUAL'!AT59</f>
        <v>0.20673128391788062</v>
      </c>
      <c r="AU117" s="74"/>
      <c r="AV117" s="74"/>
      <c r="AW117" s="74"/>
      <c r="AX117" s="74"/>
      <c r="AY117" s="57">
        <f>'IS-ANNUAL'!AY59</f>
        <v>0.23350976698092754</v>
      </c>
      <c r="AZ117" s="74"/>
      <c r="BA117" s="74"/>
      <c r="BB117" s="74"/>
      <c r="BC117" s="74"/>
      <c r="BD117" s="57">
        <f>'IS-ANNUAL'!BD59</f>
        <v>0.23931760755944756</v>
      </c>
      <c r="BE117" s="74"/>
      <c r="BF117" s="74"/>
      <c r="BG117" s="74"/>
      <c r="BH117" s="74"/>
      <c r="BI117" s="57">
        <f>'IS-ANNUAL'!BI59</f>
        <v>0.24125186076388183</v>
      </c>
      <c r="BJ117" s="74"/>
      <c r="BK117" s="74"/>
      <c r="BL117" s="74"/>
      <c r="BM117" s="74"/>
      <c r="BN117" s="57">
        <f>'IS-ANNUAL'!BN59</f>
        <v>0.24161393277117252</v>
      </c>
      <c r="BO117" s="74"/>
      <c r="BP117" s="74"/>
      <c r="BQ117" s="74"/>
      <c r="BR117" s="74"/>
      <c r="BS117" s="57">
        <f>'IS-ANNUAL'!BS59</f>
        <v>0.2472018179932296</v>
      </c>
      <c r="BT117" s="74"/>
      <c r="BU117" s="74"/>
      <c r="BV117" s="74"/>
      <c r="BW117" s="74"/>
      <c r="BX117" s="57">
        <f>'IS-ANNUAL'!BX59</f>
        <v>0.23091082390388082</v>
      </c>
      <c r="BY117" s="74"/>
      <c r="BZ117" s="74"/>
      <c r="CA117" s="74"/>
      <c r="CB117" s="74"/>
      <c r="CC117" s="57">
        <f>'IS-ANNUAL'!CC59</f>
        <v>0.2189113224986127</v>
      </c>
      <c r="CD117" s="74"/>
      <c r="CE117" s="74"/>
      <c r="CF117" s="74"/>
      <c r="CG117" s="74"/>
      <c r="CH117" s="57">
        <f>'IS-ANNUAL'!CD59</f>
        <v>0.21384016806800568</v>
      </c>
      <c r="CI117" s="74"/>
      <c r="CJ117" s="74"/>
      <c r="CK117" s="74"/>
      <c r="CL117" s="74"/>
      <c r="CM117" s="57">
        <f>'IS-ANNUAL'!CE59</f>
        <v>0.2081738345519917</v>
      </c>
    </row>
    <row r="118" spans="8:91">
      <c r="H118" s="27" t="s">
        <v>572</v>
      </c>
      <c r="L118" s="74">
        <f>'IS-ANNUAL'!L58</f>
        <v>0.3117744610281924</v>
      </c>
      <c r="M118" s="74">
        <f>'IS-ANNUAL'!M58</f>
        <v>0.31248466341303816</v>
      </c>
      <c r="N118" s="74">
        <f>'IS-ANNUAL'!N58</f>
        <v>0.29738135569687041</v>
      </c>
      <c r="O118" s="74">
        <f>'IS-ANNUAL'!O58</f>
        <v>0.30666907272305433</v>
      </c>
      <c r="P118" s="57">
        <f>'IS-ANNUAL'!P58</f>
        <v>0.30706096836527758</v>
      </c>
      <c r="Q118" s="74">
        <f>'IS-ANNUAL'!Q58</f>
        <v>0.30766124690427482</v>
      </c>
      <c r="R118" s="74">
        <f>'IS-ANNUAL'!R58</f>
        <v>0.32011067725168735</v>
      </c>
      <c r="S118" s="74">
        <f>'IS-ANNUAL'!S58</f>
        <v>0.31008915516103569</v>
      </c>
      <c r="T118" s="74">
        <f>'IS-ANNUAL'!T58</f>
        <v>0.30876498716227357</v>
      </c>
      <c r="U118" s="57">
        <f>'IS-ANNUAL'!U58</f>
        <v>0.31162590615789054</v>
      </c>
      <c r="V118" s="74">
        <f>'IS-ANNUAL'!V58</f>
        <v>0.31631252661965831</v>
      </c>
      <c r="W118" s="74">
        <f>'IS-ANNUAL'!W58</f>
        <v>0.32924485521172991</v>
      </c>
      <c r="X118" s="74">
        <f>'IS-ANNUAL'!X58</f>
        <v>0.32218540158716313</v>
      </c>
      <c r="Y118" s="74">
        <f>'IS-ANNUAL'!Y58</f>
        <v>0.33831746888126712</v>
      </c>
      <c r="Z118" s="57">
        <f>'IS-ANNUAL'!Z58</f>
        <v>0.32710089783564195</v>
      </c>
      <c r="AA118" s="74">
        <f>'IS-ANNUAL'!AA58</f>
        <v>0.32070861331704337</v>
      </c>
      <c r="AB118" s="74">
        <f>'IS-ANNUAL'!AB58</f>
        <v>0.33128927823271759</v>
      </c>
      <c r="AC118" s="74">
        <f>'IS-ANNUAL'!AC58</f>
        <v>0.3151807410477141</v>
      </c>
      <c r="AD118" s="74">
        <f>'IS-ANNUAL'!AD58</f>
        <v>0.33078662789592711</v>
      </c>
      <c r="AE118" s="57">
        <f>'IS-ANNUAL'!AE58</f>
        <v>0.32453068626883524</v>
      </c>
      <c r="AF118" s="74">
        <f>'IS-ANNUAL'!AF58</f>
        <v>0.30302189636381649</v>
      </c>
      <c r="AG118" s="74">
        <f>'IS-ANNUAL'!AG58</f>
        <v>0.32275191257243596</v>
      </c>
      <c r="AH118" s="74">
        <f>'IS-ANNUAL'!AH58</f>
        <v>0.30595807414332454</v>
      </c>
      <c r="AI118" s="74">
        <f>'IS-ANNUAL'!AI58</f>
        <v>0.32913205385276423</v>
      </c>
      <c r="AJ118" s="57">
        <f>'IS-ANNUAL'!AJ58</f>
        <v>0.31564832586173019</v>
      </c>
      <c r="AK118" s="74"/>
      <c r="AL118" s="74"/>
      <c r="AM118" s="74"/>
      <c r="AN118" s="74"/>
      <c r="AO118" s="57">
        <f>'IS-ANNUAL'!AO58</f>
        <v>0.30565850005720208</v>
      </c>
      <c r="AP118" s="74"/>
      <c r="AQ118" s="74"/>
      <c r="AR118" s="74"/>
      <c r="AS118" s="74"/>
      <c r="AT118" s="57">
        <f>'IS-ANNUAL'!AT58</f>
        <v>0.32445463753674864</v>
      </c>
      <c r="AU118" s="74"/>
      <c r="AV118" s="74"/>
      <c r="AW118" s="74"/>
      <c r="AX118" s="74"/>
      <c r="AY118" s="57">
        <f>'IS-ANNUAL'!AY58</f>
        <v>0.33240721487570396</v>
      </c>
      <c r="AZ118" s="74"/>
      <c r="BA118" s="74"/>
      <c r="BB118" s="74"/>
      <c r="BC118" s="74"/>
      <c r="BD118" s="57">
        <f>'IS-ANNUAL'!BD58</f>
        <v>0.30829670139489807</v>
      </c>
      <c r="BE118" s="74"/>
      <c r="BF118" s="74"/>
      <c r="BG118" s="74"/>
      <c r="BH118" s="74"/>
      <c r="BI118" s="57">
        <f>'IS-ANNUAL'!BI58</f>
        <v>0.32413487224454013</v>
      </c>
      <c r="BJ118" s="74"/>
      <c r="BK118" s="74"/>
      <c r="BL118" s="74"/>
      <c r="BM118" s="74"/>
      <c r="BN118" s="57">
        <f>'IS-ANNUAL'!BN58</f>
        <v>0.3218496194641936</v>
      </c>
      <c r="BO118" s="74"/>
      <c r="BP118" s="74"/>
      <c r="BQ118" s="74"/>
      <c r="BR118" s="74"/>
      <c r="BS118" s="57">
        <f>'IS-ANNUAL'!BS58</f>
        <v>0.30386795032578662</v>
      </c>
      <c r="BT118" s="74"/>
      <c r="BU118" s="74"/>
      <c r="BV118" s="74"/>
      <c r="BW118" s="74"/>
      <c r="BX118" s="57">
        <f>'IS-ANNUAL'!BX58</f>
        <v>0.28779359555081413</v>
      </c>
      <c r="BY118" s="74"/>
      <c r="BZ118" s="74"/>
      <c r="CA118" s="74"/>
      <c r="CB118" s="74"/>
      <c r="CC118" s="57">
        <f>'IS-ANNUAL'!CC58</f>
        <v>0.26517234645635468</v>
      </c>
      <c r="CD118" s="74"/>
      <c r="CE118" s="74"/>
      <c r="CF118" s="74"/>
      <c r="CG118" s="74"/>
      <c r="CH118" s="57">
        <f>'IS-ANNUAL'!CD58</f>
        <v>0.25643924444446187</v>
      </c>
      <c r="CI118" s="74"/>
      <c r="CJ118" s="74"/>
      <c r="CK118" s="74"/>
      <c r="CL118" s="74"/>
      <c r="CM118" s="57">
        <f>'IS-ANNUAL'!CE58</f>
        <v>0.2496441212515412</v>
      </c>
    </row>
    <row r="119" spans="8:91">
      <c r="H119" s="27" t="s">
        <v>573</v>
      </c>
      <c r="L119" s="74">
        <f>'IS-ANNUAL'!L46</f>
        <v>0.22</v>
      </c>
      <c r="M119" s="74">
        <f>'IS-ANNUAL'!M46</f>
        <v>0.22</v>
      </c>
      <c r="N119" s="74">
        <f>'IS-ANNUAL'!N46</f>
        <v>0.22009428403064241</v>
      </c>
      <c r="O119" s="74">
        <f>'IS-ANNUAL'!O46</f>
        <v>0.18292682926829273</v>
      </c>
      <c r="P119" s="57">
        <f>'IS-ANNUAL'!P46</f>
        <v>0.21005011537616067</v>
      </c>
      <c r="Q119" s="74">
        <f>'IS-ANNUAL'!Q46</f>
        <v>0.21007289595758777</v>
      </c>
      <c r="R119" s="74">
        <f>'IS-ANNUAL'!R46</f>
        <v>0.20993466564181401</v>
      </c>
      <c r="S119" s="74">
        <f>'IS-ANNUAL'!S46</f>
        <v>0.20999321727334389</v>
      </c>
      <c r="T119" s="74">
        <f>'IS-ANNUAL'!T46</f>
        <v>0.19875883468367517</v>
      </c>
      <c r="U119" s="57">
        <f>'IS-ANNUAL'!U46</f>
        <v>0.20701115045667598</v>
      </c>
      <c r="V119" s="74">
        <f>'IS-ANNUAL'!V46</f>
        <v>0.22003929273084485</v>
      </c>
      <c r="W119" s="74">
        <f>'IS-ANNUAL'!W46</f>
        <v>0.22001753127739279</v>
      </c>
      <c r="X119" s="74">
        <f>'IS-ANNUAL'!X46</f>
        <v>0.20895167050234101</v>
      </c>
      <c r="Y119" s="74">
        <f>'IS-ANNUAL'!Y46</f>
        <v>0.20424467398321516</v>
      </c>
      <c r="Z119" s="57">
        <f>'IS-ANNUAL'!Z46</f>
        <v>0.21322260350463976</v>
      </c>
      <c r="AA119" s="74">
        <f>'IS-ANNUAL'!AA46</f>
        <v>0.21276073619631899</v>
      </c>
      <c r="AB119" s="74">
        <f>'IS-ANNUAL'!AB46</f>
        <v>0.21098087600246765</v>
      </c>
      <c r="AC119" s="74">
        <f>'IS-ANNUAL'!AC46</f>
        <v>0.21135230272807257</v>
      </c>
      <c r="AD119" s="74">
        <f>'IS-ANNUAL'!AD46</f>
        <v>0.19093874592243548</v>
      </c>
      <c r="AE119" s="57">
        <f>'IS-ANNUAL'!AE46</f>
        <v>0.20623669808452411</v>
      </c>
      <c r="AF119" s="74">
        <f>'IS-ANNUAL'!AF46</f>
        <v>0.22003684116703304</v>
      </c>
      <c r="AG119" s="74">
        <f>'IS-ANNUAL'!AG46</f>
        <v>0.22003039726297444</v>
      </c>
      <c r="AH119" s="74">
        <f>'IS-ANNUAL'!AH46</f>
        <v>0.18987341772151889</v>
      </c>
      <c r="AI119" s="74">
        <f>'IS-ANNUAL'!AI46</f>
        <v>0.20993994943109995</v>
      </c>
      <c r="AJ119" s="57">
        <f>'IS-ANNUAL'!AJ46</f>
        <v>0.20999884374424921</v>
      </c>
      <c r="AK119" s="74"/>
      <c r="AL119" s="74"/>
      <c r="AM119" s="74"/>
      <c r="AN119" s="74"/>
      <c r="AO119" s="57">
        <f>'IS-ANNUAL'!AO46</f>
        <v>0.22555591020321306</v>
      </c>
      <c r="AP119" s="74"/>
      <c r="AQ119" s="74"/>
      <c r="AR119" s="74"/>
      <c r="AS119" s="74"/>
      <c r="AT119" s="57">
        <f>'IS-ANNUAL'!AT46</f>
        <v>0.19960905684964964</v>
      </c>
      <c r="AU119" s="74"/>
      <c r="AV119" s="74"/>
      <c r="AW119" s="74"/>
      <c r="AX119" s="74"/>
      <c r="AY119" s="57">
        <f>'IS-ANNUAL'!AY46</f>
        <v>0.22797527650522265</v>
      </c>
      <c r="AZ119" s="74"/>
      <c r="BA119" s="74"/>
      <c r="BB119" s="74"/>
      <c r="BC119" s="74"/>
      <c r="BD119" s="57">
        <f>'IS-ANNUAL'!BD46</f>
        <v>0.19187622278462824</v>
      </c>
      <c r="BE119" s="74"/>
      <c r="BF119" s="74"/>
      <c r="BG119" s="74"/>
      <c r="BH119" s="74"/>
      <c r="BI119" s="57">
        <f>'IS-ANNUAL'!BI46</f>
        <v>0.21065707592929994</v>
      </c>
      <c r="BJ119" s="74"/>
      <c r="BK119" s="74"/>
      <c r="BL119" s="74"/>
      <c r="BM119" s="74"/>
      <c r="BN119" s="57">
        <f>'IS-ANNUAL'!BN46</f>
        <v>0.21056866369468322</v>
      </c>
      <c r="BO119" s="74"/>
      <c r="BP119" s="74"/>
      <c r="BQ119" s="74"/>
      <c r="BR119" s="74"/>
      <c r="BS119" s="57">
        <f>'IS-ANNUAL'!BS46</f>
        <v>0.20125273499506613</v>
      </c>
      <c r="BT119" s="74"/>
      <c r="BU119" s="74"/>
      <c r="BV119" s="74"/>
      <c r="BW119" s="74"/>
      <c r="BX119" s="57">
        <f>'IS-ANNUAL'!BX46</f>
        <v>0.20533553162381171</v>
      </c>
      <c r="BY119" s="74"/>
      <c r="BZ119" s="74"/>
      <c r="CA119" s="74"/>
      <c r="CB119" s="74"/>
      <c r="CC119" s="57">
        <f>'IS-ANNUAL'!CC46</f>
        <v>0.17090067645565152</v>
      </c>
      <c r="CD119" s="74"/>
      <c r="CE119" s="74"/>
      <c r="CF119" s="74"/>
      <c r="CG119" s="74"/>
      <c r="CH119" s="57">
        <f>'IS-ANNUAL'!CD46</f>
        <v>0.16800000000000001</v>
      </c>
      <c r="CI119" s="74"/>
      <c r="CJ119" s="74"/>
      <c r="CK119" s="74"/>
      <c r="CL119" s="74"/>
      <c r="CM119" s="57">
        <f>'IS-ANNUAL'!CE46</f>
        <v>0.16500000000000001</v>
      </c>
    </row>
    <row r="120" spans="8:91">
      <c r="H120" s="27"/>
      <c r="L120" s="66"/>
      <c r="M120" s="66"/>
      <c r="N120" s="66"/>
      <c r="O120" s="66"/>
      <c r="P120" s="57"/>
      <c r="Q120" s="66"/>
      <c r="R120" s="66"/>
      <c r="S120" s="66"/>
      <c r="T120" s="66"/>
      <c r="U120" s="57"/>
      <c r="V120" s="66"/>
      <c r="W120" s="66"/>
      <c r="X120" s="66"/>
      <c r="Y120" s="66"/>
      <c r="AA120" s="66"/>
      <c r="AB120" s="66"/>
      <c r="AC120" s="66"/>
      <c r="AD120" s="66"/>
      <c r="AF120" s="66"/>
      <c r="AG120" s="66"/>
      <c r="AH120" s="66"/>
      <c r="AI120" s="66"/>
      <c r="AK120" s="66"/>
      <c r="AL120" s="66"/>
      <c r="AM120" s="66"/>
      <c r="AN120" s="66"/>
      <c r="AP120" s="66"/>
      <c r="AQ120" s="66"/>
      <c r="AR120" s="66"/>
      <c r="AS120" s="66"/>
      <c r="AU120" s="66"/>
      <c r="AV120" s="66"/>
      <c r="AW120" s="66"/>
      <c r="AX120" s="66"/>
      <c r="AZ120" s="66"/>
      <c r="BA120" s="66"/>
      <c r="BB120" s="66"/>
      <c r="BC120" s="66"/>
      <c r="BE120" s="66"/>
      <c r="BF120" s="66"/>
      <c r="BG120" s="66"/>
      <c r="BH120" s="66"/>
      <c r="BJ120" s="66"/>
      <c r="BK120" s="66"/>
      <c r="BL120" s="66"/>
      <c r="BM120" s="66"/>
      <c r="BO120" s="66"/>
      <c r="BP120" s="66"/>
      <c r="BQ120" s="66"/>
      <c r="BR120" s="66"/>
      <c r="BT120" s="66"/>
      <c r="BU120" s="66"/>
      <c r="BV120" s="66"/>
      <c r="BW120" s="66"/>
      <c r="BY120" s="66"/>
      <c r="BZ120" s="66"/>
      <c r="CA120" s="66"/>
      <c r="CB120" s="66"/>
      <c r="CD120" s="66"/>
      <c r="CE120" s="66"/>
      <c r="CF120" s="66"/>
      <c r="CG120" s="66"/>
      <c r="CI120" s="66"/>
      <c r="CJ120" s="66"/>
      <c r="CK120" s="66"/>
      <c r="CL120" s="66"/>
    </row>
    <row r="121" spans="8:91">
      <c r="H121" s="58" t="s">
        <v>574</v>
      </c>
      <c r="L121" s="724">
        <f>CFBS!L151</f>
        <v>707.49199999999996</v>
      </c>
      <c r="M121" s="724">
        <f>CFBS!M151</f>
        <v>214.80953999999997</v>
      </c>
      <c r="N121" s="724">
        <f>CFBS!N151</f>
        <v>-675.158014142605</v>
      </c>
      <c r="O121" s="724">
        <f>CFBS!O151</f>
        <v>479.1756097560974</v>
      </c>
      <c r="P121" s="45">
        <f>CFBS!P151</f>
        <v>726.32668903854051</v>
      </c>
      <c r="Q121" s="724">
        <f>CFBS!Q151</f>
        <v>68.759310801855435</v>
      </c>
      <c r="R121" s="724">
        <f>CFBS!R151</f>
        <v>419.16692928516534</v>
      </c>
      <c r="S121" s="724">
        <f>CFBS!S151</f>
        <v>856.05962016730757</v>
      </c>
      <c r="T121" s="724">
        <f>CFBS!T151</f>
        <v>1430.612532322014</v>
      </c>
      <c r="U121" s="45">
        <f>CFBS!U151</f>
        <v>2775.0444471184155</v>
      </c>
      <c r="V121" s="724">
        <f>CFBS!V151</f>
        <v>622.76149312377208</v>
      </c>
      <c r="W121" s="724">
        <f>CFBS!W151</f>
        <v>340.74003506255474</v>
      </c>
      <c r="X121" s="724">
        <f>CFBS!X151</f>
        <v>1174.6893738592173</v>
      </c>
      <c r="Y121" s="724">
        <f>CFBS!Y151</f>
        <v>1870.1541316978696</v>
      </c>
      <c r="Z121" s="45">
        <f>CFBS!Z151</f>
        <v>4008.5705131068648</v>
      </c>
      <c r="AA121" s="724">
        <f>CFBS!AA151</f>
        <v>1554.061938650307</v>
      </c>
      <c r="AB121" s="724">
        <f>CFBS!AB151</f>
        <v>843.69370758790865</v>
      </c>
      <c r="AC121" s="724">
        <f>CFBS!AC151</f>
        <v>1970.873819301848</v>
      </c>
      <c r="AD121" s="724">
        <f>CFBS!AD151</f>
        <v>2218.9303950706776</v>
      </c>
      <c r="AE121" s="45">
        <f>CFBS!AE151</f>
        <v>6586.7491885831569</v>
      </c>
      <c r="AF121" s="724">
        <f>CFBS!AF151</f>
        <v>-13.95660467050925</v>
      </c>
      <c r="AG121" s="724">
        <f>CFBS!AG151</f>
        <v>765.19726742596208</v>
      </c>
      <c r="AH121" s="724">
        <f>CFBS!AH151</f>
        <v>1185.5974683544307</v>
      </c>
      <c r="AI121" s="724">
        <f>CFBS!AI151</f>
        <v>1833.0660714285714</v>
      </c>
      <c r="AJ121" s="45">
        <f>CFBS!AJ151</f>
        <v>3769.5052653606963</v>
      </c>
      <c r="AK121" s="724"/>
      <c r="AL121" s="724"/>
      <c r="AM121" s="724"/>
      <c r="AN121" s="724"/>
      <c r="AO121" s="45">
        <f>CFBS!AO151</f>
        <v>6330.7593786573043</v>
      </c>
      <c r="AP121" s="724"/>
      <c r="AQ121" s="724"/>
      <c r="AR121" s="724"/>
      <c r="AS121" s="724"/>
      <c r="AT121" s="45">
        <f>CFBS!AT151</f>
        <v>6736.5926763316502</v>
      </c>
      <c r="AU121" s="724"/>
      <c r="AV121" s="724"/>
      <c r="AW121" s="724"/>
      <c r="AX121" s="724"/>
      <c r="AY121" s="45">
        <f>CFBS!AY151</f>
        <v>4558.7431983097213</v>
      </c>
      <c r="AZ121" s="724"/>
      <c r="BA121" s="724"/>
      <c r="BB121" s="724"/>
      <c r="BC121" s="724"/>
      <c r="BD121" s="45">
        <f>CFBS!BD151</f>
        <v>5031.6806167321811</v>
      </c>
      <c r="BE121" s="724"/>
      <c r="BF121" s="724"/>
      <c r="BG121" s="724"/>
      <c r="BH121" s="724"/>
      <c r="BI121" s="45">
        <f>CFBS!BI151</f>
        <v>3337.2542271017201</v>
      </c>
      <c r="BJ121" s="724"/>
      <c r="BK121" s="724"/>
      <c r="BL121" s="724"/>
      <c r="BM121" s="724"/>
      <c r="BN121" s="45">
        <f>CFBS!BN151</f>
        <v>1935.2979623790375</v>
      </c>
      <c r="BO121" s="724"/>
      <c r="BP121" s="724"/>
      <c r="BQ121" s="724"/>
      <c r="BR121" s="724"/>
      <c r="BS121" s="45">
        <f>CFBS!BS151</f>
        <v>4035.3279934789139</v>
      </c>
      <c r="BT121" s="724"/>
      <c r="BU121" s="724"/>
      <c r="BV121" s="724"/>
      <c r="BW121" s="724"/>
      <c r="BX121" s="45">
        <f>CFBS!BX151</f>
        <v>4758.2995053846425</v>
      </c>
      <c r="BY121" s="724"/>
      <c r="BZ121" s="724"/>
      <c r="CA121" s="724"/>
      <c r="CB121" s="724"/>
      <c r="CC121" s="45">
        <f>CFBS!CC151</f>
        <v>6787.7291265268314</v>
      </c>
      <c r="CD121" s="724"/>
      <c r="CE121" s="724"/>
      <c r="CF121" s="724"/>
      <c r="CG121" s="724"/>
      <c r="CH121" s="45">
        <f>CFBS!CD151</f>
        <v>3293.7462155743078</v>
      </c>
      <c r="CI121" s="724"/>
      <c r="CJ121" s="724"/>
      <c r="CK121" s="724"/>
      <c r="CL121" s="724"/>
      <c r="CM121" s="45">
        <f>CFBS!CE151</f>
        <v>7793.393222835919</v>
      </c>
    </row>
    <row r="122" spans="8:91">
      <c r="H122" s="687" t="s">
        <v>624</v>
      </c>
      <c r="I122" s="56"/>
      <c r="J122" s="688"/>
      <c r="K122" s="688"/>
      <c r="L122" s="729">
        <f>L121/CFBS!L191</f>
        <v>0.64955136838838745</v>
      </c>
      <c r="M122" s="729">
        <f>M121/CFBS!M191</f>
        <v>0.19703338503548365</v>
      </c>
      <c r="N122" s="729">
        <f>N121/CFBS!N191</f>
        <v>-0.61863800841755989</v>
      </c>
      <c r="O122" s="729">
        <f>O121/CFBS!O191</f>
        <v>0.43819916741221387</v>
      </c>
      <c r="P122" s="689">
        <f>P121/CFBS!P191</f>
        <v>0.66569929107742365</v>
      </c>
      <c r="Q122" s="729">
        <f>Q121/CFBS!Q191</f>
        <v>6.3256384857557121E-2</v>
      </c>
      <c r="R122" s="729">
        <f>R121/CFBS!R191</f>
        <v>0.38621861890627135</v>
      </c>
      <c r="S122" s="729">
        <f>S121/CFBS!S191</f>
        <v>0.78796959180063142</v>
      </c>
      <c r="T122" s="729">
        <f>T121/CFBS!T191</f>
        <v>1.3135767817944719</v>
      </c>
      <c r="U122" s="689">
        <f>U121/CFBS!U191</f>
        <v>2.553048576025156</v>
      </c>
      <c r="V122" s="729">
        <f>V121/CFBS!V191</f>
        <v>0.57140425049365307</v>
      </c>
      <c r="W122" s="729">
        <f>W121/CFBS!W191</f>
        <v>0.31262102440171785</v>
      </c>
      <c r="X122" s="729">
        <f>X121/CFBS!X191</f>
        <v>1.0774712939488045</v>
      </c>
      <c r="Y122" s="729">
        <f>Y121/CFBS!Y191</f>
        <v>1.711598493640947</v>
      </c>
      <c r="Z122" s="689">
        <f>Z121/CFBS!Z191</f>
        <v>3.6753208978287151</v>
      </c>
      <c r="AA122" s="729">
        <f>AA121/CFBS!AA191</f>
        <v>1.4204592257163315</v>
      </c>
      <c r="AB122" s="729">
        <f>AB121/CFBS!AB191</f>
        <v>0.77131927717227922</v>
      </c>
      <c r="AC122" s="729">
        <f>AC121/CFBS!AC191</f>
        <v>1.8014904785469499</v>
      </c>
      <c r="AD122" s="729">
        <f>AD121/CFBS!AD191</f>
        <v>2.0236021933569024</v>
      </c>
      <c r="AE122" s="689">
        <f>AE121/CFBS!AE191</f>
        <v>6.0174433831827727</v>
      </c>
      <c r="AF122" s="729">
        <f>AF121/CFBS!AF191</f>
        <v>-1.2719551928181982E-2</v>
      </c>
      <c r="AG122" s="729">
        <f>AG121/CFBS!AG191</f>
        <v>0.69740083960540211</v>
      </c>
      <c r="AH122" s="729">
        <f>AH121/CFBS!AH191</f>
        <v>1.080074217322065</v>
      </c>
      <c r="AI122" s="729">
        <f>AI121/CFBS!AI191</f>
        <v>1.6642344764918979</v>
      </c>
      <c r="AJ122" s="689">
        <f>AJ121/CFBS!AJ191</f>
        <v>3.4318022015221143</v>
      </c>
      <c r="AK122" s="729"/>
      <c r="AL122" s="729"/>
      <c r="AM122" s="729"/>
      <c r="AN122" s="729"/>
      <c r="AO122" s="689">
        <f>AO121/CFBS!AO191</f>
        <v>5.7268980658951252</v>
      </c>
      <c r="AP122" s="729"/>
      <c r="AQ122" s="729"/>
      <c r="AR122" s="729"/>
      <c r="AS122" s="729"/>
      <c r="AT122" s="689">
        <f>AT121/CFBS!AT191</f>
        <v>6.0476083156559888</v>
      </c>
      <c r="AU122" s="729"/>
      <c r="AV122" s="729"/>
      <c r="AW122" s="729"/>
      <c r="AX122" s="729"/>
      <c r="AY122" s="689">
        <f>AY121/CFBS!AY191</f>
        <v>4.0801324424465264</v>
      </c>
      <c r="AZ122" s="729"/>
      <c r="BA122" s="729"/>
      <c r="BB122" s="729"/>
      <c r="BC122" s="729"/>
      <c r="BD122" s="689">
        <f>BD121/CFBS!BD191</f>
        <v>4.6384063746480813</v>
      </c>
      <c r="BE122" s="729"/>
      <c r="BF122" s="729"/>
      <c r="BG122" s="729"/>
      <c r="BH122" s="729"/>
      <c r="BI122" s="689">
        <f>BI121/CFBS!BI191</f>
        <v>3.1070042405950065</v>
      </c>
      <c r="BJ122" s="729"/>
      <c r="BK122" s="729"/>
      <c r="BL122" s="729"/>
      <c r="BM122" s="729"/>
      <c r="BN122" s="689">
        <f>BN121/CFBS!BN191</f>
        <v>1.8160421091550438</v>
      </c>
      <c r="BO122" s="729"/>
      <c r="BP122" s="729"/>
      <c r="BQ122" s="729"/>
      <c r="BR122" s="729"/>
      <c r="BS122" s="689">
        <f>BS121/CFBS!BS191</f>
        <v>3.8020333274876097</v>
      </c>
      <c r="BT122" s="729"/>
      <c r="BU122" s="729"/>
      <c r="BV122" s="729"/>
      <c r="BW122" s="729"/>
      <c r="BX122" s="689">
        <f>BX121/CFBS!BX191</f>
        <v>4.5033970970482429</v>
      </c>
      <c r="BY122" s="729"/>
      <c r="BZ122" s="729"/>
      <c r="CA122" s="729"/>
      <c r="CB122" s="729"/>
      <c r="CC122" s="689">
        <f>CC121/CFBS!CC191</f>
        <v>6.4695959472058222</v>
      </c>
      <c r="CD122" s="729"/>
      <c r="CE122" s="729"/>
      <c r="CF122" s="729"/>
      <c r="CG122" s="729"/>
      <c r="CH122" s="689">
        <f>CH121/CFBS!CD191</f>
        <v>3.1488185150645496</v>
      </c>
      <c r="CI122" s="729"/>
      <c r="CJ122" s="729"/>
      <c r="CK122" s="729"/>
      <c r="CL122" s="729"/>
      <c r="CM122" s="689">
        <f>CM121/CFBS!CE191</f>
        <v>7.4728958247863648</v>
      </c>
    </row>
    <row r="123" spans="8:91">
      <c r="H123" s="690" t="s">
        <v>89</v>
      </c>
      <c r="I123" s="59"/>
      <c r="J123" s="60"/>
      <c r="K123" s="60"/>
      <c r="L123" s="731">
        <f t="shared" ref="L123:AJ123" si="8">L122/$J$17</f>
        <v>8.1102680532948862E-3</v>
      </c>
      <c r="M123" s="731">
        <f t="shared" si="8"/>
        <v>2.4601496445933778E-3</v>
      </c>
      <c r="N123" s="731">
        <f t="shared" si="8"/>
        <v>-7.7242852842746897E-3</v>
      </c>
      <c r="O123" s="731">
        <f t="shared" si="8"/>
        <v>5.471334341518465E-3</v>
      </c>
      <c r="P123" s="691">
        <f t="shared" si="8"/>
        <v>8.3118902619231314E-3</v>
      </c>
      <c r="Q123" s="731">
        <f t="shared" si="8"/>
        <v>7.89816267418618E-4</v>
      </c>
      <c r="R123" s="731">
        <f t="shared" si="8"/>
        <v>4.8223076402331292E-3</v>
      </c>
      <c r="S123" s="731">
        <f t="shared" si="8"/>
        <v>9.8385515270399716E-3</v>
      </c>
      <c r="T123" s="731">
        <f t="shared" si="8"/>
        <v>1.6401258356779521E-2</v>
      </c>
      <c r="U123" s="691">
        <f t="shared" si="8"/>
        <v>3.187724529935268E-2</v>
      </c>
      <c r="V123" s="731">
        <f t="shared" si="8"/>
        <v>7.1345267885335626E-3</v>
      </c>
      <c r="W123" s="731">
        <f t="shared" si="8"/>
        <v>3.9033715120703936E-3</v>
      </c>
      <c r="X123" s="731">
        <f t="shared" si="8"/>
        <v>1.3453256261066356E-2</v>
      </c>
      <c r="Y123" s="731">
        <f t="shared" si="8"/>
        <v>2.1370938864289511E-2</v>
      </c>
      <c r="Z123" s="691">
        <f t="shared" si="8"/>
        <v>4.5889885102119055E-2</v>
      </c>
      <c r="AA123" s="731">
        <f t="shared" si="8"/>
        <v>1.7735787560448638E-2</v>
      </c>
      <c r="AB123" s="731">
        <f t="shared" si="8"/>
        <v>9.6306564761178565E-3</v>
      </c>
      <c r="AC123" s="731">
        <f t="shared" si="8"/>
        <v>2.2493325990098012E-2</v>
      </c>
      <c r="AD123" s="731">
        <f t="shared" si="8"/>
        <v>2.5266602489160971E-2</v>
      </c>
      <c r="AE123" s="691">
        <f t="shared" si="8"/>
        <v>7.5133517083066204E-2</v>
      </c>
      <c r="AF123" s="731">
        <f t="shared" si="8"/>
        <v>-1.5881573140444477E-4</v>
      </c>
      <c r="AG123" s="731">
        <f t="shared" si="8"/>
        <v>8.7077143164615064E-3</v>
      </c>
      <c r="AH123" s="731">
        <f t="shared" si="8"/>
        <v>1.3485756240754963E-2</v>
      </c>
      <c r="AI123" s="731">
        <f t="shared" si="8"/>
        <v>2.0779553957946034E-2</v>
      </c>
      <c r="AJ123" s="691">
        <f t="shared" si="8"/>
        <v>4.2849322031740716E-2</v>
      </c>
      <c r="AK123" s="730"/>
      <c r="AL123" s="730"/>
      <c r="AM123" s="730"/>
      <c r="AN123" s="730"/>
      <c r="AO123" s="691">
        <f>AO122/$J$17</f>
        <v>7.1505781819142522E-2</v>
      </c>
      <c r="AP123" s="730"/>
      <c r="AQ123" s="730"/>
      <c r="AR123" s="730"/>
      <c r="AS123" s="730"/>
      <c r="AT123" s="691">
        <f>AT122/$J$17</f>
        <v>7.5510155021300887E-2</v>
      </c>
      <c r="AU123" s="730"/>
      <c r="AV123" s="730"/>
      <c r="AW123" s="730"/>
      <c r="AX123" s="730"/>
      <c r="AY123" s="691">
        <f>AY122/$J$17</f>
        <v>5.0944343144543963E-2</v>
      </c>
      <c r="AZ123" s="730"/>
      <c r="BA123" s="730"/>
      <c r="BB123" s="730"/>
      <c r="BC123" s="730"/>
      <c r="BD123" s="691">
        <f>BD122/$J$17</f>
        <v>5.7914925392034973E-2</v>
      </c>
      <c r="BE123" s="730"/>
      <c r="BF123" s="730"/>
      <c r="BG123" s="730"/>
      <c r="BH123" s="730"/>
      <c r="BI123" s="691">
        <f>BI122/$J$17</f>
        <v>3.8793909858846377E-2</v>
      </c>
      <c r="BJ123" s="730"/>
      <c r="BK123" s="730"/>
      <c r="BL123" s="730"/>
      <c r="BM123" s="730"/>
      <c r="BN123" s="691">
        <f>BN122/$J$17</f>
        <v>2.2675016970346407E-2</v>
      </c>
      <c r="BO123" s="730"/>
      <c r="BP123" s="730"/>
      <c r="BQ123" s="730"/>
      <c r="BR123" s="730"/>
      <c r="BS123" s="691">
        <f>BS122/$J$17</f>
        <v>4.7472010581690718E-2</v>
      </c>
      <c r="BT123" s="730"/>
      <c r="BU123" s="730"/>
      <c r="BV123" s="730"/>
      <c r="BW123" s="730"/>
      <c r="BX123" s="691">
        <f>BX122/$J$17</f>
        <v>5.6229205856514454E-2</v>
      </c>
      <c r="BY123" s="730"/>
      <c r="BZ123" s="730"/>
      <c r="CA123" s="730"/>
      <c r="CB123" s="730"/>
      <c r="CC123" s="691">
        <f>CC122/$J$17</f>
        <v>8.0779072883079311E-2</v>
      </c>
      <c r="CD123" s="730"/>
      <c r="CE123" s="730"/>
      <c r="CF123" s="730"/>
      <c r="CG123" s="730"/>
      <c r="CH123" s="691">
        <f>CH122/$J$17</f>
        <v>3.931600093725246E-2</v>
      </c>
      <c r="CI123" s="730"/>
      <c r="CJ123" s="730"/>
      <c r="CK123" s="730"/>
      <c r="CL123" s="730"/>
      <c r="CM123" s="691">
        <f>CM122/$J$17</f>
        <v>9.3306228302988695E-2</v>
      </c>
    </row>
    <row r="124" spans="8:91">
      <c r="H124" s="61" t="s">
        <v>625</v>
      </c>
      <c r="J124" s="62"/>
      <c r="K124" s="62"/>
      <c r="L124" s="62"/>
      <c r="M124" s="62"/>
      <c r="N124" s="62"/>
    </row>
    <row r="155" spans="50:76">
      <c r="AX155" s="7" t="s">
        <v>132</v>
      </c>
      <c r="AY155" s="7">
        <v>2012</v>
      </c>
      <c r="BD155" s="7">
        <v>2013</v>
      </c>
      <c r="BI155" s="7">
        <v>2014</v>
      </c>
      <c r="BN155" s="7">
        <v>2015</v>
      </c>
      <c r="BS155" s="7">
        <v>2016</v>
      </c>
      <c r="BX155" s="7">
        <v>2017</v>
      </c>
    </row>
    <row r="156" spans="50:76">
      <c r="AX156" s="7" t="s">
        <v>131</v>
      </c>
      <c r="AY156" s="7" t="s">
        <v>7</v>
      </c>
      <c r="BD156" s="7" t="s">
        <v>8</v>
      </c>
      <c r="BI156" s="7" t="s">
        <v>9</v>
      </c>
      <c r="BN156" s="7" t="s">
        <v>567</v>
      </c>
      <c r="BS156" s="7" t="s">
        <v>568</v>
      </c>
      <c r="BX156" s="7" t="s">
        <v>449</v>
      </c>
    </row>
    <row r="157" spans="50:76" ht="13.5" thickBot="1">
      <c r="AX157" s="669"/>
      <c r="AY157" s="800" t="str">
        <f>AY51</f>
        <v>2012A</v>
      </c>
      <c r="AZ157" s="801"/>
      <c r="BA157" s="801"/>
      <c r="BB157" s="801"/>
      <c r="BC157" s="801"/>
      <c r="BD157" s="800" t="str">
        <f>BD51</f>
        <v>2013A</v>
      </c>
      <c r="BE157" s="801"/>
      <c r="BF157" s="801"/>
      <c r="BG157" s="801"/>
      <c r="BH157" s="801"/>
      <c r="BI157" s="800" t="str">
        <f>BI51</f>
        <v>2014A</v>
      </c>
      <c r="BJ157" s="801"/>
      <c r="BK157" s="801"/>
      <c r="BL157" s="801"/>
      <c r="BM157" s="801"/>
      <c r="BN157" s="800" t="str">
        <f>BN51</f>
        <v>2015A</v>
      </c>
      <c r="BO157" s="801"/>
      <c r="BP157" s="801"/>
      <c r="BQ157" s="801"/>
      <c r="BR157" s="801"/>
      <c r="BS157" s="800" t="str">
        <f>BS51</f>
        <v>2016A</v>
      </c>
      <c r="BT157" s="801"/>
      <c r="BU157" s="801"/>
      <c r="BV157" s="801"/>
      <c r="BW157" s="801"/>
      <c r="BX157" s="800" t="str">
        <f>BX51</f>
        <v>2017A</v>
      </c>
    </row>
    <row r="158" spans="50:76">
      <c r="AX158" s="15" t="s">
        <v>32</v>
      </c>
      <c r="AY158" s="259">
        <f>'IS-ANNUAL'!AY11</f>
        <v>22603.300000000003</v>
      </c>
      <c r="BD158" s="259">
        <f>'IS-ANNUAL'!BD11</f>
        <v>23112.800000000003</v>
      </c>
      <c r="BI158" s="259">
        <f>'IS-ANNUAL'!BI11</f>
        <v>19615.599999999999</v>
      </c>
      <c r="BN158" s="259">
        <f>'IS-ANNUAL'!BN11</f>
        <v>19958.699999999997</v>
      </c>
      <c r="BS158" s="259">
        <f>'IS-ANNUAL'!BS11</f>
        <v>21210.200000000004</v>
      </c>
      <c r="BX158" s="259">
        <f>'IS-ANNUAL'!BX11</f>
        <v>22871.599999999999</v>
      </c>
    </row>
    <row r="159" spans="50:76">
      <c r="AX159" s="15" t="s">
        <v>33</v>
      </c>
      <c r="AY159" s="259">
        <v>22829.187000000002</v>
      </c>
      <c r="BD159" s="259">
        <v>24132.152419999999</v>
      </c>
      <c r="BI159" s="259">
        <v>20706.835745100001</v>
      </c>
      <c r="BN159" s="259">
        <v>21100.354366930998</v>
      </c>
      <c r="BS159" s="259">
        <v>21274.838932567902</v>
      </c>
      <c r="BX159" s="563">
        <v>20148.449718945201</v>
      </c>
    </row>
    <row r="160" spans="50:76">
      <c r="AX160" s="15" t="s">
        <v>3</v>
      </c>
      <c r="AY160" s="259">
        <f>_xll.ThomsonONEAddinShim.SpreadsheetFormulas.TF($J$9, "TF.ES.Sales.Mean(#1,scale=6)",,AY$155)</f>
        <v>22426</v>
      </c>
      <c r="BD160" s="259">
        <f>_xll.ThomsonONEAddinShim.SpreadsheetFormulas.TF($J$9, "TF.ES.Sales.Mean(#1,scale=6)",,BD$155)</f>
        <v>22766</v>
      </c>
      <c r="BI160" s="259">
        <f>_xll.ThomsonONEAddinShim.SpreadsheetFormulas.TF($J$9, "TF.ES.Sales.Mean(#1,scale=6)",,BI$155)</f>
        <v>19681</v>
      </c>
      <c r="BN160" s="259">
        <f>_xll.ThomsonONEAddinShim.SpreadsheetFormulas.TF($J$9, "TF.ES.Sales.Mean(#1,scale=6)",,BN$155)</f>
        <v>19902</v>
      </c>
      <c r="BS160" s="259">
        <f>_xll.ThomsonONEAddinShim.SpreadsheetFormulas.TF($J$9, "TF.ES.Sales.Mean(#1,scale=6)",,BS$155)</f>
        <v>21015</v>
      </c>
      <c r="BX160" s="563">
        <f>_xll.ThomsonONEAddinShim.SpreadsheetFormulas.TF($J$9, "TF.ES.Sales.Mean(#1,scale=6)",,BX$155)</f>
        <v>22648</v>
      </c>
    </row>
    <row r="161" spans="50:76">
      <c r="AX161" s="15" t="s">
        <v>133</v>
      </c>
      <c r="AY161" s="48">
        <f>(AY158-AY160)/AY160</f>
        <v>7.9060019620085121E-3</v>
      </c>
      <c r="BD161" s="48">
        <f>(BD158-BD160)/BD160</f>
        <v>1.5233242554686941E-2</v>
      </c>
      <c r="BI161" s="48">
        <f>(BI158-BI160)/BI160</f>
        <v>-3.3230018799858471E-3</v>
      </c>
      <c r="BN161" s="48">
        <f>(BN158-BN160)/BN160</f>
        <v>2.8489599035271375E-3</v>
      </c>
      <c r="BS161" s="48">
        <f>(BS158-BS160)/BS160</f>
        <v>9.2886033785393469E-3</v>
      </c>
      <c r="BX161" s="804">
        <f>BX160</f>
        <v>22648</v>
      </c>
    </row>
    <row r="162" spans="50:76" ht="3" customHeight="1">
      <c r="AX162" s="806"/>
      <c r="AY162" s="322"/>
      <c r="AZ162" s="322"/>
      <c r="BA162" s="322"/>
      <c r="BB162" s="322"/>
      <c r="BC162" s="322"/>
      <c r="BD162" s="322"/>
      <c r="BE162" s="322"/>
      <c r="BF162" s="322"/>
      <c r="BG162" s="322"/>
      <c r="BH162" s="322"/>
      <c r="BI162" s="322"/>
      <c r="BJ162" s="322"/>
      <c r="BK162" s="322"/>
      <c r="BL162" s="322"/>
      <c r="BM162" s="322"/>
      <c r="BN162" s="322"/>
      <c r="BO162" s="322"/>
      <c r="BP162" s="322"/>
      <c r="BQ162" s="322"/>
      <c r="BR162" s="322"/>
      <c r="BS162" s="322"/>
      <c r="BT162" s="322"/>
      <c r="BU162" s="322"/>
      <c r="BV162" s="322"/>
      <c r="BW162" s="322"/>
      <c r="BX162" s="322"/>
    </row>
    <row r="163" spans="50:76">
      <c r="AX163" s="15" t="s">
        <v>34</v>
      </c>
      <c r="AY163" s="259">
        <f>'IS-ANNUAL'!AY28+'IS-ANNUAL'!AY26</f>
        <v>12791.591316</v>
      </c>
      <c r="BD163" s="259">
        <f>'IS-ANNUAL'!BD28+'IS-ANNUAL'!BD26</f>
        <v>12656.900000000001</v>
      </c>
      <c r="BI163" s="259">
        <f>'IS-ANNUAL'!BI28+'IS-ANNUAL'!BI26</f>
        <v>11090.400000000001</v>
      </c>
      <c r="BN163" s="259">
        <f>'IS-ANNUAL'!BN28+'IS-ANNUAL'!BN26</f>
        <v>11246</v>
      </c>
      <c r="BS163" s="259">
        <f>'IS-ANNUAL'!BS28+'IS-ANNUAL'!BS26</f>
        <v>11688.3</v>
      </c>
      <c r="BX163" s="259">
        <f>'IS-ANNUAL'!BX28+'IS-ANNUAL'!BX26</f>
        <v>11863.6</v>
      </c>
    </row>
    <row r="164" spans="50:76">
      <c r="AX164" s="15" t="s">
        <v>35</v>
      </c>
      <c r="AY164" s="32">
        <f>AY163/AY158</f>
        <v>0.56591698185663153</v>
      </c>
      <c r="BD164" s="32">
        <f>BD163/BD158</f>
        <v>0.5476143089543456</v>
      </c>
      <c r="BI164" s="32">
        <f>BI163/BI158</f>
        <v>0.56538673300842202</v>
      </c>
      <c r="BN164" s="32">
        <f>BN163/BN158</f>
        <v>0.56346355223536615</v>
      </c>
      <c r="BS164" s="32">
        <f>BS163/BS158</f>
        <v>0.55106976831901622</v>
      </c>
      <c r="BX164" s="32">
        <f>BX163/BX158</f>
        <v>0.51870441945469492</v>
      </c>
    </row>
    <row r="165" spans="50:76">
      <c r="AX165" s="15" t="s">
        <v>36</v>
      </c>
      <c r="AY165" s="259">
        <v>12948.474</v>
      </c>
      <c r="BD165" s="259">
        <v>13105.6803</v>
      </c>
      <c r="BE165" s="259"/>
      <c r="BF165" s="259"/>
      <c r="BG165" s="259"/>
      <c r="BH165" s="259"/>
      <c r="BI165" s="259">
        <v>12011.008922000001</v>
      </c>
      <c r="BJ165" s="259"/>
      <c r="BK165" s="259"/>
      <c r="BL165" s="259"/>
      <c r="BM165" s="259"/>
      <c r="BN165" s="259">
        <v>11757.330355900001</v>
      </c>
      <c r="BO165" s="259"/>
      <c r="BP165" s="259"/>
      <c r="BQ165" s="259"/>
      <c r="BR165" s="259"/>
      <c r="BS165" s="259">
        <v>11516.335718105001</v>
      </c>
      <c r="BT165" s="259"/>
      <c r="BU165" s="259"/>
      <c r="BV165" s="259"/>
      <c r="BW165" s="259"/>
      <c r="BX165" s="259">
        <v>10940.51893219975</v>
      </c>
    </row>
    <row r="166" spans="50:76">
      <c r="AX166" s="15" t="s">
        <v>37</v>
      </c>
      <c r="AY166" s="32">
        <f>AY165/AY159</f>
        <v>0.56718944919063474</v>
      </c>
      <c r="BD166" s="32">
        <f>BD165/BD159</f>
        <v>0.54307962555127942</v>
      </c>
      <c r="BE166" s="259"/>
      <c r="BF166" s="259"/>
      <c r="BG166" s="259"/>
      <c r="BH166" s="259"/>
      <c r="BI166" s="32">
        <f>BI165/BI159</f>
        <v>0.58005042730115086</v>
      </c>
      <c r="BJ166" s="259"/>
      <c r="BK166" s="259"/>
      <c r="BL166" s="259"/>
      <c r="BM166" s="259"/>
      <c r="BN166" s="32">
        <f>BN165/BN159</f>
        <v>0.55721009000334054</v>
      </c>
      <c r="BO166" s="259"/>
      <c r="BP166" s="259"/>
      <c r="BQ166" s="259"/>
      <c r="BR166" s="259"/>
      <c r="BS166" s="32">
        <f>BS165/BS159</f>
        <v>0.54131247501364577</v>
      </c>
      <c r="BT166" s="259"/>
      <c r="BU166" s="259"/>
      <c r="BV166" s="259"/>
      <c r="BW166" s="259"/>
      <c r="BX166" s="32">
        <f>BX165/BX159</f>
        <v>0.54299556962502127</v>
      </c>
    </row>
    <row r="167" spans="50:76" ht="3" customHeight="1">
      <c r="AX167" s="806"/>
      <c r="AY167" s="322"/>
      <c r="AZ167" s="322"/>
      <c r="BA167" s="322"/>
      <c r="BB167" s="322"/>
      <c r="BC167" s="322"/>
      <c r="BD167" s="322"/>
      <c r="BE167" s="322"/>
      <c r="BF167" s="322"/>
      <c r="BG167" s="322"/>
      <c r="BH167" s="322"/>
      <c r="BI167" s="322"/>
      <c r="BJ167" s="322"/>
      <c r="BK167" s="322"/>
      <c r="BL167" s="322"/>
      <c r="BM167" s="322"/>
      <c r="BN167" s="322"/>
      <c r="BO167" s="322"/>
      <c r="BP167" s="322"/>
      <c r="BQ167" s="322"/>
      <c r="BR167" s="322"/>
      <c r="BS167" s="322"/>
      <c r="BT167" s="322"/>
      <c r="BU167" s="322"/>
      <c r="BV167" s="322"/>
      <c r="BW167" s="322"/>
      <c r="BX167" s="322"/>
    </row>
    <row r="168" spans="50:76">
      <c r="AX168" s="15" t="s">
        <v>38</v>
      </c>
      <c r="AY168" s="29">
        <f>'IS-ANNUAL'!AY49</f>
        <v>3.3867353177104436</v>
      </c>
      <c r="BD168" s="29">
        <f>'IS-ANNUAL'!BD49</f>
        <v>4.1504019454519421</v>
      </c>
      <c r="BI168" s="29">
        <f>'IS-ANNUAL'!BI49</f>
        <v>3.1058365474381371</v>
      </c>
      <c r="BN168" s="29">
        <f>'IS-ANNUAL'!BN49</f>
        <v>3.4065018373452105</v>
      </c>
      <c r="BS168" s="29">
        <f>'IS-ANNUAL'!BS49</f>
        <v>3.5083272837080361</v>
      </c>
      <c r="BX168" s="29">
        <f>'IS-ANNUAL'!BX49</f>
        <v>4.2879901117000259</v>
      </c>
    </row>
    <row r="169" spans="50:76">
      <c r="AX169" s="15" t="s">
        <v>39</v>
      </c>
      <c r="AY169" s="29">
        <v>3.4207577656853299</v>
      </c>
      <c r="BD169" s="29">
        <v>4.0229705476242996</v>
      </c>
      <c r="BI169" s="29">
        <v>2.7398073954005699</v>
      </c>
      <c r="BN169" s="29">
        <v>3.1644471795045401</v>
      </c>
      <c r="BS169" s="29">
        <v>3.4214265952162499</v>
      </c>
      <c r="BX169" s="807">
        <v>3.1266328608563598</v>
      </c>
    </row>
    <row r="170" spans="50:76">
      <c r="AX170" s="15" t="s">
        <v>4</v>
      </c>
      <c r="AY170" s="29" t="str">
        <f>_xll.ThomsonONEAddinShim.SpreadsheetFormulas.TF(FDS_ticker, "TF.ES.EPS.Mean(#1)",,AY155)</f>
        <v xml:space="preserve">$3.33 </v>
      </c>
      <c r="BD170" s="29" t="str">
        <f>_xll.ThomsonONEAddinShim.SpreadsheetFormulas.TF(FDS_ticker, "TF.ES.EPS.Mean(#1)",,BD155)</f>
        <v xml:space="preserve">$4.14 </v>
      </c>
      <c r="BI170" s="29" t="str">
        <f>_xll.ThomsonONEAddinShim.SpreadsheetFormulas.TF(FDS_ticker, "TF.ES.EPS.Mean(#1)",,BI155)</f>
        <v xml:space="preserve">$2.78 </v>
      </c>
      <c r="BN170" s="29" t="str">
        <f>_xll.ThomsonONEAddinShim.SpreadsheetFormulas.TF(FDS_ticker, "TF.ES.EPS.Mean(#1)",,BN155)</f>
        <v xml:space="preserve">$3.43 </v>
      </c>
      <c r="BS170" s="29" t="str">
        <f>_xll.ThomsonONEAddinShim.SpreadsheetFormulas.TF(FDS_ticker, "TF.ES.EPS.Mean(#1)",,BS155)</f>
        <v xml:space="preserve">$3.55 </v>
      </c>
      <c r="BX170" s="802" t="str">
        <f>_xll.ThomsonONEAddinShim.SpreadsheetFormulas.TF(FDS_ticker, "TF.ES.EPS.Mean(#1)",,BX155)</f>
        <v xml:space="preserve">$4.22 </v>
      </c>
    </row>
    <row r="171" spans="50:76">
      <c r="AX171" s="15" t="s">
        <v>134</v>
      </c>
      <c r="AY171" s="48">
        <f>(AY168-AY170)/AY170</f>
        <v>1.7037632946079125E-2</v>
      </c>
      <c r="BD171" s="48">
        <f>(BD168-BD170)/BD170</f>
        <v>2.5125472106141055E-3</v>
      </c>
      <c r="BI171" s="48">
        <f>(BI168-BI170)/BI170</f>
        <v>0.11720739116479759</v>
      </c>
      <c r="BN171" s="48">
        <f>(BN168-BN170)/BN170</f>
        <v>-6.8507762841952344E-3</v>
      </c>
      <c r="BS171" s="48">
        <f>(BS168-BS170)/BS170</f>
        <v>-1.1738793321679909E-2</v>
      </c>
      <c r="BX171" s="802" t="str">
        <f>BX170</f>
        <v xml:space="preserve">$4.22 </v>
      </c>
    </row>
    <row r="172" spans="50:76" ht="1.5" customHeight="1"/>
    <row r="173" spans="50:76" ht="10.5" customHeight="1">
      <c r="AX173" s="805" t="str">
        <f ca="1">"Source for consensus: Thomson Reuters Estimates as of " &amp; TEXT(NOW(), "m/dd/yy, h:mm AM/PM") &amp; " EST"</f>
        <v>Source for consensus: Thomson Reuters Estimates as of 4/25/18, 5:28 PM EST</v>
      </c>
      <c r="AY173" s="803"/>
      <c r="AZ173" s="803"/>
      <c r="BA173" s="803"/>
      <c r="BB173" s="803"/>
      <c r="BC173" s="803"/>
      <c r="BD173" s="803"/>
      <c r="BE173" s="803"/>
      <c r="BF173" s="803"/>
      <c r="BG173" s="803"/>
      <c r="BH173" s="803"/>
      <c r="BI173" s="803"/>
      <c r="BJ173" s="803"/>
      <c r="BK173" s="803"/>
      <c r="BL173" s="803"/>
      <c r="BM173" s="803"/>
      <c r="BN173" s="803"/>
      <c r="BO173" s="803"/>
      <c r="BP173" s="803"/>
      <c r="BQ173" s="803"/>
      <c r="BR173" s="803"/>
      <c r="BS173" s="803"/>
      <c r="BT173" s="803"/>
      <c r="BU173" s="803"/>
      <c r="BV173" s="803"/>
      <c r="BW173" s="803"/>
      <c r="BX173" s="803"/>
    </row>
  </sheetData>
  <sortState ref="H62:CM69">
    <sortCondition descending="1" ref="CM62:CM69"/>
  </sortState>
  <phoneticPr fontId="3" type="noConversion"/>
  <conditionalFormatting sqref="L51:CM51 AY157 BD157 BI157 BN157 BS157 BX157">
    <cfRule type="expression" dxfId="66" priority="2" stopIfTrue="1">
      <formula>L$4&lt;=$J$5</formula>
    </cfRule>
  </conditionalFormatting>
  <conditionalFormatting sqref="BS62:CM62">
    <cfRule type="expression" dxfId="65" priority="1" stopIfTrue="1">
      <formula>BS$4&lt;=$J$5</formula>
    </cfRule>
  </conditionalFormatting>
  <pageMargins left="0" right="0" top="0" bottom="0" header="0" footer="0"/>
  <pageSetup paperSize="5" scale="29"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397"/>
  <sheetViews>
    <sheetView showGridLines="0" tabSelected="1" workbookViewId="0">
      <selection activeCell="Z1" sqref="Z1"/>
    </sheetView>
  </sheetViews>
  <sheetFormatPr defaultRowHeight="12.75"/>
  <cols>
    <col min="1" max="1" width="25.7109375" style="1273" customWidth="1"/>
    <col min="2" max="5" width="9.140625" style="1273"/>
    <col min="6" max="6" width="18.7109375" style="1273" customWidth="1"/>
    <col min="7" max="256" width="9.140625" style="1273"/>
    <col min="257" max="257" width="100.7109375" style="1273" customWidth="1"/>
    <col min="258" max="512" width="9.140625" style="1273"/>
    <col min="513" max="513" width="100.7109375" style="1273" customWidth="1"/>
    <col min="514" max="768" width="9.140625" style="1273"/>
    <col min="769" max="769" width="100.7109375" style="1273" customWidth="1"/>
    <col min="770" max="1024" width="9.140625" style="1273"/>
    <col min="1025" max="1025" width="100.7109375" style="1273" customWidth="1"/>
    <col min="1026" max="1280" width="9.140625" style="1273"/>
    <col min="1281" max="1281" width="100.7109375" style="1273" customWidth="1"/>
    <col min="1282" max="1536" width="9.140625" style="1273"/>
    <col min="1537" max="1537" width="100.7109375" style="1273" customWidth="1"/>
    <col min="1538" max="1792" width="9.140625" style="1273"/>
    <col min="1793" max="1793" width="100.7109375" style="1273" customWidth="1"/>
    <col min="1794" max="2048" width="9.140625" style="1273"/>
    <col min="2049" max="2049" width="100.7109375" style="1273" customWidth="1"/>
    <col min="2050" max="2304" width="9.140625" style="1273"/>
    <col min="2305" max="2305" width="100.7109375" style="1273" customWidth="1"/>
    <col min="2306" max="2560" width="9.140625" style="1273"/>
    <col min="2561" max="2561" width="100.7109375" style="1273" customWidth="1"/>
    <col min="2562" max="2816" width="9.140625" style="1273"/>
    <col min="2817" max="2817" width="100.7109375" style="1273" customWidth="1"/>
    <col min="2818" max="3072" width="9.140625" style="1273"/>
    <col min="3073" max="3073" width="100.7109375" style="1273" customWidth="1"/>
    <col min="3074" max="3328" width="9.140625" style="1273"/>
    <col min="3329" max="3329" width="100.7109375" style="1273" customWidth="1"/>
    <col min="3330" max="3584" width="9.140625" style="1273"/>
    <col min="3585" max="3585" width="100.7109375" style="1273" customWidth="1"/>
    <col min="3586" max="3840" width="9.140625" style="1273"/>
    <col min="3841" max="3841" width="100.7109375" style="1273" customWidth="1"/>
    <col min="3842" max="4096" width="9.140625" style="1273"/>
    <col min="4097" max="4097" width="100.7109375" style="1273" customWidth="1"/>
    <col min="4098" max="4352" width="9.140625" style="1273"/>
    <col min="4353" max="4353" width="100.7109375" style="1273" customWidth="1"/>
    <col min="4354" max="4608" width="9.140625" style="1273"/>
    <col min="4609" max="4609" width="100.7109375" style="1273" customWidth="1"/>
    <col min="4610" max="4864" width="9.140625" style="1273"/>
    <col min="4865" max="4865" width="100.7109375" style="1273" customWidth="1"/>
    <col min="4866" max="5120" width="9.140625" style="1273"/>
    <col min="5121" max="5121" width="100.7109375" style="1273" customWidth="1"/>
    <col min="5122" max="5376" width="9.140625" style="1273"/>
    <col min="5377" max="5377" width="100.7109375" style="1273" customWidth="1"/>
    <col min="5378" max="5632" width="9.140625" style="1273"/>
    <col min="5633" max="5633" width="100.7109375" style="1273" customWidth="1"/>
    <col min="5634" max="5888" width="9.140625" style="1273"/>
    <col min="5889" max="5889" width="100.7109375" style="1273" customWidth="1"/>
    <col min="5890" max="6144" width="9.140625" style="1273"/>
    <col min="6145" max="6145" width="100.7109375" style="1273" customWidth="1"/>
    <col min="6146" max="6400" width="9.140625" style="1273"/>
    <col min="6401" max="6401" width="100.7109375" style="1273" customWidth="1"/>
    <col min="6402" max="6656" width="9.140625" style="1273"/>
    <col min="6657" max="6657" width="100.7109375" style="1273" customWidth="1"/>
    <col min="6658" max="6912" width="9.140625" style="1273"/>
    <col min="6913" max="6913" width="100.7109375" style="1273" customWidth="1"/>
    <col min="6914" max="7168" width="9.140625" style="1273"/>
    <col min="7169" max="7169" width="100.7109375" style="1273" customWidth="1"/>
    <col min="7170" max="7424" width="9.140625" style="1273"/>
    <col min="7425" max="7425" width="100.7109375" style="1273" customWidth="1"/>
    <col min="7426" max="7680" width="9.140625" style="1273"/>
    <col min="7681" max="7681" width="100.7109375" style="1273" customWidth="1"/>
    <col min="7682" max="7936" width="9.140625" style="1273"/>
    <col min="7937" max="7937" width="100.7109375" style="1273" customWidth="1"/>
    <col min="7938" max="8192" width="9.140625" style="1273"/>
    <col min="8193" max="8193" width="100.7109375" style="1273" customWidth="1"/>
    <col min="8194" max="8448" width="9.140625" style="1273"/>
    <col min="8449" max="8449" width="100.7109375" style="1273" customWidth="1"/>
    <col min="8450" max="8704" width="9.140625" style="1273"/>
    <col min="8705" max="8705" width="100.7109375" style="1273" customWidth="1"/>
    <col min="8706" max="8960" width="9.140625" style="1273"/>
    <col min="8961" max="8961" width="100.7109375" style="1273" customWidth="1"/>
    <col min="8962" max="9216" width="9.140625" style="1273"/>
    <col min="9217" max="9217" width="100.7109375" style="1273" customWidth="1"/>
    <col min="9218" max="9472" width="9.140625" style="1273"/>
    <col min="9473" max="9473" width="100.7109375" style="1273" customWidth="1"/>
    <col min="9474" max="9728" width="9.140625" style="1273"/>
    <col min="9729" max="9729" width="100.7109375" style="1273" customWidth="1"/>
    <col min="9730" max="9984" width="9.140625" style="1273"/>
    <col min="9985" max="9985" width="100.7109375" style="1273" customWidth="1"/>
    <col min="9986" max="10240" width="9.140625" style="1273"/>
    <col min="10241" max="10241" width="100.7109375" style="1273" customWidth="1"/>
    <col min="10242" max="10496" width="9.140625" style="1273"/>
    <col min="10497" max="10497" width="100.7109375" style="1273" customWidth="1"/>
    <col min="10498" max="10752" width="9.140625" style="1273"/>
    <col min="10753" max="10753" width="100.7109375" style="1273" customWidth="1"/>
    <col min="10754" max="11008" width="9.140625" style="1273"/>
    <col min="11009" max="11009" width="100.7109375" style="1273" customWidth="1"/>
    <col min="11010" max="11264" width="9.140625" style="1273"/>
    <col min="11265" max="11265" width="100.7109375" style="1273" customWidth="1"/>
    <col min="11266" max="11520" width="9.140625" style="1273"/>
    <col min="11521" max="11521" width="100.7109375" style="1273" customWidth="1"/>
    <col min="11522" max="11776" width="9.140625" style="1273"/>
    <col min="11777" max="11777" width="100.7109375" style="1273" customWidth="1"/>
    <col min="11778" max="12032" width="9.140625" style="1273"/>
    <col min="12033" max="12033" width="100.7109375" style="1273" customWidth="1"/>
    <col min="12034" max="12288" width="9.140625" style="1273"/>
    <col min="12289" max="12289" width="100.7109375" style="1273" customWidth="1"/>
    <col min="12290" max="12544" width="9.140625" style="1273"/>
    <col min="12545" max="12545" width="100.7109375" style="1273" customWidth="1"/>
    <col min="12546" max="12800" width="9.140625" style="1273"/>
    <col min="12801" max="12801" width="100.7109375" style="1273" customWidth="1"/>
    <col min="12802" max="13056" width="9.140625" style="1273"/>
    <col min="13057" max="13057" width="100.7109375" style="1273" customWidth="1"/>
    <col min="13058" max="13312" width="9.140625" style="1273"/>
    <col min="13313" max="13313" width="100.7109375" style="1273" customWidth="1"/>
    <col min="13314" max="13568" width="9.140625" style="1273"/>
    <col min="13569" max="13569" width="100.7109375" style="1273" customWidth="1"/>
    <col min="13570" max="13824" width="9.140625" style="1273"/>
    <col min="13825" max="13825" width="100.7109375" style="1273" customWidth="1"/>
    <col min="13826" max="14080" width="9.140625" style="1273"/>
    <col min="14081" max="14081" width="100.7109375" style="1273" customWidth="1"/>
    <col min="14082" max="14336" width="9.140625" style="1273"/>
    <col min="14337" max="14337" width="100.7109375" style="1273" customWidth="1"/>
    <col min="14338" max="14592" width="9.140625" style="1273"/>
    <col min="14593" max="14593" width="100.7109375" style="1273" customWidth="1"/>
    <col min="14594" max="14848" width="9.140625" style="1273"/>
    <col min="14849" max="14849" width="100.7109375" style="1273" customWidth="1"/>
    <col min="14850" max="15104" width="9.140625" style="1273"/>
    <col min="15105" max="15105" width="100.7109375" style="1273" customWidth="1"/>
    <col min="15106" max="15360" width="9.140625" style="1273"/>
    <col min="15361" max="15361" width="100.7109375" style="1273" customWidth="1"/>
    <col min="15362" max="15616" width="9.140625" style="1273"/>
    <col min="15617" max="15617" width="100.7109375" style="1273" customWidth="1"/>
    <col min="15618" max="15872" width="9.140625" style="1273"/>
    <col min="15873" max="15873" width="100.7109375" style="1273" customWidth="1"/>
    <col min="15874" max="16128" width="9.140625" style="1273"/>
    <col min="16129" max="16129" width="100.7109375" style="1273" customWidth="1"/>
    <col min="16130" max="16384" width="9.140625" style="1273"/>
  </cols>
  <sheetData>
    <row r="1" spans="1:8" ht="30" customHeight="1">
      <c r="A1" s="1271"/>
      <c r="B1" s="1272"/>
      <c r="C1" s="1272"/>
      <c r="D1" s="1272"/>
      <c r="E1" s="1272"/>
      <c r="F1" s="1272"/>
      <c r="G1" s="1272"/>
      <c r="H1" s="1272"/>
    </row>
    <row r="2" spans="1:8" ht="14.25">
      <c r="A2" s="1274" t="s">
        <v>1189</v>
      </c>
      <c r="B2" s="1272"/>
      <c r="C2" s="1272"/>
      <c r="D2" s="1272"/>
      <c r="E2" s="1272"/>
      <c r="F2" s="1272"/>
      <c r="G2" s="1272"/>
      <c r="H2" s="1272"/>
    </row>
    <row r="3" spans="1:8" ht="14.25">
      <c r="A3" s="1274" t="s">
        <v>1190</v>
      </c>
      <c r="B3" s="1272"/>
      <c r="C3" s="1272"/>
      <c r="D3" s="1272"/>
      <c r="E3" s="1272"/>
      <c r="F3" s="1272"/>
      <c r="G3" s="1272"/>
      <c r="H3" s="1272"/>
    </row>
    <row r="4" spans="1:8" ht="14.25">
      <c r="A4" s="1274" t="s">
        <v>1191</v>
      </c>
      <c r="B4" s="1272"/>
      <c r="C4" s="1272"/>
      <c r="D4" s="1272"/>
      <c r="E4" s="1272"/>
      <c r="F4" s="1272"/>
      <c r="G4" s="1272"/>
      <c r="H4" s="1272"/>
    </row>
    <row r="5" spans="1:8" ht="14.25">
      <c r="A5" s="1274" t="s">
        <v>1192</v>
      </c>
      <c r="B5" s="1272"/>
      <c r="C5" s="1272"/>
      <c r="D5" s="1272"/>
      <c r="E5" s="1272"/>
      <c r="F5" s="1272"/>
      <c r="G5" s="1272"/>
      <c r="H5" s="1272"/>
    </row>
    <row r="6" spans="1:8" ht="14.25">
      <c r="A6" s="1274"/>
      <c r="B6" s="1272"/>
      <c r="C6" s="1272"/>
      <c r="D6" s="1272"/>
      <c r="E6" s="1272"/>
      <c r="F6" s="1272"/>
      <c r="G6" s="1272"/>
      <c r="H6" s="1272"/>
    </row>
    <row r="7" spans="1:8">
      <c r="A7" s="1271" t="s">
        <v>1193</v>
      </c>
      <c r="B7" s="1272"/>
      <c r="C7" s="1272"/>
      <c r="D7" s="1272"/>
      <c r="E7" s="1272"/>
      <c r="F7" s="1272"/>
      <c r="G7" s="1272"/>
      <c r="H7" s="1272"/>
    </row>
    <row r="8" spans="1:8">
      <c r="A8" s="1271" t="s">
        <v>1194</v>
      </c>
      <c r="B8" s="1272"/>
      <c r="C8" s="1272"/>
      <c r="D8" s="1272"/>
      <c r="E8" s="1272"/>
      <c r="F8" s="1272"/>
      <c r="G8" s="1272"/>
      <c r="H8" s="1272"/>
    </row>
    <row r="9" spans="1:8">
      <c r="A9" s="1271"/>
      <c r="B9" s="1272"/>
      <c r="C9" s="1272"/>
      <c r="D9" s="1272"/>
      <c r="E9" s="1272"/>
      <c r="F9" s="1272"/>
      <c r="G9" s="1272"/>
      <c r="H9" s="1272"/>
    </row>
    <row r="10" spans="1:8">
      <c r="A10" s="1275" t="s">
        <v>1195</v>
      </c>
      <c r="B10" s="1272"/>
      <c r="C10" s="1272"/>
      <c r="D10" s="1272"/>
      <c r="E10" s="1272"/>
      <c r="F10" s="1272"/>
      <c r="G10" s="1272"/>
      <c r="H10" s="1272"/>
    </row>
    <row r="11" spans="1:8">
      <c r="A11" s="1275" t="s">
        <v>1196</v>
      </c>
      <c r="B11" s="1272"/>
      <c r="C11" s="1272"/>
      <c r="D11" s="1272"/>
      <c r="E11" s="1272"/>
      <c r="F11" s="1272"/>
      <c r="G11" s="1272"/>
      <c r="H11" s="1272"/>
    </row>
    <row r="12" spans="1:8">
      <c r="A12" s="1275" t="s">
        <v>1197</v>
      </c>
      <c r="B12" s="1272"/>
      <c r="C12" s="1272"/>
      <c r="D12" s="1272"/>
      <c r="E12" s="1272"/>
      <c r="F12" s="1272"/>
      <c r="G12" s="1272"/>
      <c r="H12" s="1272"/>
    </row>
    <row r="13" spans="1:8">
      <c r="A13" s="1275" t="s">
        <v>1198</v>
      </c>
      <c r="B13" s="1272"/>
      <c r="C13" s="1272"/>
      <c r="D13" s="1272"/>
      <c r="E13" s="1272"/>
      <c r="F13" s="1272"/>
      <c r="G13" s="1272"/>
      <c r="H13" s="1272"/>
    </row>
    <row r="14" spans="1:8">
      <c r="A14" s="1275" t="s">
        <v>1199</v>
      </c>
      <c r="B14" s="1272"/>
      <c r="C14" s="1272"/>
      <c r="D14" s="1272"/>
      <c r="E14" s="1272"/>
      <c r="F14" s="1272"/>
      <c r="G14" s="1272"/>
      <c r="H14" s="1272"/>
    </row>
    <row r="15" spans="1:8">
      <c r="A15" s="1275" t="s">
        <v>1200</v>
      </c>
      <c r="B15" s="1272"/>
      <c r="C15" s="1272"/>
      <c r="D15" s="1272"/>
      <c r="E15" s="1272"/>
      <c r="F15" s="1272"/>
      <c r="G15" s="1272"/>
      <c r="H15" s="1272"/>
    </row>
    <row r="16" spans="1:8">
      <c r="A16" s="1275"/>
      <c r="B16" s="1272"/>
      <c r="C16" s="1272"/>
      <c r="D16" s="1272"/>
      <c r="E16" s="1272"/>
      <c r="F16" s="1272"/>
      <c r="G16" s="1272"/>
      <c r="H16" s="1272"/>
    </row>
    <row r="17" spans="1:8">
      <c r="A17" s="1275" t="s">
        <v>1186</v>
      </c>
      <c r="B17" s="1272"/>
      <c r="C17" s="1272"/>
      <c r="D17" s="1272"/>
      <c r="E17" s="1272"/>
      <c r="F17" s="1272"/>
      <c r="G17" s="1272"/>
      <c r="H17" s="1272"/>
    </row>
    <row r="18" spans="1:8">
      <c r="A18" s="1275"/>
      <c r="B18" s="1272"/>
      <c r="C18" s="1272"/>
      <c r="D18" s="1272"/>
      <c r="E18" s="1272"/>
      <c r="F18" s="1272"/>
      <c r="G18" s="1272"/>
      <c r="H18" s="1272"/>
    </row>
    <row r="19" spans="1:8">
      <c r="A19" s="1275" t="s">
        <v>1187</v>
      </c>
      <c r="B19" s="1272"/>
      <c r="C19" s="1272"/>
      <c r="D19" s="1272"/>
      <c r="E19" s="1272"/>
      <c r="F19" s="1272"/>
      <c r="G19" s="1272"/>
      <c r="H19" s="1272"/>
    </row>
    <row r="20" spans="1:8">
      <c r="A20" s="1271"/>
      <c r="B20" s="1272"/>
      <c r="C20" s="1272"/>
      <c r="D20" s="1272"/>
      <c r="E20" s="1272"/>
      <c r="F20" s="1272"/>
      <c r="G20" s="1272"/>
      <c r="H20" s="1272"/>
    </row>
    <row r="21" spans="1:8">
      <c r="A21" s="1276" t="s">
        <v>1188</v>
      </c>
      <c r="B21" s="1272"/>
      <c r="C21" s="1272"/>
      <c r="D21" s="1272"/>
      <c r="E21" s="1272"/>
      <c r="F21" s="1272"/>
      <c r="G21" s="1272"/>
      <c r="H21" s="1272"/>
    </row>
    <row r="22" spans="1:8">
      <c r="A22" s="1277"/>
      <c r="B22" s="1277"/>
      <c r="C22" s="1277"/>
      <c r="D22" s="1277"/>
      <c r="E22" s="1277"/>
      <c r="F22" s="1277"/>
      <c r="G22" s="1277"/>
      <c r="H22" s="1277"/>
    </row>
    <row r="23" spans="1:8">
      <c r="A23" s="1278" t="s">
        <v>1483</v>
      </c>
      <c r="B23" s="1277"/>
      <c r="C23" s="1277"/>
      <c r="D23" s="1277"/>
      <c r="E23" s="1277"/>
      <c r="F23" s="1277"/>
      <c r="G23" s="1277"/>
      <c r="H23" s="1277"/>
    </row>
    <row r="24" spans="1:8">
      <c r="A24" s="1278" t="s">
        <v>1484</v>
      </c>
      <c r="B24" s="1277"/>
      <c r="C24" s="1277"/>
      <c r="D24" s="1277"/>
      <c r="E24" s="1277"/>
      <c r="F24" s="1277"/>
      <c r="G24" s="1277"/>
      <c r="H24" s="1277"/>
    </row>
    <row r="25" spans="1:8">
      <c r="A25" s="1278" t="s">
        <v>1485</v>
      </c>
      <c r="B25" s="1277"/>
      <c r="C25" s="1277"/>
      <c r="D25" s="1277"/>
      <c r="E25" s="1277"/>
      <c r="F25" s="1277"/>
      <c r="G25" s="1277"/>
      <c r="H25" s="1277"/>
    </row>
    <row r="26" spans="1:8">
      <c r="A26" s="1278" t="s">
        <v>1486</v>
      </c>
      <c r="B26" s="1277"/>
      <c r="C26" s="1277"/>
      <c r="D26" s="1277"/>
      <c r="E26" s="1277"/>
      <c r="F26" s="1277"/>
      <c r="G26" s="1277"/>
      <c r="H26" s="1277"/>
    </row>
    <row r="27" spans="1:8">
      <c r="A27" s="1277"/>
      <c r="B27" s="1277"/>
      <c r="C27" s="1277"/>
      <c r="D27" s="1277"/>
      <c r="E27" s="1277"/>
      <c r="F27" s="1277"/>
      <c r="G27" s="1277"/>
      <c r="H27" s="1277"/>
    </row>
    <row r="28" spans="1:8">
      <c r="A28" s="1277"/>
      <c r="B28" s="1277"/>
      <c r="C28" s="1277"/>
      <c r="D28" s="1277"/>
      <c r="E28" s="1277"/>
      <c r="F28" s="1277"/>
      <c r="G28" s="1277"/>
      <c r="H28" s="1277"/>
    </row>
    <row r="29" spans="1:8">
      <c r="A29" s="1278" t="s">
        <v>1478</v>
      </c>
      <c r="B29" s="1277"/>
      <c r="C29" s="1277"/>
      <c r="D29" s="1277"/>
      <c r="E29" s="1277"/>
      <c r="F29" s="1277"/>
      <c r="G29" s="1277"/>
      <c r="H29" s="1277"/>
    </row>
    <row r="30" spans="1:8">
      <c r="A30" s="1278" t="s">
        <v>1479</v>
      </c>
      <c r="B30" s="1277"/>
      <c r="C30" s="1277"/>
      <c r="D30" s="1277"/>
      <c r="E30" s="1277"/>
      <c r="F30" s="1277"/>
      <c r="G30" s="1277"/>
      <c r="H30" s="1277"/>
    </row>
    <row r="31" spans="1:8">
      <c r="A31" s="1278" t="s">
        <v>1480</v>
      </c>
      <c r="B31" s="1277"/>
      <c r="C31" s="1277"/>
      <c r="D31" s="1277"/>
      <c r="E31" s="1277"/>
      <c r="F31" s="1277"/>
      <c r="G31" s="1277"/>
      <c r="H31" s="1277"/>
    </row>
    <row r="32" spans="1:8">
      <c r="A32" s="1278" t="s">
        <v>1481</v>
      </c>
      <c r="B32" s="1277"/>
      <c r="C32" s="1277"/>
      <c r="D32" s="1277"/>
      <c r="E32" s="1277"/>
      <c r="F32" s="1277"/>
      <c r="G32" s="1277"/>
      <c r="H32" s="1277"/>
    </row>
    <row r="33" spans="1:8">
      <c r="A33" s="1278" t="s">
        <v>1482</v>
      </c>
      <c r="B33" s="1277"/>
      <c r="C33" s="1277"/>
      <c r="D33" s="1277"/>
      <c r="E33" s="1277"/>
      <c r="F33" s="1277"/>
      <c r="G33" s="1277"/>
      <c r="H33" s="1277"/>
    </row>
    <row r="34" spans="1:8">
      <c r="A34" s="1277"/>
      <c r="B34" s="1277"/>
      <c r="C34" s="1277"/>
      <c r="D34" s="1277"/>
      <c r="E34" s="1277"/>
      <c r="F34" s="1277"/>
      <c r="G34" s="1277"/>
      <c r="H34" s="1277"/>
    </row>
    <row r="35" spans="1:8">
      <c r="A35" s="1278" t="s">
        <v>1474</v>
      </c>
      <c r="B35" s="1277"/>
      <c r="C35" s="1277"/>
      <c r="D35" s="1277"/>
      <c r="E35" s="1277"/>
      <c r="F35" s="1277"/>
      <c r="G35" s="1277"/>
      <c r="H35" s="1277"/>
    </row>
    <row r="36" spans="1:8">
      <c r="A36" s="1278" t="s">
        <v>1475</v>
      </c>
      <c r="B36" s="1277"/>
      <c r="C36" s="1277"/>
      <c r="D36" s="1277"/>
      <c r="E36" s="1277"/>
      <c r="F36" s="1277"/>
      <c r="G36" s="1277"/>
      <c r="H36" s="1277"/>
    </row>
    <row r="37" spans="1:8">
      <c r="A37" s="1278" t="s">
        <v>1476</v>
      </c>
      <c r="B37" s="1277"/>
      <c r="C37" s="1277"/>
      <c r="D37" s="1277"/>
      <c r="E37" s="1277"/>
      <c r="F37" s="1277"/>
      <c r="G37" s="1277"/>
      <c r="H37" s="1277"/>
    </row>
    <row r="38" spans="1:8">
      <c r="A38" s="1278" t="s">
        <v>1477</v>
      </c>
      <c r="B38" s="1277"/>
      <c r="C38" s="1277"/>
      <c r="D38" s="1277"/>
      <c r="E38" s="1277"/>
      <c r="F38" s="1277"/>
      <c r="G38" s="1277"/>
      <c r="H38" s="1277"/>
    </row>
    <row r="39" spans="1:8">
      <c r="A39" s="1277"/>
      <c r="B39" s="1277"/>
      <c r="C39" s="1277"/>
      <c r="D39" s="1277"/>
      <c r="E39" s="1277"/>
      <c r="F39" s="1277"/>
      <c r="G39" s="1277"/>
      <c r="H39" s="1277"/>
    </row>
    <row r="40" spans="1:8">
      <c r="A40" s="1278" t="s">
        <v>1468</v>
      </c>
      <c r="B40" s="1277"/>
      <c r="C40" s="1277"/>
      <c r="D40" s="1277"/>
      <c r="E40" s="1277"/>
      <c r="F40" s="1277"/>
      <c r="G40" s="1277"/>
      <c r="H40" s="1277"/>
    </row>
    <row r="41" spans="1:8">
      <c r="A41" s="1278" t="s">
        <v>1469</v>
      </c>
      <c r="B41" s="1277"/>
      <c r="C41" s="1277"/>
      <c r="D41" s="1277"/>
      <c r="E41" s="1277"/>
      <c r="F41" s="1277"/>
      <c r="G41" s="1277"/>
      <c r="H41" s="1277"/>
    </row>
    <row r="42" spans="1:8">
      <c r="A42" s="1278" t="s">
        <v>1470</v>
      </c>
      <c r="B42" s="1277"/>
      <c r="C42" s="1277"/>
      <c r="D42" s="1277"/>
      <c r="E42" s="1277"/>
      <c r="F42" s="1277"/>
      <c r="G42" s="1277"/>
      <c r="H42" s="1277"/>
    </row>
    <row r="43" spans="1:8">
      <c r="A43" s="1278" t="s">
        <v>1471</v>
      </c>
      <c r="B43" s="1277"/>
      <c r="C43" s="1277"/>
      <c r="D43" s="1277"/>
      <c r="E43" s="1277"/>
      <c r="F43" s="1277"/>
      <c r="G43" s="1277"/>
      <c r="H43" s="1277"/>
    </row>
    <row r="44" spans="1:8">
      <c r="A44" s="1278" t="s">
        <v>1472</v>
      </c>
      <c r="B44" s="1277"/>
      <c r="C44" s="1277"/>
      <c r="D44" s="1277"/>
      <c r="E44" s="1277"/>
      <c r="F44" s="1277"/>
      <c r="G44" s="1277"/>
      <c r="H44" s="1277"/>
    </row>
    <row r="45" spans="1:8">
      <c r="A45" s="1278" t="s">
        <v>1473</v>
      </c>
      <c r="B45" s="1277"/>
      <c r="C45" s="1277"/>
      <c r="D45" s="1277"/>
      <c r="E45" s="1277"/>
      <c r="F45" s="1277"/>
      <c r="G45" s="1277"/>
      <c r="H45" s="1277"/>
    </row>
    <row r="46" spans="1:8">
      <c r="A46" s="1277"/>
      <c r="B46" s="1277"/>
      <c r="C46" s="1277"/>
      <c r="D46" s="1277"/>
      <c r="E46" s="1277"/>
      <c r="F46" s="1277"/>
      <c r="G46" s="1277"/>
      <c r="H46" s="1277"/>
    </row>
    <row r="47" spans="1:8" ht="15.75">
      <c r="A47" s="1279" t="s">
        <v>1201</v>
      </c>
      <c r="B47" s="1277"/>
      <c r="C47" s="1277"/>
      <c r="D47" s="1277"/>
      <c r="E47" s="1277"/>
      <c r="F47" s="1277"/>
      <c r="G47" s="1277"/>
      <c r="H47" s="1277"/>
    </row>
    <row r="48" spans="1:8">
      <c r="A48" s="1277"/>
      <c r="B48" s="1277"/>
      <c r="C48" s="1277"/>
      <c r="D48" s="1277"/>
      <c r="E48" s="1277"/>
      <c r="F48" s="1277"/>
      <c r="G48" s="1277"/>
      <c r="H48" s="1277"/>
    </row>
    <row r="49" spans="1:8">
      <c r="A49" s="1278" t="s">
        <v>1464</v>
      </c>
      <c r="B49" s="1277"/>
      <c r="C49" s="1277"/>
      <c r="D49" s="1277"/>
      <c r="E49" s="1277"/>
      <c r="F49" s="1277"/>
      <c r="G49" s="1277"/>
      <c r="H49" s="1277"/>
    </row>
    <row r="50" spans="1:8">
      <c r="A50" s="1278" t="s">
        <v>1465</v>
      </c>
      <c r="B50" s="1277"/>
      <c r="C50" s="1277"/>
      <c r="D50" s="1277"/>
      <c r="E50" s="1277"/>
      <c r="F50" s="1277"/>
      <c r="G50" s="1277"/>
      <c r="H50" s="1277"/>
    </row>
    <row r="51" spans="1:8">
      <c r="A51" s="1278" t="s">
        <v>1466</v>
      </c>
      <c r="B51" s="1277"/>
      <c r="C51" s="1277"/>
      <c r="D51" s="1277"/>
      <c r="E51" s="1277"/>
      <c r="F51" s="1277"/>
      <c r="G51" s="1277"/>
      <c r="H51" s="1277"/>
    </row>
    <row r="52" spans="1:8">
      <c r="A52" s="1278" t="s">
        <v>1467</v>
      </c>
      <c r="B52" s="1277"/>
      <c r="C52" s="1277"/>
      <c r="D52" s="1277"/>
      <c r="E52" s="1277"/>
      <c r="F52" s="1277"/>
      <c r="G52" s="1277"/>
      <c r="H52" s="1277"/>
    </row>
    <row r="53" spans="1:8">
      <c r="A53" s="1277"/>
      <c r="B53" s="1277"/>
      <c r="C53" s="1277"/>
      <c r="D53" s="1277"/>
      <c r="E53" s="1277"/>
      <c r="F53" s="1277"/>
      <c r="G53" s="1277"/>
      <c r="H53" s="1277"/>
    </row>
    <row r="54" spans="1:8">
      <c r="A54" s="1278" t="s">
        <v>1202</v>
      </c>
      <c r="B54" s="1277"/>
      <c r="C54" s="1277"/>
      <c r="D54" s="1277"/>
      <c r="E54" s="1277"/>
      <c r="F54" s="1277"/>
      <c r="G54" s="1277"/>
      <c r="H54" s="1277"/>
    </row>
    <row r="55" spans="1:8">
      <c r="A55" s="1277"/>
      <c r="B55" s="1277"/>
      <c r="C55" s="1277"/>
      <c r="D55" s="1277"/>
      <c r="E55" s="1277"/>
      <c r="F55" s="1277"/>
      <c r="G55" s="1277"/>
      <c r="H55" s="1277"/>
    </row>
    <row r="56" spans="1:8" ht="15.75">
      <c r="A56" s="1279" t="s">
        <v>1203</v>
      </c>
      <c r="B56" s="1277"/>
      <c r="C56" s="1277"/>
      <c r="D56" s="1277"/>
      <c r="E56" s="1277"/>
      <c r="F56" s="1277"/>
      <c r="G56" s="1277"/>
      <c r="H56" s="1277"/>
    </row>
    <row r="57" spans="1:8">
      <c r="A57" s="1277"/>
      <c r="B57" s="1277"/>
      <c r="C57" s="1277"/>
      <c r="D57" s="1277"/>
      <c r="E57" s="1277"/>
      <c r="F57" s="1277"/>
      <c r="G57" s="1277"/>
      <c r="H57" s="1277"/>
    </row>
    <row r="58" spans="1:8">
      <c r="A58" s="1278" t="s">
        <v>1462</v>
      </c>
      <c r="B58" s="1277"/>
      <c r="C58" s="1277"/>
      <c r="D58" s="1277"/>
      <c r="E58" s="1277"/>
      <c r="F58" s="1277"/>
      <c r="G58" s="1277"/>
      <c r="H58" s="1277"/>
    </row>
    <row r="59" spans="1:8">
      <c r="A59" s="1278" t="s">
        <v>1463</v>
      </c>
      <c r="B59" s="1277"/>
      <c r="C59" s="1277"/>
      <c r="D59" s="1277"/>
      <c r="E59" s="1277"/>
      <c r="F59" s="1277"/>
      <c r="G59" s="1277"/>
      <c r="H59" s="1277"/>
    </row>
    <row r="60" spans="1:8">
      <c r="A60" s="1277"/>
      <c r="B60" s="1277"/>
      <c r="C60" s="1277"/>
      <c r="D60" s="1277"/>
      <c r="E60" s="1277"/>
      <c r="F60" s="1277"/>
      <c r="G60" s="1277"/>
      <c r="H60" s="1277"/>
    </row>
    <row r="61" spans="1:8" ht="15.75">
      <c r="A61" s="1279" t="s">
        <v>1204</v>
      </c>
      <c r="B61" s="1277"/>
      <c r="C61" s="1277"/>
      <c r="D61" s="1277"/>
      <c r="E61" s="1277"/>
      <c r="F61" s="1277"/>
      <c r="G61" s="1277"/>
      <c r="H61" s="1277"/>
    </row>
    <row r="62" spans="1:8">
      <c r="A62" s="1277"/>
      <c r="B62" s="1277"/>
      <c r="C62" s="1277"/>
      <c r="D62" s="1277"/>
      <c r="E62" s="1277"/>
      <c r="F62" s="1277"/>
      <c r="G62" s="1277"/>
      <c r="H62" s="1277"/>
    </row>
    <row r="63" spans="1:8">
      <c r="A63" s="1278" t="s">
        <v>1460</v>
      </c>
      <c r="B63" s="1277"/>
      <c r="C63" s="1277"/>
      <c r="D63" s="1277"/>
      <c r="E63" s="1277"/>
      <c r="F63" s="1277"/>
      <c r="G63" s="1277"/>
      <c r="H63" s="1277"/>
    </row>
    <row r="64" spans="1:8">
      <c r="A64" s="1278" t="s">
        <v>1461</v>
      </c>
      <c r="B64" s="1277"/>
      <c r="C64" s="1277"/>
      <c r="D64" s="1277"/>
      <c r="E64" s="1277"/>
      <c r="F64" s="1277"/>
      <c r="G64" s="1277"/>
      <c r="H64" s="1277"/>
    </row>
    <row r="65" spans="1:8">
      <c r="A65" s="1277"/>
      <c r="B65" s="1277"/>
      <c r="C65" s="1277"/>
      <c r="D65" s="1277"/>
      <c r="E65" s="1277"/>
      <c r="F65" s="1277"/>
      <c r="G65" s="1277"/>
      <c r="H65" s="1277"/>
    </row>
    <row r="66" spans="1:8">
      <c r="A66" s="1278" t="s">
        <v>1458</v>
      </c>
      <c r="B66" s="1277"/>
      <c r="C66" s="1277"/>
      <c r="D66" s="1277"/>
      <c r="E66" s="1277"/>
      <c r="F66" s="1277"/>
      <c r="G66" s="1277"/>
      <c r="H66" s="1277"/>
    </row>
    <row r="67" spans="1:8">
      <c r="A67" s="1278" t="s">
        <v>1459</v>
      </c>
      <c r="B67" s="1277"/>
      <c r="C67" s="1277"/>
      <c r="D67" s="1277"/>
      <c r="E67" s="1277"/>
      <c r="F67" s="1277"/>
      <c r="G67" s="1277"/>
      <c r="H67" s="1277"/>
    </row>
    <row r="68" spans="1:8">
      <c r="A68" s="1277"/>
      <c r="B68" s="1277"/>
      <c r="C68" s="1277"/>
      <c r="D68" s="1277"/>
      <c r="E68" s="1277"/>
      <c r="F68" s="1277"/>
      <c r="G68" s="1277"/>
      <c r="H68" s="1277"/>
    </row>
    <row r="69" spans="1:8">
      <c r="A69" s="1278" t="s">
        <v>1456</v>
      </c>
      <c r="B69" s="1277"/>
      <c r="C69" s="1277"/>
      <c r="D69" s="1277"/>
      <c r="E69" s="1277"/>
      <c r="F69" s="1277"/>
      <c r="G69" s="1277"/>
      <c r="H69" s="1277"/>
    </row>
    <row r="70" spans="1:8">
      <c r="A70" s="1278" t="s">
        <v>1457</v>
      </c>
      <c r="B70" s="1277"/>
      <c r="C70" s="1277"/>
      <c r="D70" s="1277"/>
      <c r="E70" s="1277"/>
      <c r="F70" s="1277"/>
      <c r="G70" s="1277"/>
      <c r="H70" s="1277"/>
    </row>
    <row r="71" spans="1:8">
      <c r="A71" s="1277"/>
      <c r="B71" s="1277"/>
      <c r="C71" s="1277"/>
      <c r="D71" s="1277"/>
      <c r="E71" s="1277"/>
      <c r="F71" s="1277"/>
      <c r="G71" s="1277"/>
      <c r="H71" s="1277"/>
    </row>
    <row r="72" spans="1:8">
      <c r="A72" s="1278" t="s">
        <v>1454</v>
      </c>
      <c r="B72" s="1277"/>
      <c r="C72" s="1277"/>
      <c r="D72" s="1277"/>
      <c r="E72" s="1277"/>
      <c r="F72" s="1277"/>
      <c r="G72" s="1277"/>
      <c r="H72" s="1277"/>
    </row>
    <row r="73" spans="1:8">
      <c r="A73" s="1278" t="s">
        <v>1455</v>
      </c>
      <c r="B73" s="1277"/>
      <c r="C73" s="1277"/>
      <c r="D73" s="1277"/>
      <c r="E73" s="1277"/>
      <c r="F73" s="1277"/>
      <c r="G73" s="1277"/>
      <c r="H73" s="1277"/>
    </row>
    <row r="74" spans="1:8">
      <c r="A74" s="1277"/>
      <c r="B74" s="1277"/>
      <c r="C74" s="1277"/>
      <c r="D74" s="1277"/>
      <c r="E74" s="1277"/>
      <c r="F74" s="1277"/>
      <c r="G74" s="1277"/>
      <c r="H74" s="1277"/>
    </row>
    <row r="75" spans="1:8">
      <c r="A75" s="1278" t="s">
        <v>1452</v>
      </c>
      <c r="B75" s="1277"/>
      <c r="C75" s="1277"/>
      <c r="D75" s="1277"/>
      <c r="E75" s="1277"/>
      <c r="F75" s="1277"/>
      <c r="G75" s="1277"/>
      <c r="H75" s="1277"/>
    </row>
    <row r="76" spans="1:8">
      <c r="A76" s="1278" t="s">
        <v>1453</v>
      </c>
      <c r="B76" s="1277"/>
      <c r="C76" s="1277"/>
      <c r="D76" s="1277"/>
      <c r="E76" s="1277"/>
      <c r="F76" s="1277"/>
      <c r="G76" s="1277"/>
      <c r="H76" s="1277"/>
    </row>
    <row r="77" spans="1:8">
      <c r="A77" s="1277"/>
      <c r="B77" s="1277"/>
      <c r="C77" s="1277"/>
      <c r="D77" s="1277"/>
      <c r="E77" s="1277"/>
      <c r="F77" s="1277"/>
      <c r="G77" s="1277"/>
      <c r="H77" s="1277"/>
    </row>
    <row r="78" spans="1:8">
      <c r="A78" s="1278" t="s">
        <v>1449</v>
      </c>
      <c r="B78" s="1277"/>
      <c r="C78" s="1277"/>
      <c r="D78" s="1277"/>
      <c r="E78" s="1277"/>
      <c r="F78" s="1277"/>
      <c r="G78" s="1277"/>
      <c r="H78" s="1277"/>
    </row>
    <row r="79" spans="1:8">
      <c r="A79" s="1278" t="s">
        <v>1450</v>
      </c>
      <c r="B79" s="1277"/>
      <c r="C79" s="1277"/>
      <c r="D79" s="1277"/>
      <c r="E79" s="1277"/>
      <c r="F79" s="1277"/>
      <c r="G79" s="1277"/>
      <c r="H79" s="1277"/>
    </row>
    <row r="80" spans="1:8">
      <c r="A80" s="1278" t="s">
        <v>1451</v>
      </c>
      <c r="B80" s="1277"/>
      <c r="C80" s="1277"/>
      <c r="D80" s="1277"/>
      <c r="E80" s="1277"/>
      <c r="F80" s="1277"/>
      <c r="G80" s="1277"/>
      <c r="H80" s="1277"/>
    </row>
    <row r="81" spans="1:8">
      <c r="A81" s="1277"/>
      <c r="B81" s="1277"/>
      <c r="C81" s="1277"/>
      <c r="D81" s="1277"/>
      <c r="E81" s="1277"/>
      <c r="F81" s="1277"/>
      <c r="G81" s="1277"/>
      <c r="H81" s="1277"/>
    </row>
    <row r="82" spans="1:8">
      <c r="A82" s="1278" t="s">
        <v>1205</v>
      </c>
      <c r="B82" s="1277"/>
      <c r="C82" s="1277"/>
      <c r="D82" s="1277"/>
      <c r="E82" s="1277"/>
      <c r="F82" s="1277"/>
      <c r="G82" s="1277"/>
      <c r="H82" s="1277"/>
    </row>
    <row r="83" spans="1:8">
      <c r="A83" s="1277"/>
      <c r="B83" s="1277"/>
      <c r="C83" s="1277"/>
      <c r="D83" s="1277"/>
      <c r="E83" s="1277"/>
      <c r="F83" s="1277"/>
      <c r="G83" s="1277"/>
      <c r="H83" s="1277"/>
    </row>
    <row r="84" spans="1:8">
      <c r="A84" s="1278" t="s">
        <v>1444</v>
      </c>
      <c r="B84" s="1277"/>
      <c r="C84" s="1277"/>
      <c r="D84" s="1277"/>
      <c r="E84" s="1277"/>
      <c r="F84" s="1277"/>
      <c r="G84" s="1277"/>
      <c r="H84" s="1277"/>
    </row>
    <row r="85" spans="1:8">
      <c r="A85" s="1278" t="s">
        <v>1445</v>
      </c>
      <c r="B85" s="1277"/>
      <c r="C85" s="1277"/>
      <c r="D85" s="1277"/>
      <c r="E85" s="1277"/>
      <c r="F85" s="1277"/>
      <c r="G85" s="1277"/>
      <c r="H85" s="1277"/>
    </row>
    <row r="86" spans="1:8">
      <c r="A86" s="1278" t="s">
        <v>1446</v>
      </c>
      <c r="B86" s="1277"/>
      <c r="C86" s="1277"/>
      <c r="D86" s="1277"/>
      <c r="E86" s="1277"/>
      <c r="F86" s="1277"/>
      <c r="G86" s="1277"/>
      <c r="H86" s="1277"/>
    </row>
    <row r="87" spans="1:8">
      <c r="A87" s="1278" t="s">
        <v>1447</v>
      </c>
      <c r="B87" s="1277"/>
      <c r="C87" s="1277"/>
      <c r="D87" s="1277"/>
      <c r="E87" s="1277"/>
      <c r="F87" s="1277"/>
      <c r="G87" s="1277"/>
      <c r="H87" s="1277"/>
    </row>
    <row r="88" spans="1:8">
      <c r="A88" s="1278" t="s">
        <v>1448</v>
      </c>
      <c r="B88" s="1277"/>
      <c r="C88" s="1277"/>
      <c r="D88" s="1277"/>
      <c r="E88" s="1277"/>
      <c r="F88" s="1277"/>
      <c r="G88" s="1277"/>
      <c r="H88" s="1277"/>
    </row>
    <row r="89" spans="1:8">
      <c r="A89" s="1278" t="s">
        <v>1331</v>
      </c>
      <c r="B89" s="1277"/>
      <c r="C89" s="1277"/>
      <c r="D89" s="1277"/>
      <c r="E89" s="1277"/>
      <c r="F89" s="1277"/>
      <c r="G89" s="1277"/>
      <c r="H89" s="1277"/>
    </row>
    <row r="90" spans="1:8">
      <c r="A90" s="1277"/>
      <c r="B90" s="1277"/>
      <c r="C90" s="1277"/>
      <c r="D90" s="1277"/>
      <c r="E90" s="1277"/>
      <c r="F90" s="1277"/>
      <c r="G90" s="1277"/>
      <c r="H90" s="1277"/>
    </row>
    <row r="91" spans="1:8">
      <c r="A91" s="1278" t="s">
        <v>1437</v>
      </c>
      <c r="B91" s="1277"/>
      <c r="C91" s="1277"/>
      <c r="D91" s="1277"/>
      <c r="E91" s="1277"/>
      <c r="F91" s="1277"/>
      <c r="G91" s="1277"/>
      <c r="H91" s="1277"/>
    </row>
    <row r="92" spans="1:8">
      <c r="A92" s="1278" t="s">
        <v>1438</v>
      </c>
      <c r="B92" s="1277"/>
      <c r="C92" s="1277"/>
      <c r="D92" s="1277"/>
      <c r="E92" s="1277"/>
      <c r="F92" s="1277"/>
      <c r="G92" s="1277"/>
      <c r="H92" s="1277"/>
    </row>
    <row r="93" spans="1:8">
      <c r="A93" s="1278" t="s">
        <v>1439</v>
      </c>
      <c r="B93" s="1277"/>
      <c r="C93" s="1277"/>
      <c r="D93" s="1277"/>
      <c r="E93" s="1277"/>
      <c r="F93" s="1277"/>
      <c r="G93" s="1277"/>
      <c r="H93" s="1277"/>
    </row>
    <row r="94" spans="1:8">
      <c r="A94" s="1278" t="s">
        <v>1440</v>
      </c>
      <c r="B94" s="1277"/>
      <c r="C94" s="1277"/>
      <c r="D94" s="1277"/>
      <c r="E94" s="1277"/>
      <c r="F94" s="1277"/>
      <c r="G94" s="1277"/>
      <c r="H94" s="1277"/>
    </row>
    <row r="95" spans="1:8">
      <c r="A95" s="1278" t="s">
        <v>1441</v>
      </c>
      <c r="B95" s="1277"/>
      <c r="C95" s="1277"/>
      <c r="D95" s="1277"/>
      <c r="E95" s="1277"/>
      <c r="F95" s="1277"/>
      <c r="G95" s="1277"/>
      <c r="H95" s="1277"/>
    </row>
    <row r="96" spans="1:8">
      <c r="A96" s="1278" t="s">
        <v>1442</v>
      </c>
      <c r="B96" s="1277"/>
      <c r="C96" s="1277"/>
      <c r="D96" s="1277"/>
      <c r="E96" s="1277"/>
      <c r="F96" s="1277"/>
      <c r="G96" s="1277"/>
      <c r="H96" s="1277"/>
    </row>
    <row r="97" spans="1:8">
      <c r="A97" s="1278" t="s">
        <v>1443</v>
      </c>
      <c r="B97" s="1277"/>
      <c r="C97" s="1277"/>
      <c r="D97" s="1277"/>
      <c r="E97" s="1277"/>
      <c r="F97" s="1277"/>
      <c r="G97" s="1277"/>
      <c r="H97" s="1277"/>
    </row>
    <row r="98" spans="1:8">
      <c r="A98" s="1277"/>
      <c r="B98" s="1277"/>
      <c r="C98" s="1277"/>
      <c r="D98" s="1277"/>
      <c r="E98" s="1277"/>
      <c r="F98" s="1277"/>
      <c r="G98" s="1277"/>
      <c r="H98" s="1277"/>
    </row>
    <row r="99" spans="1:8">
      <c r="A99" s="1278" t="s">
        <v>1435</v>
      </c>
      <c r="B99" s="1277"/>
      <c r="C99" s="1277"/>
      <c r="D99" s="1277"/>
      <c r="E99" s="1277"/>
      <c r="F99" s="1277"/>
      <c r="G99" s="1277"/>
      <c r="H99" s="1277"/>
    </row>
    <row r="100" spans="1:8">
      <c r="A100" s="1278" t="s">
        <v>1436</v>
      </c>
      <c r="B100" s="1277"/>
      <c r="C100" s="1277"/>
      <c r="D100" s="1277"/>
      <c r="E100" s="1277"/>
      <c r="F100" s="1277"/>
      <c r="G100" s="1277"/>
      <c r="H100" s="1277"/>
    </row>
    <row r="101" spans="1:8">
      <c r="A101" s="1277"/>
      <c r="B101" s="1277"/>
      <c r="C101" s="1277"/>
      <c r="D101" s="1277"/>
      <c r="E101" s="1277"/>
      <c r="F101" s="1277"/>
      <c r="G101" s="1277"/>
      <c r="H101" s="1277"/>
    </row>
    <row r="102" spans="1:8" ht="15.75">
      <c r="A102" s="1279" t="s">
        <v>1206</v>
      </c>
      <c r="B102" s="1277"/>
      <c r="C102" s="1277"/>
      <c r="D102" s="1277"/>
      <c r="E102" s="1277"/>
      <c r="F102" s="1277"/>
      <c r="G102" s="1277"/>
      <c r="H102" s="1277"/>
    </row>
    <row r="103" spans="1:8">
      <c r="A103" s="1277"/>
      <c r="B103" s="1277"/>
      <c r="C103" s="1277"/>
      <c r="D103" s="1277"/>
      <c r="E103" s="1277"/>
      <c r="F103" s="1277"/>
      <c r="G103" s="1277"/>
      <c r="H103" s="1277"/>
    </row>
    <row r="104" spans="1:8">
      <c r="A104" s="1278" t="s">
        <v>1426</v>
      </c>
      <c r="B104" s="1277"/>
      <c r="C104" s="1277"/>
      <c r="D104" s="1277"/>
      <c r="E104" s="1277"/>
      <c r="F104" s="1277"/>
      <c r="G104" s="1277"/>
      <c r="H104" s="1277"/>
    </row>
    <row r="105" spans="1:8">
      <c r="A105" s="1278" t="s">
        <v>1427</v>
      </c>
      <c r="B105" s="1277"/>
      <c r="C105" s="1277"/>
      <c r="D105" s="1277"/>
      <c r="E105" s="1277"/>
      <c r="F105" s="1277"/>
      <c r="G105" s="1277"/>
      <c r="H105" s="1277"/>
    </row>
    <row r="106" spans="1:8">
      <c r="A106" s="1278" t="s">
        <v>1428</v>
      </c>
      <c r="B106" s="1277"/>
      <c r="C106" s="1277"/>
      <c r="D106" s="1277"/>
      <c r="E106" s="1277"/>
      <c r="F106" s="1277"/>
      <c r="G106" s="1277"/>
      <c r="H106" s="1277"/>
    </row>
    <row r="107" spans="1:8">
      <c r="A107" s="1278" t="s">
        <v>1429</v>
      </c>
      <c r="B107" s="1277"/>
      <c r="C107" s="1277"/>
      <c r="D107" s="1277"/>
      <c r="E107" s="1277"/>
      <c r="F107" s="1277"/>
      <c r="G107" s="1277"/>
      <c r="H107" s="1277"/>
    </row>
    <row r="108" spans="1:8">
      <c r="A108" s="1278" t="s">
        <v>1430</v>
      </c>
      <c r="B108" s="1277"/>
      <c r="C108" s="1277"/>
      <c r="D108" s="1277"/>
      <c r="E108" s="1277"/>
      <c r="F108" s="1277"/>
      <c r="G108" s="1277"/>
      <c r="H108" s="1277"/>
    </row>
    <row r="109" spans="1:8">
      <c r="A109" s="1278" t="s">
        <v>1431</v>
      </c>
      <c r="B109" s="1277"/>
      <c r="C109" s="1277"/>
      <c r="D109" s="1277"/>
      <c r="E109" s="1277"/>
      <c r="F109" s="1277"/>
      <c r="G109" s="1277"/>
      <c r="H109" s="1277"/>
    </row>
    <row r="110" spans="1:8">
      <c r="A110" s="1278" t="s">
        <v>1432</v>
      </c>
      <c r="B110" s="1277"/>
      <c r="C110" s="1277"/>
      <c r="D110" s="1277"/>
      <c r="E110" s="1277"/>
      <c r="F110" s="1277"/>
      <c r="G110" s="1277"/>
      <c r="H110" s="1277"/>
    </row>
    <row r="111" spans="1:8">
      <c r="A111" s="1278" t="s">
        <v>1433</v>
      </c>
      <c r="B111" s="1277"/>
      <c r="C111" s="1277"/>
      <c r="D111" s="1277"/>
      <c r="E111" s="1277"/>
      <c r="F111" s="1277"/>
      <c r="G111" s="1277"/>
      <c r="H111" s="1277"/>
    </row>
    <row r="112" spans="1:8">
      <c r="A112" s="1278" t="s">
        <v>1434</v>
      </c>
      <c r="B112" s="1277"/>
      <c r="C112" s="1277"/>
      <c r="D112" s="1277"/>
      <c r="E112" s="1277"/>
      <c r="F112" s="1277"/>
      <c r="G112" s="1277"/>
      <c r="H112" s="1277"/>
    </row>
    <row r="113" spans="1:8">
      <c r="A113" s="1277"/>
      <c r="B113" s="1277"/>
      <c r="C113" s="1277"/>
      <c r="D113" s="1277"/>
      <c r="E113" s="1277"/>
      <c r="F113" s="1277"/>
      <c r="G113" s="1277"/>
      <c r="H113" s="1277"/>
    </row>
    <row r="114" spans="1:8" ht="15.75">
      <c r="A114" s="1280" t="s">
        <v>1207</v>
      </c>
      <c r="B114" s="1280"/>
      <c r="C114" s="1280"/>
      <c r="D114" s="1280"/>
      <c r="E114" s="1280"/>
      <c r="F114" s="1280"/>
      <c r="G114" s="1280"/>
      <c r="H114" s="1280"/>
    </row>
    <row r="115" spans="1:8">
      <c r="A115" s="1281" t="s">
        <v>1208</v>
      </c>
      <c r="B115" s="1281"/>
      <c r="C115" s="1281"/>
      <c r="D115" s="1281"/>
      <c r="E115" s="1281"/>
      <c r="F115" s="1281"/>
      <c r="G115" s="1281"/>
      <c r="H115" s="1281"/>
    </row>
    <row r="116" spans="1:8">
      <c r="A116" s="1282"/>
      <c r="B116" s="1282"/>
      <c r="C116" s="1282"/>
      <c r="D116" s="1282"/>
      <c r="E116" s="1282"/>
      <c r="F116" s="1282"/>
      <c r="G116" s="1282"/>
      <c r="H116" s="1282"/>
    </row>
    <row r="117" spans="1:8">
      <c r="A117" s="1281" t="s">
        <v>1424</v>
      </c>
      <c r="B117" s="1281"/>
      <c r="C117" s="1281"/>
      <c r="D117" s="1281"/>
      <c r="E117" s="1281"/>
      <c r="F117" s="1281"/>
      <c r="G117" s="1281"/>
      <c r="H117" s="1281"/>
    </row>
    <row r="118" spans="1:8">
      <c r="A118" s="1278" t="s">
        <v>1425</v>
      </c>
      <c r="B118" s="1278"/>
      <c r="C118" s="1278"/>
      <c r="D118" s="1278"/>
      <c r="E118" s="1278"/>
      <c r="F118" s="1278"/>
      <c r="G118" s="1278"/>
      <c r="H118" s="1278"/>
    </row>
    <row r="119" spans="1:8">
      <c r="A119" s="1282"/>
      <c r="B119" s="1282"/>
      <c r="C119" s="1282"/>
      <c r="D119" s="1282"/>
      <c r="E119" s="1282"/>
      <c r="F119" s="1282"/>
      <c r="G119" s="1282"/>
      <c r="H119" s="1282"/>
    </row>
    <row r="120" spans="1:8">
      <c r="A120" s="1281" t="s">
        <v>1417</v>
      </c>
      <c r="B120" s="1281"/>
      <c r="C120" s="1281"/>
      <c r="D120" s="1281"/>
      <c r="E120" s="1281"/>
      <c r="F120" s="1281"/>
      <c r="G120" s="1281"/>
      <c r="H120" s="1281"/>
    </row>
    <row r="121" spans="1:8">
      <c r="A121" s="1278" t="s">
        <v>1418</v>
      </c>
      <c r="B121" s="1278"/>
      <c r="C121" s="1278"/>
      <c r="D121" s="1278"/>
      <c r="E121" s="1278"/>
      <c r="F121" s="1278"/>
      <c r="G121" s="1278"/>
      <c r="H121" s="1278"/>
    </row>
    <row r="122" spans="1:8">
      <c r="A122" s="1278" t="s">
        <v>1419</v>
      </c>
      <c r="B122" s="1278"/>
      <c r="C122" s="1278"/>
      <c r="D122" s="1278"/>
      <c r="E122" s="1278"/>
      <c r="F122" s="1278"/>
      <c r="G122" s="1278"/>
      <c r="H122" s="1278"/>
    </row>
    <row r="123" spans="1:8">
      <c r="A123" s="1278" t="s">
        <v>1420</v>
      </c>
      <c r="B123" s="1278"/>
      <c r="C123" s="1278"/>
      <c r="D123" s="1278"/>
      <c r="E123" s="1278"/>
      <c r="F123" s="1278"/>
      <c r="G123" s="1278"/>
      <c r="H123" s="1278"/>
    </row>
    <row r="124" spans="1:8">
      <c r="A124" s="1278" t="s">
        <v>1421</v>
      </c>
      <c r="B124" s="1278"/>
      <c r="C124" s="1278"/>
      <c r="D124" s="1278"/>
      <c r="E124" s="1278"/>
      <c r="F124" s="1278"/>
      <c r="G124" s="1278"/>
      <c r="H124" s="1278"/>
    </row>
    <row r="125" spans="1:8">
      <c r="A125" s="1278" t="s">
        <v>1422</v>
      </c>
      <c r="B125" s="1278"/>
      <c r="C125" s="1278"/>
      <c r="D125" s="1278"/>
      <c r="E125" s="1278"/>
      <c r="F125" s="1278"/>
      <c r="G125" s="1278"/>
      <c r="H125" s="1278"/>
    </row>
    <row r="126" spans="1:8">
      <c r="A126" s="1278" t="s">
        <v>1423</v>
      </c>
      <c r="B126" s="1278"/>
      <c r="C126" s="1278"/>
      <c r="D126" s="1278"/>
      <c r="E126" s="1278"/>
      <c r="F126" s="1278"/>
      <c r="G126" s="1278"/>
      <c r="H126" s="1278"/>
    </row>
    <row r="127" spans="1:8">
      <c r="A127" s="1283"/>
      <c r="B127" s="1283"/>
      <c r="C127" s="1283"/>
      <c r="D127" s="1283"/>
      <c r="E127" s="1283"/>
      <c r="F127" s="1283"/>
      <c r="G127" s="1283"/>
      <c r="H127" s="1283"/>
    </row>
    <row r="128" spans="1:8">
      <c r="A128" s="1284"/>
      <c r="B128" s="1285" t="s">
        <v>1209</v>
      </c>
      <c r="C128" s="1286"/>
      <c r="D128" s="1285" t="s">
        <v>1210</v>
      </c>
      <c r="E128" s="1287"/>
      <c r="F128" s="1286"/>
      <c r="G128" s="1285" t="s">
        <v>1211</v>
      </c>
      <c r="H128" s="1286"/>
    </row>
    <row r="129" spans="1:8">
      <c r="A129" s="1284" t="s">
        <v>1212</v>
      </c>
      <c r="B129" s="1284" t="s">
        <v>158</v>
      </c>
      <c r="C129" s="1284" t="s">
        <v>1213</v>
      </c>
      <c r="D129" s="1284" t="s">
        <v>158</v>
      </c>
      <c r="E129" s="1284" t="s">
        <v>1214</v>
      </c>
      <c r="F129" s="1284" t="s">
        <v>1215</v>
      </c>
      <c r="G129" s="1284" t="s">
        <v>158</v>
      </c>
      <c r="H129" s="1284" t="s">
        <v>1216</v>
      </c>
    </row>
    <row r="130" spans="1:8">
      <c r="A130" s="1284" t="s">
        <v>1217</v>
      </c>
      <c r="B130" s="1284">
        <v>1189</v>
      </c>
      <c r="C130" s="1288">
        <v>0.38</v>
      </c>
      <c r="D130" s="1284">
        <v>315</v>
      </c>
      <c r="E130" s="1288">
        <v>0.41</v>
      </c>
      <c r="F130" s="1288">
        <v>0.26</v>
      </c>
      <c r="G130" s="1284">
        <v>555</v>
      </c>
      <c r="H130" s="1288">
        <v>0.39</v>
      </c>
    </row>
    <row r="131" spans="1:8">
      <c r="A131" s="1284" t="s">
        <v>1218</v>
      </c>
      <c r="B131" s="1284">
        <v>1355</v>
      </c>
      <c r="C131" s="1288">
        <v>0.43</v>
      </c>
      <c r="D131" s="1284">
        <v>364</v>
      </c>
      <c r="E131" s="1288">
        <v>0.47</v>
      </c>
      <c r="F131" s="1288">
        <v>0.27</v>
      </c>
      <c r="G131" s="1284">
        <v>644</v>
      </c>
      <c r="H131" s="1288">
        <v>0.45</v>
      </c>
    </row>
    <row r="132" spans="1:8">
      <c r="A132" s="1284" t="s">
        <v>1219</v>
      </c>
      <c r="B132" s="1284">
        <v>53</v>
      </c>
      <c r="C132" s="1288">
        <v>0.02</v>
      </c>
      <c r="D132" s="1284">
        <v>4</v>
      </c>
      <c r="E132" s="1288">
        <v>0.01</v>
      </c>
      <c r="F132" s="1288">
        <v>0.08</v>
      </c>
      <c r="G132" s="1284">
        <v>7</v>
      </c>
      <c r="H132" s="1288">
        <v>0</v>
      </c>
    </row>
    <row r="133" spans="1:8">
      <c r="A133" s="1284" t="s">
        <v>1220</v>
      </c>
      <c r="B133" s="1284">
        <v>545</v>
      </c>
      <c r="C133" s="1288">
        <v>0.17</v>
      </c>
      <c r="D133" s="1284">
        <v>84</v>
      </c>
      <c r="E133" s="1288">
        <v>0.11</v>
      </c>
      <c r="F133" s="1288">
        <v>0.15</v>
      </c>
      <c r="G133" s="1284">
        <v>214</v>
      </c>
      <c r="H133" s="1288">
        <v>0.15</v>
      </c>
    </row>
    <row r="134" spans="1:8">
      <c r="A134" s="1284" t="s">
        <v>419</v>
      </c>
      <c r="B134" s="1289">
        <v>3142</v>
      </c>
      <c r="C134" s="1284"/>
      <c r="D134" s="1284">
        <v>767</v>
      </c>
      <c r="E134" s="1284"/>
      <c r="F134" s="1284"/>
      <c r="G134" s="1284">
        <v>1420</v>
      </c>
      <c r="H134" s="1284"/>
    </row>
    <row r="135" spans="1:8">
      <c r="A135" s="1290"/>
      <c r="B135" s="1290"/>
      <c r="C135" s="1290"/>
      <c r="D135" s="1290"/>
      <c r="E135" s="1290"/>
      <c r="F135" s="1290"/>
      <c r="G135" s="1290"/>
      <c r="H135" s="1290"/>
    </row>
    <row r="136" spans="1:8">
      <c r="A136" s="1281" t="s">
        <v>1413</v>
      </c>
      <c r="B136" s="1281"/>
      <c r="C136" s="1281"/>
      <c r="D136" s="1281"/>
      <c r="E136" s="1281"/>
      <c r="F136" s="1281"/>
      <c r="G136" s="1281"/>
      <c r="H136" s="1281"/>
    </row>
    <row r="137" spans="1:8">
      <c r="A137" s="1278" t="s">
        <v>1414</v>
      </c>
      <c r="B137" s="1278"/>
      <c r="C137" s="1278"/>
      <c r="D137" s="1278"/>
      <c r="E137" s="1278"/>
      <c r="F137" s="1278"/>
      <c r="G137" s="1278"/>
      <c r="H137" s="1278"/>
    </row>
    <row r="138" spans="1:8">
      <c r="A138" s="1278" t="s">
        <v>1415</v>
      </c>
      <c r="B138" s="1278"/>
      <c r="C138" s="1278"/>
      <c r="D138" s="1278"/>
      <c r="E138" s="1278"/>
      <c r="F138" s="1278"/>
      <c r="G138" s="1278"/>
      <c r="H138" s="1278"/>
    </row>
    <row r="139" spans="1:8">
      <c r="A139" s="1278" t="s">
        <v>1416</v>
      </c>
      <c r="B139" s="1278"/>
      <c r="C139" s="1278"/>
      <c r="D139" s="1278"/>
      <c r="E139" s="1278"/>
      <c r="F139" s="1278"/>
      <c r="G139" s="1278"/>
      <c r="H139" s="1278"/>
    </row>
    <row r="140" spans="1:8">
      <c r="A140" s="1277"/>
      <c r="B140" s="1277"/>
      <c r="C140" s="1277"/>
      <c r="D140" s="1277"/>
      <c r="E140" s="1277"/>
      <c r="F140" s="1277"/>
      <c r="G140" s="1277"/>
      <c r="H140" s="1277"/>
    </row>
    <row r="141" spans="1:8" ht="15.75">
      <c r="A141" s="1279" t="s">
        <v>1221</v>
      </c>
      <c r="B141" s="1277"/>
      <c r="C141" s="1277"/>
      <c r="D141" s="1277"/>
      <c r="E141" s="1277"/>
      <c r="F141" s="1277"/>
      <c r="G141" s="1277"/>
      <c r="H141" s="1277"/>
    </row>
    <row r="142" spans="1:8">
      <c r="A142" s="1277"/>
      <c r="B142" s="1277"/>
      <c r="C142" s="1277"/>
      <c r="D142" s="1277"/>
      <c r="E142" s="1277"/>
      <c r="F142" s="1277"/>
      <c r="G142" s="1277"/>
      <c r="H142" s="1277"/>
    </row>
    <row r="143" spans="1:8">
      <c r="A143" s="1278" t="s">
        <v>1411</v>
      </c>
      <c r="B143" s="1277"/>
      <c r="C143" s="1277"/>
      <c r="D143" s="1277"/>
      <c r="E143" s="1277"/>
      <c r="F143" s="1277"/>
      <c r="G143" s="1277"/>
      <c r="H143" s="1277"/>
    </row>
    <row r="144" spans="1:8">
      <c r="A144" s="1278" t="s">
        <v>1412</v>
      </c>
      <c r="B144" s="1277"/>
      <c r="C144" s="1277"/>
      <c r="D144" s="1277"/>
      <c r="E144" s="1277"/>
      <c r="F144" s="1277"/>
      <c r="G144" s="1277"/>
      <c r="H144" s="1277"/>
    </row>
    <row r="145" spans="1:8">
      <c r="A145" s="1277"/>
      <c r="B145" s="1277"/>
      <c r="C145" s="1277"/>
      <c r="D145" s="1277"/>
      <c r="E145" s="1277"/>
      <c r="F145" s="1277"/>
      <c r="G145" s="1277"/>
      <c r="H145" s="1277"/>
    </row>
    <row r="146" spans="1:8">
      <c r="A146" s="1278" t="s">
        <v>1408</v>
      </c>
      <c r="B146" s="1277"/>
      <c r="C146" s="1277"/>
      <c r="D146" s="1277"/>
      <c r="E146" s="1277"/>
      <c r="F146" s="1277"/>
      <c r="G146" s="1277"/>
      <c r="H146" s="1277"/>
    </row>
    <row r="147" spans="1:8">
      <c r="A147" s="1278" t="s">
        <v>1409</v>
      </c>
      <c r="B147" s="1277"/>
      <c r="C147" s="1277"/>
      <c r="D147" s="1277"/>
      <c r="E147" s="1277"/>
      <c r="F147" s="1277"/>
      <c r="G147" s="1277"/>
      <c r="H147" s="1277"/>
    </row>
    <row r="148" spans="1:8">
      <c r="A148" s="1278" t="s">
        <v>1410</v>
      </c>
      <c r="B148" s="1277"/>
      <c r="C148" s="1277"/>
      <c r="D148" s="1277"/>
      <c r="E148" s="1277"/>
      <c r="F148" s="1277"/>
      <c r="G148" s="1277"/>
      <c r="H148" s="1277"/>
    </row>
    <row r="149" spans="1:8">
      <c r="A149" s="1277"/>
      <c r="B149" s="1277"/>
      <c r="C149" s="1277"/>
      <c r="D149" s="1277"/>
      <c r="E149" s="1277"/>
      <c r="F149" s="1277"/>
      <c r="G149" s="1277"/>
      <c r="H149" s="1277"/>
    </row>
    <row r="150" spans="1:8">
      <c r="A150" s="1278" t="s">
        <v>1405</v>
      </c>
      <c r="B150" s="1277"/>
      <c r="C150" s="1277"/>
      <c r="D150" s="1277"/>
      <c r="E150" s="1277"/>
      <c r="F150" s="1277"/>
      <c r="G150" s="1277"/>
      <c r="H150" s="1277"/>
    </row>
    <row r="151" spans="1:8">
      <c r="A151" s="1278" t="s">
        <v>1406</v>
      </c>
      <c r="B151" s="1277"/>
      <c r="C151" s="1277"/>
      <c r="D151" s="1277"/>
      <c r="E151" s="1277"/>
      <c r="F151" s="1277"/>
      <c r="G151" s="1277"/>
      <c r="H151" s="1277"/>
    </row>
    <row r="152" spans="1:8">
      <c r="A152" s="1278" t="s">
        <v>1407</v>
      </c>
      <c r="B152" s="1277"/>
      <c r="C152" s="1277"/>
      <c r="D152" s="1277"/>
      <c r="E152" s="1277"/>
      <c r="F152" s="1277"/>
      <c r="G152" s="1277"/>
      <c r="H152" s="1277"/>
    </row>
    <row r="153" spans="1:8">
      <c r="A153" s="1277"/>
      <c r="B153" s="1277"/>
      <c r="C153" s="1277"/>
      <c r="D153" s="1277"/>
      <c r="E153" s="1277"/>
      <c r="F153" s="1277"/>
      <c r="G153" s="1277"/>
      <c r="H153" s="1277"/>
    </row>
    <row r="154" spans="1:8">
      <c r="A154" s="1278" t="s">
        <v>1402</v>
      </c>
      <c r="B154" s="1277"/>
      <c r="C154" s="1277"/>
      <c r="D154" s="1277"/>
      <c r="E154" s="1277"/>
      <c r="F154" s="1277"/>
      <c r="G154" s="1277"/>
      <c r="H154" s="1277"/>
    </row>
    <row r="155" spans="1:8">
      <c r="A155" s="1278" t="s">
        <v>1403</v>
      </c>
      <c r="B155" s="1277"/>
      <c r="C155" s="1277"/>
      <c r="D155" s="1277"/>
      <c r="E155" s="1277"/>
      <c r="F155" s="1277"/>
      <c r="G155" s="1277"/>
      <c r="H155" s="1277"/>
    </row>
    <row r="156" spans="1:8">
      <c r="A156" s="1278" t="s">
        <v>1404</v>
      </c>
      <c r="B156" s="1277"/>
      <c r="C156" s="1277"/>
      <c r="D156" s="1277"/>
      <c r="E156" s="1277"/>
      <c r="F156" s="1277"/>
      <c r="G156" s="1277"/>
      <c r="H156" s="1277"/>
    </row>
    <row r="157" spans="1:8">
      <c r="A157" s="1277"/>
      <c r="B157" s="1277"/>
      <c r="C157" s="1277"/>
      <c r="D157" s="1277"/>
      <c r="E157" s="1277"/>
      <c r="F157" s="1277"/>
      <c r="G157" s="1277"/>
      <c r="H157" s="1277"/>
    </row>
    <row r="158" spans="1:8">
      <c r="A158" s="1278" t="s">
        <v>1400</v>
      </c>
      <c r="B158" s="1277"/>
      <c r="C158" s="1277"/>
      <c r="D158" s="1277"/>
      <c r="E158" s="1277"/>
      <c r="F158" s="1277"/>
      <c r="G158" s="1277"/>
      <c r="H158" s="1277"/>
    </row>
    <row r="159" spans="1:8">
      <c r="A159" s="1278" t="s">
        <v>1401</v>
      </c>
      <c r="B159" s="1277"/>
      <c r="C159" s="1277"/>
      <c r="D159" s="1277"/>
      <c r="E159" s="1277"/>
      <c r="F159" s="1277"/>
      <c r="G159" s="1277"/>
      <c r="H159" s="1277"/>
    </row>
    <row r="160" spans="1:8">
      <c r="A160" s="1277"/>
      <c r="B160" s="1277"/>
      <c r="C160" s="1277"/>
      <c r="D160" s="1277"/>
      <c r="E160" s="1277"/>
      <c r="F160" s="1277"/>
      <c r="G160" s="1277"/>
      <c r="H160" s="1277"/>
    </row>
    <row r="161" spans="1:8" ht="15.75">
      <c r="A161" s="1279" t="s">
        <v>1222</v>
      </c>
      <c r="B161" s="1277"/>
      <c r="C161" s="1277"/>
      <c r="D161" s="1277"/>
      <c r="E161" s="1277"/>
      <c r="F161" s="1277"/>
      <c r="G161" s="1277"/>
      <c r="H161" s="1277"/>
    </row>
    <row r="162" spans="1:8">
      <c r="A162" s="1277"/>
      <c r="B162" s="1277"/>
      <c r="C162" s="1277"/>
      <c r="D162" s="1277"/>
      <c r="E162" s="1277"/>
      <c r="F162" s="1277"/>
      <c r="G162" s="1277"/>
      <c r="H162" s="1277"/>
    </row>
    <row r="163" spans="1:8">
      <c r="A163" s="1278" t="s">
        <v>1398</v>
      </c>
      <c r="B163" s="1277"/>
      <c r="C163" s="1277"/>
      <c r="D163" s="1277"/>
      <c r="E163" s="1277"/>
      <c r="F163" s="1277"/>
      <c r="G163" s="1277"/>
      <c r="H163" s="1277"/>
    </row>
    <row r="164" spans="1:8">
      <c r="A164" s="1278" t="s">
        <v>1399</v>
      </c>
      <c r="B164" s="1277"/>
      <c r="C164" s="1277"/>
      <c r="D164" s="1277"/>
      <c r="E164" s="1277"/>
      <c r="F164" s="1277"/>
      <c r="G164" s="1277"/>
      <c r="H164" s="1277"/>
    </row>
    <row r="165" spans="1:8">
      <c r="A165" s="1277"/>
      <c r="B165" s="1277"/>
      <c r="C165" s="1277"/>
      <c r="D165" s="1277"/>
      <c r="E165" s="1277"/>
      <c r="F165" s="1277"/>
      <c r="G165" s="1277"/>
      <c r="H165" s="1277"/>
    </row>
    <row r="166" spans="1:8">
      <c r="A166" s="1278" t="s">
        <v>1396</v>
      </c>
      <c r="B166" s="1277"/>
      <c r="C166" s="1277"/>
      <c r="D166" s="1277"/>
      <c r="E166" s="1277"/>
      <c r="F166" s="1277"/>
      <c r="G166" s="1277"/>
      <c r="H166" s="1277"/>
    </row>
    <row r="167" spans="1:8">
      <c r="A167" s="1278" t="s">
        <v>1397</v>
      </c>
      <c r="B167" s="1277"/>
      <c r="C167" s="1277"/>
      <c r="D167" s="1277"/>
      <c r="E167" s="1277"/>
      <c r="F167" s="1277"/>
      <c r="G167" s="1277"/>
      <c r="H167" s="1277"/>
    </row>
    <row r="168" spans="1:8">
      <c r="A168" s="1277"/>
      <c r="B168" s="1277"/>
      <c r="C168" s="1277"/>
      <c r="D168" s="1277"/>
      <c r="E168" s="1277"/>
      <c r="F168" s="1277"/>
      <c r="G168" s="1277"/>
      <c r="H168" s="1277"/>
    </row>
    <row r="169" spans="1:8">
      <c r="A169" s="1278" t="s">
        <v>1394</v>
      </c>
      <c r="B169" s="1277"/>
      <c r="C169" s="1277"/>
      <c r="D169" s="1277"/>
      <c r="E169" s="1277"/>
      <c r="F169" s="1277"/>
      <c r="G169" s="1277"/>
      <c r="H169" s="1277"/>
    </row>
    <row r="170" spans="1:8">
      <c r="A170" s="1278" t="s">
        <v>1395</v>
      </c>
      <c r="B170" s="1277"/>
      <c r="C170" s="1277"/>
      <c r="D170" s="1277"/>
      <c r="E170" s="1277"/>
      <c r="F170" s="1277"/>
      <c r="G170" s="1277"/>
      <c r="H170" s="1277"/>
    </row>
    <row r="171" spans="1:8">
      <c r="A171" s="1277"/>
      <c r="B171" s="1277"/>
      <c r="C171" s="1277"/>
      <c r="D171" s="1277"/>
      <c r="E171" s="1277"/>
      <c r="F171" s="1277"/>
      <c r="G171" s="1277"/>
      <c r="H171" s="1277"/>
    </row>
    <row r="172" spans="1:8">
      <c r="A172" s="1278" t="s">
        <v>1391</v>
      </c>
      <c r="B172" s="1277"/>
      <c r="C172" s="1277"/>
      <c r="D172" s="1277"/>
      <c r="E172" s="1277"/>
      <c r="F172" s="1277"/>
      <c r="G172" s="1277"/>
      <c r="H172" s="1277"/>
    </row>
    <row r="173" spans="1:8">
      <c r="A173" s="1278" t="s">
        <v>1392</v>
      </c>
      <c r="B173" s="1277"/>
      <c r="C173" s="1277"/>
      <c r="D173" s="1277"/>
      <c r="E173" s="1277"/>
      <c r="F173" s="1277"/>
      <c r="G173" s="1277"/>
      <c r="H173" s="1277"/>
    </row>
    <row r="174" spans="1:8">
      <c r="A174" s="1278" t="s">
        <v>1393</v>
      </c>
      <c r="B174" s="1277"/>
      <c r="C174" s="1277"/>
      <c r="D174" s="1277"/>
      <c r="E174" s="1277"/>
      <c r="F174" s="1277"/>
      <c r="G174" s="1277"/>
      <c r="H174" s="1277"/>
    </row>
    <row r="175" spans="1:8">
      <c r="A175" s="1277"/>
      <c r="B175" s="1277"/>
      <c r="C175" s="1277"/>
      <c r="D175" s="1277"/>
      <c r="E175" s="1277"/>
      <c r="F175" s="1277"/>
      <c r="G175" s="1277"/>
      <c r="H175" s="1277"/>
    </row>
    <row r="176" spans="1:8">
      <c r="A176" s="1277"/>
      <c r="B176" s="1277"/>
      <c r="C176" s="1277"/>
      <c r="D176" s="1277"/>
      <c r="E176" s="1277"/>
      <c r="F176" s="1277"/>
      <c r="G176" s="1277"/>
      <c r="H176" s="1277"/>
    </row>
    <row r="177" spans="1:8">
      <c r="A177" s="1278" t="s">
        <v>1223</v>
      </c>
      <c r="B177" s="1277"/>
      <c r="C177" s="1277"/>
      <c r="D177" s="1277"/>
      <c r="E177" s="1277"/>
      <c r="F177" s="1277"/>
      <c r="G177" s="1277"/>
      <c r="H177" s="1277"/>
    </row>
    <row r="178" spans="1:8">
      <c r="A178" s="1277"/>
      <c r="B178" s="1277"/>
      <c r="C178" s="1277"/>
      <c r="D178" s="1277"/>
      <c r="E178" s="1277"/>
      <c r="F178" s="1277"/>
      <c r="G178" s="1277"/>
      <c r="H178" s="1277"/>
    </row>
    <row r="179" spans="1:8" ht="15.75">
      <c r="A179" s="1279" t="s">
        <v>1224</v>
      </c>
      <c r="B179" s="1277"/>
      <c r="C179" s="1277"/>
      <c r="D179" s="1277"/>
      <c r="E179" s="1277"/>
      <c r="F179" s="1277"/>
      <c r="G179" s="1277"/>
      <c r="H179" s="1277"/>
    </row>
    <row r="180" spans="1:8">
      <c r="A180" s="1277"/>
      <c r="B180" s="1277"/>
      <c r="C180" s="1277"/>
      <c r="D180" s="1277"/>
      <c r="E180" s="1277"/>
      <c r="F180" s="1277"/>
      <c r="G180" s="1277"/>
      <c r="H180" s="1277"/>
    </row>
    <row r="181" spans="1:8">
      <c r="A181" s="1277"/>
      <c r="B181" s="1277"/>
      <c r="C181" s="1277"/>
      <c r="D181" s="1277"/>
      <c r="E181" s="1277"/>
      <c r="F181" s="1277"/>
      <c r="G181" s="1277"/>
      <c r="H181" s="1277"/>
    </row>
    <row r="182" spans="1:8">
      <c r="A182" s="1277"/>
      <c r="B182" s="1277"/>
      <c r="C182" s="1277"/>
      <c r="D182" s="1277"/>
      <c r="E182" s="1277"/>
      <c r="F182" s="1277"/>
      <c r="G182" s="1277"/>
      <c r="H182" s="1277"/>
    </row>
    <row r="183" spans="1:8">
      <c r="A183" s="1277"/>
      <c r="B183" s="1277"/>
      <c r="C183" s="1277"/>
      <c r="D183" s="1277"/>
      <c r="E183" s="1277"/>
      <c r="F183" s="1277"/>
      <c r="G183" s="1277"/>
      <c r="H183" s="1277"/>
    </row>
    <row r="184" spans="1:8">
      <c r="A184" s="1277"/>
      <c r="B184" s="1277"/>
      <c r="C184" s="1277"/>
      <c r="D184" s="1277"/>
      <c r="E184" s="1277"/>
      <c r="F184" s="1277"/>
      <c r="G184" s="1277"/>
      <c r="H184" s="1277"/>
    </row>
    <row r="185" spans="1:8">
      <c r="A185" s="1277"/>
      <c r="B185" s="1277"/>
      <c r="C185" s="1277"/>
      <c r="D185" s="1277"/>
      <c r="E185" s="1277"/>
      <c r="F185" s="1277"/>
      <c r="G185" s="1277"/>
      <c r="H185" s="1277"/>
    </row>
    <row r="186" spans="1:8">
      <c r="A186" s="1277"/>
      <c r="B186" s="1277"/>
      <c r="C186" s="1277"/>
      <c r="D186" s="1277"/>
      <c r="E186" s="1277"/>
      <c r="F186" s="1277"/>
      <c r="G186" s="1277"/>
      <c r="H186" s="1277"/>
    </row>
    <row r="187" spans="1:8">
      <c r="A187" s="1277"/>
      <c r="B187" s="1277"/>
      <c r="C187" s="1277"/>
      <c r="D187" s="1277"/>
      <c r="E187" s="1277"/>
      <c r="F187" s="1277"/>
      <c r="G187" s="1277"/>
      <c r="H187" s="1277"/>
    </row>
    <row r="188" spans="1:8">
      <c r="A188" s="1277"/>
      <c r="B188" s="1277"/>
      <c r="C188" s="1277"/>
      <c r="D188" s="1277"/>
      <c r="E188" s="1277"/>
      <c r="F188" s="1277"/>
      <c r="G188" s="1277"/>
      <c r="H188" s="1277"/>
    </row>
    <row r="189" spans="1:8">
      <c r="A189" s="1277"/>
      <c r="B189" s="1277"/>
      <c r="C189" s="1277"/>
      <c r="D189" s="1277"/>
      <c r="E189" s="1277"/>
      <c r="F189" s="1277"/>
      <c r="G189" s="1277"/>
      <c r="H189" s="1277"/>
    </row>
    <row r="190" spans="1:8">
      <c r="A190" s="1277"/>
      <c r="B190" s="1277"/>
      <c r="C190" s="1277"/>
      <c r="D190" s="1277"/>
      <c r="E190" s="1277"/>
      <c r="F190" s="1277"/>
      <c r="G190" s="1277"/>
      <c r="H190" s="1277"/>
    </row>
    <row r="191" spans="1:8">
      <c r="A191" s="1277"/>
      <c r="B191" s="1277"/>
      <c r="C191" s="1277"/>
      <c r="D191" s="1277"/>
      <c r="E191" s="1277"/>
      <c r="F191" s="1277"/>
      <c r="G191" s="1277"/>
      <c r="H191" s="1277"/>
    </row>
    <row r="192" spans="1:8">
      <c r="A192" s="1277"/>
      <c r="B192" s="1277"/>
      <c r="C192" s="1277"/>
      <c r="D192" s="1277"/>
      <c r="E192" s="1277"/>
      <c r="F192" s="1277"/>
      <c r="G192" s="1277"/>
      <c r="H192" s="1277"/>
    </row>
    <row r="193" spans="1:8">
      <c r="A193" s="1277"/>
      <c r="B193" s="1277"/>
      <c r="C193" s="1277"/>
      <c r="D193" s="1277"/>
      <c r="E193" s="1277"/>
      <c r="F193" s="1277"/>
      <c r="G193" s="1277"/>
      <c r="H193" s="1277"/>
    </row>
    <row r="194" spans="1:8">
      <c r="A194" s="1277"/>
      <c r="B194" s="1277"/>
      <c r="C194" s="1277"/>
      <c r="D194" s="1277"/>
      <c r="E194" s="1277"/>
      <c r="F194" s="1277"/>
      <c r="G194" s="1277"/>
      <c r="H194" s="1277"/>
    </row>
    <row r="195" spans="1:8">
      <c r="A195" s="1277"/>
      <c r="B195" s="1277"/>
      <c r="C195" s="1277"/>
      <c r="D195" s="1277"/>
      <c r="E195" s="1277"/>
      <c r="F195" s="1277"/>
      <c r="G195" s="1277"/>
      <c r="H195" s="1277"/>
    </row>
    <row r="196" spans="1:8">
      <c r="A196" s="1277"/>
      <c r="B196" s="1277"/>
      <c r="C196" s="1277"/>
      <c r="D196" s="1277"/>
      <c r="E196" s="1277"/>
      <c r="F196" s="1277"/>
      <c r="G196" s="1277"/>
      <c r="H196" s="1277"/>
    </row>
    <row r="197" spans="1:8">
      <c r="A197" s="1277"/>
      <c r="B197" s="1277"/>
      <c r="C197" s="1277"/>
      <c r="D197" s="1277"/>
      <c r="E197" s="1277"/>
      <c r="F197" s="1277"/>
      <c r="G197" s="1277"/>
      <c r="H197" s="1277"/>
    </row>
    <row r="198" spans="1:8">
      <c r="A198" s="1277"/>
      <c r="B198" s="1277"/>
      <c r="C198" s="1277"/>
      <c r="D198" s="1277"/>
      <c r="E198" s="1277"/>
      <c r="F198" s="1277"/>
      <c r="G198" s="1277"/>
      <c r="H198" s="1277"/>
    </row>
    <row r="199" spans="1:8">
      <c r="A199" s="1277"/>
      <c r="B199" s="1277"/>
      <c r="C199" s="1277"/>
      <c r="D199" s="1277"/>
      <c r="E199" s="1277"/>
      <c r="F199" s="1277"/>
      <c r="G199" s="1277"/>
      <c r="H199" s="1277"/>
    </row>
    <row r="200" spans="1:8">
      <c r="A200" s="1277"/>
      <c r="B200" s="1277"/>
      <c r="C200" s="1277"/>
      <c r="D200" s="1277"/>
      <c r="E200" s="1277"/>
      <c r="F200" s="1277"/>
      <c r="G200" s="1277"/>
      <c r="H200" s="1277"/>
    </row>
    <row r="201" spans="1:8">
      <c r="A201" s="1277"/>
      <c r="B201" s="1277"/>
      <c r="C201" s="1277"/>
      <c r="D201" s="1277"/>
      <c r="E201" s="1277"/>
      <c r="F201" s="1277"/>
      <c r="G201" s="1277"/>
      <c r="H201" s="1277"/>
    </row>
    <row r="202" spans="1:8">
      <c r="A202" s="1277"/>
      <c r="B202" s="1277"/>
      <c r="C202" s="1277"/>
      <c r="D202" s="1277"/>
      <c r="E202" s="1277"/>
      <c r="F202" s="1277"/>
      <c r="G202" s="1277"/>
      <c r="H202" s="1277"/>
    </row>
    <row r="203" spans="1:8">
      <c r="A203" s="1277"/>
      <c r="B203" s="1277"/>
      <c r="C203" s="1277"/>
      <c r="D203" s="1277"/>
      <c r="E203" s="1277"/>
      <c r="F203" s="1277"/>
      <c r="G203" s="1277"/>
      <c r="H203" s="1277"/>
    </row>
    <row r="204" spans="1:8">
      <c r="A204" s="1277"/>
      <c r="B204" s="1277"/>
      <c r="C204" s="1277"/>
      <c r="D204" s="1277"/>
      <c r="E204" s="1277"/>
      <c r="F204" s="1277"/>
      <c r="G204" s="1277"/>
      <c r="H204" s="1277"/>
    </row>
    <row r="205" spans="1:8">
      <c r="A205" s="1277"/>
      <c r="B205" s="1277"/>
      <c r="C205" s="1277"/>
      <c r="D205" s="1277"/>
      <c r="E205" s="1277"/>
      <c r="F205" s="1277"/>
      <c r="G205" s="1277"/>
      <c r="H205" s="1277"/>
    </row>
    <row r="206" spans="1:8" ht="15.75">
      <c r="A206" s="1279" t="s">
        <v>1225</v>
      </c>
      <c r="B206" s="1277"/>
      <c r="C206" s="1277"/>
      <c r="D206" s="1277"/>
      <c r="E206" s="1277"/>
      <c r="F206" s="1277"/>
      <c r="G206" s="1277"/>
      <c r="H206" s="1277"/>
    </row>
    <row r="207" spans="1:8">
      <c r="A207" s="1277"/>
      <c r="B207" s="1277"/>
      <c r="C207" s="1277"/>
      <c r="D207" s="1277"/>
      <c r="E207" s="1277"/>
      <c r="F207" s="1277"/>
      <c r="G207" s="1277"/>
      <c r="H207" s="1277"/>
    </row>
    <row r="208" spans="1:8">
      <c r="A208" s="1278" t="s">
        <v>1386</v>
      </c>
      <c r="B208" s="1277"/>
      <c r="C208" s="1277"/>
      <c r="D208" s="1277"/>
      <c r="E208" s="1277"/>
      <c r="F208" s="1277"/>
      <c r="G208" s="1277"/>
      <c r="H208" s="1277"/>
    </row>
    <row r="209" spans="1:8">
      <c r="A209" s="1278" t="s">
        <v>1387</v>
      </c>
      <c r="B209" s="1277"/>
      <c r="C209" s="1277"/>
      <c r="D209" s="1277"/>
      <c r="E209" s="1277"/>
      <c r="F209" s="1277"/>
      <c r="G209" s="1277"/>
      <c r="H209" s="1277"/>
    </row>
    <row r="210" spans="1:8">
      <c r="A210" s="1278" t="s">
        <v>1388</v>
      </c>
      <c r="B210" s="1277"/>
      <c r="C210" s="1277"/>
      <c r="D210" s="1277"/>
      <c r="E210" s="1277"/>
      <c r="F210" s="1277"/>
      <c r="G210" s="1277"/>
      <c r="H210" s="1277"/>
    </row>
    <row r="211" spans="1:8">
      <c r="A211" s="1278" t="s">
        <v>1389</v>
      </c>
      <c r="B211" s="1277"/>
      <c r="C211" s="1277"/>
      <c r="D211" s="1277"/>
      <c r="E211" s="1277"/>
      <c r="F211" s="1277"/>
      <c r="G211" s="1277"/>
      <c r="H211" s="1277"/>
    </row>
    <row r="212" spans="1:8">
      <c r="A212" s="1278" t="s">
        <v>1390</v>
      </c>
      <c r="B212" s="1277"/>
      <c r="C212" s="1277"/>
      <c r="D212" s="1277"/>
      <c r="E212" s="1277"/>
      <c r="F212" s="1277"/>
      <c r="G212" s="1277"/>
      <c r="H212" s="1277"/>
    </row>
    <row r="213" spans="1:8">
      <c r="A213" s="1277"/>
      <c r="B213" s="1277"/>
      <c r="C213" s="1277"/>
      <c r="D213" s="1277"/>
      <c r="E213" s="1277"/>
      <c r="F213" s="1277"/>
      <c r="G213" s="1277"/>
      <c r="H213" s="1277"/>
    </row>
    <row r="214" spans="1:8">
      <c r="A214" s="1278" t="s">
        <v>1383</v>
      </c>
      <c r="B214" s="1277"/>
      <c r="C214" s="1277"/>
      <c r="D214" s="1277"/>
      <c r="E214" s="1277"/>
      <c r="F214" s="1277"/>
      <c r="G214" s="1277"/>
      <c r="H214" s="1277"/>
    </row>
    <row r="215" spans="1:8">
      <c r="A215" s="1278" t="s">
        <v>1384</v>
      </c>
      <c r="B215" s="1277"/>
      <c r="C215" s="1277"/>
      <c r="D215" s="1277"/>
      <c r="E215" s="1277"/>
      <c r="F215" s="1277"/>
      <c r="G215" s="1277"/>
      <c r="H215" s="1277"/>
    </row>
    <row r="216" spans="1:8">
      <c r="A216" s="1278" t="s">
        <v>1385</v>
      </c>
      <c r="B216" s="1277"/>
      <c r="C216" s="1277"/>
      <c r="D216" s="1277"/>
      <c r="E216" s="1277"/>
      <c r="F216" s="1277"/>
      <c r="G216" s="1277"/>
      <c r="H216" s="1277"/>
    </row>
    <row r="217" spans="1:8" ht="15.75">
      <c r="A217" s="1279" t="s">
        <v>1226</v>
      </c>
      <c r="B217" s="1277"/>
      <c r="C217" s="1277"/>
      <c r="D217" s="1277"/>
      <c r="E217" s="1277"/>
      <c r="F217" s="1277"/>
      <c r="G217" s="1277"/>
      <c r="H217" s="1277"/>
    </row>
    <row r="218" spans="1:8">
      <c r="A218" s="1277"/>
      <c r="B218" s="1277"/>
      <c r="C218" s="1277"/>
      <c r="D218" s="1277"/>
      <c r="E218" s="1277"/>
      <c r="F218" s="1277"/>
      <c r="G218" s="1277"/>
      <c r="H218" s="1277"/>
    </row>
    <row r="219" spans="1:8">
      <c r="A219" s="1278" t="s">
        <v>1381</v>
      </c>
      <c r="B219" s="1277"/>
      <c r="C219" s="1277"/>
      <c r="D219" s="1277"/>
      <c r="E219" s="1277"/>
      <c r="F219" s="1277"/>
      <c r="G219" s="1277"/>
      <c r="H219" s="1277"/>
    </row>
    <row r="220" spans="1:8">
      <c r="A220" s="1278" t="s">
        <v>1382</v>
      </c>
      <c r="B220" s="1277"/>
      <c r="C220" s="1277"/>
      <c r="D220" s="1277"/>
      <c r="E220" s="1277"/>
      <c r="F220" s="1277"/>
      <c r="G220" s="1277"/>
      <c r="H220" s="1277"/>
    </row>
    <row r="221" spans="1:8">
      <c r="A221" s="1277"/>
      <c r="B221" s="1277"/>
      <c r="C221" s="1277"/>
      <c r="D221" s="1277"/>
      <c r="E221" s="1277"/>
      <c r="F221" s="1277"/>
      <c r="G221" s="1277"/>
      <c r="H221" s="1277"/>
    </row>
    <row r="222" spans="1:8">
      <c r="A222" s="1278" t="s">
        <v>1374</v>
      </c>
      <c r="B222" s="1277"/>
      <c r="C222" s="1277"/>
      <c r="D222" s="1277"/>
      <c r="E222" s="1277"/>
      <c r="F222" s="1277"/>
      <c r="G222" s="1277"/>
      <c r="H222" s="1277"/>
    </row>
    <row r="223" spans="1:8">
      <c r="A223" s="1278" t="s">
        <v>1375</v>
      </c>
      <c r="B223" s="1277"/>
      <c r="C223" s="1277"/>
      <c r="D223" s="1277"/>
      <c r="E223" s="1277"/>
      <c r="F223" s="1277"/>
      <c r="G223" s="1277"/>
      <c r="H223" s="1277"/>
    </row>
    <row r="224" spans="1:8">
      <c r="A224" s="1278" t="s">
        <v>1376</v>
      </c>
      <c r="B224" s="1277"/>
      <c r="C224" s="1277"/>
      <c r="D224" s="1277"/>
      <c r="E224" s="1277"/>
      <c r="F224" s="1277"/>
      <c r="G224" s="1277"/>
      <c r="H224" s="1277"/>
    </row>
    <row r="225" spans="1:8">
      <c r="A225" s="1278" t="s">
        <v>1377</v>
      </c>
      <c r="B225" s="1277"/>
      <c r="C225" s="1277"/>
      <c r="D225" s="1277"/>
      <c r="E225" s="1277"/>
      <c r="F225" s="1277"/>
      <c r="G225" s="1277"/>
      <c r="H225" s="1277"/>
    </row>
    <row r="226" spans="1:8">
      <c r="A226" s="1278" t="s">
        <v>1378</v>
      </c>
      <c r="B226" s="1277"/>
      <c r="C226" s="1277"/>
      <c r="D226" s="1277"/>
      <c r="E226" s="1277"/>
      <c r="F226" s="1277"/>
      <c r="G226" s="1277"/>
      <c r="H226" s="1277"/>
    </row>
    <row r="227" spans="1:8">
      <c r="A227" s="1278" t="s">
        <v>1379</v>
      </c>
      <c r="B227" s="1277"/>
      <c r="C227" s="1277"/>
      <c r="D227" s="1277"/>
      <c r="E227" s="1277"/>
      <c r="F227" s="1277"/>
      <c r="G227" s="1277"/>
      <c r="H227" s="1277"/>
    </row>
    <row r="228" spans="1:8">
      <c r="A228" s="1278" t="s">
        <v>1380</v>
      </c>
      <c r="B228" s="1277"/>
      <c r="C228" s="1277"/>
      <c r="D228" s="1277"/>
      <c r="E228" s="1277"/>
      <c r="F228" s="1277"/>
      <c r="G228" s="1277"/>
      <c r="H228" s="1277"/>
    </row>
    <row r="229" spans="1:8">
      <c r="A229" s="1277"/>
      <c r="B229" s="1277"/>
      <c r="C229" s="1277"/>
      <c r="D229" s="1277"/>
      <c r="E229" s="1277"/>
      <c r="F229" s="1277"/>
      <c r="G229" s="1277"/>
      <c r="H229" s="1277"/>
    </row>
    <row r="230" spans="1:8">
      <c r="A230" s="1278" t="s">
        <v>1371</v>
      </c>
      <c r="B230" s="1277"/>
      <c r="C230" s="1277"/>
      <c r="D230" s="1277"/>
      <c r="E230" s="1277"/>
      <c r="F230" s="1277"/>
      <c r="G230" s="1277"/>
      <c r="H230" s="1277"/>
    </row>
    <row r="231" spans="1:8">
      <c r="A231" s="1278" t="s">
        <v>1372</v>
      </c>
      <c r="B231" s="1277"/>
      <c r="C231" s="1277"/>
      <c r="D231" s="1277"/>
      <c r="E231" s="1277"/>
      <c r="F231" s="1277"/>
      <c r="G231" s="1277"/>
      <c r="H231" s="1277"/>
    </row>
    <row r="232" spans="1:8">
      <c r="A232" s="1278" t="s">
        <v>1373</v>
      </c>
      <c r="B232" s="1277"/>
      <c r="C232" s="1277"/>
      <c r="D232" s="1277"/>
      <c r="E232" s="1277"/>
      <c r="F232" s="1277"/>
      <c r="G232" s="1277"/>
      <c r="H232" s="1277"/>
    </row>
    <row r="233" spans="1:8">
      <c r="A233" s="1277"/>
      <c r="B233" s="1277"/>
      <c r="C233" s="1277"/>
      <c r="D233" s="1277"/>
      <c r="E233" s="1277"/>
      <c r="F233" s="1277"/>
      <c r="G233" s="1277"/>
      <c r="H233" s="1277"/>
    </row>
    <row r="234" spans="1:8">
      <c r="A234" s="1278" t="s">
        <v>1366</v>
      </c>
      <c r="B234" s="1277"/>
      <c r="C234" s="1277"/>
      <c r="D234" s="1277"/>
      <c r="E234" s="1277"/>
      <c r="F234" s="1277"/>
      <c r="G234" s="1277"/>
      <c r="H234" s="1277"/>
    </row>
    <row r="235" spans="1:8">
      <c r="A235" s="1278" t="s">
        <v>1367</v>
      </c>
      <c r="B235" s="1277"/>
      <c r="C235" s="1277"/>
      <c r="D235" s="1277"/>
      <c r="E235" s="1277"/>
      <c r="F235" s="1277"/>
      <c r="G235" s="1277"/>
      <c r="H235" s="1277"/>
    </row>
    <row r="236" spans="1:8">
      <c r="A236" s="1278" t="s">
        <v>1368</v>
      </c>
      <c r="B236" s="1277"/>
      <c r="C236" s="1277"/>
      <c r="D236" s="1277"/>
      <c r="E236" s="1277"/>
      <c r="F236" s="1277"/>
      <c r="G236" s="1277"/>
      <c r="H236" s="1277"/>
    </row>
    <row r="237" spans="1:8">
      <c r="A237" s="1278" t="s">
        <v>1369</v>
      </c>
      <c r="B237" s="1277"/>
      <c r="C237" s="1277"/>
      <c r="D237" s="1277"/>
      <c r="E237" s="1277"/>
      <c r="F237" s="1277"/>
      <c r="G237" s="1277"/>
      <c r="H237" s="1277"/>
    </row>
    <row r="238" spans="1:8">
      <c r="A238" s="1278" t="s">
        <v>1370</v>
      </c>
      <c r="B238" s="1277"/>
      <c r="C238" s="1277"/>
      <c r="D238" s="1277"/>
      <c r="E238" s="1277"/>
      <c r="F238" s="1277"/>
      <c r="G238" s="1277"/>
      <c r="H238" s="1277"/>
    </row>
    <row r="239" spans="1:8">
      <c r="A239" s="1277"/>
      <c r="B239" s="1277"/>
      <c r="C239" s="1277"/>
      <c r="D239" s="1277"/>
      <c r="E239" s="1277"/>
      <c r="F239" s="1277"/>
      <c r="G239" s="1277"/>
      <c r="H239" s="1277"/>
    </row>
    <row r="240" spans="1:8">
      <c r="A240" s="1278" t="s">
        <v>1360</v>
      </c>
      <c r="B240" s="1277"/>
      <c r="C240" s="1277"/>
      <c r="D240" s="1277"/>
      <c r="E240" s="1277"/>
      <c r="F240" s="1277"/>
      <c r="G240" s="1277"/>
      <c r="H240" s="1277"/>
    </row>
    <row r="241" spans="1:8">
      <c r="A241" s="1278" t="s">
        <v>1361</v>
      </c>
      <c r="B241" s="1277"/>
      <c r="C241" s="1277"/>
      <c r="D241" s="1277"/>
      <c r="E241" s="1277"/>
      <c r="F241" s="1277"/>
      <c r="G241" s="1277"/>
      <c r="H241" s="1277"/>
    </row>
    <row r="242" spans="1:8">
      <c r="A242" s="1278" t="s">
        <v>1362</v>
      </c>
      <c r="B242" s="1277"/>
      <c r="C242" s="1277"/>
      <c r="D242" s="1277"/>
      <c r="E242" s="1277"/>
      <c r="F242" s="1277"/>
      <c r="G242" s="1277"/>
      <c r="H242" s="1277"/>
    </row>
    <row r="243" spans="1:8">
      <c r="A243" s="1278" t="s">
        <v>1363</v>
      </c>
      <c r="B243" s="1277"/>
      <c r="C243" s="1277"/>
      <c r="D243" s="1277"/>
      <c r="E243" s="1277"/>
      <c r="F243" s="1277"/>
      <c r="G243" s="1277"/>
      <c r="H243" s="1277"/>
    </row>
    <row r="244" spans="1:8">
      <c r="A244" s="1278" t="s">
        <v>1364</v>
      </c>
      <c r="B244" s="1277"/>
      <c r="C244" s="1277"/>
      <c r="D244" s="1277"/>
      <c r="E244" s="1277"/>
      <c r="F244" s="1277"/>
      <c r="G244" s="1277"/>
      <c r="H244" s="1277"/>
    </row>
    <row r="245" spans="1:8">
      <c r="A245" s="1278" t="s">
        <v>1365</v>
      </c>
      <c r="B245" s="1277"/>
      <c r="C245" s="1277"/>
      <c r="D245" s="1277"/>
      <c r="E245" s="1277"/>
      <c r="F245" s="1277"/>
      <c r="G245" s="1277"/>
      <c r="H245" s="1277"/>
    </row>
    <row r="246" spans="1:8">
      <c r="A246" s="1277"/>
      <c r="B246" s="1277"/>
      <c r="C246" s="1277"/>
      <c r="D246" s="1277"/>
      <c r="E246" s="1277"/>
      <c r="F246" s="1277"/>
      <c r="G246" s="1277"/>
      <c r="H246" s="1277"/>
    </row>
    <row r="247" spans="1:8">
      <c r="A247" s="1278" t="s">
        <v>1350</v>
      </c>
      <c r="B247" s="1277"/>
      <c r="C247" s="1277"/>
      <c r="D247" s="1277"/>
      <c r="E247" s="1277"/>
      <c r="F247" s="1277"/>
      <c r="G247" s="1277"/>
      <c r="H247" s="1277"/>
    </row>
    <row r="248" spans="1:8">
      <c r="A248" s="1278" t="s">
        <v>1351</v>
      </c>
      <c r="B248" s="1277"/>
      <c r="C248" s="1277"/>
      <c r="D248" s="1277"/>
      <c r="E248" s="1277"/>
      <c r="F248" s="1277"/>
      <c r="G248" s="1277"/>
      <c r="H248" s="1277"/>
    </row>
    <row r="249" spans="1:8">
      <c r="A249" s="1278" t="s">
        <v>1352</v>
      </c>
      <c r="B249" s="1277"/>
      <c r="C249" s="1277"/>
      <c r="D249" s="1277"/>
      <c r="E249" s="1277"/>
      <c r="F249" s="1277"/>
      <c r="G249" s="1277"/>
      <c r="H249" s="1277"/>
    </row>
    <row r="250" spans="1:8">
      <c r="A250" s="1278" t="s">
        <v>1353</v>
      </c>
      <c r="B250" s="1277"/>
      <c r="C250" s="1277"/>
      <c r="D250" s="1277"/>
      <c r="E250" s="1277"/>
      <c r="F250" s="1277"/>
      <c r="G250" s="1277"/>
      <c r="H250" s="1277"/>
    </row>
    <row r="251" spans="1:8">
      <c r="A251" s="1278" t="s">
        <v>1354</v>
      </c>
      <c r="B251" s="1277"/>
      <c r="C251" s="1277"/>
      <c r="D251" s="1277"/>
      <c r="E251" s="1277"/>
      <c r="F251" s="1277"/>
      <c r="G251" s="1277"/>
      <c r="H251" s="1277"/>
    </row>
    <row r="252" spans="1:8">
      <c r="A252" s="1278" t="s">
        <v>1355</v>
      </c>
      <c r="B252" s="1277"/>
      <c r="C252" s="1277"/>
      <c r="D252" s="1277"/>
      <c r="E252" s="1277"/>
      <c r="F252" s="1277"/>
      <c r="G252" s="1277"/>
      <c r="H252" s="1277"/>
    </row>
    <row r="253" spans="1:8">
      <c r="A253" s="1278" t="s">
        <v>1356</v>
      </c>
      <c r="B253" s="1277"/>
      <c r="C253" s="1277"/>
      <c r="D253" s="1277"/>
      <c r="E253" s="1277"/>
      <c r="F253" s="1277"/>
      <c r="G253" s="1277"/>
      <c r="H253" s="1277"/>
    </row>
    <row r="254" spans="1:8">
      <c r="A254" s="1278" t="s">
        <v>1357</v>
      </c>
      <c r="B254" s="1277"/>
      <c r="C254" s="1277"/>
      <c r="D254" s="1277"/>
      <c r="E254" s="1277"/>
      <c r="F254" s="1277"/>
      <c r="G254" s="1277"/>
      <c r="H254" s="1277"/>
    </row>
    <row r="255" spans="1:8">
      <c r="A255" s="1278" t="s">
        <v>1358</v>
      </c>
      <c r="B255" s="1277"/>
      <c r="C255" s="1277"/>
      <c r="D255" s="1277"/>
      <c r="E255" s="1277"/>
      <c r="F255" s="1277"/>
      <c r="G255" s="1277"/>
      <c r="H255" s="1277"/>
    </row>
    <row r="256" spans="1:8">
      <c r="A256" s="1278" t="s">
        <v>1359</v>
      </c>
      <c r="B256" s="1277"/>
      <c r="C256" s="1277"/>
      <c r="D256" s="1277"/>
      <c r="E256" s="1277"/>
      <c r="F256" s="1277"/>
      <c r="G256" s="1277"/>
      <c r="H256" s="1277"/>
    </row>
    <row r="257" spans="1:8">
      <c r="A257" s="1277"/>
      <c r="B257" s="1277"/>
      <c r="C257" s="1277"/>
      <c r="D257" s="1277"/>
      <c r="E257" s="1277"/>
      <c r="F257" s="1277"/>
      <c r="G257" s="1277"/>
      <c r="H257" s="1277"/>
    </row>
    <row r="258" spans="1:8">
      <c r="A258" s="1278" t="s">
        <v>1348</v>
      </c>
      <c r="B258" s="1277"/>
      <c r="C258" s="1277"/>
      <c r="D258" s="1277"/>
      <c r="E258" s="1277"/>
      <c r="F258" s="1277"/>
      <c r="G258" s="1277"/>
      <c r="H258" s="1277"/>
    </row>
    <row r="259" spans="1:8">
      <c r="A259" s="1278" t="s">
        <v>1349</v>
      </c>
      <c r="B259" s="1277"/>
      <c r="C259" s="1277"/>
      <c r="D259" s="1277"/>
      <c r="E259" s="1277"/>
      <c r="F259" s="1277"/>
      <c r="G259" s="1277"/>
      <c r="H259" s="1277"/>
    </row>
    <row r="260" spans="1:8">
      <c r="A260" s="1277"/>
      <c r="B260" s="1277"/>
      <c r="C260" s="1277"/>
      <c r="D260" s="1277"/>
      <c r="E260" s="1277"/>
      <c r="F260" s="1277"/>
      <c r="G260" s="1277"/>
      <c r="H260" s="1277"/>
    </row>
    <row r="261" spans="1:8">
      <c r="A261" s="1278" t="s">
        <v>1332</v>
      </c>
      <c r="B261" s="1277"/>
      <c r="C261" s="1277"/>
      <c r="D261" s="1277"/>
      <c r="E261" s="1277"/>
      <c r="F261" s="1277"/>
      <c r="G261" s="1277"/>
      <c r="H261" s="1277"/>
    </row>
    <row r="262" spans="1:8">
      <c r="A262" s="1278" t="s">
        <v>1333</v>
      </c>
      <c r="B262" s="1277"/>
      <c r="C262" s="1277"/>
      <c r="D262" s="1277"/>
      <c r="E262" s="1277"/>
      <c r="F262" s="1277"/>
      <c r="G262" s="1277"/>
      <c r="H262" s="1277"/>
    </row>
    <row r="263" spans="1:8">
      <c r="A263" s="1278" t="s">
        <v>1334</v>
      </c>
      <c r="B263" s="1277"/>
      <c r="C263" s="1277"/>
      <c r="D263" s="1277"/>
      <c r="E263" s="1277"/>
      <c r="F263" s="1277"/>
      <c r="G263" s="1277"/>
      <c r="H263" s="1277"/>
    </row>
    <row r="264" spans="1:8">
      <c r="A264" s="1278" t="s">
        <v>1335</v>
      </c>
      <c r="B264" s="1277"/>
      <c r="C264" s="1277"/>
      <c r="D264" s="1277"/>
      <c r="E264" s="1277"/>
      <c r="F264" s="1277"/>
      <c r="G264" s="1277"/>
      <c r="H264" s="1277"/>
    </row>
    <row r="265" spans="1:8">
      <c r="A265" s="1278" t="s">
        <v>1336</v>
      </c>
      <c r="B265" s="1277"/>
      <c r="C265" s="1277"/>
      <c r="D265" s="1277"/>
      <c r="E265" s="1277"/>
      <c r="F265" s="1277"/>
      <c r="G265" s="1277"/>
      <c r="H265" s="1277"/>
    </row>
    <row r="266" spans="1:8">
      <c r="A266" s="1278" t="s">
        <v>1337</v>
      </c>
      <c r="B266" s="1277"/>
      <c r="C266" s="1277"/>
      <c r="D266" s="1277"/>
      <c r="E266" s="1277"/>
      <c r="F266" s="1277"/>
      <c r="G266" s="1277"/>
      <c r="H266" s="1277"/>
    </row>
    <row r="267" spans="1:8">
      <c r="A267" s="1278" t="s">
        <v>1338</v>
      </c>
      <c r="B267" s="1277"/>
      <c r="C267" s="1277"/>
      <c r="D267" s="1277"/>
      <c r="E267" s="1277"/>
      <c r="F267" s="1277"/>
      <c r="G267" s="1277"/>
      <c r="H267" s="1277"/>
    </row>
    <row r="268" spans="1:8">
      <c r="A268" s="1278" t="s">
        <v>1339</v>
      </c>
      <c r="B268" s="1277"/>
      <c r="C268" s="1277"/>
      <c r="D268" s="1277"/>
      <c r="E268" s="1277"/>
      <c r="F268" s="1277"/>
      <c r="G268" s="1277"/>
      <c r="H268" s="1277"/>
    </row>
    <row r="269" spans="1:8">
      <c r="A269" s="1278" t="s">
        <v>1340</v>
      </c>
      <c r="B269" s="1277"/>
      <c r="C269" s="1277"/>
      <c r="D269" s="1277"/>
      <c r="E269" s="1277"/>
      <c r="F269" s="1277"/>
      <c r="G269" s="1277"/>
      <c r="H269" s="1277"/>
    </row>
    <row r="270" spans="1:8">
      <c r="A270" s="1278" t="s">
        <v>1341</v>
      </c>
      <c r="B270" s="1277"/>
      <c r="C270" s="1277"/>
      <c r="D270" s="1277"/>
      <c r="E270" s="1277"/>
      <c r="F270" s="1277"/>
      <c r="G270" s="1277"/>
      <c r="H270" s="1277"/>
    </row>
    <row r="271" spans="1:8">
      <c r="A271" s="1278" t="s">
        <v>1342</v>
      </c>
      <c r="B271" s="1277"/>
      <c r="C271" s="1277"/>
      <c r="D271" s="1277"/>
      <c r="E271" s="1277"/>
      <c r="F271" s="1277"/>
      <c r="G271" s="1277"/>
      <c r="H271" s="1277"/>
    </row>
    <row r="272" spans="1:8">
      <c r="A272" s="1278" t="s">
        <v>1343</v>
      </c>
      <c r="B272" s="1277"/>
      <c r="C272" s="1277"/>
      <c r="D272" s="1277"/>
      <c r="E272" s="1277"/>
      <c r="F272" s="1277"/>
      <c r="G272" s="1277"/>
      <c r="H272" s="1277"/>
    </row>
    <row r="273" spans="1:8">
      <c r="A273" s="1278" t="s">
        <v>1344</v>
      </c>
      <c r="B273" s="1277"/>
      <c r="C273" s="1277"/>
      <c r="D273" s="1277"/>
      <c r="E273" s="1277"/>
      <c r="F273" s="1277"/>
      <c r="G273" s="1277"/>
      <c r="H273" s="1277"/>
    </row>
    <row r="274" spans="1:8">
      <c r="A274" s="1278" t="s">
        <v>1345</v>
      </c>
      <c r="B274" s="1277"/>
      <c r="C274" s="1277"/>
      <c r="D274" s="1277"/>
      <c r="E274" s="1277"/>
      <c r="F274" s="1277"/>
      <c r="G274" s="1277"/>
      <c r="H274" s="1277"/>
    </row>
    <row r="275" spans="1:8">
      <c r="A275" s="1278" t="s">
        <v>1346</v>
      </c>
      <c r="B275" s="1277"/>
      <c r="C275" s="1277"/>
      <c r="D275" s="1277"/>
      <c r="E275" s="1277"/>
      <c r="F275" s="1277"/>
      <c r="G275" s="1277"/>
      <c r="H275" s="1277"/>
    </row>
    <row r="276" spans="1:8">
      <c r="A276" s="1278" t="s">
        <v>1347</v>
      </c>
      <c r="B276" s="1277"/>
      <c r="C276" s="1277"/>
      <c r="D276" s="1277"/>
      <c r="E276" s="1277"/>
      <c r="F276" s="1277"/>
      <c r="G276" s="1277"/>
      <c r="H276" s="1277"/>
    </row>
    <row r="277" spans="1:8">
      <c r="A277" s="1277"/>
      <c r="B277" s="1277"/>
      <c r="C277" s="1277"/>
      <c r="D277" s="1277"/>
      <c r="E277" s="1277"/>
      <c r="F277" s="1277"/>
      <c r="G277" s="1277"/>
      <c r="H277" s="1277"/>
    </row>
    <row r="278" spans="1:8">
      <c r="A278" s="1278" t="s">
        <v>1325</v>
      </c>
      <c r="B278" s="1277"/>
      <c r="C278" s="1277"/>
      <c r="D278" s="1277"/>
      <c r="E278" s="1277"/>
      <c r="F278" s="1277"/>
      <c r="G278" s="1277"/>
      <c r="H278" s="1277"/>
    </row>
    <row r="279" spans="1:8">
      <c r="A279" s="1278" t="s">
        <v>1326</v>
      </c>
      <c r="B279" s="1277"/>
      <c r="C279" s="1277"/>
      <c r="D279" s="1277"/>
      <c r="E279" s="1277"/>
      <c r="F279" s="1277"/>
      <c r="G279" s="1277"/>
      <c r="H279" s="1277"/>
    </row>
    <row r="280" spans="1:8">
      <c r="A280" s="1278" t="s">
        <v>1327</v>
      </c>
      <c r="B280" s="1277"/>
      <c r="C280" s="1277"/>
      <c r="D280" s="1277"/>
      <c r="E280" s="1277"/>
      <c r="F280" s="1277"/>
      <c r="G280" s="1277"/>
      <c r="H280" s="1277"/>
    </row>
    <row r="281" spans="1:8">
      <c r="A281" s="1278" t="s">
        <v>1328</v>
      </c>
      <c r="B281" s="1277"/>
      <c r="C281" s="1277"/>
      <c r="D281" s="1277"/>
      <c r="E281" s="1277"/>
      <c r="F281" s="1277"/>
      <c r="G281" s="1277"/>
      <c r="H281" s="1277"/>
    </row>
    <row r="282" spans="1:8">
      <c r="A282" s="1278" t="s">
        <v>1329</v>
      </c>
      <c r="B282" s="1277"/>
      <c r="C282" s="1277"/>
      <c r="D282" s="1277"/>
      <c r="E282" s="1277"/>
      <c r="F282" s="1277"/>
      <c r="G282" s="1277"/>
      <c r="H282" s="1277"/>
    </row>
    <row r="283" spans="1:8">
      <c r="A283" s="1278" t="s">
        <v>1330</v>
      </c>
      <c r="B283" s="1277"/>
      <c r="C283" s="1277"/>
      <c r="D283" s="1277"/>
      <c r="E283" s="1277"/>
      <c r="F283" s="1277"/>
      <c r="G283" s="1277"/>
      <c r="H283" s="1277"/>
    </row>
    <row r="284" spans="1:8">
      <c r="A284" s="1278" t="s">
        <v>1331</v>
      </c>
      <c r="B284" s="1277"/>
      <c r="C284" s="1277"/>
      <c r="D284" s="1277"/>
      <c r="E284" s="1277"/>
      <c r="F284" s="1277"/>
      <c r="G284" s="1277"/>
      <c r="H284" s="1277"/>
    </row>
    <row r="285" spans="1:8">
      <c r="A285" s="1277"/>
      <c r="B285" s="1277"/>
      <c r="C285" s="1277"/>
      <c r="D285" s="1277"/>
      <c r="E285" s="1277"/>
      <c r="F285" s="1277"/>
      <c r="G285" s="1277"/>
      <c r="H285" s="1277"/>
    </row>
    <row r="286" spans="1:8">
      <c r="A286" s="1278" t="s">
        <v>1316</v>
      </c>
      <c r="B286" s="1277"/>
      <c r="C286" s="1277"/>
      <c r="D286" s="1277"/>
      <c r="E286" s="1277"/>
      <c r="F286" s="1277"/>
      <c r="G286" s="1277"/>
      <c r="H286" s="1277"/>
    </row>
    <row r="287" spans="1:8">
      <c r="A287" s="1278" t="s">
        <v>1317</v>
      </c>
      <c r="B287" s="1277"/>
      <c r="C287" s="1277"/>
      <c r="D287" s="1277"/>
      <c r="E287" s="1277"/>
      <c r="F287" s="1277"/>
      <c r="G287" s="1277"/>
      <c r="H287" s="1277"/>
    </row>
    <row r="288" spans="1:8">
      <c r="A288" s="1278" t="s">
        <v>1318</v>
      </c>
      <c r="B288" s="1277"/>
      <c r="C288" s="1277"/>
      <c r="D288" s="1277"/>
      <c r="E288" s="1277"/>
      <c r="F288" s="1277"/>
      <c r="G288" s="1277"/>
      <c r="H288" s="1277"/>
    </row>
    <row r="289" spans="1:8">
      <c r="A289" s="1278" t="s">
        <v>1319</v>
      </c>
      <c r="B289" s="1277"/>
      <c r="C289" s="1277"/>
      <c r="D289" s="1277"/>
      <c r="E289" s="1277"/>
      <c r="F289" s="1277"/>
      <c r="G289" s="1277"/>
      <c r="H289" s="1277"/>
    </row>
    <row r="290" spans="1:8">
      <c r="A290" s="1278" t="s">
        <v>1320</v>
      </c>
      <c r="B290" s="1277"/>
      <c r="C290" s="1277"/>
      <c r="D290" s="1277"/>
      <c r="E290" s="1277"/>
      <c r="F290" s="1277"/>
      <c r="G290" s="1277"/>
      <c r="H290" s="1277"/>
    </row>
    <row r="291" spans="1:8">
      <c r="A291" s="1278" t="s">
        <v>1321</v>
      </c>
      <c r="B291" s="1277"/>
      <c r="C291" s="1277"/>
      <c r="D291" s="1277"/>
      <c r="E291" s="1277"/>
      <c r="F291" s="1277"/>
      <c r="G291" s="1277"/>
      <c r="H291" s="1277"/>
    </row>
    <row r="292" spans="1:8">
      <c r="A292" s="1278" t="s">
        <v>1322</v>
      </c>
      <c r="B292" s="1277"/>
      <c r="C292" s="1277"/>
      <c r="D292" s="1277"/>
      <c r="E292" s="1277"/>
      <c r="F292" s="1277"/>
      <c r="G292" s="1277"/>
      <c r="H292" s="1277"/>
    </row>
    <row r="293" spans="1:8">
      <c r="A293" s="1278" t="s">
        <v>1323</v>
      </c>
      <c r="B293" s="1277"/>
      <c r="C293" s="1277"/>
      <c r="D293" s="1277"/>
      <c r="E293" s="1277"/>
      <c r="F293" s="1277"/>
      <c r="G293" s="1277"/>
      <c r="H293" s="1277"/>
    </row>
    <row r="294" spans="1:8">
      <c r="A294" s="1278" t="s">
        <v>1324</v>
      </c>
      <c r="B294" s="1277"/>
      <c r="C294" s="1277"/>
      <c r="D294" s="1277"/>
      <c r="E294" s="1277"/>
      <c r="F294" s="1277"/>
      <c r="G294" s="1277"/>
      <c r="H294" s="1277"/>
    </row>
    <row r="295" spans="1:8">
      <c r="A295" s="1277"/>
      <c r="B295" s="1277"/>
      <c r="C295" s="1277"/>
      <c r="D295" s="1277"/>
      <c r="E295" s="1277"/>
      <c r="F295" s="1277"/>
      <c r="G295" s="1277"/>
      <c r="H295" s="1277"/>
    </row>
    <row r="296" spans="1:8">
      <c r="A296" s="1278" t="s">
        <v>1309</v>
      </c>
      <c r="B296" s="1277"/>
      <c r="C296" s="1277"/>
      <c r="D296" s="1277"/>
      <c r="E296" s="1277"/>
      <c r="F296" s="1277"/>
      <c r="G296" s="1277"/>
      <c r="H296" s="1277"/>
    </row>
    <row r="297" spans="1:8">
      <c r="A297" s="1278" t="s">
        <v>1310</v>
      </c>
      <c r="B297" s="1277"/>
      <c r="C297" s="1277"/>
      <c r="D297" s="1277"/>
      <c r="E297" s="1277"/>
      <c r="F297" s="1277"/>
      <c r="G297" s="1277"/>
      <c r="H297" s="1277"/>
    </row>
    <row r="298" spans="1:8">
      <c r="A298" s="1278" t="s">
        <v>1311</v>
      </c>
      <c r="B298" s="1277"/>
      <c r="C298" s="1277"/>
      <c r="D298" s="1277"/>
      <c r="E298" s="1277"/>
      <c r="F298" s="1277"/>
      <c r="G298" s="1277"/>
      <c r="H298" s="1277"/>
    </row>
    <row r="299" spans="1:8">
      <c r="A299" s="1278" t="s">
        <v>1312</v>
      </c>
      <c r="B299" s="1277"/>
      <c r="C299" s="1277"/>
      <c r="D299" s="1277"/>
      <c r="E299" s="1277"/>
      <c r="F299" s="1277"/>
      <c r="G299" s="1277"/>
      <c r="H299" s="1277"/>
    </row>
    <row r="300" spans="1:8">
      <c r="A300" s="1278" t="s">
        <v>1313</v>
      </c>
      <c r="B300" s="1277"/>
      <c r="C300" s="1277"/>
      <c r="D300" s="1277"/>
      <c r="E300" s="1277"/>
      <c r="F300" s="1277"/>
      <c r="G300" s="1277"/>
      <c r="H300" s="1277"/>
    </row>
    <row r="301" spans="1:8">
      <c r="A301" s="1278" t="s">
        <v>1314</v>
      </c>
      <c r="B301" s="1277"/>
      <c r="C301" s="1277"/>
      <c r="D301" s="1277"/>
      <c r="E301" s="1277"/>
      <c r="F301" s="1277"/>
      <c r="G301" s="1277"/>
      <c r="H301" s="1277"/>
    </row>
    <row r="302" spans="1:8">
      <c r="A302" s="1278" t="s">
        <v>1315</v>
      </c>
      <c r="B302" s="1277"/>
      <c r="C302" s="1277"/>
      <c r="D302" s="1277"/>
      <c r="E302" s="1277"/>
      <c r="F302" s="1277"/>
      <c r="G302" s="1277"/>
      <c r="H302" s="1277"/>
    </row>
    <row r="303" spans="1:8">
      <c r="A303" s="1277"/>
      <c r="B303" s="1277"/>
      <c r="C303" s="1277"/>
      <c r="D303" s="1277"/>
      <c r="E303" s="1277"/>
      <c r="F303" s="1277"/>
      <c r="G303" s="1277"/>
      <c r="H303" s="1277"/>
    </row>
    <row r="304" spans="1:8">
      <c r="A304" s="1278" t="s">
        <v>1306</v>
      </c>
      <c r="B304" s="1277"/>
      <c r="C304" s="1277"/>
      <c r="D304" s="1277"/>
      <c r="E304" s="1277"/>
      <c r="F304" s="1277"/>
      <c r="G304" s="1277"/>
      <c r="H304" s="1277"/>
    </row>
    <row r="305" spans="1:8">
      <c r="A305" s="1278" t="s">
        <v>1307</v>
      </c>
      <c r="B305" s="1277"/>
      <c r="C305" s="1277"/>
      <c r="D305" s="1277"/>
      <c r="E305" s="1277"/>
      <c r="F305" s="1277"/>
      <c r="G305" s="1277"/>
      <c r="H305" s="1277"/>
    </row>
    <row r="306" spans="1:8">
      <c r="A306" s="1278" t="s">
        <v>1308</v>
      </c>
      <c r="B306" s="1277"/>
      <c r="C306" s="1277"/>
      <c r="D306" s="1277"/>
      <c r="E306" s="1277"/>
      <c r="F306" s="1277"/>
      <c r="G306" s="1277"/>
      <c r="H306" s="1277"/>
    </row>
    <row r="307" spans="1:8">
      <c r="A307" s="1277"/>
      <c r="B307" s="1277"/>
      <c r="C307" s="1277"/>
      <c r="D307" s="1277"/>
      <c r="E307" s="1277"/>
      <c r="F307" s="1277"/>
      <c r="G307" s="1277"/>
      <c r="H307" s="1277"/>
    </row>
    <row r="308" spans="1:8">
      <c r="A308" s="1278" t="s">
        <v>1304</v>
      </c>
      <c r="B308" s="1277"/>
      <c r="C308" s="1277"/>
      <c r="D308" s="1277"/>
      <c r="E308" s="1277"/>
      <c r="F308" s="1277"/>
      <c r="G308" s="1277"/>
      <c r="H308" s="1277"/>
    </row>
    <row r="309" spans="1:8">
      <c r="A309" s="1278" t="s">
        <v>1305</v>
      </c>
      <c r="B309" s="1277"/>
      <c r="C309" s="1277"/>
      <c r="D309" s="1277"/>
      <c r="E309" s="1277"/>
      <c r="F309" s="1277"/>
      <c r="G309" s="1277"/>
      <c r="H309" s="1277"/>
    </row>
    <row r="310" spans="1:8">
      <c r="A310" s="1277"/>
      <c r="B310" s="1277"/>
      <c r="C310" s="1277"/>
      <c r="D310" s="1277"/>
      <c r="E310" s="1277"/>
      <c r="F310" s="1277"/>
      <c r="G310" s="1277"/>
      <c r="H310" s="1277"/>
    </row>
    <row r="311" spans="1:8">
      <c r="A311" s="1278" t="s">
        <v>1291</v>
      </c>
      <c r="B311" s="1277"/>
      <c r="C311" s="1277"/>
      <c r="D311" s="1277"/>
      <c r="E311" s="1277"/>
      <c r="F311" s="1277"/>
      <c r="G311" s="1277"/>
      <c r="H311" s="1277"/>
    </row>
    <row r="312" spans="1:8">
      <c r="A312" s="1278" t="s">
        <v>1292</v>
      </c>
      <c r="B312" s="1277"/>
      <c r="C312" s="1277"/>
      <c r="D312" s="1277"/>
      <c r="E312" s="1277"/>
      <c r="F312" s="1277"/>
      <c r="G312" s="1277"/>
      <c r="H312" s="1277"/>
    </row>
    <row r="313" spans="1:8">
      <c r="A313" s="1278" t="s">
        <v>1293</v>
      </c>
      <c r="B313" s="1277"/>
      <c r="C313" s="1277"/>
      <c r="D313" s="1277"/>
      <c r="E313" s="1277"/>
      <c r="F313" s="1277"/>
      <c r="G313" s="1277"/>
      <c r="H313" s="1277"/>
    </row>
    <row r="314" spans="1:8">
      <c r="A314" s="1278" t="s">
        <v>1294</v>
      </c>
      <c r="B314" s="1277"/>
      <c r="C314" s="1277"/>
      <c r="D314" s="1277"/>
      <c r="E314" s="1277"/>
      <c r="F314" s="1277"/>
      <c r="G314" s="1277"/>
      <c r="H314" s="1277"/>
    </row>
    <row r="315" spans="1:8">
      <c r="A315" s="1278" t="s">
        <v>1295</v>
      </c>
      <c r="B315" s="1277"/>
      <c r="C315" s="1277"/>
      <c r="D315" s="1277"/>
      <c r="E315" s="1277"/>
      <c r="F315" s="1277"/>
      <c r="G315" s="1277"/>
      <c r="H315" s="1277"/>
    </row>
    <row r="316" spans="1:8">
      <c r="A316" s="1278" t="s">
        <v>1296</v>
      </c>
      <c r="B316" s="1277"/>
      <c r="C316" s="1277"/>
      <c r="D316" s="1277"/>
      <c r="E316" s="1277"/>
      <c r="F316" s="1277"/>
      <c r="G316" s="1277"/>
      <c r="H316" s="1277"/>
    </row>
    <row r="317" spans="1:8">
      <c r="A317" s="1278" t="s">
        <v>1297</v>
      </c>
      <c r="B317" s="1277"/>
      <c r="C317" s="1277"/>
      <c r="D317" s="1277"/>
      <c r="E317" s="1277"/>
      <c r="F317" s="1277"/>
      <c r="G317" s="1277"/>
      <c r="H317" s="1277"/>
    </row>
    <row r="318" spans="1:8">
      <c r="A318" s="1278" t="s">
        <v>1298</v>
      </c>
      <c r="B318" s="1277"/>
      <c r="C318" s="1277"/>
      <c r="D318" s="1277"/>
      <c r="E318" s="1277"/>
      <c r="F318" s="1277"/>
      <c r="G318" s="1277"/>
      <c r="H318" s="1277"/>
    </row>
    <row r="319" spans="1:8">
      <c r="A319" s="1278" t="s">
        <v>1299</v>
      </c>
      <c r="B319" s="1277"/>
      <c r="C319" s="1277"/>
      <c r="D319" s="1277"/>
      <c r="E319" s="1277"/>
      <c r="F319" s="1277"/>
      <c r="G319" s="1277"/>
      <c r="H319" s="1277"/>
    </row>
    <row r="320" spans="1:8">
      <c r="A320" s="1278" t="s">
        <v>1300</v>
      </c>
      <c r="B320" s="1277"/>
      <c r="C320" s="1277"/>
      <c r="D320" s="1277"/>
      <c r="E320" s="1277"/>
      <c r="F320" s="1277"/>
      <c r="G320" s="1277"/>
      <c r="H320" s="1277"/>
    </row>
    <row r="321" spans="1:8">
      <c r="A321" s="1278" t="s">
        <v>1301</v>
      </c>
      <c r="B321" s="1277"/>
      <c r="C321" s="1277"/>
      <c r="D321" s="1277"/>
      <c r="E321" s="1277"/>
      <c r="F321" s="1277"/>
      <c r="G321" s="1277"/>
      <c r="H321" s="1277"/>
    </row>
    <row r="322" spans="1:8">
      <c r="A322" s="1278" t="s">
        <v>1302</v>
      </c>
      <c r="B322" s="1277"/>
      <c r="C322" s="1277"/>
      <c r="D322" s="1277"/>
      <c r="E322" s="1277"/>
      <c r="F322" s="1277"/>
      <c r="G322" s="1277"/>
      <c r="H322" s="1277"/>
    </row>
    <row r="323" spans="1:8">
      <c r="A323" s="1278" t="s">
        <v>1303</v>
      </c>
      <c r="B323" s="1277"/>
      <c r="C323" s="1277"/>
      <c r="D323" s="1277"/>
      <c r="E323" s="1277"/>
      <c r="F323" s="1277"/>
      <c r="G323" s="1277"/>
      <c r="H323" s="1277"/>
    </row>
    <row r="324" spans="1:8">
      <c r="A324" s="1277"/>
      <c r="B324" s="1277"/>
      <c r="C324" s="1277"/>
      <c r="D324" s="1277"/>
      <c r="E324" s="1277"/>
      <c r="F324" s="1277"/>
      <c r="G324" s="1277"/>
      <c r="H324" s="1277"/>
    </row>
    <row r="325" spans="1:8">
      <c r="A325" s="1278" t="s">
        <v>1283</v>
      </c>
      <c r="B325" s="1277"/>
      <c r="C325" s="1277"/>
      <c r="D325" s="1277"/>
      <c r="E325" s="1277"/>
      <c r="F325" s="1277"/>
      <c r="G325" s="1277"/>
      <c r="H325" s="1277"/>
    </row>
    <row r="326" spans="1:8">
      <c r="A326" s="1278" t="s">
        <v>1284</v>
      </c>
      <c r="B326" s="1277"/>
      <c r="C326" s="1277"/>
      <c r="D326" s="1277"/>
      <c r="E326" s="1277"/>
      <c r="F326" s="1277"/>
      <c r="G326" s="1277"/>
      <c r="H326" s="1277"/>
    </row>
    <row r="327" spans="1:8">
      <c r="A327" s="1278" t="s">
        <v>1285</v>
      </c>
      <c r="B327" s="1277"/>
      <c r="C327" s="1277"/>
      <c r="D327" s="1277"/>
      <c r="E327" s="1277"/>
      <c r="F327" s="1277"/>
      <c r="G327" s="1277"/>
      <c r="H327" s="1277"/>
    </row>
    <row r="328" spans="1:8">
      <c r="A328" s="1278" t="s">
        <v>1286</v>
      </c>
      <c r="B328" s="1277"/>
      <c r="C328" s="1277"/>
      <c r="D328" s="1277"/>
      <c r="E328" s="1277"/>
      <c r="F328" s="1277"/>
      <c r="G328" s="1277"/>
      <c r="H328" s="1277"/>
    </row>
    <row r="329" spans="1:8">
      <c r="A329" s="1278" t="s">
        <v>1287</v>
      </c>
      <c r="B329" s="1277"/>
      <c r="C329" s="1277"/>
      <c r="D329" s="1277"/>
      <c r="E329" s="1277"/>
      <c r="F329" s="1277"/>
      <c r="G329" s="1277"/>
      <c r="H329" s="1277"/>
    </row>
    <row r="330" spans="1:8">
      <c r="A330" s="1278" t="s">
        <v>1288</v>
      </c>
      <c r="B330" s="1277"/>
      <c r="C330" s="1277"/>
      <c r="D330" s="1277"/>
      <c r="E330" s="1277"/>
      <c r="F330" s="1277"/>
      <c r="G330" s="1277"/>
      <c r="H330" s="1277"/>
    </row>
    <row r="331" spans="1:8">
      <c r="A331" s="1278" t="s">
        <v>1289</v>
      </c>
      <c r="B331" s="1277"/>
      <c r="C331" s="1277"/>
      <c r="D331" s="1277"/>
      <c r="E331" s="1277"/>
      <c r="F331" s="1277"/>
      <c r="G331" s="1277"/>
      <c r="H331" s="1277"/>
    </row>
    <row r="332" spans="1:8">
      <c r="A332" s="1278" t="s">
        <v>1290</v>
      </c>
      <c r="B332" s="1277"/>
      <c r="C332" s="1277"/>
      <c r="D332" s="1277"/>
      <c r="E332" s="1277"/>
      <c r="F332" s="1277"/>
      <c r="G332" s="1277"/>
      <c r="H332" s="1277"/>
    </row>
    <row r="333" spans="1:8">
      <c r="A333" s="1277"/>
      <c r="B333" s="1277"/>
      <c r="C333" s="1277"/>
      <c r="D333" s="1277"/>
      <c r="E333" s="1277"/>
      <c r="F333" s="1277"/>
      <c r="G333" s="1277"/>
      <c r="H333" s="1277"/>
    </row>
    <row r="334" spans="1:8">
      <c r="A334" s="1278" t="s">
        <v>1248</v>
      </c>
      <c r="B334" s="1277"/>
      <c r="C334" s="1277"/>
      <c r="D334" s="1277"/>
      <c r="E334" s="1277"/>
      <c r="F334" s="1277"/>
      <c r="G334" s="1277"/>
      <c r="H334" s="1277"/>
    </row>
    <row r="335" spans="1:8">
      <c r="A335" s="1278" t="s">
        <v>1249</v>
      </c>
      <c r="B335" s="1277"/>
      <c r="C335" s="1277"/>
      <c r="D335" s="1277"/>
      <c r="E335" s="1277"/>
      <c r="F335" s="1277"/>
      <c r="G335" s="1277"/>
      <c r="H335" s="1277"/>
    </row>
    <row r="336" spans="1:8">
      <c r="A336" s="1278" t="s">
        <v>1250</v>
      </c>
      <c r="B336" s="1277"/>
      <c r="C336" s="1277"/>
      <c r="D336" s="1277"/>
      <c r="E336" s="1277"/>
      <c r="F336" s="1277"/>
      <c r="G336" s="1277"/>
      <c r="H336" s="1277"/>
    </row>
    <row r="337" spans="1:8">
      <c r="A337" s="1278" t="s">
        <v>1251</v>
      </c>
      <c r="B337" s="1277"/>
      <c r="C337" s="1277"/>
      <c r="D337" s="1277"/>
      <c r="E337" s="1277"/>
      <c r="F337" s="1277"/>
      <c r="G337" s="1277"/>
      <c r="H337" s="1277"/>
    </row>
    <row r="338" spans="1:8">
      <c r="A338" s="1278" t="s">
        <v>1252</v>
      </c>
      <c r="B338" s="1277"/>
      <c r="C338" s="1277"/>
      <c r="D338" s="1277"/>
      <c r="E338" s="1277"/>
      <c r="F338" s="1277"/>
      <c r="G338" s="1277"/>
      <c r="H338" s="1277"/>
    </row>
    <row r="339" spans="1:8">
      <c r="A339" s="1278" t="s">
        <v>1253</v>
      </c>
      <c r="B339" s="1277"/>
      <c r="C339" s="1277"/>
      <c r="D339" s="1277"/>
      <c r="E339" s="1277"/>
      <c r="F339" s="1277"/>
      <c r="G339" s="1277"/>
      <c r="H339" s="1277"/>
    </row>
    <row r="340" spans="1:8">
      <c r="A340" s="1278" t="s">
        <v>1254</v>
      </c>
      <c r="B340" s="1277"/>
      <c r="C340" s="1277"/>
      <c r="D340" s="1277"/>
      <c r="E340" s="1277"/>
      <c r="F340" s="1277"/>
      <c r="G340" s="1277"/>
      <c r="H340" s="1277"/>
    </row>
    <row r="341" spans="1:8">
      <c r="A341" s="1278" t="s">
        <v>1255</v>
      </c>
      <c r="B341" s="1277"/>
      <c r="C341" s="1277"/>
      <c r="D341" s="1277"/>
      <c r="E341" s="1277"/>
      <c r="F341" s="1277"/>
      <c r="G341" s="1277"/>
      <c r="H341" s="1277"/>
    </row>
    <row r="342" spans="1:8">
      <c r="A342" s="1278" t="s">
        <v>1256</v>
      </c>
      <c r="B342" s="1277"/>
      <c r="C342" s="1277"/>
      <c r="D342" s="1277"/>
      <c r="E342" s="1277"/>
      <c r="F342" s="1277"/>
      <c r="G342" s="1277"/>
      <c r="H342" s="1277"/>
    </row>
    <row r="343" spans="1:8">
      <c r="A343" s="1278" t="s">
        <v>1257</v>
      </c>
      <c r="B343" s="1277"/>
      <c r="C343" s="1277"/>
      <c r="D343" s="1277"/>
      <c r="E343" s="1277"/>
      <c r="F343" s="1277"/>
      <c r="G343" s="1277"/>
      <c r="H343" s="1277"/>
    </row>
    <row r="344" spans="1:8">
      <c r="A344" s="1278" t="s">
        <v>1258</v>
      </c>
      <c r="B344" s="1277"/>
      <c r="C344" s="1277"/>
      <c r="D344" s="1277"/>
      <c r="E344" s="1277"/>
      <c r="F344" s="1277"/>
      <c r="G344" s="1277"/>
      <c r="H344" s="1277"/>
    </row>
    <row r="345" spans="1:8">
      <c r="A345" s="1278" t="s">
        <v>1259</v>
      </c>
      <c r="B345" s="1277"/>
      <c r="C345" s="1277"/>
      <c r="D345" s="1277"/>
      <c r="E345" s="1277"/>
      <c r="F345" s="1277"/>
      <c r="G345" s="1277"/>
      <c r="H345" s="1277"/>
    </row>
    <row r="346" spans="1:8">
      <c r="A346" s="1278" t="s">
        <v>1260</v>
      </c>
      <c r="B346" s="1277"/>
      <c r="C346" s="1277"/>
      <c r="D346" s="1277"/>
      <c r="E346" s="1277"/>
      <c r="F346" s="1277"/>
      <c r="G346" s="1277"/>
      <c r="H346" s="1277"/>
    </row>
    <row r="347" spans="1:8">
      <c r="A347" s="1278" t="s">
        <v>1261</v>
      </c>
      <c r="B347" s="1277"/>
      <c r="C347" s="1277"/>
      <c r="D347" s="1277"/>
      <c r="E347" s="1277"/>
      <c r="F347" s="1277"/>
      <c r="G347" s="1277"/>
      <c r="H347" s="1277"/>
    </row>
    <row r="348" spans="1:8">
      <c r="A348" s="1278" t="s">
        <v>1262</v>
      </c>
      <c r="B348" s="1277"/>
      <c r="C348" s="1277"/>
      <c r="D348" s="1277"/>
      <c r="E348" s="1277"/>
      <c r="F348" s="1277"/>
      <c r="G348" s="1277"/>
      <c r="H348" s="1277"/>
    </row>
    <row r="349" spans="1:8">
      <c r="A349" s="1278" t="s">
        <v>1263</v>
      </c>
      <c r="B349" s="1277"/>
      <c r="C349" s="1277"/>
      <c r="D349" s="1277"/>
      <c r="E349" s="1277"/>
      <c r="F349" s="1277"/>
      <c r="G349" s="1277"/>
      <c r="H349" s="1277"/>
    </row>
    <row r="350" spans="1:8">
      <c r="A350" s="1278" t="s">
        <v>1264</v>
      </c>
      <c r="B350" s="1277"/>
      <c r="C350" s="1277"/>
      <c r="D350" s="1277"/>
      <c r="E350" s="1277"/>
      <c r="F350" s="1277"/>
      <c r="G350" s="1277"/>
      <c r="H350" s="1277"/>
    </row>
    <row r="351" spans="1:8">
      <c r="A351" s="1278" t="s">
        <v>1265</v>
      </c>
      <c r="B351" s="1277"/>
      <c r="C351" s="1277"/>
      <c r="D351" s="1277"/>
      <c r="E351" s="1277"/>
      <c r="F351" s="1277"/>
      <c r="G351" s="1277"/>
      <c r="H351" s="1277"/>
    </row>
    <row r="352" spans="1:8">
      <c r="A352" s="1278" t="s">
        <v>1266</v>
      </c>
      <c r="B352" s="1277"/>
      <c r="C352" s="1277"/>
      <c r="D352" s="1277"/>
      <c r="E352" s="1277"/>
      <c r="F352" s="1277"/>
      <c r="G352" s="1277"/>
      <c r="H352" s="1277"/>
    </row>
    <row r="353" spans="1:8">
      <c r="A353" s="1278" t="s">
        <v>1267</v>
      </c>
      <c r="B353" s="1277"/>
      <c r="C353" s="1277"/>
      <c r="D353" s="1277"/>
      <c r="E353" s="1277"/>
      <c r="F353" s="1277"/>
      <c r="G353" s="1277"/>
      <c r="H353" s="1277"/>
    </row>
    <row r="354" spans="1:8">
      <c r="A354" s="1278" t="s">
        <v>1268</v>
      </c>
      <c r="B354" s="1277"/>
      <c r="C354" s="1277"/>
      <c r="D354" s="1277"/>
      <c r="E354" s="1277"/>
      <c r="F354" s="1277"/>
      <c r="G354" s="1277"/>
      <c r="H354" s="1277"/>
    </row>
    <row r="355" spans="1:8">
      <c r="A355" s="1278" t="s">
        <v>1269</v>
      </c>
      <c r="B355" s="1277"/>
      <c r="C355" s="1277"/>
      <c r="D355" s="1277"/>
      <c r="E355" s="1277"/>
      <c r="F355" s="1277"/>
      <c r="G355" s="1277"/>
      <c r="H355" s="1277"/>
    </row>
    <row r="356" spans="1:8">
      <c r="A356" s="1278" t="s">
        <v>1270</v>
      </c>
      <c r="B356" s="1277"/>
      <c r="C356" s="1277"/>
      <c r="D356" s="1277"/>
      <c r="E356" s="1277"/>
      <c r="F356" s="1277"/>
      <c r="G356" s="1277"/>
      <c r="H356" s="1277"/>
    </row>
    <row r="357" spans="1:8">
      <c r="A357" s="1278" t="s">
        <v>1271</v>
      </c>
      <c r="B357" s="1277"/>
      <c r="C357" s="1277"/>
      <c r="D357" s="1277"/>
      <c r="E357" s="1277"/>
      <c r="F357" s="1277"/>
      <c r="G357" s="1277"/>
      <c r="H357" s="1277"/>
    </row>
    <row r="358" spans="1:8">
      <c r="A358" s="1278" t="s">
        <v>1272</v>
      </c>
      <c r="B358" s="1277"/>
      <c r="C358" s="1277"/>
      <c r="D358" s="1277"/>
      <c r="E358" s="1277"/>
      <c r="F358" s="1277"/>
      <c r="G358" s="1277"/>
      <c r="H358" s="1277"/>
    </row>
    <row r="359" spans="1:8">
      <c r="A359" s="1278" t="s">
        <v>1273</v>
      </c>
      <c r="B359" s="1277"/>
      <c r="C359" s="1277"/>
      <c r="D359" s="1277"/>
      <c r="E359" s="1277"/>
      <c r="F359" s="1277"/>
      <c r="G359" s="1277"/>
      <c r="H359" s="1277"/>
    </row>
    <row r="360" spans="1:8">
      <c r="A360" s="1278" t="s">
        <v>1274</v>
      </c>
      <c r="B360" s="1277"/>
      <c r="C360" s="1277"/>
      <c r="D360" s="1277"/>
      <c r="E360" s="1277"/>
      <c r="F360" s="1277"/>
      <c r="G360" s="1277"/>
      <c r="H360" s="1277"/>
    </row>
    <row r="361" spans="1:8">
      <c r="A361" s="1278" t="s">
        <v>1275</v>
      </c>
      <c r="B361" s="1277"/>
      <c r="C361" s="1277"/>
      <c r="D361" s="1277"/>
      <c r="E361" s="1277"/>
      <c r="F361" s="1277"/>
      <c r="G361" s="1277"/>
      <c r="H361" s="1277"/>
    </row>
    <row r="362" spans="1:8">
      <c r="A362" s="1278" t="s">
        <v>1276</v>
      </c>
      <c r="B362" s="1277"/>
      <c r="C362" s="1277"/>
      <c r="D362" s="1277"/>
      <c r="E362" s="1277"/>
      <c r="F362" s="1277"/>
      <c r="G362" s="1277"/>
      <c r="H362" s="1277"/>
    </row>
    <row r="363" spans="1:8">
      <c r="A363" s="1278" t="s">
        <v>1277</v>
      </c>
      <c r="B363" s="1277"/>
      <c r="C363" s="1277"/>
      <c r="D363" s="1277"/>
      <c r="E363" s="1277"/>
      <c r="F363" s="1277"/>
      <c r="G363" s="1277"/>
      <c r="H363" s="1277"/>
    </row>
    <row r="364" spans="1:8">
      <c r="A364" s="1278" t="s">
        <v>1278</v>
      </c>
      <c r="B364" s="1277"/>
      <c r="C364" s="1277"/>
      <c r="D364" s="1277"/>
      <c r="E364" s="1277"/>
      <c r="F364" s="1277"/>
      <c r="G364" s="1277"/>
      <c r="H364" s="1277"/>
    </row>
    <row r="365" spans="1:8">
      <c r="A365" s="1278" t="s">
        <v>1279</v>
      </c>
      <c r="B365" s="1277"/>
      <c r="C365" s="1277"/>
      <c r="D365" s="1277"/>
      <c r="E365" s="1277"/>
      <c r="F365" s="1277"/>
      <c r="G365" s="1277"/>
      <c r="H365" s="1277"/>
    </row>
    <row r="366" spans="1:8">
      <c r="A366" s="1278" t="s">
        <v>1280</v>
      </c>
      <c r="B366" s="1277"/>
      <c r="C366" s="1277"/>
      <c r="D366" s="1277"/>
      <c r="E366" s="1277"/>
      <c r="F366" s="1277"/>
      <c r="G366" s="1277"/>
      <c r="H366" s="1277"/>
    </row>
    <row r="367" spans="1:8">
      <c r="A367" s="1278" t="s">
        <v>1281</v>
      </c>
      <c r="B367" s="1277"/>
      <c r="C367" s="1277"/>
      <c r="D367" s="1277"/>
      <c r="E367" s="1277"/>
      <c r="F367" s="1277"/>
      <c r="G367" s="1277"/>
      <c r="H367" s="1277"/>
    </row>
    <row r="368" spans="1:8">
      <c r="A368" s="1278" t="s">
        <v>1282</v>
      </c>
      <c r="B368" s="1277"/>
      <c r="C368" s="1277"/>
      <c r="D368" s="1277"/>
      <c r="E368" s="1277"/>
      <c r="F368" s="1277"/>
      <c r="G368" s="1277"/>
      <c r="H368" s="1277"/>
    </row>
    <row r="369" spans="1:8">
      <c r="A369" s="1277"/>
      <c r="B369" s="1277"/>
      <c r="C369" s="1277"/>
      <c r="D369" s="1277"/>
      <c r="E369" s="1277"/>
      <c r="F369" s="1277"/>
      <c r="G369" s="1277"/>
      <c r="H369" s="1277"/>
    </row>
    <row r="370" spans="1:8">
      <c r="A370" s="1278" t="s">
        <v>1240</v>
      </c>
      <c r="B370" s="1277"/>
      <c r="C370" s="1277"/>
      <c r="D370" s="1277"/>
      <c r="E370" s="1277"/>
      <c r="F370" s="1277"/>
      <c r="G370" s="1277"/>
      <c r="H370" s="1277"/>
    </row>
    <row r="371" spans="1:8">
      <c r="A371" s="1278" t="s">
        <v>1244</v>
      </c>
      <c r="B371" s="1277"/>
      <c r="C371" s="1277"/>
      <c r="D371" s="1277"/>
      <c r="E371" s="1277"/>
      <c r="F371" s="1277"/>
      <c r="G371" s="1277"/>
      <c r="H371" s="1277"/>
    </row>
    <row r="372" spans="1:8">
      <c r="A372" s="1278" t="s">
        <v>1245</v>
      </c>
      <c r="B372" s="1277"/>
      <c r="C372" s="1277"/>
      <c r="D372" s="1277"/>
      <c r="E372" s="1277"/>
      <c r="F372" s="1277"/>
      <c r="G372" s="1277"/>
      <c r="H372" s="1277"/>
    </row>
    <row r="373" spans="1:8">
      <c r="A373" s="1278" t="s">
        <v>1246</v>
      </c>
      <c r="B373" s="1277"/>
      <c r="C373" s="1277"/>
      <c r="D373" s="1277"/>
      <c r="E373" s="1277"/>
      <c r="F373" s="1277"/>
      <c r="G373" s="1277"/>
      <c r="H373" s="1277"/>
    </row>
    <row r="374" spans="1:8">
      <c r="A374" s="1278" t="s">
        <v>1247</v>
      </c>
      <c r="B374" s="1277"/>
      <c r="C374" s="1277"/>
      <c r="D374" s="1277"/>
      <c r="E374" s="1277"/>
      <c r="F374" s="1277"/>
      <c r="G374" s="1277"/>
      <c r="H374" s="1277"/>
    </row>
    <row r="375" spans="1:8">
      <c r="A375" s="1277"/>
      <c r="B375" s="1277"/>
      <c r="C375" s="1277"/>
      <c r="D375" s="1277"/>
      <c r="E375" s="1277"/>
      <c r="F375" s="1277"/>
      <c r="G375" s="1277"/>
      <c r="H375" s="1277"/>
    </row>
    <row r="376" spans="1:8">
      <c r="A376" s="1278" t="s">
        <v>1240</v>
      </c>
      <c r="B376" s="1277"/>
      <c r="C376" s="1277"/>
      <c r="D376" s="1277"/>
      <c r="E376" s="1277"/>
      <c r="F376" s="1277"/>
      <c r="G376" s="1277"/>
      <c r="H376" s="1277"/>
    </row>
    <row r="377" spans="1:8">
      <c r="A377" s="1278" t="s">
        <v>1241</v>
      </c>
      <c r="B377" s="1277"/>
      <c r="C377" s="1277"/>
      <c r="D377" s="1277"/>
      <c r="E377" s="1277"/>
      <c r="F377" s="1277"/>
      <c r="G377" s="1277"/>
      <c r="H377" s="1277"/>
    </row>
    <row r="378" spans="1:8">
      <c r="A378" s="1278" t="s">
        <v>1242</v>
      </c>
      <c r="B378" s="1277"/>
      <c r="C378" s="1277"/>
      <c r="D378" s="1277"/>
      <c r="E378" s="1277"/>
      <c r="F378" s="1277"/>
      <c r="G378" s="1277"/>
      <c r="H378" s="1277"/>
    </row>
    <row r="379" spans="1:8">
      <c r="A379" s="1278" t="s">
        <v>1243</v>
      </c>
      <c r="B379" s="1277"/>
      <c r="C379" s="1277"/>
      <c r="D379" s="1277"/>
      <c r="E379" s="1277"/>
      <c r="F379" s="1277"/>
      <c r="G379" s="1277"/>
      <c r="H379" s="1277"/>
    </row>
    <row r="380" spans="1:8">
      <c r="A380" s="1277"/>
      <c r="B380" s="1277"/>
      <c r="C380" s="1277"/>
      <c r="D380" s="1277"/>
      <c r="E380" s="1277"/>
      <c r="F380" s="1277"/>
      <c r="G380" s="1277"/>
      <c r="H380" s="1277"/>
    </row>
    <row r="381" spans="1:8">
      <c r="A381" s="1278" t="s">
        <v>1234</v>
      </c>
      <c r="B381" s="1277"/>
      <c r="C381" s="1277"/>
      <c r="D381" s="1277"/>
      <c r="E381" s="1277"/>
      <c r="F381" s="1277"/>
      <c r="G381" s="1277"/>
      <c r="H381" s="1277"/>
    </row>
    <row r="382" spans="1:8">
      <c r="A382" s="1278" t="s">
        <v>1235</v>
      </c>
      <c r="B382" s="1277"/>
      <c r="C382" s="1277"/>
      <c r="D382" s="1277"/>
      <c r="E382" s="1277"/>
      <c r="F382" s="1277"/>
      <c r="G382" s="1277"/>
      <c r="H382" s="1277"/>
    </row>
    <row r="383" spans="1:8">
      <c r="A383" s="1278" t="s">
        <v>1236</v>
      </c>
      <c r="B383" s="1277"/>
      <c r="C383" s="1277"/>
      <c r="D383" s="1277"/>
      <c r="E383" s="1277"/>
      <c r="F383" s="1277"/>
      <c r="G383" s="1277"/>
      <c r="H383" s="1277"/>
    </row>
    <row r="384" spans="1:8">
      <c r="A384" s="1278" t="s">
        <v>1237</v>
      </c>
      <c r="B384" s="1277"/>
      <c r="C384" s="1277"/>
      <c r="D384" s="1277"/>
      <c r="E384" s="1277"/>
      <c r="F384" s="1277"/>
      <c r="G384" s="1277"/>
      <c r="H384" s="1277"/>
    </row>
    <row r="385" spans="1:8">
      <c r="A385" s="1278" t="s">
        <v>1238</v>
      </c>
      <c r="B385" s="1277"/>
      <c r="C385" s="1277"/>
      <c r="D385" s="1277"/>
      <c r="E385" s="1277"/>
      <c r="F385" s="1277"/>
      <c r="G385" s="1277"/>
      <c r="H385" s="1277"/>
    </row>
    <row r="386" spans="1:8">
      <c r="A386" s="1278" t="s">
        <v>1239</v>
      </c>
      <c r="B386" s="1277"/>
      <c r="C386" s="1277"/>
      <c r="D386" s="1277"/>
      <c r="E386" s="1277"/>
      <c r="F386" s="1277"/>
      <c r="G386" s="1277"/>
      <c r="H386" s="1277"/>
    </row>
    <row r="387" spans="1:8">
      <c r="A387" s="1277"/>
      <c r="B387" s="1277"/>
      <c r="C387" s="1277"/>
      <c r="D387" s="1277"/>
      <c r="E387" s="1277"/>
      <c r="F387" s="1277"/>
      <c r="G387" s="1277"/>
      <c r="H387" s="1277"/>
    </row>
    <row r="388" spans="1:8">
      <c r="A388" s="1278" t="s">
        <v>1229</v>
      </c>
      <c r="B388" s="1277"/>
      <c r="C388" s="1277"/>
      <c r="D388" s="1277"/>
      <c r="E388" s="1277"/>
      <c r="F388" s="1277"/>
      <c r="G388" s="1277"/>
      <c r="H388" s="1277"/>
    </row>
    <row r="389" spans="1:8">
      <c r="A389" s="1278" t="s">
        <v>1230</v>
      </c>
      <c r="B389" s="1277"/>
      <c r="C389" s="1277"/>
      <c r="D389" s="1277"/>
      <c r="E389" s="1277"/>
      <c r="F389" s="1277"/>
      <c r="G389" s="1277"/>
      <c r="H389" s="1277"/>
    </row>
    <row r="390" spans="1:8">
      <c r="A390" s="1278" t="s">
        <v>1231</v>
      </c>
      <c r="B390" s="1277"/>
      <c r="C390" s="1277"/>
      <c r="D390" s="1277"/>
      <c r="E390" s="1277"/>
      <c r="F390" s="1277"/>
      <c r="G390" s="1277"/>
      <c r="H390" s="1277"/>
    </row>
    <row r="391" spans="1:8">
      <c r="A391" s="1278" t="s">
        <v>1232</v>
      </c>
      <c r="B391" s="1277"/>
      <c r="C391" s="1277"/>
      <c r="D391" s="1277"/>
      <c r="E391" s="1277"/>
      <c r="F391" s="1277"/>
      <c r="G391" s="1277"/>
      <c r="H391" s="1277"/>
    </row>
    <row r="392" spans="1:8">
      <c r="A392" s="1278" t="s">
        <v>1233</v>
      </c>
      <c r="B392" s="1277"/>
      <c r="C392" s="1277"/>
      <c r="D392" s="1277"/>
      <c r="E392" s="1277"/>
      <c r="F392" s="1277"/>
      <c r="G392" s="1277"/>
      <c r="H392" s="1277"/>
    </row>
    <row r="393" spans="1:8">
      <c r="A393" s="1277"/>
      <c r="B393" s="1277"/>
      <c r="C393" s="1277"/>
      <c r="D393" s="1277"/>
      <c r="E393" s="1277"/>
      <c r="F393" s="1277"/>
      <c r="G393" s="1277"/>
      <c r="H393" s="1277"/>
    </row>
    <row r="394" spans="1:8">
      <c r="A394" s="1278" t="s">
        <v>1227</v>
      </c>
      <c r="B394" s="1277"/>
      <c r="C394" s="1277"/>
      <c r="D394" s="1277"/>
      <c r="E394" s="1277"/>
      <c r="F394" s="1277"/>
      <c r="G394" s="1277"/>
      <c r="H394" s="1277"/>
    </row>
    <row r="395" spans="1:8">
      <c r="A395" s="1278" t="s">
        <v>1228</v>
      </c>
      <c r="B395" s="1277"/>
      <c r="C395" s="1277"/>
      <c r="D395" s="1277"/>
      <c r="E395" s="1277"/>
      <c r="F395" s="1277"/>
      <c r="G395" s="1277"/>
      <c r="H395" s="1277"/>
    </row>
    <row r="397" spans="1:8">
      <c r="A397" s="1273" t="s">
        <v>1487</v>
      </c>
    </row>
  </sheetData>
  <mergeCells count="12">
    <mergeCell ref="A135:H135"/>
    <mergeCell ref="A136:H136"/>
    <mergeCell ref="B128:C128"/>
    <mergeCell ref="D128:F128"/>
    <mergeCell ref="G128:H128"/>
    <mergeCell ref="A114:H114"/>
    <mergeCell ref="A115:H115"/>
    <mergeCell ref="A116:H116"/>
    <mergeCell ref="A117:H117"/>
    <mergeCell ref="A119:H119"/>
    <mergeCell ref="A120:H120"/>
    <mergeCell ref="A127:H127"/>
  </mergeCells>
  <pageMargins left="0.5" right="0.5" top="0.5" bottom="0.5" header="0.5" footer="0.5"/>
  <pageSetup orientation="portrait" horizontalDpi="300" verticalDpi="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enableFormatConditionsCalculation="0">
    <tabColor indexed="8"/>
  </sheetPr>
  <dimension ref="A1:FZ28"/>
  <sheetViews>
    <sheetView showGridLines="0" zoomScaleNormal="100" workbookViewId="0"/>
  </sheetViews>
  <sheetFormatPr defaultRowHeight="12.75"/>
  <cols>
    <col min="1" max="1" width="7.7109375" style="85" customWidth="1"/>
    <col min="2" max="2" width="28" style="118" customWidth="1"/>
    <col min="3" max="3" width="6.42578125" style="85" customWidth="1"/>
    <col min="4" max="4" width="28.42578125" style="85" customWidth="1"/>
    <col min="5" max="5" width="5.5703125" style="85" customWidth="1"/>
    <col min="6" max="6" width="27.5703125" style="85" customWidth="1"/>
    <col min="7" max="7" width="10.7109375" style="85" customWidth="1"/>
    <col min="8" max="8" width="6.42578125" style="85" customWidth="1"/>
    <col min="9" max="16384" width="9.140625" style="85"/>
  </cols>
  <sheetData>
    <row r="1" spans="1:182" ht="65.25" customHeight="1">
      <c r="A1" s="81"/>
      <c r="B1" s="82"/>
      <c r="C1" s="83"/>
      <c r="D1" s="83"/>
      <c r="E1" s="83"/>
      <c r="F1" s="83"/>
      <c r="G1" s="84"/>
      <c r="FZ1" s="85" t="s">
        <v>1120</v>
      </c>
    </row>
    <row r="2" spans="1:182" ht="21.75" customHeight="1">
      <c r="A2" s="86"/>
      <c r="B2" s="87"/>
      <c r="C2" s="87"/>
      <c r="D2" s="88" t="str">
        <f>CompanyName</f>
        <v>Eli Lilly &amp; Co.</v>
      </c>
      <c r="E2" s="89"/>
      <c r="F2" s="87"/>
      <c r="G2" s="90"/>
    </row>
    <row r="3" spans="1:182" ht="21" customHeight="1">
      <c r="A3" s="86"/>
      <c r="B3" s="87"/>
      <c r="C3" s="87"/>
      <c r="D3" s="91" t="str">
        <f>"Ticker: " &amp; CompanyTicker</f>
        <v>Ticker: LLY</v>
      </c>
      <c r="E3" s="89"/>
      <c r="F3" s="87"/>
      <c r="G3" s="90"/>
    </row>
    <row r="4" spans="1:182" ht="21" customHeight="1">
      <c r="A4" s="92"/>
      <c r="B4" s="87"/>
      <c r="C4" s="87"/>
      <c r="D4" s="93" t="str">
        <f>"Rating: " &amp; Rating</f>
        <v>Rating: Equal-weight</v>
      </c>
      <c r="E4" s="94"/>
      <c r="F4" s="87"/>
      <c r="G4" s="90"/>
    </row>
    <row r="5" spans="1:182" ht="21" customHeight="1">
      <c r="A5" s="92"/>
      <c r="B5" s="87"/>
      <c r="C5" s="87"/>
      <c r="D5" s="93" t="str">
        <f>"Price Target: " &amp; TEXT(PriceTarget, "$0")</f>
        <v>Price Target: $93</v>
      </c>
      <c r="E5" s="94"/>
      <c r="F5" s="87"/>
      <c r="G5" s="90"/>
    </row>
    <row r="6" spans="1:182" ht="21" customHeight="1">
      <c r="A6" s="92"/>
      <c r="B6" s="87"/>
      <c r="C6" s="87"/>
      <c r="D6" s="93" t="str">
        <f>"Date: " &amp; TEXT(DtLastUpdt, "m/d/yyyy")</f>
        <v>Date: 4/24/2018</v>
      </c>
      <c r="E6" s="94"/>
      <c r="F6" s="87"/>
      <c r="G6" s="90"/>
    </row>
    <row r="7" spans="1:182">
      <c r="A7" s="95"/>
      <c r="B7" s="96"/>
      <c r="C7" s="97"/>
      <c r="D7" s="97"/>
      <c r="E7" s="97"/>
      <c r="F7" s="97"/>
      <c r="G7" s="98"/>
    </row>
    <row r="8" spans="1:182" ht="15.75">
      <c r="A8" s="95"/>
      <c r="B8" s="97"/>
      <c r="C8" s="97"/>
      <c r="D8" s="99" t="s">
        <v>447</v>
      </c>
      <c r="E8" s="97"/>
      <c r="F8" s="97"/>
      <c r="G8" s="98"/>
    </row>
    <row r="9" spans="1:182" ht="15.75">
      <c r="A9" s="95"/>
      <c r="B9" s="97"/>
      <c r="C9" s="97"/>
      <c r="D9" s="99" t="s">
        <v>664</v>
      </c>
      <c r="E9" s="97"/>
      <c r="F9" s="97"/>
      <c r="G9" s="98"/>
    </row>
    <row r="10" spans="1:182" ht="15.75">
      <c r="A10" s="95"/>
      <c r="B10" s="97"/>
      <c r="C10" s="97"/>
      <c r="D10" s="99" t="s">
        <v>665</v>
      </c>
      <c r="E10" s="97"/>
      <c r="F10" s="97"/>
      <c r="G10" s="98"/>
    </row>
    <row r="11" spans="1:182" ht="15.75">
      <c r="A11" s="95"/>
      <c r="B11" s="97"/>
      <c r="C11" s="97"/>
      <c r="D11" s="100" t="s">
        <v>666</v>
      </c>
      <c r="E11" s="97"/>
      <c r="F11" s="97"/>
      <c r="G11" s="98"/>
    </row>
    <row r="12" spans="1:182" ht="78" customHeight="1">
      <c r="A12" s="95"/>
      <c r="B12" s="97"/>
      <c r="C12" s="101"/>
      <c r="D12" s="102"/>
      <c r="E12" s="97"/>
      <c r="F12" s="97"/>
      <c r="G12" s="98"/>
    </row>
    <row r="13" spans="1:182">
      <c r="A13" s="95"/>
      <c r="B13" s="103" t="s">
        <v>634</v>
      </c>
      <c r="C13" s="104"/>
      <c r="D13" s="103" t="s">
        <v>176</v>
      </c>
      <c r="E13" s="104"/>
      <c r="F13" s="103" t="s">
        <v>415</v>
      </c>
      <c r="G13" s="105"/>
      <c r="H13" s="106"/>
      <c r="I13" s="106"/>
    </row>
    <row r="14" spans="1:182">
      <c r="A14" s="95"/>
      <c r="B14" s="107"/>
      <c r="C14" s="107"/>
      <c r="D14" s="97"/>
      <c r="E14" s="97"/>
      <c r="F14" s="107"/>
      <c r="G14" s="98"/>
      <c r="H14" s="108"/>
      <c r="I14" s="108"/>
    </row>
    <row r="15" spans="1:182">
      <c r="A15" s="95"/>
      <c r="B15" s="103" t="s">
        <v>730</v>
      </c>
      <c r="C15" s="104"/>
      <c r="D15" s="103" t="s">
        <v>177</v>
      </c>
      <c r="E15" s="97"/>
      <c r="F15" s="109" t="s">
        <v>413</v>
      </c>
      <c r="G15" s="98"/>
    </row>
    <row r="16" spans="1:182">
      <c r="A16" s="95"/>
      <c r="B16" s="107"/>
      <c r="C16" s="107"/>
      <c r="D16" s="107"/>
      <c r="E16" s="97"/>
      <c r="F16" s="97"/>
      <c r="G16" s="98"/>
      <c r="H16" s="108"/>
      <c r="I16" s="108"/>
    </row>
    <row r="17" spans="1:9" ht="15.75">
      <c r="A17" s="110"/>
      <c r="B17" s="103" t="s">
        <v>414</v>
      </c>
      <c r="C17" s="104"/>
      <c r="D17" s="103" t="s">
        <v>677</v>
      </c>
      <c r="E17" s="107"/>
      <c r="F17" s="103" t="s">
        <v>678</v>
      </c>
      <c r="G17" s="98"/>
    </row>
    <row r="18" spans="1:9" ht="11.25" customHeight="1">
      <c r="A18" s="110"/>
      <c r="B18" s="107"/>
      <c r="C18" s="107"/>
      <c r="D18" s="107"/>
      <c r="E18" s="107"/>
      <c r="F18" s="107"/>
      <c r="G18" s="98"/>
      <c r="H18" s="108"/>
      <c r="I18" s="108"/>
    </row>
    <row r="19" spans="1:9" ht="11.25" customHeight="1">
      <c r="A19" s="110"/>
      <c r="B19" s="103" t="s">
        <v>481</v>
      </c>
      <c r="C19" s="111"/>
      <c r="D19" s="109" t="s">
        <v>226</v>
      </c>
      <c r="E19" s="97"/>
      <c r="F19" s="107"/>
      <c r="G19" s="98"/>
      <c r="H19" s="112"/>
      <c r="I19" s="112"/>
    </row>
    <row r="20" spans="1:9" ht="16.5" thickBot="1">
      <c r="A20" s="113"/>
      <c r="B20" s="114"/>
      <c r="C20" s="114"/>
      <c r="D20" s="115"/>
      <c r="E20" s="114"/>
      <c r="F20" s="114"/>
      <c r="G20" s="116"/>
      <c r="H20" s="108"/>
      <c r="I20" s="108"/>
    </row>
    <row r="21" spans="1:9" ht="15.75">
      <c r="A21" s="117"/>
      <c r="C21" s="112"/>
      <c r="E21" s="106"/>
      <c r="F21" s="106"/>
      <c r="H21" s="112"/>
      <c r="I21" s="112"/>
    </row>
    <row r="22" spans="1:9" ht="15.75">
      <c r="A22" s="117"/>
      <c r="B22" s="85"/>
      <c r="G22" s="108"/>
    </row>
    <row r="23" spans="1:9">
      <c r="G23" s="112"/>
    </row>
    <row r="24" spans="1:9">
      <c r="B24" s="85"/>
    </row>
    <row r="28" spans="1:9">
      <c r="D28" s="119"/>
    </row>
  </sheetData>
  <phoneticPr fontId="0" type="noConversion"/>
  <hyperlinks>
    <hyperlink ref="D15" location="AGREEMENTS!A1" display="Go to Agreements"/>
    <hyperlink ref="D17" location="PIPELINE!A1" display="Go to Pipeline"/>
    <hyperlink ref="D13" location="FOOTNOTES!A1" display="Go to Footnotes"/>
    <hyperlink ref="D19" location="CFBS!A1" display="Go to Cash Flow Balance Sheet"/>
    <hyperlink ref="B13" location="'IS-ANNUAL'!A1" display="Go to Annual Income Statement"/>
    <hyperlink ref="B15" location="'IS-QTRLY'!A1" display="Go to Quarterly Income Statement"/>
    <hyperlink ref="B17" location="'REV-ANNUAL'!A1" display="Go to Annual Revenues"/>
    <hyperlink ref="F13" location="'MGMT PROJECTIONS'!A1" display="Go to Management Projections"/>
    <hyperlink ref="B19" location="'REV-QTRLY'!A1" display="Go to Quarterly Revenues"/>
    <hyperlink ref="F15" location="SEL_FRANCHISES!A1" display="Go to Cash Flow/Balance Sheet"/>
    <hyperlink ref="F17" location="DCF!A1" display="Go to DCF"/>
  </hyperlinks>
  <pageMargins left="0.62" right="0.53" top="1" bottom="1" header="0.5" footer="0.5"/>
  <pageSetup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autoFill="0" autoPict="0" macro="[0]!PrintIS">
                <anchor>
                  <from>
                    <xdr:col>1</xdr:col>
                    <xdr:colOff>57150</xdr:colOff>
                    <xdr:row>11</xdr:row>
                    <xdr:rowOff>228600</xdr:rowOff>
                  </from>
                  <to>
                    <xdr:col>1</xdr:col>
                    <xdr:colOff>1752600</xdr:colOff>
                    <xdr:row>11</xdr:row>
                    <xdr:rowOff>704850</xdr:rowOff>
                  </to>
                </anchor>
              </controlPr>
            </control>
          </mc:Choice>
        </mc:AlternateContent>
        <mc:AlternateContent xmlns:mc="http://schemas.openxmlformats.org/markup-compatibility/2006">
          <mc:Choice Requires="x14">
            <control shapeId="4098" r:id="rId5" name="Button 2">
              <controlPr defaultSize="0" autoFill="0" autoPict="0" macro="[0]!PrintRevenues">
                <anchor>
                  <from>
                    <xdr:col>3</xdr:col>
                    <xdr:colOff>66675</xdr:colOff>
                    <xdr:row>11</xdr:row>
                    <xdr:rowOff>238125</xdr:rowOff>
                  </from>
                  <to>
                    <xdr:col>3</xdr:col>
                    <xdr:colOff>1647825</xdr:colOff>
                    <xdr:row>11</xdr:row>
                    <xdr:rowOff>714375</xdr:rowOff>
                  </to>
                </anchor>
              </controlPr>
            </control>
          </mc:Choice>
        </mc:AlternateContent>
        <mc:AlternateContent xmlns:mc="http://schemas.openxmlformats.org/markup-compatibility/2006">
          <mc:Choice Requires="x14">
            <control shapeId="4099" r:id="rId6" name="Button 3">
              <controlPr defaultSize="0" autoFill="0" autoPict="0" macro="[0]!PrintAll">
                <anchor>
                  <from>
                    <xdr:col>5</xdr:col>
                    <xdr:colOff>57150</xdr:colOff>
                    <xdr:row>11</xdr:row>
                    <xdr:rowOff>238125</xdr:rowOff>
                  </from>
                  <to>
                    <xdr:col>5</xdr:col>
                    <xdr:colOff>1695450</xdr:colOff>
                    <xdr:row>11</xdr:row>
                    <xdr:rowOff>714375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FH2"/>
  <sheetViews>
    <sheetView workbookViewId="0">
      <selection activeCell="AO20" sqref="AO20"/>
    </sheetView>
  </sheetViews>
  <sheetFormatPr defaultRowHeight="12.75"/>
  <cols>
    <col min="1" max="16384" width="9.140625" style="63"/>
  </cols>
  <sheetData>
    <row r="1" spans="1:164">
      <c r="A1" s="63" t="s">
        <v>1144</v>
      </c>
    </row>
    <row r="2" spans="1:164">
      <c r="A2" s="120" t="s">
        <v>361</v>
      </c>
      <c r="B2" s="120" t="s">
        <v>313</v>
      </c>
      <c r="C2" s="120" t="s">
        <v>496</v>
      </c>
      <c r="D2" s="120" t="s">
        <v>721</v>
      </c>
      <c r="E2" s="120" t="s">
        <v>1108</v>
      </c>
      <c r="F2" s="120" t="s">
        <v>1116</v>
      </c>
      <c r="G2" s="120" t="s">
        <v>1109</v>
      </c>
      <c r="H2" s="120" t="s">
        <v>1117</v>
      </c>
      <c r="I2" s="120" t="s">
        <v>660</v>
      </c>
      <c r="J2" s="120" t="s">
        <v>661</v>
      </c>
      <c r="K2" s="120" t="s">
        <v>497</v>
      </c>
      <c r="L2" s="120" t="s">
        <v>718</v>
      </c>
      <c r="M2" s="120" t="s">
        <v>466</v>
      </c>
      <c r="N2" s="120" t="s">
        <v>541</v>
      </c>
      <c r="O2" s="120" t="s">
        <v>1104</v>
      </c>
      <c r="P2" s="120" t="s">
        <v>1112</v>
      </c>
      <c r="Q2" s="120" t="s">
        <v>889</v>
      </c>
      <c r="R2" s="120" t="s">
        <v>967</v>
      </c>
      <c r="S2" s="120" t="s">
        <v>19</v>
      </c>
      <c r="T2" s="120" t="s">
        <v>24</v>
      </c>
      <c r="U2" s="120" t="s">
        <v>888</v>
      </c>
      <c r="V2" s="120" t="s">
        <v>947</v>
      </c>
      <c r="W2" s="120" t="s">
        <v>20</v>
      </c>
      <c r="X2" s="120" t="s">
        <v>25</v>
      </c>
      <c r="Y2" s="120" t="s">
        <v>997</v>
      </c>
      <c r="Z2" s="120" t="s">
        <v>1018</v>
      </c>
      <c r="AA2" s="120" t="s">
        <v>450</v>
      </c>
      <c r="AB2" s="120" t="s">
        <v>1068</v>
      </c>
      <c r="AC2" s="120" t="s">
        <v>352</v>
      </c>
      <c r="AD2" s="120" t="s">
        <v>999</v>
      </c>
      <c r="AE2" s="120" t="s">
        <v>542</v>
      </c>
      <c r="AF2" s="120" t="s">
        <v>543</v>
      </c>
      <c r="AG2" s="120" t="s">
        <v>486</v>
      </c>
      <c r="AH2" s="120" t="s">
        <v>487</v>
      </c>
      <c r="AI2" s="120" t="s">
        <v>992</v>
      </c>
      <c r="AJ2" s="120" t="s">
        <v>1097</v>
      </c>
      <c r="AK2" s="120" t="s">
        <v>525</v>
      </c>
      <c r="AL2" s="120" t="s">
        <v>345</v>
      </c>
      <c r="AM2" s="120" t="s">
        <v>1105</v>
      </c>
      <c r="AN2" s="120" t="s">
        <v>1113</v>
      </c>
      <c r="AO2" s="120" t="s">
        <v>1036</v>
      </c>
      <c r="AP2" s="120" t="s">
        <v>1098</v>
      </c>
      <c r="AQ2" s="120" t="s">
        <v>548</v>
      </c>
      <c r="AR2" s="120" t="s">
        <v>243</v>
      </c>
      <c r="AS2" s="120" t="s">
        <v>117</v>
      </c>
      <c r="AT2" s="120" t="s">
        <v>1087</v>
      </c>
      <c r="AU2" s="120" t="s">
        <v>990</v>
      </c>
      <c r="AV2" s="120" t="s">
        <v>1050</v>
      </c>
      <c r="AW2" s="120" t="s">
        <v>1034</v>
      </c>
      <c r="AX2" s="120" t="s">
        <v>1091</v>
      </c>
      <c r="AY2" s="120" t="s">
        <v>890</v>
      </c>
      <c r="AZ2" s="120" t="s">
        <v>957</v>
      </c>
      <c r="BA2" s="120" t="s">
        <v>350</v>
      </c>
      <c r="BB2" s="120" t="s">
        <v>917</v>
      </c>
      <c r="BC2" s="120" t="s">
        <v>1037</v>
      </c>
      <c r="BD2" s="120" t="s">
        <v>1092</v>
      </c>
      <c r="BE2" s="120" t="s">
        <v>993</v>
      </c>
      <c r="BF2" s="120" t="s">
        <v>1032</v>
      </c>
      <c r="BG2" s="120" t="s">
        <v>351</v>
      </c>
      <c r="BH2" s="120" t="s">
        <v>723</v>
      </c>
      <c r="BI2" s="120" t="s">
        <v>363</v>
      </c>
      <c r="BJ2" s="120" t="s">
        <v>722</v>
      </c>
      <c r="BK2" s="120" t="s">
        <v>353</v>
      </c>
      <c r="BL2" s="120" t="s">
        <v>718</v>
      </c>
      <c r="BM2" s="120" t="s">
        <v>744</v>
      </c>
      <c r="BN2" s="120" t="s">
        <v>311</v>
      </c>
      <c r="BO2" s="120" t="s">
        <v>1038</v>
      </c>
      <c r="BP2" s="120" t="s">
        <v>1099</v>
      </c>
      <c r="BQ2" s="120" t="s">
        <v>521</v>
      </c>
      <c r="BR2" s="120" t="s">
        <v>524</v>
      </c>
      <c r="BS2" s="120" t="s">
        <v>358</v>
      </c>
      <c r="BT2" s="120" t="s">
        <v>916</v>
      </c>
      <c r="BU2" s="120" t="s">
        <v>1106</v>
      </c>
      <c r="BV2" s="120" t="s">
        <v>1114</v>
      </c>
      <c r="BW2" s="120" t="s">
        <v>359</v>
      </c>
      <c r="BX2" s="120" t="s">
        <v>315</v>
      </c>
      <c r="BY2" s="120" t="s">
        <v>833</v>
      </c>
      <c r="BZ2" s="120" t="s">
        <v>1090</v>
      </c>
      <c r="CA2" s="120" t="s">
        <v>743</v>
      </c>
      <c r="CB2" s="120" t="s">
        <v>719</v>
      </c>
      <c r="CC2" s="120" t="s">
        <v>828</v>
      </c>
      <c r="CD2" s="120" t="s">
        <v>1100</v>
      </c>
      <c r="CE2" s="120" t="s">
        <v>522</v>
      </c>
      <c r="CF2" s="120" t="s">
        <v>333</v>
      </c>
      <c r="CG2" s="120" t="s">
        <v>590</v>
      </c>
      <c r="CH2" s="120" t="s">
        <v>333</v>
      </c>
      <c r="CI2" s="120" t="s">
        <v>371</v>
      </c>
      <c r="CJ2" s="120" t="s">
        <v>372</v>
      </c>
      <c r="CK2" s="120" t="s">
        <v>995</v>
      </c>
      <c r="CL2" s="120" t="s">
        <v>1019</v>
      </c>
      <c r="CM2" s="120" t="s">
        <v>17</v>
      </c>
      <c r="CN2" s="120" t="s">
        <v>22</v>
      </c>
      <c r="CO2" s="120" t="s">
        <v>991</v>
      </c>
      <c r="CP2" s="120" t="s">
        <v>1051</v>
      </c>
      <c r="CQ2" s="120" t="s">
        <v>885</v>
      </c>
      <c r="CR2" s="120" t="s">
        <v>948</v>
      </c>
      <c r="CS2" s="120" t="s">
        <v>16</v>
      </c>
      <c r="CT2" s="120" t="s">
        <v>21</v>
      </c>
      <c r="CU2" s="120" t="s">
        <v>1107</v>
      </c>
      <c r="CV2" s="120" t="s">
        <v>1115</v>
      </c>
      <c r="CW2" s="120" t="s">
        <v>829</v>
      </c>
      <c r="CX2" s="120" t="s">
        <v>1101</v>
      </c>
      <c r="CY2" s="120" t="s">
        <v>544</v>
      </c>
      <c r="CZ2" s="120" t="s">
        <v>545</v>
      </c>
      <c r="DA2" s="120" t="s">
        <v>6</v>
      </c>
      <c r="DB2" s="120" t="s">
        <v>312</v>
      </c>
      <c r="DC2" s="120" t="s">
        <v>546</v>
      </c>
      <c r="DD2" s="120" t="s">
        <v>547</v>
      </c>
      <c r="DE2" s="120" t="s">
        <v>364</v>
      </c>
      <c r="DF2" s="120" t="s">
        <v>725</v>
      </c>
      <c r="DG2" s="120" t="s">
        <v>1035</v>
      </c>
      <c r="DH2" s="120" t="s">
        <v>1093</v>
      </c>
      <c r="DI2" s="120" t="s">
        <v>523</v>
      </c>
      <c r="DJ2" s="120" t="s">
        <v>333</v>
      </c>
      <c r="DK2" s="120" t="s">
        <v>520</v>
      </c>
      <c r="DL2" s="120" t="s">
        <v>333</v>
      </c>
      <c r="DM2" s="120" t="s">
        <v>14</v>
      </c>
      <c r="DN2" s="120" t="s">
        <v>15</v>
      </c>
      <c r="DO2" s="120" t="s">
        <v>996</v>
      </c>
      <c r="DP2" s="120" t="s">
        <v>1096</v>
      </c>
      <c r="DQ2" s="120" t="s">
        <v>18</v>
      </c>
      <c r="DR2" s="120" t="s">
        <v>23</v>
      </c>
      <c r="DS2" s="120" t="s">
        <v>994</v>
      </c>
      <c r="DT2" s="120" t="s">
        <v>1033</v>
      </c>
      <c r="DU2" s="120" t="s">
        <v>356</v>
      </c>
      <c r="DV2" s="120" t="s">
        <v>1069</v>
      </c>
      <c r="DW2" s="120" t="s">
        <v>887</v>
      </c>
      <c r="DX2" s="120" t="s">
        <v>958</v>
      </c>
      <c r="DY2" s="120" t="s">
        <v>1110</v>
      </c>
      <c r="DZ2" s="120" t="s">
        <v>1118</v>
      </c>
      <c r="EA2" s="120" t="s">
        <v>831</v>
      </c>
      <c r="EB2" s="120" t="s">
        <v>1094</v>
      </c>
      <c r="EC2" s="120" t="s">
        <v>884</v>
      </c>
      <c r="ED2" s="120" t="s">
        <v>966</v>
      </c>
      <c r="EE2" s="120" t="s">
        <v>401</v>
      </c>
      <c r="EF2" s="120" t="s">
        <v>719</v>
      </c>
      <c r="EG2" s="120" t="s">
        <v>402</v>
      </c>
      <c r="EH2" s="120" t="s">
        <v>314</v>
      </c>
      <c r="EI2" s="120" t="s">
        <v>1039</v>
      </c>
      <c r="EJ2" s="120" t="s">
        <v>1095</v>
      </c>
      <c r="EK2" s="120" t="s">
        <v>451</v>
      </c>
      <c r="EL2" s="120" t="s">
        <v>724</v>
      </c>
      <c r="EM2" s="120" t="s">
        <v>886</v>
      </c>
      <c r="EN2" s="120" t="s">
        <v>1000</v>
      </c>
      <c r="EO2" s="120" t="s">
        <v>362</v>
      </c>
      <c r="EP2" s="120" t="s">
        <v>317</v>
      </c>
      <c r="EQ2" s="120" t="s">
        <v>360</v>
      </c>
      <c r="ER2" s="120" t="s">
        <v>316</v>
      </c>
      <c r="ES2" s="120" t="s">
        <v>357</v>
      </c>
      <c r="ET2" s="120" t="s">
        <v>720</v>
      </c>
      <c r="EU2" s="120" t="s">
        <v>830</v>
      </c>
      <c r="EV2" s="120" t="s">
        <v>1102</v>
      </c>
      <c r="EW2" s="120" t="s">
        <v>498</v>
      </c>
      <c r="EX2" s="120">
        <v>6937.4376000000002</v>
      </c>
      <c r="EY2" s="120" t="s">
        <v>1111</v>
      </c>
      <c r="EZ2" s="120" t="s">
        <v>1119</v>
      </c>
      <c r="FA2" s="120" t="s">
        <v>658</v>
      </c>
      <c r="FB2" s="120" t="s">
        <v>1040</v>
      </c>
      <c r="FC2" s="120" t="s">
        <v>891</v>
      </c>
      <c r="FD2" s="120" t="s">
        <v>998</v>
      </c>
      <c r="FE2" s="120" t="s">
        <v>832</v>
      </c>
      <c r="FF2" s="120" t="s">
        <v>1103</v>
      </c>
      <c r="FG2" s="120" t="s">
        <v>242</v>
      </c>
      <c r="FH2" s="120">
        <v>563.61588769974003</v>
      </c>
    </row>
  </sheetData>
  <phoneticPr fontId="3"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enableFormatConditionsCalculation="0">
    <tabColor indexed="56"/>
  </sheetPr>
  <dimension ref="A1:II97"/>
  <sheetViews>
    <sheetView topLeftCell="H5" zoomScaleNormal="100" workbookViewId="0">
      <selection activeCell="AO15" sqref="AO15"/>
    </sheetView>
  </sheetViews>
  <sheetFormatPr defaultRowHeight="13.5" outlineLevelRow="1" outlineLevelCol="1"/>
  <cols>
    <col min="1" max="1" width="18" hidden="1" customWidth="1" outlineLevel="1"/>
    <col min="2" max="6" width="9.140625" hidden="1" customWidth="1" outlineLevel="1"/>
    <col min="7" max="7" width="2.85546875" style="7" hidden="1" customWidth="1" outlineLevel="1"/>
    <col min="8" max="8" width="3.5703125" style="7" customWidth="1" collapsed="1"/>
    <col min="9" max="9" width="21.5703125" style="7" customWidth="1"/>
    <col min="10" max="10" width="1.28515625" style="7" customWidth="1"/>
    <col min="11" max="11" width="1.42578125" style="7" customWidth="1"/>
    <col min="12" max="15" width="7.140625" style="7" hidden="1" customWidth="1" outlineLevel="1"/>
    <col min="16" max="16" width="7.140625" style="7" hidden="1" customWidth="1" collapsed="1"/>
    <col min="17" max="20" width="7.140625" style="7" hidden="1" customWidth="1" outlineLevel="1"/>
    <col min="21" max="21" width="7.140625" style="7" hidden="1" customWidth="1" collapsed="1"/>
    <col min="22" max="25" width="7.140625" style="7" hidden="1" customWidth="1" outlineLevel="1"/>
    <col min="26" max="26" width="7.140625" style="7" hidden="1" customWidth="1" collapsed="1"/>
    <col min="27" max="30" width="7.140625" style="7" hidden="1" customWidth="1" outlineLevel="1"/>
    <col min="31" max="31" width="7.140625" style="7" hidden="1" customWidth="1" collapsed="1"/>
    <col min="32" max="35" width="7.140625" style="7" hidden="1" customWidth="1" outlineLevel="1"/>
    <col min="36" max="36" width="7.140625" style="7" hidden="1" customWidth="1" collapsed="1"/>
    <col min="37" max="40" width="7.140625" style="7" hidden="1" customWidth="1" outlineLevel="1"/>
    <col min="41" max="41" width="6.85546875" style="14" customWidth="1" collapsed="1"/>
    <col min="42" max="45" width="6.85546875" style="14" hidden="1" customWidth="1" outlineLevel="1"/>
    <col min="46" max="46" width="6.85546875" style="14" customWidth="1" collapsed="1"/>
    <col min="47" max="50" width="6.85546875" style="14" hidden="1" customWidth="1" outlineLevel="1"/>
    <col min="51" max="51" width="6.85546875" style="14" customWidth="1" collapsed="1"/>
    <col min="52" max="54" width="6.85546875" style="14" hidden="1" customWidth="1" outlineLevel="1"/>
    <col min="55" max="55" width="7.5703125" style="14" hidden="1" customWidth="1" outlineLevel="1"/>
    <col min="56" max="56" width="6.85546875" style="14" customWidth="1" collapsed="1"/>
    <col min="57" max="60" width="6.85546875" style="14" hidden="1" customWidth="1" outlineLevel="1"/>
    <col min="61" max="61" width="6.85546875" style="14" customWidth="1" collapsed="1"/>
    <col min="62" max="65" width="6.85546875" style="14" hidden="1" customWidth="1" outlineLevel="1"/>
    <col min="66" max="66" width="6.85546875" style="14" customWidth="1" collapsed="1"/>
    <col min="67" max="70" width="6.85546875" style="14" hidden="1" customWidth="1" outlineLevel="1"/>
    <col min="71" max="71" width="6.85546875" style="14" customWidth="1" collapsed="1"/>
    <col min="72" max="74" width="6.85546875" style="14" hidden="1" customWidth="1" outlineLevel="1"/>
    <col min="75" max="75" width="7.5703125" style="14" hidden="1" customWidth="1" outlineLevel="1"/>
    <col min="76" max="76" width="7.5703125" style="14" bestFit="1" customWidth="1" collapsed="1"/>
    <col min="77" max="80" width="6.85546875" style="14" hidden="1" customWidth="1" outlineLevel="1"/>
    <col min="81" max="86" width="6.85546875" style="14" customWidth="1" collapsed="1"/>
    <col min="87" max="16384" width="9.140625" style="7"/>
  </cols>
  <sheetData>
    <row r="1" spans="1:153" s="14" customFormat="1" ht="15.75" hidden="1" outlineLevel="1">
      <c r="A1"/>
      <c r="B1"/>
      <c r="C1"/>
      <c r="D1"/>
      <c r="E1"/>
      <c r="F1"/>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EW1" s="14" t="s">
        <v>1120</v>
      </c>
    </row>
    <row r="2" spans="1:153" customFormat="1" ht="12.75" hidden="1" outlineLevel="1"/>
    <row r="3" spans="1:153" hidden="1" outlineLevel="1">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781" t="str">
        <f>LEFT(AS9,1)&amp;"FQ"&amp;LEFT($AT9,4)</f>
        <v>4FQ2011</v>
      </c>
      <c r="AT3" s="9"/>
      <c r="AU3" s="781" t="str">
        <f>LEFT(AU9,1)&amp;"FQ"&amp;LEFT($AY9,4)</f>
        <v>1FQ2012</v>
      </c>
      <c r="AV3" s="781" t="str">
        <f>LEFT(AV9,1)&amp;"FQ"&amp;LEFT($AY9,4)</f>
        <v>2FQ2012</v>
      </c>
      <c r="AW3" s="781" t="str">
        <f>LEFT(AW9,1)&amp;"FQ"&amp;LEFT($AY9,4)</f>
        <v>3FQ2012</v>
      </c>
      <c r="AX3" s="781" t="str">
        <f>LEFT(AX9,1)&amp;"FQ"&amp;LEFT($AY9,4)</f>
        <v>4FQ2012</v>
      </c>
      <c r="AY3" s="9"/>
      <c r="AZ3" s="781" t="str">
        <f>LEFT(AZ9,1)&amp;"FQ"&amp;LEFT($BD9,4)</f>
        <v>1FQ2013</v>
      </c>
      <c r="BA3" s="781" t="str">
        <f>LEFT(BA9,1)&amp;"FQ"&amp;LEFT($BD9,4)</f>
        <v>2FQ2013</v>
      </c>
      <c r="BB3" s="781" t="str">
        <f>LEFT(BB9,1)&amp;"FQ"&amp;LEFT($BD9,4)</f>
        <v>3FQ2013</v>
      </c>
      <c r="BC3" s="781" t="str">
        <f>LEFT(BC9,1)&amp;"FQ"&amp;LEFT($BD9,4)</f>
        <v>4FQ2013</v>
      </c>
      <c r="BD3" s="9"/>
      <c r="BE3" s="781" t="str">
        <f>LEFT(BE9,1)&amp;"FQ"&amp;LEFT($BI9,4)</f>
        <v>1FQ2014</v>
      </c>
      <c r="BF3" s="781" t="str">
        <f>LEFT(BF9,1)&amp;"FQ"&amp;LEFT($BI9,4)</f>
        <v>2FQ2014</v>
      </c>
      <c r="BG3" s="781" t="str">
        <f>LEFT(BG9,1)&amp;"FQ"&amp;LEFT($BI9,4)</f>
        <v>3FQ2014</v>
      </c>
      <c r="BH3" s="781" t="str">
        <f>LEFT(BH9,1)&amp;"FQ"&amp;LEFT($BI9,4)</f>
        <v>4FQ2014</v>
      </c>
      <c r="BI3" s="9"/>
      <c r="BJ3" s="781" t="str">
        <f>LEFT(BJ9,1)&amp;"FQ"&amp;LEFT(BN9,4)</f>
        <v>1FQ2015</v>
      </c>
      <c r="BK3" s="781" t="str">
        <f>LEFT(BK9,1)&amp;"FQ"&amp;LEFT(BN9,4)</f>
        <v>2FQ2015</v>
      </c>
      <c r="BL3" s="781" t="str">
        <f>LEFT(BL9,1)&amp;"FQ"&amp;LEFT(BN9,4)</f>
        <v>3FQ2015</v>
      </c>
      <c r="BM3" s="781" t="str">
        <f>LEFT(BM9,1)&amp;"FQ"&amp;LEFT(BN9,4)</f>
        <v>4FQ2015</v>
      </c>
      <c r="BN3" s="9"/>
      <c r="BO3" s="781" t="str">
        <f>LEFT(BO9,1)&amp;"FQ"&amp;LEFT(BS9,4)</f>
        <v>1FQ2016</v>
      </c>
      <c r="BP3" s="781" t="str">
        <f>LEFT(BP9,1)&amp;"FQ"&amp;LEFT(BS9,4)</f>
        <v>2FQ2016</v>
      </c>
      <c r="BQ3" s="781" t="str">
        <f>LEFT(BQ9,1)&amp;"FQ"&amp;LEFT(BS9,4)</f>
        <v>3FQ2016</v>
      </c>
      <c r="BR3" s="781" t="str">
        <f>LEFT(BR9,1)&amp;"FQ"&amp;LEFT(BS9,4)</f>
        <v>4FQ2016</v>
      </c>
      <c r="BS3" s="775"/>
      <c r="BT3" s="781" t="str">
        <f>LEFT(BT9,1)&amp;"FQ"&amp;LEFT(BX9,4)</f>
        <v>1FQ2017</v>
      </c>
      <c r="BU3" s="781" t="str">
        <f>LEFT(BU9,1)&amp;"FQ"&amp;LEFT(BX9,4)</f>
        <v>2FQ2017</v>
      </c>
      <c r="BV3" s="781" t="str">
        <f>LEFT(BV9,1)&amp;"FQ"&amp;LEFT(BX9,4)</f>
        <v>3FQ2017</v>
      </c>
      <c r="BW3" s="781" t="str">
        <f>LEFT(BW9,1)&amp;"FQ"&amp;LEFT(BX9,4)</f>
        <v>4FQ2017</v>
      </c>
      <c r="BX3" s="775"/>
      <c r="BY3" s="781" t="str">
        <f>LEFT(BY9,1)&amp;"FQ"&amp;LEFT(CC9,4)</f>
        <v>1FQ2018</v>
      </c>
      <c r="BZ3" s="781" t="str">
        <f>LEFT(BZ9,1)&amp;"FQ"&amp;LEFT(CC9,4)</f>
        <v>2FQ2018</v>
      </c>
      <c r="CA3" s="781" t="str">
        <f>LEFT(CA9,1)&amp;"FQ"&amp;LEFT(CC9,4)</f>
        <v>3FQ2018</v>
      </c>
      <c r="CB3" s="781" t="str">
        <f>LEFT(CB9,1)&amp;"FQ"&amp;LEFT(CC9,4)</f>
        <v>4FQ2018</v>
      </c>
      <c r="CC3" s="775"/>
      <c r="CD3" s="775"/>
      <c r="CE3" s="775"/>
      <c r="CF3" s="775"/>
      <c r="CG3" s="775"/>
      <c r="CH3" s="775"/>
    </row>
    <row r="4" spans="1:153" s="1259" customFormat="1" hidden="1" collapsed="1">
      <c r="A4"/>
      <c r="B4"/>
      <c r="C4"/>
      <c r="D4"/>
      <c r="E4"/>
      <c r="F4"/>
      <c r="G4" s="1256"/>
      <c r="H4" s="1256"/>
      <c r="I4" s="1256"/>
      <c r="J4" s="1256"/>
      <c r="K4" s="1256"/>
      <c r="L4" s="1257">
        <v>38442</v>
      </c>
      <c r="M4" s="1257">
        <v>38533</v>
      </c>
      <c r="N4" s="1257">
        <v>38625</v>
      </c>
      <c r="O4" s="1257">
        <v>38717</v>
      </c>
      <c r="P4" s="1257">
        <v>38717</v>
      </c>
      <c r="Q4" s="1257">
        <v>38807</v>
      </c>
      <c r="R4" s="1257">
        <v>38898</v>
      </c>
      <c r="S4" s="1257">
        <v>38990</v>
      </c>
      <c r="T4" s="1257">
        <v>39082</v>
      </c>
      <c r="U4" s="1257">
        <v>39082</v>
      </c>
      <c r="V4" s="1257">
        <v>39172</v>
      </c>
      <c r="W4" s="1257">
        <v>39263</v>
      </c>
      <c r="X4" s="1257">
        <v>39355</v>
      </c>
      <c r="Y4" s="1257">
        <v>39447</v>
      </c>
      <c r="Z4" s="1257">
        <v>39447</v>
      </c>
      <c r="AA4" s="1257">
        <v>39538</v>
      </c>
      <c r="AB4" s="1257">
        <v>39629</v>
      </c>
      <c r="AC4" s="1257">
        <v>39721</v>
      </c>
      <c r="AD4" s="1257">
        <v>39813</v>
      </c>
      <c r="AE4" s="1257">
        <v>39813</v>
      </c>
      <c r="AF4" s="1257">
        <v>39903</v>
      </c>
      <c r="AG4" s="1257">
        <v>39994</v>
      </c>
      <c r="AH4" s="1257">
        <v>40086</v>
      </c>
      <c r="AI4" s="1257">
        <v>40178</v>
      </c>
      <c r="AJ4" s="1257">
        <v>40178</v>
      </c>
      <c r="AK4" s="1257">
        <v>40268</v>
      </c>
      <c r="AL4" s="1257">
        <v>40359</v>
      </c>
      <c r="AM4" s="1257">
        <v>40451</v>
      </c>
      <c r="AN4" s="1257">
        <v>40543</v>
      </c>
      <c r="AO4" s="1260">
        <v>40543</v>
      </c>
      <c r="AP4" s="1260">
        <v>40633</v>
      </c>
      <c r="AQ4" s="1260">
        <v>40724</v>
      </c>
      <c r="AR4" s="1260">
        <v>40816</v>
      </c>
      <c r="AS4" s="1260">
        <v>40908</v>
      </c>
      <c r="AT4" s="1260">
        <v>40908</v>
      </c>
      <c r="AU4" s="1260">
        <v>40999</v>
      </c>
      <c r="AV4" s="1260">
        <v>41090</v>
      </c>
      <c r="AW4" s="1260">
        <v>41182</v>
      </c>
      <c r="AX4" s="1260">
        <v>41274</v>
      </c>
      <c r="AY4" s="1260">
        <v>41274</v>
      </c>
      <c r="AZ4" s="1260">
        <v>41364</v>
      </c>
      <c r="BA4" s="1260">
        <v>41455</v>
      </c>
      <c r="BB4" s="1260">
        <v>41547</v>
      </c>
      <c r="BC4" s="1260">
        <v>41639</v>
      </c>
      <c r="BD4" s="1260">
        <v>41639</v>
      </c>
      <c r="BE4" s="1260">
        <v>41729</v>
      </c>
      <c r="BF4" s="1260">
        <v>41820</v>
      </c>
      <c r="BG4" s="1260">
        <v>41912</v>
      </c>
      <c r="BH4" s="1260">
        <v>42004</v>
      </c>
      <c r="BI4" s="1260">
        <v>42004</v>
      </c>
      <c r="BJ4" s="1260">
        <v>42094</v>
      </c>
      <c r="BK4" s="1260">
        <v>42185</v>
      </c>
      <c r="BL4" s="1260">
        <v>42277</v>
      </c>
      <c r="BM4" s="1260">
        <v>42369</v>
      </c>
      <c r="BN4" s="1260">
        <v>42369</v>
      </c>
      <c r="BO4" s="1260">
        <v>42460</v>
      </c>
      <c r="BP4" s="1260">
        <v>42551</v>
      </c>
      <c r="BQ4" s="1260">
        <v>42643</v>
      </c>
      <c r="BR4" s="1260">
        <v>42735</v>
      </c>
      <c r="BS4" s="1260">
        <v>42735</v>
      </c>
      <c r="BT4" s="1260">
        <v>42825</v>
      </c>
      <c r="BU4" s="1260">
        <v>42916</v>
      </c>
      <c r="BV4" s="1260">
        <v>43008</v>
      </c>
      <c r="BW4" s="1260">
        <v>43100</v>
      </c>
      <c r="BX4" s="1260">
        <v>43100</v>
      </c>
      <c r="BY4" s="1260">
        <v>43190</v>
      </c>
      <c r="BZ4" s="1260">
        <v>43281</v>
      </c>
      <c r="CA4" s="1260">
        <v>43373</v>
      </c>
      <c r="CB4" s="1260">
        <v>43465</v>
      </c>
      <c r="CC4" s="1260">
        <v>43465</v>
      </c>
      <c r="CD4" s="1260">
        <v>43830</v>
      </c>
      <c r="CE4" s="1260">
        <v>44196</v>
      </c>
      <c r="CF4" s="1260">
        <v>44561</v>
      </c>
      <c r="CG4" s="1260">
        <v>44926</v>
      </c>
      <c r="CH4" s="1260">
        <v>45291</v>
      </c>
    </row>
    <row r="5" spans="1:153" ht="15.75">
      <c r="G5" s="9"/>
      <c r="H5" s="10" t="str">
        <f>CompanyName</f>
        <v>Eli Lilly &amp; Co.</v>
      </c>
      <c r="I5" s="10"/>
      <c r="J5" s="11">
        <f>LatestRpQ</f>
        <v>43190</v>
      </c>
      <c r="K5" s="10"/>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row>
    <row r="6" spans="1:153" ht="15.75">
      <c r="G6" s="9"/>
      <c r="H6" s="10" t="s">
        <v>196</v>
      </c>
      <c r="I6" s="10"/>
      <c r="J6" s="11">
        <f>LatestFiledQ</f>
        <v>43100</v>
      </c>
      <c r="K6" s="10"/>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row>
    <row r="7" spans="1:153" ht="4.5" customHeight="1">
      <c r="G7" s="9"/>
      <c r="H7" s="77"/>
      <c r="I7" s="77"/>
      <c r="J7" s="77"/>
      <c r="K7" s="77"/>
    </row>
    <row r="8" spans="1:153" ht="6" customHeight="1">
      <c r="G8" s="9"/>
      <c r="H8" s="77"/>
      <c r="I8" s="77"/>
      <c r="J8" s="77"/>
      <c r="K8" s="77"/>
    </row>
    <row r="9" spans="1:153" ht="12.75" customHeight="1" thickBot="1">
      <c r="G9" s="9"/>
      <c r="H9" s="41" t="s">
        <v>150</v>
      </c>
      <c r="I9" s="42"/>
      <c r="J9" s="42"/>
      <c r="K9" s="42"/>
      <c r="L9" s="43" t="str">
        <f>"1Q:" &amp; RIGHT(YEAR(L$4),2) &amp; IF(L$4&lt;=LatestRpQ, "A", "E")</f>
        <v>1Q:05A</v>
      </c>
      <c r="M9" s="43" t="str">
        <f>"2Q:" &amp; RIGHT(YEAR(M$4),2) &amp; IF(M$4&lt;=LatestRpQ, "A", "E")</f>
        <v>2Q:05A</v>
      </c>
      <c r="N9" s="43" t="str">
        <f>"3Q:" &amp; RIGHT(YEAR(N$4),2) &amp; IF(N$4&lt;=LatestRpQ, "A", "E")</f>
        <v>3Q:05A</v>
      </c>
      <c r="O9" s="43" t="str">
        <f>"4Q:" &amp; RIGHT(YEAR(O$4),2) &amp; IF(O$4&lt;=LatestRpQ, "A", "E")</f>
        <v>4Q:05A</v>
      </c>
      <c r="P9" s="44" t="str">
        <f>YEAR(P$4) &amp; IF(P$4&lt;=LatestRpQ, "A", "E")</f>
        <v>2005A</v>
      </c>
      <c r="Q9" s="43" t="str">
        <f>"1Q:" &amp; RIGHT(YEAR(Q$4),2) &amp; IF(Q$4&lt;=LatestRpQ, "A", "E")</f>
        <v>1Q:06A</v>
      </c>
      <c r="R9" s="43" t="str">
        <f>"2Q:" &amp; RIGHT(YEAR(R$4),2) &amp; IF(R$4&lt;=LatestRpQ, "A", "E")</f>
        <v>2Q:06A</v>
      </c>
      <c r="S9" s="43" t="str">
        <f>"3Q:" &amp; RIGHT(YEAR(S$4),2) &amp; IF(S$4&lt;=LatestRpQ, "A", "E")</f>
        <v>3Q:06A</v>
      </c>
      <c r="T9" s="43" t="str">
        <f>"4Q:" &amp; RIGHT(YEAR(T$4),2) &amp; IF(T$4&lt;=LatestRpQ, "A", "E")</f>
        <v>4Q:06A</v>
      </c>
      <c r="U9" s="44" t="str">
        <f>YEAR(U$4) &amp; IF(U$4&lt;=LatestRpQ, "A", "E")</f>
        <v>2006A</v>
      </c>
      <c r="V9" s="43" t="str">
        <f>"1Q:" &amp; RIGHT(YEAR(V$4),2) &amp; IF(V$4&lt;=LatestRpQ, "A", "E")</f>
        <v>1Q:07A</v>
      </c>
      <c r="W9" s="43" t="str">
        <f>"2Q:" &amp; RIGHT(YEAR(W$4),2) &amp; IF(W$4&lt;=LatestRpQ, "A", "E")</f>
        <v>2Q:07A</v>
      </c>
      <c r="X9" s="43" t="str">
        <f>"3Q:" &amp; RIGHT(YEAR(X$4),2) &amp; IF(X$4&lt;=LatestRpQ, "A", "E")</f>
        <v>3Q:07A</v>
      </c>
      <c r="Y9" s="43" t="str">
        <f>"4Q:" &amp; RIGHT(YEAR(Y$4),2) &amp; IF(Y$4&lt;=LatestRpQ, "A", "E")</f>
        <v>4Q:07A</v>
      </c>
      <c r="Z9" s="123" t="str">
        <f>YEAR(Z$4) &amp; IF(Z$4&lt;=LatestRpQ, "A", "E")</f>
        <v>2007A</v>
      </c>
      <c r="AA9" s="43" t="str">
        <f>"1Q:" &amp; RIGHT(YEAR(AA$4),2) &amp; IF(AA$4&lt;=LatestRpQ, "A", "E")</f>
        <v>1Q:08A</v>
      </c>
      <c r="AB9" s="43" t="str">
        <f>"2Q:" &amp; RIGHT(YEAR(AB$4),2) &amp; IF(AB$4&lt;=LatestRpQ, "A", "E")</f>
        <v>2Q:08A</v>
      </c>
      <c r="AC9" s="43" t="str">
        <f>"3Q:" &amp; RIGHT(YEAR(AC$4),2) &amp; IF(AC$4&lt;=LatestRpQ, "A", "E")</f>
        <v>3Q:08A</v>
      </c>
      <c r="AD9" s="43" t="str">
        <f>"4Q:" &amp; RIGHT(YEAR(AD$4),2) &amp; IF(AD$4&lt;=LatestRpQ, "A", "E")</f>
        <v>4Q:08A</v>
      </c>
      <c r="AE9" s="44" t="str">
        <f>YEAR(AE$4) &amp; IF(AE$4&lt;=LatestRpQ, "A", "E")</f>
        <v>2008A</v>
      </c>
      <c r="AF9" s="43" t="str">
        <f>"1Q:" &amp; RIGHT(YEAR(AF$4),2) &amp; IF(AF$4&lt;=LatestRpQ, "A", "E")</f>
        <v>1Q:09A</v>
      </c>
      <c r="AG9" s="43" t="str">
        <f>"2Q:" &amp; RIGHT(YEAR(AG$4),2) &amp; IF(AG$4&lt;=LatestRpQ, "A", "E")</f>
        <v>2Q:09A</v>
      </c>
      <c r="AH9" s="43" t="str">
        <f>"3Q:" &amp; RIGHT(YEAR(AH$4),2) &amp; IF(AH$4&lt;=LatestRpQ, "A", "E")</f>
        <v>3Q:09A</v>
      </c>
      <c r="AI9" s="43" t="str">
        <f>"4Q:" &amp; RIGHT(YEAR(AI$4),2) &amp; IF(AI$4&lt;=LatestRpQ, "A", "E")</f>
        <v>4Q:09A</v>
      </c>
      <c r="AJ9" s="44" t="str">
        <f>YEAR(AJ$4) &amp; IF(AJ$4&lt;=LatestRpQ, "A", "E")</f>
        <v>2009A</v>
      </c>
      <c r="AK9" s="43" t="str">
        <f>"1Q:" &amp; RIGHT(YEAR(AK$4),2) &amp; IF(AK$4&lt;=LatestRpQ, "A", "E")</f>
        <v>1Q:10A</v>
      </c>
      <c r="AL9" s="43" t="str">
        <f>"2Q:" &amp; RIGHT(YEAR(AL$4),2) &amp; IF(AL$4&lt;=LatestRpQ, "A", "E")</f>
        <v>2Q:10A</v>
      </c>
      <c r="AM9" s="43" t="str">
        <f>"3Q:" &amp; RIGHT(YEAR(AM$4),2) &amp; IF(AM$4&lt;=LatestRpQ, "A", "E")</f>
        <v>3Q:10A</v>
      </c>
      <c r="AN9" s="43" t="str">
        <f>"4Q:" &amp; RIGHT(YEAR(AN$4),2) &amp; IF(AN$4&lt;=LatestRpQ, "A", "E")</f>
        <v>4Q:10A</v>
      </c>
      <c r="AO9" s="44" t="str">
        <f>YEAR(AO$4) &amp; IF(AO$4&lt;=LatestRpQ, "A", "E")</f>
        <v>2010A</v>
      </c>
      <c r="AP9" s="43" t="str">
        <f>"1Q:" &amp; RIGHT(YEAR(AP$4),2) &amp; IF(AP$4&lt;=LatestRpQ, "A", "E")</f>
        <v>1Q:11A</v>
      </c>
      <c r="AQ9" s="43" t="str">
        <f>"2Q:" &amp; RIGHT(YEAR(AQ$4),2) &amp; IF(AQ$4&lt;=LatestRpQ, "A", "E")</f>
        <v>2Q:11A</v>
      </c>
      <c r="AR9" s="43" t="str">
        <f>"3Q:" &amp; RIGHT(YEAR(AR$4),2) &amp; IF(AR$4&lt;=LatestRpQ, "A", "E")</f>
        <v>3Q:11A</v>
      </c>
      <c r="AS9" s="43" t="str">
        <f>"4Q:" &amp; RIGHT(YEAR(AS$4),2) &amp; IF(AS$4&lt;=LatestRpQ, "A", "E")</f>
        <v>4Q:11A</v>
      </c>
      <c r="AT9" s="44" t="str">
        <f>YEAR(AT$4) &amp; IF(AT$4&lt;=LatestRpQ, "A", "E")</f>
        <v>2011A</v>
      </c>
      <c r="AU9" s="43" t="str">
        <f>"1Q:" &amp; RIGHT(YEAR(AU$4),2) &amp; IF(AU$4&lt;=LatestRpQ, "A", "E")</f>
        <v>1Q:12A</v>
      </c>
      <c r="AV9" s="43" t="str">
        <f>"2Q:" &amp; RIGHT(YEAR(AV$4),2) &amp; IF(AV$4&lt;=LatestRpQ, "A", "E")</f>
        <v>2Q:12A</v>
      </c>
      <c r="AW9" s="43" t="str">
        <f>"3Q:" &amp; RIGHT(YEAR(AW$4),2) &amp; IF(AW$4&lt;=LatestRpQ, "A", "E")</f>
        <v>3Q:12A</v>
      </c>
      <c r="AX9" s="43" t="str">
        <f>"4Q:" &amp; RIGHT(YEAR(AX$4),2) &amp; IF(AX$4&lt;=LatestRpQ, "A", "E")</f>
        <v>4Q:12A</v>
      </c>
      <c r="AY9" s="44" t="str">
        <f>YEAR(AY$4) &amp; IF(AY$4&lt;=LatestRpQ, "A", "E")</f>
        <v>2012A</v>
      </c>
      <c r="AZ9" s="43" t="str">
        <f>"1Q:" &amp; RIGHT(YEAR(AZ$4),2) &amp; IF(AZ$4&lt;=LatestRpQ, "A", "E")</f>
        <v>1Q:13A</v>
      </c>
      <c r="BA9" s="43" t="str">
        <f>"2Q:" &amp; RIGHT(YEAR(BA$4),2) &amp; IF(BA$4&lt;=LatestRpQ, "A", "E")</f>
        <v>2Q:13A</v>
      </c>
      <c r="BB9" s="43" t="str">
        <f>"3Q:" &amp; RIGHT(YEAR(BB$4),2) &amp; IF(BB$4&lt;=LatestRpQ, "A", "E")</f>
        <v>3Q:13A</v>
      </c>
      <c r="BC9" s="43" t="str">
        <f>"4Q:" &amp; RIGHT(YEAR(BC$4),2) &amp; IF(BC$4&lt;=LatestRpQ, "A", "E")</f>
        <v>4Q:13A</v>
      </c>
      <c r="BD9" s="1043" t="str">
        <f>YEAR(BD$4) &amp; IF(BD$4&lt;=LatestRpQ, "A", "E")</f>
        <v>2013A</v>
      </c>
      <c r="BE9" s="43" t="str">
        <f>"1Q:" &amp; RIGHT(YEAR(BE$4),2) &amp; IF(BE$4&lt;=LatestRpQ, "A", "E")</f>
        <v>1Q:14A</v>
      </c>
      <c r="BF9" s="43" t="str">
        <f>"2Q:" &amp; RIGHT(YEAR(BF$4),2) &amp; IF(BF$4&lt;=LatestRpQ, "A", "E")</f>
        <v>2Q:14A</v>
      </c>
      <c r="BG9" s="43" t="str">
        <f>"3Q:" &amp; RIGHT(YEAR(BG$4),2) &amp; IF(BG$4&lt;=LatestRpQ, "A", "E")</f>
        <v>3Q:14A</v>
      </c>
      <c r="BH9" s="43" t="str">
        <f>"4Q:" &amp; RIGHT(YEAR(BH$4),2) &amp; IF(BH$4&lt;=LatestRpQ, "A", "E")</f>
        <v>4Q:14A</v>
      </c>
      <c r="BI9" s="44" t="str">
        <f>YEAR(BI$4) &amp; IF(BI$4&lt;=LatestRpQ, "A", "E")</f>
        <v>2014A</v>
      </c>
      <c r="BJ9" s="43" t="str">
        <f>"1Q:" &amp; RIGHT(YEAR(BJ$4),2) &amp; IF(BJ$4&lt;=LatestRpQ, "A", "E")</f>
        <v>1Q:15A</v>
      </c>
      <c r="BK9" s="43" t="str">
        <f>"2Q:" &amp; RIGHT(YEAR(BK$4),2) &amp; IF(BK$4&lt;=LatestRpQ, "A", "E")</f>
        <v>2Q:15A</v>
      </c>
      <c r="BL9" s="43" t="str">
        <f>"3Q:" &amp; RIGHT(YEAR(BL$4),2) &amp; IF(BL$4&lt;=LatestRpQ, "A", "E")</f>
        <v>3Q:15A</v>
      </c>
      <c r="BM9" s="43" t="str">
        <f>"4Q:" &amp; RIGHT(YEAR(BM$4),2) &amp; IF(BM$4&lt;=LatestRpQ, "A", "E")</f>
        <v>4Q:15A</v>
      </c>
      <c r="BN9" s="44" t="str">
        <f>YEAR(BN$4) &amp; IF(BN$4&lt;=LatestRpQ, "A", "E")</f>
        <v>2015A</v>
      </c>
      <c r="BO9" s="43" t="str">
        <f>"1Q:" &amp; RIGHT(YEAR(BO$4),2) &amp; IF(BO$4&lt;=LatestRpQ, "A", "E")</f>
        <v>1Q:16A</v>
      </c>
      <c r="BP9" s="43" t="str">
        <f>"2Q:" &amp; RIGHT(YEAR(BP$4),2) &amp; IF(BP$4&lt;=LatestRpQ, "A", "E")</f>
        <v>2Q:16A</v>
      </c>
      <c r="BQ9" s="43" t="str">
        <f>"3Q:" &amp; RIGHT(YEAR(BQ$4),2) &amp; IF(BQ$4&lt;=LatestRpQ, "A", "E")</f>
        <v>3Q:16A</v>
      </c>
      <c r="BR9" s="43" t="str">
        <f>"4Q:" &amp; RIGHT(YEAR(BR$4),2) &amp; IF(BR$4&lt;=LatestRpQ, "A", "E")</f>
        <v>4Q:16A</v>
      </c>
      <c r="BS9" s="44" t="str">
        <f>YEAR(BS$4) &amp; IF(BS$4&lt;=LatestRpQ, "A", "E")</f>
        <v>2016A</v>
      </c>
      <c r="BT9" s="43" t="str">
        <f>"1Q:" &amp; RIGHT(YEAR(BT$4),2) &amp; IF(BT$4&lt;=LatestRpQ, "A", "E")</f>
        <v>1Q:17A</v>
      </c>
      <c r="BU9" s="43" t="str">
        <f>"2Q:" &amp; RIGHT(YEAR(BU$4),2) &amp; IF(BU$4&lt;=LatestRpQ, "A", "E")</f>
        <v>2Q:17A</v>
      </c>
      <c r="BV9" s="43" t="str">
        <f>"3Q:" &amp; RIGHT(YEAR(BV$4),2) &amp; IF(BV$4&lt;=LatestRpQ, "A", "E")</f>
        <v>3Q:17A</v>
      </c>
      <c r="BW9" s="43" t="str">
        <f>"4Q:" &amp; RIGHT(YEAR(BW$4),2) &amp; IF(BW$4&lt;=LatestRpQ, "A", "E")</f>
        <v>4Q:17A</v>
      </c>
      <c r="BX9" s="44" t="str">
        <f>YEAR(BX$4) &amp; IF(BX$4&lt;=LatestRpQ, "A", "E")</f>
        <v>2017A</v>
      </c>
      <c r="BY9" s="43" t="str">
        <f>"1Q:" &amp; RIGHT(YEAR(BY$4),2) &amp; IF(BY$4&lt;=LatestRpQ, "A", "E")</f>
        <v>1Q:18A</v>
      </c>
      <c r="BZ9" s="43" t="str">
        <f>"2Q:" &amp; RIGHT(YEAR(BZ$4),2) &amp; IF(BZ$4&lt;=LatestRpQ, "A", "E")</f>
        <v>2Q:18E</v>
      </c>
      <c r="CA9" s="43" t="str">
        <f>"3Q:" &amp; RIGHT(YEAR(CA$4),2) &amp; IF(CA$4&lt;=LatestRpQ, "A", "E")</f>
        <v>3Q:18E</v>
      </c>
      <c r="CB9" s="43" t="str">
        <f>"4Q:" &amp; RIGHT(YEAR(CB$4),2) &amp; IF(CB$4&lt;=LatestRpQ, "A", "E")</f>
        <v>4Q:18E</v>
      </c>
      <c r="CC9" s="44" t="str">
        <f t="shared" ref="CC9:CH9" si="0">YEAR(CC$4) &amp; IF(CC$4&lt;=LatestRpQ, "A", "E")</f>
        <v>2018E</v>
      </c>
      <c r="CD9" s="44" t="str">
        <f t="shared" si="0"/>
        <v>2019E</v>
      </c>
      <c r="CE9" s="44" t="str">
        <f t="shared" si="0"/>
        <v>2020E</v>
      </c>
      <c r="CF9" s="44" t="str">
        <f t="shared" si="0"/>
        <v>2021E</v>
      </c>
      <c r="CG9" s="44" t="str">
        <f t="shared" si="0"/>
        <v>2022E</v>
      </c>
      <c r="CH9" s="44" t="str">
        <f t="shared" si="0"/>
        <v>2023E</v>
      </c>
    </row>
    <row r="10" spans="1:153" ht="5.25" customHeight="1">
      <c r="G10" s="9"/>
      <c r="H10" s="125"/>
      <c r="I10" s="125"/>
      <c r="J10" s="125"/>
      <c r="K10" s="125"/>
      <c r="L10" s="126"/>
      <c r="M10" s="126"/>
      <c r="N10" s="126"/>
      <c r="O10" s="126"/>
      <c r="P10" s="127"/>
      <c r="Q10" s="126"/>
      <c r="R10" s="126"/>
      <c r="S10" s="126"/>
      <c r="T10" s="126"/>
      <c r="U10" s="127"/>
      <c r="V10" s="126"/>
      <c r="W10" s="126"/>
      <c r="X10" s="126"/>
      <c r="Y10" s="126"/>
      <c r="Z10" s="128"/>
      <c r="AA10" s="126"/>
      <c r="AB10" s="126"/>
      <c r="AC10" s="126"/>
      <c r="AD10" s="126"/>
      <c r="AE10" s="127"/>
      <c r="AF10" s="126"/>
      <c r="AG10" s="126"/>
      <c r="AH10" s="126"/>
      <c r="AI10" s="126"/>
      <c r="AJ10" s="127"/>
      <c r="AK10" s="126"/>
      <c r="AL10" s="126"/>
      <c r="AM10" s="126"/>
      <c r="AN10" s="126"/>
      <c r="AO10" s="127"/>
      <c r="AP10" s="126"/>
      <c r="AQ10" s="126"/>
      <c r="AR10" s="126"/>
      <c r="AS10" s="126"/>
      <c r="AT10" s="127"/>
      <c r="AU10" s="126"/>
      <c r="AV10" s="126"/>
      <c r="AW10" s="126"/>
      <c r="AX10" s="126"/>
      <c r="AY10" s="127"/>
      <c r="AZ10" s="126"/>
      <c r="BA10" s="126"/>
      <c r="BB10" s="126"/>
      <c r="BC10" s="126"/>
      <c r="BD10" s="1044"/>
      <c r="BE10" s="126"/>
      <c r="BF10" s="126"/>
      <c r="BG10" s="126"/>
      <c r="BH10" s="126"/>
      <c r="BI10" s="127"/>
      <c r="BJ10" s="126"/>
      <c r="BK10" s="126"/>
      <c r="BL10" s="126"/>
      <c r="BM10" s="126"/>
      <c r="BN10" s="127"/>
      <c r="BO10" s="126"/>
      <c r="BP10" s="126"/>
      <c r="BQ10" s="126"/>
      <c r="BR10" s="126"/>
      <c r="BS10" s="127"/>
      <c r="BT10" s="126"/>
      <c r="BU10" s="126"/>
      <c r="BV10" s="126"/>
      <c r="BW10" s="126"/>
      <c r="BX10" s="127"/>
      <c r="BY10" s="126"/>
      <c r="BZ10" s="126"/>
      <c r="CA10" s="126"/>
      <c r="CB10" s="126"/>
      <c r="CC10" s="127"/>
      <c r="CD10" s="127"/>
      <c r="CE10" s="127"/>
      <c r="CF10" s="127"/>
      <c r="CG10" s="127"/>
      <c r="CH10" s="127"/>
    </row>
    <row r="11" spans="1:153" ht="12.75" customHeight="1">
      <c r="G11" s="9"/>
      <c r="H11" s="37" t="s">
        <v>151</v>
      </c>
      <c r="I11" s="37"/>
      <c r="J11" s="37"/>
      <c r="K11" s="37"/>
      <c r="L11" s="144">
        <v>3497.4</v>
      </c>
      <c r="M11" s="144">
        <v>3667.7</v>
      </c>
      <c r="N11" s="144">
        <v>3601.1</v>
      </c>
      <c r="O11" s="144">
        <v>3879.1</v>
      </c>
      <c r="P11" s="141">
        <v>14645.3</v>
      </c>
      <c r="Q11" s="136">
        <f>'REV-ANNUAL'!Q235</f>
        <v>3714.8</v>
      </c>
      <c r="R11" s="136">
        <f>'REV-ANNUAL'!R235</f>
        <v>3867.1</v>
      </c>
      <c r="S11" s="136">
        <f>'REV-ANNUAL'!S235</f>
        <v>3864.05</v>
      </c>
      <c r="T11" s="136">
        <f>'REV-ANNUAL'!T235</f>
        <v>4245.3</v>
      </c>
      <c r="U11" s="141">
        <f>Q11+R11+S11+T11</f>
        <v>15691.25</v>
      </c>
      <c r="V11" s="136">
        <f>'REV-ANNUAL'!V235</f>
        <v>4226.2</v>
      </c>
      <c r="W11" s="136">
        <f>'REV-ANNUAL'!W235</f>
        <v>4630.8999999999996</v>
      </c>
      <c r="X11" s="136">
        <f>'REV-ANNUAL'!X235</f>
        <v>4586.8</v>
      </c>
      <c r="Y11" s="136">
        <f>'REV-ANNUAL'!Y235</f>
        <v>5189.7999999999993</v>
      </c>
      <c r="Z11" s="142">
        <f>V11+W11+X11+Y11</f>
        <v>18633.699999999997</v>
      </c>
      <c r="AA11" s="136">
        <f>'REV-ANNUAL'!AA235</f>
        <v>4911</v>
      </c>
      <c r="AB11" s="136">
        <f>'REV-ANNUAL'!AB235</f>
        <v>5251</v>
      </c>
      <c r="AC11" s="136">
        <f>'REV-ANNUAL'!AC235</f>
        <v>5308.7000000000007</v>
      </c>
      <c r="AD11" s="136">
        <f>'REV-ANNUAL'!AD235</f>
        <v>5261.7000000000007</v>
      </c>
      <c r="AE11" s="141">
        <f>AA11+AB11+AC11+AD11</f>
        <v>20732.400000000001</v>
      </c>
      <c r="AF11" s="136">
        <f>'REV-ANNUAL'!AF235</f>
        <v>5046.5</v>
      </c>
      <c r="AG11" s="136">
        <f>'REV-ANNUAL'!AG235</f>
        <v>5292.61</v>
      </c>
      <c r="AH11" s="136">
        <f>'REV-ANNUAL'!AH235</f>
        <v>5562.2000000000007</v>
      </c>
      <c r="AI11" s="136">
        <f>'REV-ANNUAL'!AI235</f>
        <v>5934.7</v>
      </c>
      <c r="AJ11" s="141">
        <f>AF11+AG11+AH11+AI11</f>
        <v>21836.010000000002</v>
      </c>
      <c r="AK11" s="136">
        <f>'REV-ANNUAL'!AK235</f>
        <v>5485.4</v>
      </c>
      <c r="AL11" s="136">
        <f>'REV-ANNUAL'!AL235</f>
        <v>5748.7000000000007</v>
      </c>
      <c r="AM11" s="136">
        <f>'REV-ANNUAL'!AM235</f>
        <v>5654.9000000000005</v>
      </c>
      <c r="AN11" s="136">
        <f>'REV-ANNUAL'!AN235</f>
        <v>6187.08</v>
      </c>
      <c r="AO11" s="141">
        <f>'REV-ANNUAL'!AO235</f>
        <v>23076.080000000002</v>
      </c>
      <c r="AP11" s="136">
        <f>'REV-ANNUAL'!AP235</f>
        <v>5839.2000000000007</v>
      </c>
      <c r="AQ11" s="136">
        <f>'REV-ANNUAL'!AQ235</f>
        <v>6253</v>
      </c>
      <c r="AR11" s="136">
        <f>'REV-ANNUAL'!AR235</f>
        <v>6148</v>
      </c>
      <c r="AS11" s="136">
        <f>'REV-ANNUAL'!AS235</f>
        <v>6046.4</v>
      </c>
      <c r="AT11" s="141">
        <f>'REV-ANNUAL'!AT235</f>
        <v>24286.600000000002</v>
      </c>
      <c r="AU11" s="136">
        <f>'REV-ANNUAL'!AU235</f>
        <v>5602</v>
      </c>
      <c r="AV11" s="136">
        <f>'REV-ANNUAL'!AV235</f>
        <v>5600.7</v>
      </c>
      <c r="AW11" s="136">
        <f>'REV-ANNUAL'!AW235</f>
        <v>5443.2999999999993</v>
      </c>
      <c r="AX11" s="136">
        <f>'REV-ANNUAL'!AX235</f>
        <v>5957.2999999999993</v>
      </c>
      <c r="AY11" s="141">
        <f>'REV-ANNUAL'!AY235</f>
        <v>22603.300000000003</v>
      </c>
      <c r="AZ11" s="136">
        <f>'REV-ANNUAL'!AZ235</f>
        <v>5601.7</v>
      </c>
      <c r="BA11" s="136">
        <f>'REV-ANNUAL'!BA235</f>
        <v>5929.7</v>
      </c>
      <c r="BB11" s="136">
        <f>'REV-ANNUAL'!BB235</f>
        <v>5772.6</v>
      </c>
      <c r="BC11" s="136">
        <f>'REV-ANNUAL'!BC235</f>
        <v>5808.7999999999993</v>
      </c>
      <c r="BD11" s="1045">
        <f>'REV-ANNUAL'!BD235</f>
        <v>23112.800000000003</v>
      </c>
      <c r="BE11" s="136">
        <f>'REV-ANNUAL'!BE235</f>
        <v>4683.1000000000004</v>
      </c>
      <c r="BF11" s="136">
        <f>'REV-ANNUAL'!BF235</f>
        <v>4935.5999999999995</v>
      </c>
      <c r="BG11" s="136">
        <f>'REV-ANNUAL'!BG235</f>
        <v>4875.6000000000004</v>
      </c>
      <c r="BH11" s="136">
        <f>'REV-ANNUAL'!BH235</f>
        <v>5121.3</v>
      </c>
      <c r="BI11" s="141">
        <f>'REV-ANNUAL'!BI235</f>
        <v>19615.599999999999</v>
      </c>
      <c r="BJ11" s="136">
        <f>'REV-ANNUAL'!BJ235</f>
        <v>4644.7</v>
      </c>
      <c r="BK11" s="136">
        <f>'REV-ANNUAL'!BK235</f>
        <v>4978.7</v>
      </c>
      <c r="BL11" s="136">
        <f>'REV-ANNUAL'!BL235</f>
        <v>4959.7</v>
      </c>
      <c r="BM11" s="136">
        <f>'REV-ANNUAL'!BM235</f>
        <v>5375.5999999999995</v>
      </c>
      <c r="BN11" s="141">
        <f>'REV-ANNUAL'!BN235</f>
        <v>19958.699999999997</v>
      </c>
      <c r="BO11" s="136">
        <f>'REV-ANNUAL'!BO235</f>
        <v>4865.1000000000004</v>
      </c>
      <c r="BP11" s="136">
        <f>'REV-ANNUAL'!BP235</f>
        <v>5404.8000000000011</v>
      </c>
      <c r="BQ11" s="136">
        <f>'REV-ANNUAL'!BQ235</f>
        <v>5191.7</v>
      </c>
      <c r="BR11" s="136">
        <f>'REV-ANNUAL'!BR235</f>
        <v>5760.5000000000009</v>
      </c>
      <c r="BS11" s="141">
        <f>'REV-ANNUAL'!BS235</f>
        <v>21210.200000000004</v>
      </c>
      <c r="BT11" s="136">
        <f>'REV-ANNUAL'!BT235</f>
        <v>5228.3999999999996</v>
      </c>
      <c r="BU11" s="136">
        <f>'REV-ANNUAL'!BU235</f>
        <v>5824.3</v>
      </c>
      <c r="BV11" s="136">
        <f>'REV-ANNUAL'!BV235</f>
        <v>5658.1</v>
      </c>
      <c r="BW11" s="136">
        <f>'REV-ANNUAL'!BW235</f>
        <v>6160.7999999999993</v>
      </c>
      <c r="BX11" s="141">
        <f>'REV-ANNUAL'!BX235</f>
        <v>22871.599999999999</v>
      </c>
      <c r="BY11" s="136">
        <f>'REV-ANNUAL'!BY235</f>
        <v>5700</v>
      </c>
      <c r="BZ11" s="136">
        <f>'REV-ANNUAL'!BZ235</f>
        <v>6017.2599999999993</v>
      </c>
      <c r="CA11" s="136">
        <f>'REV-ANNUAL'!CA235</f>
        <v>6059.8329999999996</v>
      </c>
      <c r="CB11" s="136">
        <f>'REV-ANNUAL'!CB235</f>
        <v>6245.3459999999995</v>
      </c>
      <c r="CC11" s="141">
        <f>'REV-ANNUAL'!CC235</f>
        <v>24022.338999999996</v>
      </c>
      <c r="CD11" s="141">
        <f>'REV-ANNUAL'!CD235</f>
        <v>24592.02145</v>
      </c>
      <c r="CE11" s="141">
        <f>'REV-ANNUAL'!CE235</f>
        <v>25514.011554000001</v>
      </c>
      <c r="CF11" s="141">
        <f>'REV-ANNUAL'!CF235</f>
        <v>26439.738999584999</v>
      </c>
      <c r="CG11" s="141">
        <f>'REV-ANNUAL'!CG235</f>
        <v>27217.601464911932</v>
      </c>
      <c r="CH11" s="141">
        <f>'REV-ANNUAL'!CH235</f>
        <v>28120.927073300889</v>
      </c>
      <c r="EW11" s="7" t="s">
        <v>1122</v>
      </c>
    </row>
    <row r="12" spans="1:153" ht="12.75" customHeight="1">
      <c r="G12" s="9"/>
      <c r="H12" s="70" t="s">
        <v>197</v>
      </c>
      <c r="I12" s="70"/>
      <c r="J12" s="70"/>
      <c r="K12" s="70"/>
      <c r="L12" s="131">
        <v>3301.9</v>
      </c>
      <c r="M12" s="131">
        <v>3466.8</v>
      </c>
      <c r="N12" s="131">
        <v>3385.5</v>
      </c>
      <c r="O12" s="131">
        <v>3627.7</v>
      </c>
      <c r="P12" s="132">
        <v>13785.1</v>
      </c>
      <c r="Q12" s="131">
        <f>'REV-ANNUAL'!Q11</f>
        <v>3516.4</v>
      </c>
      <c r="R12" s="131">
        <f>'REV-ANNUAL'!R11</f>
        <v>3666.1</v>
      </c>
      <c r="S12" s="131">
        <f>'REV-ANNUAL'!S11</f>
        <v>3647.85</v>
      </c>
      <c r="T12" s="131">
        <f>'REV-ANNUAL'!T11</f>
        <v>3985.4</v>
      </c>
      <c r="U12" s="132">
        <f>'REV-ANNUAL'!U11</f>
        <v>14815.55</v>
      </c>
      <c r="V12" s="131">
        <f>'REV-ANNUAL'!V11</f>
        <v>4011.1</v>
      </c>
      <c r="W12" s="131">
        <f>'REV-ANNUAL'!W11</f>
        <v>4416.2</v>
      </c>
      <c r="X12" s="131">
        <f>'REV-ANNUAL'!X11</f>
        <v>4350.2</v>
      </c>
      <c r="Y12" s="131">
        <f>'REV-ANNUAL'!Y11</f>
        <v>4860.3999999999996</v>
      </c>
      <c r="Z12" s="133">
        <f>'REV-ANNUAL'!Z11</f>
        <v>17638</v>
      </c>
      <c r="AA12" s="131">
        <f>'REV-ANNUAL'!AA11</f>
        <v>4500</v>
      </c>
      <c r="AB12" s="131">
        <f>'REV-ANNUAL'!AB11</f>
        <v>4800.5</v>
      </c>
      <c r="AC12" s="131">
        <f>'REV-ANNUAL'!AC11</f>
        <v>4841.3</v>
      </c>
      <c r="AD12" s="131">
        <f>'REV-ANNUAL'!AD11</f>
        <v>4775.2</v>
      </c>
      <c r="AE12" s="132">
        <f>SUM(AA12:AD12)</f>
        <v>18917</v>
      </c>
      <c r="AF12" s="131">
        <f>'REV-ANNUAL'!AF11</f>
        <v>4627.3</v>
      </c>
      <c r="AG12" s="131">
        <f>'REV-ANNUAL'!AG11</f>
        <v>4837.75</v>
      </c>
      <c r="AH12" s="131">
        <f>'REV-ANNUAL'!AH11</f>
        <v>5071.1000000000004</v>
      </c>
      <c r="AI12" s="131">
        <f>'REV-ANNUAL'!AI11</f>
        <v>5428.1</v>
      </c>
      <c r="AJ12" s="132">
        <f>SUM(AF12:AI12)</f>
        <v>19964.25</v>
      </c>
      <c r="AK12" s="131">
        <f>'REV-ANNUAL'!AK11</f>
        <v>5042.8999999999996</v>
      </c>
      <c r="AL12" s="131">
        <f>'REV-ANNUAL'!AL11</f>
        <v>5265.2</v>
      </c>
      <c r="AM12" s="131">
        <f>'REV-ANNUAL'!AM11</f>
        <v>5133.7</v>
      </c>
      <c r="AN12" s="131">
        <f>'REV-ANNUAL'!AN11</f>
        <v>5609.48</v>
      </c>
      <c r="AO12" s="132">
        <f>'REV-ANNUAL'!AO11</f>
        <v>21051.279999999999</v>
      </c>
      <c r="AP12" s="131">
        <f>'REV-ANNUAL'!AP11</f>
        <v>5320.2</v>
      </c>
      <c r="AQ12" s="131">
        <f>'REV-ANNUAL'!AQ11</f>
        <v>5697.2</v>
      </c>
      <c r="AR12" s="131">
        <f>'REV-ANNUAL'!AR11</f>
        <v>5520.7</v>
      </c>
      <c r="AS12" s="131">
        <f>'REV-ANNUAL'!AS11</f>
        <v>5388.2</v>
      </c>
      <c r="AT12" s="132">
        <f>'REV-ANNUAL'!AT11</f>
        <v>21926.3</v>
      </c>
      <c r="AU12" s="131">
        <f>'REV-ANNUAL'!AU11</f>
        <v>5111.3</v>
      </c>
      <c r="AV12" s="131">
        <f>'REV-ANNUAL'!AV11</f>
        <v>5088.5</v>
      </c>
      <c r="AW12" s="131">
        <f>'REV-ANNUAL'!AW11</f>
        <v>4963.8999999999996</v>
      </c>
      <c r="AX12" s="131">
        <f>'REV-ANNUAL'!AX11</f>
        <v>5403.2</v>
      </c>
      <c r="AY12" s="132">
        <f>'REV-ANNUAL'!AY11</f>
        <v>20566.900000000001</v>
      </c>
      <c r="AZ12" s="131">
        <f>'REV-ANNUAL'!AZ11</f>
        <v>5102.8999999999996</v>
      </c>
      <c r="BA12" s="131">
        <f>'REV-ANNUAL'!BA11</f>
        <v>5386.2</v>
      </c>
      <c r="BB12" s="131">
        <f>'REV-ANNUAL'!BB11</f>
        <v>5242.3</v>
      </c>
      <c r="BC12" s="131">
        <f>'REV-ANNUAL'!BC11</f>
        <v>5230.3999999999996</v>
      </c>
      <c r="BD12" s="1046">
        <f>'REV-ANNUAL'!BD11</f>
        <v>20961.800000000003</v>
      </c>
      <c r="BE12" s="131">
        <f>'REV-ANNUAL'!BE11</f>
        <v>4155.7</v>
      </c>
      <c r="BF12" s="131">
        <f>'REV-ANNUAL'!BF11</f>
        <v>4334.3999999999996</v>
      </c>
      <c r="BG12" s="131">
        <f>'REV-ANNUAL'!BG11</f>
        <v>4290.9000000000005</v>
      </c>
      <c r="BH12" s="131">
        <f>'REV-ANNUAL'!BH11</f>
        <v>4488</v>
      </c>
      <c r="BI12" s="132">
        <f>'REV-ANNUAL'!BI11</f>
        <v>17268.999999999996</v>
      </c>
      <c r="BJ12" s="131">
        <f>'REV-ANNUAL'!BJ11</f>
        <v>3894.9</v>
      </c>
      <c r="BK12" s="131">
        <f>'REV-ANNUAL'!BK11</f>
        <v>4137.8999999999996</v>
      </c>
      <c r="BL12" s="131">
        <f>'REV-ANNUAL'!BL11</f>
        <v>4180.8999999999996</v>
      </c>
      <c r="BM12" s="131">
        <f>'REV-ANNUAL'!BM11</f>
        <v>4563.8999999999996</v>
      </c>
      <c r="BN12" s="132">
        <f>'REV-ANNUAL'!BN11</f>
        <v>16777.599999999999</v>
      </c>
      <c r="BO12" s="131">
        <f>'REV-ANNUAL'!BO11</f>
        <v>4110.5</v>
      </c>
      <c r="BP12" s="131">
        <f>'REV-ANNUAL'!BP11</f>
        <v>4545.0000000000009</v>
      </c>
      <c r="BQ12" s="131">
        <f>'REV-ANNUAL'!BQ11</f>
        <v>4485.5</v>
      </c>
      <c r="BR12" s="131">
        <f>'REV-ANNUAL'!BR11</f>
        <v>4922.9000000000005</v>
      </c>
      <c r="BS12" s="132">
        <f>'REV-ANNUAL'!BS11</f>
        <v>18052.000000000004</v>
      </c>
      <c r="BT12" s="131">
        <f>'REV-ANNUAL'!BT11</f>
        <v>4459</v>
      </c>
      <c r="BU12" s="131">
        <f>'REV-ANNUAL'!BU11</f>
        <v>5039.5</v>
      </c>
      <c r="BV12" s="131">
        <f>'REV-ANNUAL'!BV11</f>
        <v>4917.5</v>
      </c>
      <c r="BW12" s="131">
        <f>'REV-ANNUAL'!BW11</f>
        <v>5369.9</v>
      </c>
      <c r="BX12" s="132">
        <f>'REV-ANNUAL'!BX11</f>
        <v>19785.899999999998</v>
      </c>
      <c r="BY12" s="131">
        <f>'REV-ANNUAL'!BY11</f>
        <v>4938.7</v>
      </c>
      <c r="BZ12" s="131">
        <f>'REV-ANNUAL'!BZ11</f>
        <v>5220.3819999999996</v>
      </c>
      <c r="CA12" s="131">
        <f>'REV-ANNUAL'!CA11</f>
        <v>5297.1269999999995</v>
      </c>
      <c r="CB12" s="131">
        <f>'REV-ANNUAL'!CB11</f>
        <v>5404.6289999999999</v>
      </c>
      <c r="CC12" s="132">
        <f>'REV-ANNUAL'!CC11</f>
        <v>20860.837999999996</v>
      </c>
      <c r="CD12" s="132">
        <f>'REV-ANNUAL'!CD11</f>
        <v>21222.308249999998</v>
      </c>
      <c r="CE12" s="132">
        <f>'REV-ANNUAL'!CE11</f>
        <v>21911.522824</v>
      </c>
      <c r="CF12" s="132">
        <f>'REV-ANNUAL'!CF11</f>
        <v>22599.663017368999</v>
      </c>
      <c r="CG12" s="132">
        <f>'REV-ANNUAL'!CG11</f>
        <v>23123.75458670417</v>
      </c>
      <c r="CH12" s="132">
        <f>'REV-ANNUAL'!CH11</f>
        <v>23755.989695289161</v>
      </c>
    </row>
    <row r="13" spans="1:153" ht="12.75" customHeight="1">
      <c r="G13" s="9"/>
      <c r="H13" s="134" t="str">
        <f>'REV-ANNUAL'!H118</f>
        <v>Cyramza</v>
      </c>
      <c r="I13" s="70"/>
      <c r="J13" s="70"/>
      <c r="K13" s="70"/>
      <c r="L13" s="131"/>
      <c r="M13" s="131"/>
      <c r="N13" s="131"/>
      <c r="O13" s="131"/>
      <c r="P13" s="132"/>
      <c r="Q13" s="131"/>
      <c r="R13" s="131"/>
      <c r="S13" s="131"/>
      <c r="T13" s="131"/>
      <c r="U13" s="132"/>
      <c r="V13" s="131"/>
      <c r="W13" s="131"/>
      <c r="X13" s="131"/>
      <c r="Y13" s="131"/>
      <c r="Z13" s="133"/>
      <c r="AA13" s="131"/>
      <c r="AB13" s="131"/>
      <c r="AC13" s="131"/>
      <c r="AD13" s="131"/>
      <c r="AE13" s="132"/>
      <c r="AF13" s="131"/>
      <c r="AG13" s="131"/>
      <c r="AH13" s="131"/>
      <c r="AI13" s="131"/>
      <c r="AJ13" s="132"/>
      <c r="AK13" s="131"/>
      <c r="AL13" s="131"/>
      <c r="AM13" s="131"/>
      <c r="AN13" s="131"/>
      <c r="AO13" s="132">
        <f>'REV-ANNUAL'!AO118</f>
        <v>0</v>
      </c>
      <c r="AP13" s="131"/>
      <c r="AQ13" s="131"/>
      <c r="AR13" s="131"/>
      <c r="AS13" s="131"/>
      <c r="AT13" s="132">
        <f>'REV-ANNUAL'!AT118</f>
        <v>0</v>
      </c>
      <c r="AU13" s="131"/>
      <c r="AV13" s="131"/>
      <c r="AW13" s="131"/>
      <c r="AX13" s="131"/>
      <c r="AY13" s="132">
        <f>'REV-ANNUAL'!AY118</f>
        <v>0</v>
      </c>
      <c r="AZ13" s="131"/>
      <c r="BA13" s="131"/>
      <c r="BB13" s="131"/>
      <c r="BC13" s="131"/>
      <c r="BD13" s="1046">
        <f>'REV-ANNUAL'!BD118</f>
        <v>0</v>
      </c>
      <c r="BE13" s="131">
        <f>'REV-ANNUAL'!BE19</f>
        <v>283.10000000000002</v>
      </c>
      <c r="BF13" s="131">
        <f>'REV-ANNUAL'!BF19</f>
        <v>243.79999999999998</v>
      </c>
      <c r="BG13" s="131">
        <f>'REV-ANNUAL'!BG19</f>
        <v>257.39999999999998</v>
      </c>
      <c r="BH13" s="131">
        <f>'REV-ANNUAL'!BH19</f>
        <v>253.10000000000002</v>
      </c>
      <c r="BI13" s="132">
        <f>'REV-ANNUAL'!BI118</f>
        <v>75.699999999999989</v>
      </c>
      <c r="BJ13" s="131">
        <f>'REV-ANNUAL'!BJ118</f>
        <v>67.5</v>
      </c>
      <c r="BK13" s="131">
        <f>'REV-ANNUAL'!BK118</f>
        <v>87.7</v>
      </c>
      <c r="BL13" s="131">
        <f>'REV-ANNUAL'!BL118</f>
        <v>111.2</v>
      </c>
      <c r="BM13" s="131">
        <f>'REV-ANNUAL'!BM118</f>
        <v>117.5</v>
      </c>
      <c r="BN13" s="132">
        <f>'REV-ANNUAL'!BN118</f>
        <v>383.9</v>
      </c>
      <c r="BO13" s="131">
        <f>'REV-ANNUAL'!BO118</f>
        <v>131</v>
      </c>
      <c r="BP13" s="131">
        <f>'REV-ANNUAL'!BP118</f>
        <v>147</v>
      </c>
      <c r="BQ13" s="131">
        <f>'REV-ANNUAL'!BQ118</f>
        <v>159</v>
      </c>
      <c r="BR13" s="131">
        <f>'REV-ANNUAL'!BR118</f>
        <v>177.1</v>
      </c>
      <c r="BS13" s="132">
        <f>'REV-ANNUAL'!BS118</f>
        <v>614.1</v>
      </c>
      <c r="BT13" s="131">
        <f>'REV-ANNUAL'!BT118</f>
        <v>171.3</v>
      </c>
      <c r="BU13" s="131">
        <f>'REV-ANNUAL'!BU118</f>
        <v>186.3</v>
      </c>
      <c r="BV13" s="131">
        <f>'REV-ANNUAL'!BV118</f>
        <v>196</v>
      </c>
      <c r="BW13" s="131">
        <f>'REV-ANNUAL'!BW118</f>
        <v>204.8</v>
      </c>
      <c r="BX13" s="132">
        <f>'REV-ANNUAL'!BX118</f>
        <v>758.40000000000009</v>
      </c>
      <c r="BY13" s="131">
        <f>'REV-ANNUAL'!BY118</f>
        <v>183.6</v>
      </c>
      <c r="BZ13" s="131">
        <f>'REV-ANNUAL'!BZ118</f>
        <v>194.24100000000001</v>
      </c>
      <c r="CA13" s="131">
        <f>'REV-ANNUAL'!CA118</f>
        <v>204.41000000000003</v>
      </c>
      <c r="CB13" s="131">
        <f>'REV-ANNUAL'!CB118</f>
        <v>215.23200000000003</v>
      </c>
      <c r="CC13" s="132">
        <f>'REV-ANNUAL'!CC118</f>
        <v>797.48300000000006</v>
      </c>
      <c r="CD13" s="132">
        <f>'REV-ANNUAL'!CD118</f>
        <v>837.35715000000005</v>
      </c>
      <c r="CE13" s="132">
        <f>'REV-ANNUAL'!CE118</f>
        <v>868.46383050000009</v>
      </c>
      <c r="CF13" s="132">
        <f>'REV-ANNUAL'!CF118</f>
        <v>884.17699125000013</v>
      </c>
      <c r="CG13" s="132">
        <f>'REV-ANNUAL'!CG118</f>
        <v>890.77651876500022</v>
      </c>
      <c r="CH13" s="132">
        <f>'REV-ANNUAL'!CH118</f>
        <v>890.77651876500022</v>
      </c>
    </row>
    <row r="14" spans="1:153" ht="12.75" customHeight="1">
      <c r="G14" s="9"/>
      <c r="H14" s="134" t="str">
        <f>'REV-ANNUAL'!H71</f>
        <v>Jardiance/Glyxambi (100% GM, receive 50% GP from BI)</v>
      </c>
      <c r="I14" s="70"/>
      <c r="J14" s="70"/>
      <c r="K14" s="70"/>
      <c r="L14" s="131"/>
      <c r="M14" s="131"/>
      <c r="N14" s="131"/>
      <c r="O14" s="131"/>
      <c r="P14" s="132"/>
      <c r="Q14" s="131"/>
      <c r="R14" s="131"/>
      <c r="S14" s="131"/>
      <c r="T14" s="131"/>
      <c r="U14" s="132"/>
      <c r="V14" s="131"/>
      <c r="W14" s="131"/>
      <c r="X14" s="131"/>
      <c r="Y14" s="131"/>
      <c r="Z14" s="133"/>
      <c r="AA14" s="131"/>
      <c r="AB14" s="131"/>
      <c r="AC14" s="131"/>
      <c r="AD14" s="131"/>
      <c r="AE14" s="132"/>
      <c r="AF14" s="131"/>
      <c r="AG14" s="131"/>
      <c r="AH14" s="131"/>
      <c r="AI14" s="131"/>
      <c r="AJ14" s="132"/>
      <c r="AK14" s="131"/>
      <c r="AL14" s="131"/>
      <c r="AM14" s="131"/>
      <c r="AN14" s="131"/>
      <c r="AO14" s="132">
        <f>'REV-ANNUAL'!AO71</f>
        <v>0</v>
      </c>
      <c r="AP14" s="131"/>
      <c r="AQ14" s="131"/>
      <c r="AR14" s="131"/>
      <c r="AS14" s="131"/>
      <c r="AT14" s="132">
        <f>'REV-ANNUAL'!AT71</f>
        <v>0</v>
      </c>
      <c r="AU14" s="131"/>
      <c r="AV14" s="131"/>
      <c r="AW14" s="131"/>
      <c r="AX14" s="131"/>
      <c r="AY14" s="132">
        <f>'REV-ANNUAL'!AY71</f>
        <v>0</v>
      </c>
      <c r="AZ14" s="131"/>
      <c r="BA14" s="131"/>
      <c r="BB14" s="131"/>
      <c r="BC14" s="131"/>
      <c r="BD14" s="1046">
        <f>'REV-ANNUAL'!BD71</f>
        <v>0</v>
      </c>
      <c r="BE14" s="131">
        <f>'REV-ANNUAL'!BE71</f>
        <v>0</v>
      </c>
      <c r="BF14" s="131">
        <f>'REV-ANNUAL'!BF71</f>
        <v>0</v>
      </c>
      <c r="BG14" s="131">
        <f>'REV-ANNUAL'!BG71</f>
        <v>4.5</v>
      </c>
      <c r="BH14" s="131">
        <f>'REV-ANNUAL'!BH71</f>
        <v>5.6</v>
      </c>
      <c r="BI14" s="132">
        <f>'REV-ANNUAL'!BI71</f>
        <v>10.1</v>
      </c>
      <c r="BJ14" s="131">
        <f>'REV-ANNUAL'!BJ71</f>
        <v>19.299999999999997</v>
      </c>
      <c r="BK14" s="131">
        <f>'REV-ANNUAL'!BK71</f>
        <v>11.1</v>
      </c>
      <c r="BL14" s="131">
        <f>'REV-ANNUAL'!BL71</f>
        <v>15.4</v>
      </c>
      <c r="BM14" s="131">
        <f>'REV-ANNUAL'!BM71</f>
        <v>14.6</v>
      </c>
      <c r="BN14" s="132">
        <f>'REV-ANNUAL'!BN71</f>
        <v>60.400000000000006</v>
      </c>
      <c r="BO14" s="131">
        <f>'REV-ANNUAL'!BO71</f>
        <v>38.200000000000003</v>
      </c>
      <c r="BP14" s="131">
        <f>'REV-ANNUAL'!BP71</f>
        <v>40.1</v>
      </c>
      <c r="BQ14" s="131">
        <f>'REV-ANNUAL'!BQ71</f>
        <v>47.5</v>
      </c>
      <c r="BR14" s="131">
        <f>'REV-ANNUAL'!BR71</f>
        <v>76.199999999999989</v>
      </c>
      <c r="BS14" s="132">
        <f>'REV-ANNUAL'!BS71</f>
        <v>201.99999999999997</v>
      </c>
      <c r="BT14" s="131">
        <f>'REV-ANNUAL'!BT71</f>
        <v>73.900000000000006</v>
      </c>
      <c r="BU14" s="131">
        <f>'REV-ANNUAL'!BU71</f>
        <v>103.1</v>
      </c>
      <c r="BV14" s="131">
        <f>'REV-ANNUAL'!BV71</f>
        <v>127.19999999999999</v>
      </c>
      <c r="BW14" s="131">
        <f>'REV-ANNUAL'!BW71</f>
        <v>143.19999999999999</v>
      </c>
      <c r="BX14" s="132">
        <f>'REV-ANNUAL'!BX71</f>
        <v>447.4</v>
      </c>
      <c r="BY14" s="131">
        <f>'REV-ANNUAL'!BY71</f>
        <v>151</v>
      </c>
      <c r="BZ14" s="131">
        <f>'REV-ANNUAL'!BZ71</f>
        <v>194.36500000000001</v>
      </c>
      <c r="CA14" s="131">
        <f>'REV-ANNUAL'!CA71</f>
        <v>220.57999999999998</v>
      </c>
      <c r="CB14" s="131">
        <f>'REV-ANNUAL'!CB71</f>
        <v>236.27999999999997</v>
      </c>
      <c r="CC14" s="132">
        <f>'REV-ANNUAL'!CC71</f>
        <v>802.22499999999991</v>
      </c>
      <c r="CD14" s="132">
        <f>'REV-ANNUAL'!CD71</f>
        <v>1087.2046499999999</v>
      </c>
      <c r="CE14" s="132">
        <f>'REV-ANNUAL'!CE71</f>
        <v>1345.1363799999999</v>
      </c>
      <c r="CF14" s="132">
        <f>'REV-ANNUAL'!CF71</f>
        <v>1548.6631775999999</v>
      </c>
      <c r="CG14" s="132">
        <f>'REV-ANNUAL'!CG71</f>
        <v>1676.0192944319999</v>
      </c>
      <c r="CH14" s="132">
        <f>'REV-ANNUAL'!CH71</f>
        <v>1759.8202591536001</v>
      </c>
    </row>
    <row r="15" spans="1:153" ht="12.75" customHeight="1">
      <c r="G15" s="9"/>
      <c r="H15" s="134" t="str">
        <f>'REV-ANNUAL'!H68</f>
        <v>Tradjenta/Jenta (100% GM, receive 50% GP from BI)</v>
      </c>
      <c r="I15" s="70"/>
      <c r="J15" s="70"/>
      <c r="K15" s="70"/>
      <c r="L15" s="131"/>
      <c r="M15" s="131"/>
      <c r="N15" s="131"/>
      <c r="O15" s="131"/>
      <c r="P15" s="132"/>
      <c r="Q15" s="131"/>
      <c r="R15" s="131"/>
      <c r="S15" s="131"/>
      <c r="T15" s="131"/>
      <c r="U15" s="132"/>
      <c r="V15" s="131"/>
      <c r="W15" s="131"/>
      <c r="X15" s="131"/>
      <c r="Y15" s="131"/>
      <c r="Z15" s="133"/>
      <c r="AA15" s="131"/>
      <c r="AB15" s="131"/>
      <c r="AC15" s="131"/>
      <c r="AD15" s="131"/>
      <c r="AE15" s="132"/>
      <c r="AF15" s="131"/>
      <c r="AG15" s="131"/>
      <c r="AH15" s="131"/>
      <c r="AI15" s="131"/>
      <c r="AJ15" s="132"/>
      <c r="AK15" s="131"/>
      <c r="AL15" s="131"/>
      <c r="AM15" s="131"/>
      <c r="AN15" s="131"/>
      <c r="AO15" s="132">
        <f>'REV-ANNUAL'!AO68</f>
        <v>0</v>
      </c>
      <c r="AP15" s="131">
        <f>'REV-ANNUAL'!AP68</f>
        <v>0</v>
      </c>
      <c r="AQ15" s="131">
        <f>'REV-ANNUAL'!AQ68</f>
        <v>5.6</v>
      </c>
      <c r="AR15" s="131">
        <f>'REV-ANNUAL'!AR68</f>
        <v>2.8000000000000003</v>
      </c>
      <c r="AS15" s="131">
        <f>'REV-ANNUAL'!AS68</f>
        <v>6.7</v>
      </c>
      <c r="AT15" s="132">
        <f>'REV-ANNUAL'!AT68</f>
        <v>15.1</v>
      </c>
      <c r="AU15" s="131">
        <f>'REV-ANNUAL'!AU68</f>
        <v>12.799999999999999</v>
      </c>
      <c r="AV15" s="131">
        <f>'REV-ANNUAL'!AV68</f>
        <v>13.200000000000001</v>
      </c>
      <c r="AW15" s="131">
        <f>'REV-ANNUAL'!AW68</f>
        <v>22.799999999999997</v>
      </c>
      <c r="AX15" s="131">
        <f>'REV-ANNUAL'!AX68</f>
        <v>39.900000000000006</v>
      </c>
      <c r="AY15" s="132">
        <f>'REV-ANNUAL'!AY68</f>
        <v>88.7</v>
      </c>
      <c r="AZ15" s="131">
        <f>'REV-ANNUAL'!AZ68</f>
        <v>42.599999999999994</v>
      </c>
      <c r="BA15" s="131">
        <f>'REV-ANNUAL'!BA68</f>
        <v>54.8</v>
      </c>
      <c r="BB15" s="131">
        <f>'REV-ANNUAL'!BB68</f>
        <v>64.7</v>
      </c>
      <c r="BC15" s="131">
        <f>'REV-ANNUAL'!BC68</f>
        <v>87.1</v>
      </c>
      <c r="BD15" s="1046">
        <f>'REV-ANNUAL'!BD68</f>
        <v>249.2</v>
      </c>
      <c r="BE15" s="131">
        <f>'REV-ANNUAL'!BE68</f>
        <v>76.900000000000006</v>
      </c>
      <c r="BF15" s="131">
        <f>'REV-ANNUAL'!BF68</f>
        <v>90.300000000000011</v>
      </c>
      <c r="BG15" s="131">
        <f>'REV-ANNUAL'!BG68</f>
        <v>78.900000000000006</v>
      </c>
      <c r="BH15" s="131">
        <f>'REV-ANNUAL'!BH68</f>
        <v>82.7</v>
      </c>
      <c r="BI15" s="132">
        <f>'REV-ANNUAL'!BI68</f>
        <v>328.8</v>
      </c>
      <c r="BJ15" s="131">
        <f>'REV-ANNUAL'!BJ68</f>
        <v>82.3</v>
      </c>
      <c r="BK15" s="131">
        <f>'REV-ANNUAL'!BK68</f>
        <v>80</v>
      </c>
      <c r="BL15" s="131">
        <f>'REV-ANNUAL'!BL68</f>
        <v>92.699999999999989</v>
      </c>
      <c r="BM15" s="131">
        <f>'REV-ANNUAL'!BM68</f>
        <v>101.69999999999999</v>
      </c>
      <c r="BN15" s="132">
        <f>'REV-ANNUAL'!BN68</f>
        <v>356.70000000000005</v>
      </c>
      <c r="BO15" s="131">
        <f>'REV-ANNUAL'!BO68</f>
        <v>94.4</v>
      </c>
      <c r="BP15" s="131">
        <f>'REV-ANNUAL'!BP68</f>
        <v>121</v>
      </c>
      <c r="BQ15" s="131">
        <f>'REV-ANNUAL'!BQ68</f>
        <v>115.4</v>
      </c>
      <c r="BR15" s="131">
        <f>'REV-ANNUAL'!BR68</f>
        <v>105.8</v>
      </c>
      <c r="BS15" s="132">
        <f>'REV-ANNUAL'!BS68</f>
        <v>436.6</v>
      </c>
      <c r="BT15" s="131">
        <f>'REV-ANNUAL'!BT68</f>
        <v>113</v>
      </c>
      <c r="BU15" s="131">
        <f>'REV-ANNUAL'!BU68</f>
        <v>141.9</v>
      </c>
      <c r="BV15" s="131">
        <f>'REV-ANNUAL'!BV68</f>
        <v>153.30000000000001</v>
      </c>
      <c r="BW15" s="131">
        <f>'REV-ANNUAL'!BW68</f>
        <v>129.69999999999999</v>
      </c>
      <c r="BX15" s="132">
        <f>'REV-ANNUAL'!BX68</f>
        <v>537.9</v>
      </c>
      <c r="BY15" s="131">
        <f>'REV-ANNUAL'!BY68</f>
        <v>141.1</v>
      </c>
      <c r="BZ15" s="131">
        <f>'REV-ANNUAL'!BZ68</f>
        <v>165.29500000000002</v>
      </c>
      <c r="CA15" s="131">
        <f>'REV-ANNUAL'!CA68</f>
        <v>171.97800000000001</v>
      </c>
      <c r="CB15" s="131">
        <f>'REV-ANNUAL'!CB68</f>
        <v>175.27600000000001</v>
      </c>
      <c r="CC15" s="132">
        <f>'REV-ANNUAL'!CC68</f>
        <v>653.649</v>
      </c>
      <c r="CD15" s="132">
        <f>'REV-ANNUAL'!CD68</f>
        <v>721.9200800000001</v>
      </c>
      <c r="CE15" s="132">
        <f>'REV-ANNUAL'!CE68</f>
        <v>771.4385784000001</v>
      </c>
      <c r="CF15" s="132">
        <f>'REV-ANNUAL'!CF68</f>
        <v>806.19574190400022</v>
      </c>
      <c r="CG15" s="132">
        <f>'REV-ANNUAL'!CG68</f>
        <v>797.37594123600024</v>
      </c>
      <c r="CH15" s="132">
        <f>'REV-ANNUAL'!CH68</f>
        <v>753.49251415368019</v>
      </c>
    </row>
    <row r="16" spans="1:153" ht="12.75" customHeight="1">
      <c r="G16" s="9"/>
      <c r="H16" s="134" t="str">
        <f>'REV-ANNUAL'!H25</f>
        <v>Cymbalta</v>
      </c>
      <c r="I16" s="70"/>
      <c r="J16" s="70"/>
      <c r="K16" s="70"/>
      <c r="L16" s="131">
        <f>'REV-ANNUAL'!L25</f>
        <v>106.8</v>
      </c>
      <c r="M16" s="131">
        <f>'REV-ANNUAL'!M25</f>
        <v>161.4</v>
      </c>
      <c r="N16" s="131">
        <f>'REV-ANNUAL'!N25</f>
        <v>182.7</v>
      </c>
      <c r="O16" s="131">
        <f>'REV-ANNUAL'!O25</f>
        <v>228.8</v>
      </c>
      <c r="P16" s="132">
        <f>'REV-ANNUAL'!P25</f>
        <v>679.7</v>
      </c>
      <c r="Q16" s="131">
        <f>'REV-ANNUAL'!Q25</f>
        <v>233.20000000000002</v>
      </c>
      <c r="R16" s="131">
        <f>'REV-ANNUAL'!R25</f>
        <v>310.39999999999998</v>
      </c>
      <c r="S16" s="131">
        <f>'REV-ANNUAL'!S25</f>
        <v>348.6</v>
      </c>
      <c r="T16" s="131">
        <f>'REV-ANNUAL'!T25</f>
        <v>424.09999999999997</v>
      </c>
      <c r="U16" s="132">
        <f>'REV-ANNUAL'!U25</f>
        <v>1316.3</v>
      </c>
      <c r="V16" s="131">
        <f>'REV-ANNUAL'!V25</f>
        <v>441.8</v>
      </c>
      <c r="W16" s="131">
        <f>'REV-ANNUAL'!W25</f>
        <v>519.5</v>
      </c>
      <c r="X16" s="131">
        <f>'REV-ANNUAL'!X25</f>
        <v>513.20000000000005</v>
      </c>
      <c r="Y16" s="131">
        <f>'REV-ANNUAL'!Y25</f>
        <v>628.29999999999995</v>
      </c>
      <c r="Z16" s="133">
        <f>'REV-ANNUAL'!Z25</f>
        <v>2102.8000000000002</v>
      </c>
      <c r="AA16" s="131">
        <f>'REV-ANNUAL'!AA25</f>
        <v>605.1</v>
      </c>
      <c r="AB16" s="131">
        <f>'REV-ANNUAL'!AB25</f>
        <v>654.29999999999995</v>
      </c>
      <c r="AC16" s="131">
        <f>'REV-ANNUAL'!AC25</f>
        <v>716.4</v>
      </c>
      <c r="AD16" s="131">
        <f>'REV-ANNUAL'!AD25</f>
        <v>721.2</v>
      </c>
      <c r="AE16" s="132">
        <f>'REV-ANNUAL'!AE25</f>
        <v>2697</v>
      </c>
      <c r="AF16" s="131">
        <f>'REV-ANNUAL'!AF25</f>
        <v>709.30000000000007</v>
      </c>
      <c r="AG16" s="131">
        <f>'REV-ANNUAL'!AG25</f>
        <v>744.44999999999993</v>
      </c>
      <c r="AH16" s="131">
        <f>'REV-ANNUAL'!AH25</f>
        <v>790.2</v>
      </c>
      <c r="AI16" s="131">
        <f>'REV-ANNUAL'!AI25</f>
        <v>830.80000000000007</v>
      </c>
      <c r="AJ16" s="132">
        <f>'REV-ANNUAL'!AJ25</f>
        <v>3074.75</v>
      </c>
      <c r="AK16" s="131">
        <f>'REV-ANNUAL'!AK25</f>
        <v>803.2</v>
      </c>
      <c r="AL16" s="131">
        <f>'REV-ANNUAL'!AL25</f>
        <v>867.7</v>
      </c>
      <c r="AM16" s="131">
        <f>'REV-ANNUAL'!AM25</f>
        <v>806</v>
      </c>
      <c r="AN16" s="131">
        <f>'REV-ANNUAL'!AN25</f>
        <v>982.3</v>
      </c>
      <c r="AO16" s="132">
        <f>'REV-ANNUAL'!AO25</f>
        <v>3459.2</v>
      </c>
      <c r="AP16" s="131">
        <f>'REV-ANNUAL'!AP25</f>
        <v>908.7</v>
      </c>
      <c r="AQ16" s="131">
        <f>'REV-ANNUAL'!AQ25</f>
        <v>1003.4</v>
      </c>
      <c r="AR16" s="131">
        <f>'REV-ANNUAL'!AR25</f>
        <v>1068.5999999999999</v>
      </c>
      <c r="AS16" s="131">
        <f>'REV-ANNUAL'!AS25</f>
        <v>1181</v>
      </c>
      <c r="AT16" s="132">
        <f>'REV-ANNUAL'!AT25</f>
        <v>4161.7</v>
      </c>
      <c r="AU16" s="131">
        <f>'REV-ANNUAL'!AU25</f>
        <v>1114.9000000000001</v>
      </c>
      <c r="AV16" s="131">
        <f>'REV-ANNUAL'!AV25</f>
        <v>1223.0999999999999</v>
      </c>
      <c r="AW16" s="131">
        <f>'REV-ANNUAL'!AW25</f>
        <v>1235.8</v>
      </c>
      <c r="AX16" s="131">
        <f>'REV-ANNUAL'!AX25</f>
        <v>1420.3999999999999</v>
      </c>
      <c r="AY16" s="132">
        <f>'REV-ANNUAL'!AY25</f>
        <v>4994.2</v>
      </c>
      <c r="AZ16" s="131">
        <f>'REV-ANNUAL'!AZ25</f>
        <v>1328.2</v>
      </c>
      <c r="BA16" s="131">
        <f>'REV-ANNUAL'!BA25</f>
        <v>1497.2</v>
      </c>
      <c r="BB16" s="131">
        <f>'REV-ANNUAL'!BB25</f>
        <v>1375.8000000000002</v>
      </c>
      <c r="BC16" s="131">
        <f>'REV-ANNUAL'!BC25</f>
        <v>883.19999999999993</v>
      </c>
      <c r="BD16" s="1046">
        <f>'REV-ANNUAL'!BD25</f>
        <v>5084.3999999999996</v>
      </c>
      <c r="BE16" s="131">
        <f>'REV-ANNUAL'!BE25</f>
        <v>478.2</v>
      </c>
      <c r="BF16" s="131">
        <f>'REV-ANNUAL'!BF25</f>
        <v>401.3</v>
      </c>
      <c r="BG16" s="131">
        <f>'REV-ANNUAL'!BG25</f>
        <v>368</v>
      </c>
      <c r="BH16" s="131">
        <f>'REV-ANNUAL'!BH25</f>
        <v>367.3</v>
      </c>
      <c r="BI16" s="132">
        <f>'REV-ANNUAL'!BI25</f>
        <v>1614.8000000000002</v>
      </c>
      <c r="BJ16" s="131">
        <f>'REV-ANNUAL'!BJ25</f>
        <v>287</v>
      </c>
      <c r="BK16" s="131">
        <f>'REV-ANNUAL'!BK25</f>
        <v>274.10000000000002</v>
      </c>
      <c r="BL16" s="131">
        <f>'REV-ANNUAL'!BL25</f>
        <v>242.9</v>
      </c>
      <c r="BM16" s="131">
        <f>'REV-ANNUAL'!BM25</f>
        <v>223.6</v>
      </c>
      <c r="BN16" s="132">
        <f>'REV-ANNUAL'!BN25</f>
        <v>1027.5999999999999</v>
      </c>
      <c r="BO16" s="131">
        <f>'REV-ANNUAL'!BO25</f>
        <v>198.70000000000002</v>
      </c>
      <c r="BP16" s="131">
        <f>'REV-ANNUAL'!BP25</f>
        <v>236.5</v>
      </c>
      <c r="BQ16" s="131">
        <f>'REV-ANNUAL'!BQ25</f>
        <v>313.5</v>
      </c>
      <c r="BR16" s="131">
        <f>'REV-ANNUAL'!BR25</f>
        <v>181.89999999999998</v>
      </c>
      <c r="BS16" s="132">
        <f>'REV-ANNUAL'!BS25</f>
        <v>930.59999999999991</v>
      </c>
      <c r="BT16" s="131">
        <f>'REV-ANNUAL'!BT25</f>
        <v>174.6</v>
      </c>
      <c r="BU16" s="131">
        <f>'REV-ANNUAL'!BU25</f>
        <v>206.7</v>
      </c>
      <c r="BV16" s="131">
        <f>'REV-ANNUAL'!BV25</f>
        <v>183.1</v>
      </c>
      <c r="BW16" s="131">
        <f>'REV-ANNUAL'!BW25</f>
        <v>192.79999999999998</v>
      </c>
      <c r="BX16" s="132">
        <f>'REV-ANNUAL'!BX25</f>
        <v>757.19999999999993</v>
      </c>
      <c r="BY16" s="131">
        <f>'REV-ANNUAL'!BY25</f>
        <v>169.5</v>
      </c>
      <c r="BZ16" s="131">
        <f>'REV-ANNUAL'!BZ25</f>
        <v>161.03999999999996</v>
      </c>
      <c r="CA16" s="131">
        <f>'REV-ANNUAL'!CA25</f>
        <v>160.22000000000003</v>
      </c>
      <c r="CB16" s="131">
        <f>'REV-ANNUAL'!CB25</f>
        <v>156.404</v>
      </c>
      <c r="CC16" s="132">
        <f>'REV-ANNUAL'!CC25</f>
        <v>647.16399999999999</v>
      </c>
      <c r="CD16" s="132">
        <f>'REV-ANNUAL'!CD25</f>
        <v>576.25409999999999</v>
      </c>
      <c r="CE16" s="132">
        <f>'REV-ANNUAL'!CE25</f>
        <v>435.28732500000007</v>
      </c>
      <c r="CF16" s="132">
        <f>'REV-ANNUAL'!CF25</f>
        <v>269.06910750000003</v>
      </c>
      <c r="CG16" s="132">
        <f>'REV-ANNUAL'!CG25</f>
        <v>217.62429975000001</v>
      </c>
      <c r="CH16" s="132">
        <f>'REV-ANNUAL'!CH25</f>
        <v>176.23155217500002</v>
      </c>
    </row>
    <row r="17" spans="1:243" ht="12.75" customHeight="1">
      <c r="G17" s="9"/>
      <c r="H17" s="134" t="str">
        <f>'REV-ANNUAL'!H50</f>
        <v>Humulin</v>
      </c>
      <c r="I17" s="70"/>
      <c r="J17" s="70"/>
      <c r="K17" s="70"/>
      <c r="L17" s="131">
        <f>'REV-ANNUAL'!L50</f>
        <v>256.89999999999998</v>
      </c>
      <c r="M17" s="131">
        <f>'REV-ANNUAL'!M50</f>
        <v>249.7</v>
      </c>
      <c r="N17" s="131">
        <f>'REV-ANNUAL'!N50</f>
        <v>250.9</v>
      </c>
      <c r="O17" s="131">
        <f>'REV-ANNUAL'!O50</f>
        <v>247.2</v>
      </c>
      <c r="P17" s="132">
        <f>'REV-ANNUAL'!P50</f>
        <v>1004.7</v>
      </c>
      <c r="Q17" s="131">
        <f>'REV-ANNUAL'!Q50</f>
        <v>218.5</v>
      </c>
      <c r="R17" s="131">
        <f>'REV-ANNUAL'!R50</f>
        <v>219.8</v>
      </c>
      <c r="S17" s="131">
        <f>'REV-ANNUAL'!S50</f>
        <v>230</v>
      </c>
      <c r="T17" s="131">
        <f>'REV-ANNUAL'!T50</f>
        <v>256.89999999999998</v>
      </c>
      <c r="U17" s="132">
        <f>'REV-ANNUAL'!U50</f>
        <v>925.2</v>
      </c>
      <c r="V17" s="131">
        <f>'REV-ANNUAL'!V50</f>
        <v>225.8</v>
      </c>
      <c r="W17" s="131">
        <f>'REV-ANNUAL'!W50</f>
        <v>242.8</v>
      </c>
      <c r="X17" s="131">
        <f>'REV-ANNUAL'!X50</f>
        <v>243.3</v>
      </c>
      <c r="Y17" s="131">
        <f>'REV-ANNUAL'!Y50</f>
        <v>273.39999999999998</v>
      </c>
      <c r="Z17" s="133">
        <f>'REV-ANNUAL'!Z50</f>
        <v>985.3</v>
      </c>
      <c r="AA17" s="131">
        <f>'REV-ANNUAL'!AA50</f>
        <v>257.7</v>
      </c>
      <c r="AB17" s="131">
        <f>'REV-ANNUAL'!AB50</f>
        <v>271.39999999999998</v>
      </c>
      <c r="AC17" s="131">
        <f>'REV-ANNUAL'!AC50</f>
        <v>271.7</v>
      </c>
      <c r="AD17" s="131">
        <f>'REV-ANNUAL'!AD50</f>
        <v>262.39999999999998</v>
      </c>
      <c r="AE17" s="132">
        <f>'REV-ANNUAL'!AE50</f>
        <v>1063.1999999999998</v>
      </c>
      <c r="AF17" s="131">
        <f>'REV-ANNUAL'!AF50</f>
        <v>240.5</v>
      </c>
      <c r="AG17" s="131">
        <f>'REV-ANNUAL'!AG50</f>
        <v>248.07999999999998</v>
      </c>
      <c r="AH17" s="131">
        <f>'REV-ANNUAL'!AH50</f>
        <v>260.39999999999998</v>
      </c>
      <c r="AI17" s="131">
        <f>'REV-ANNUAL'!AI50</f>
        <v>273</v>
      </c>
      <c r="AJ17" s="132">
        <f>'REV-ANNUAL'!AJ50</f>
        <v>1021.98</v>
      </c>
      <c r="AK17" s="131">
        <f>'REV-ANNUAL'!AK50</f>
        <v>257.8</v>
      </c>
      <c r="AL17" s="131">
        <f>'REV-ANNUAL'!AL50</f>
        <v>265.3</v>
      </c>
      <c r="AM17" s="131">
        <f>'REV-ANNUAL'!AM50</f>
        <v>278</v>
      </c>
      <c r="AN17" s="131">
        <f>'REV-ANNUAL'!AN50</f>
        <v>287.89999999999998</v>
      </c>
      <c r="AO17" s="132">
        <f>'REV-ANNUAL'!AO50</f>
        <v>1089</v>
      </c>
      <c r="AP17" s="131">
        <f>'REV-ANNUAL'!AP50</f>
        <v>289.8</v>
      </c>
      <c r="AQ17" s="131">
        <f>'REV-ANNUAL'!AQ50</f>
        <v>311.8</v>
      </c>
      <c r="AR17" s="131">
        <f>'REV-ANNUAL'!AR50</f>
        <v>301.5</v>
      </c>
      <c r="AS17" s="131">
        <f>'REV-ANNUAL'!AS50</f>
        <v>345.6</v>
      </c>
      <c r="AT17" s="132">
        <f>'REV-ANNUAL'!AT50</f>
        <v>1248.7</v>
      </c>
      <c r="AU17" s="131">
        <f>'REV-ANNUAL'!AU50</f>
        <v>307.7</v>
      </c>
      <c r="AV17" s="131">
        <f>'REV-ANNUAL'!AV50</f>
        <v>303</v>
      </c>
      <c r="AW17" s="131">
        <f>'REV-ANNUAL'!AW50</f>
        <v>285.39999999999998</v>
      </c>
      <c r="AX17" s="131">
        <f>'REV-ANNUAL'!AX50</f>
        <v>343</v>
      </c>
      <c r="AY17" s="132">
        <f>'REV-ANNUAL'!AY50</f>
        <v>1239.0999999999999</v>
      </c>
      <c r="AZ17" s="131">
        <f>'REV-ANNUAL'!AZ50</f>
        <v>311.89999999999998</v>
      </c>
      <c r="BA17" s="131">
        <f>'REV-ANNUAL'!BA50</f>
        <v>327.5</v>
      </c>
      <c r="BB17" s="131">
        <f>'REV-ANNUAL'!BB50</f>
        <v>307</v>
      </c>
      <c r="BC17" s="131">
        <f>'REV-ANNUAL'!BC50</f>
        <v>369.5</v>
      </c>
      <c r="BD17" s="1046">
        <f>'REV-ANNUAL'!BD50</f>
        <v>1315.8999999999999</v>
      </c>
      <c r="BE17" s="131">
        <f>'REV-ANNUAL'!BE50</f>
        <v>316.20000000000005</v>
      </c>
      <c r="BF17" s="131">
        <f>'REV-ANNUAL'!BF50</f>
        <v>352.4</v>
      </c>
      <c r="BG17" s="131">
        <f>'REV-ANNUAL'!BG50</f>
        <v>335.9</v>
      </c>
      <c r="BH17" s="131">
        <f>'REV-ANNUAL'!BH50</f>
        <v>395.6</v>
      </c>
      <c r="BI17" s="132">
        <f>'REV-ANNUAL'!BI50</f>
        <v>1400.1000000000001</v>
      </c>
      <c r="BJ17" s="131">
        <f>'REV-ANNUAL'!BJ50</f>
        <v>315.7</v>
      </c>
      <c r="BK17" s="131">
        <f>'REV-ANNUAL'!BK50</f>
        <v>316.39999999999998</v>
      </c>
      <c r="BL17" s="131">
        <f>'REV-ANNUAL'!BL50</f>
        <v>316.7</v>
      </c>
      <c r="BM17" s="131">
        <f>'REV-ANNUAL'!BM50</f>
        <v>358.6</v>
      </c>
      <c r="BN17" s="132">
        <f>'REV-ANNUAL'!BN50</f>
        <v>1307.4000000000001</v>
      </c>
      <c r="BO17" s="131">
        <f>'REV-ANNUAL'!BO50</f>
        <v>356.4</v>
      </c>
      <c r="BP17" s="131">
        <f>'REV-ANNUAL'!BP50</f>
        <v>332.3</v>
      </c>
      <c r="BQ17" s="131">
        <f>'REV-ANNUAL'!BQ50</f>
        <v>322</v>
      </c>
      <c r="BR17" s="131">
        <f>'REV-ANNUAL'!BR50</f>
        <v>355.3</v>
      </c>
      <c r="BS17" s="132">
        <f>'REV-ANNUAL'!BS50</f>
        <v>1366</v>
      </c>
      <c r="BT17" s="131">
        <f>'REV-ANNUAL'!BT50</f>
        <v>314.5</v>
      </c>
      <c r="BU17" s="131">
        <f>'REV-ANNUAL'!BU50</f>
        <v>357.8</v>
      </c>
      <c r="BV17" s="131">
        <f>'REV-ANNUAL'!BV50</f>
        <v>300.5</v>
      </c>
      <c r="BW17" s="131">
        <f>'REV-ANNUAL'!BW50</f>
        <v>362.5</v>
      </c>
      <c r="BX17" s="132">
        <f>'REV-ANNUAL'!BX50</f>
        <v>1335.3</v>
      </c>
      <c r="BY17" s="131">
        <f>'REV-ANNUAL'!BY50</f>
        <v>325.89999999999998</v>
      </c>
      <c r="BZ17" s="131">
        <f>'REV-ANNUAL'!BZ50</f>
        <v>344.67</v>
      </c>
      <c r="CA17" s="131">
        <f>'REV-ANNUAL'!CA50</f>
        <v>329.73500000000001</v>
      </c>
      <c r="CB17" s="131">
        <f>'REV-ANNUAL'!CB50</f>
        <v>355.73199999999997</v>
      </c>
      <c r="CC17" s="132">
        <f>'REV-ANNUAL'!CC50</f>
        <v>1356.037</v>
      </c>
      <c r="CD17" s="132">
        <f>'REV-ANNUAL'!CD50</f>
        <v>1321.5668400000002</v>
      </c>
      <c r="CE17" s="132">
        <f>'REV-ANNUAL'!CE50</f>
        <v>1271.3510928000001</v>
      </c>
      <c r="CF17" s="132">
        <f>'REV-ANNUAL'!CF50</f>
        <v>1224.0424133760002</v>
      </c>
      <c r="CG17" s="132">
        <f>'REV-ANNUAL'!CG50</f>
        <v>1179.4304401459201</v>
      </c>
      <c r="CH17" s="132">
        <f>'REV-ANNUAL'!CH50</f>
        <v>1137.3211963774465</v>
      </c>
    </row>
    <row r="18" spans="1:243" ht="12.75" customHeight="1">
      <c r="G18" s="9"/>
      <c r="H18" s="134" t="str">
        <f>'REV-ANNUAL'!H53</f>
        <v>Humalog</v>
      </c>
      <c r="I18" s="70"/>
      <c r="J18" s="70"/>
      <c r="K18" s="70"/>
      <c r="L18" s="131">
        <f>'REV-ANNUAL'!L53</f>
        <v>286.10000000000002</v>
      </c>
      <c r="M18" s="131">
        <f>'REV-ANNUAL'!M53</f>
        <v>296.2</v>
      </c>
      <c r="N18" s="131">
        <f>'REV-ANNUAL'!N53</f>
        <v>306.2</v>
      </c>
      <c r="O18" s="131">
        <f>'REV-ANNUAL'!O53</f>
        <v>309.10000000000002</v>
      </c>
      <c r="P18" s="132">
        <f>'REV-ANNUAL'!P53</f>
        <v>1197.5999999999999</v>
      </c>
      <c r="Q18" s="131">
        <f>'REV-ANNUAL'!Q53</f>
        <v>304.5</v>
      </c>
      <c r="R18" s="131">
        <f>'REV-ANNUAL'!R53</f>
        <v>320.5</v>
      </c>
      <c r="S18" s="131">
        <f>'REV-ANNUAL'!S53</f>
        <v>322.2</v>
      </c>
      <c r="T18" s="131">
        <f>'REV-ANNUAL'!T53</f>
        <v>352.1</v>
      </c>
      <c r="U18" s="132">
        <f>'REV-ANNUAL'!U53</f>
        <v>1299.3000000000002</v>
      </c>
      <c r="V18" s="131">
        <f>'REV-ANNUAL'!V53</f>
        <v>339.6</v>
      </c>
      <c r="W18" s="131">
        <f>'REV-ANNUAL'!W53</f>
        <v>358.4</v>
      </c>
      <c r="X18" s="131">
        <f>'REV-ANNUAL'!X53</f>
        <v>362.5</v>
      </c>
      <c r="Y18" s="131">
        <f>'REV-ANNUAL'!Y53</f>
        <v>414.1</v>
      </c>
      <c r="Z18" s="133">
        <f>'REV-ANNUAL'!Z53</f>
        <v>1474.6</v>
      </c>
      <c r="AA18" s="131">
        <f>'REV-ANNUAL'!AA53</f>
        <v>407.4</v>
      </c>
      <c r="AB18" s="131">
        <f>'REV-ANNUAL'!AB53</f>
        <v>437.9</v>
      </c>
      <c r="AC18" s="131">
        <f>'REV-ANNUAL'!AC53</f>
        <v>432.6</v>
      </c>
      <c r="AD18" s="131">
        <f>'REV-ANNUAL'!AD53</f>
        <v>458</v>
      </c>
      <c r="AE18" s="132">
        <f>'REV-ANNUAL'!AE53</f>
        <v>1735.9</v>
      </c>
      <c r="AF18" s="131">
        <f>'REV-ANNUAL'!AF53</f>
        <v>450.6</v>
      </c>
      <c r="AG18" s="131">
        <f>'REV-ANNUAL'!AG53</f>
        <v>477.49</v>
      </c>
      <c r="AH18" s="131">
        <f>'REV-ANNUAL'!AH53</f>
        <v>500.20000000000005</v>
      </c>
      <c r="AI18" s="131">
        <f>'REV-ANNUAL'!AI53</f>
        <v>530.79999999999995</v>
      </c>
      <c r="AJ18" s="132">
        <f>'REV-ANNUAL'!AJ53</f>
        <v>1959.0900000000001</v>
      </c>
      <c r="AK18" s="131">
        <f>'REV-ANNUAL'!AK53</f>
        <v>506.4</v>
      </c>
      <c r="AL18" s="131">
        <f>'REV-ANNUAL'!AL53</f>
        <v>504.7</v>
      </c>
      <c r="AM18" s="131">
        <f>'REV-ANNUAL'!AM53</f>
        <v>494</v>
      </c>
      <c r="AN18" s="131">
        <f>'REV-ANNUAL'!AN53</f>
        <v>549.20000000000005</v>
      </c>
      <c r="AO18" s="132">
        <f>'REV-ANNUAL'!AO53</f>
        <v>2054.3000000000002</v>
      </c>
      <c r="AP18" s="131">
        <f>'REV-ANNUAL'!AP53</f>
        <v>525.4</v>
      </c>
      <c r="AQ18" s="131">
        <f>'REV-ANNUAL'!AQ53</f>
        <v>586.90000000000009</v>
      </c>
      <c r="AR18" s="131">
        <f>'REV-ANNUAL'!AR53</f>
        <v>593.20000000000005</v>
      </c>
      <c r="AS18" s="131">
        <f>'REV-ANNUAL'!AS53</f>
        <v>662</v>
      </c>
      <c r="AT18" s="132">
        <f>'REV-ANNUAL'!AT53</f>
        <v>2367.5</v>
      </c>
      <c r="AU18" s="131">
        <f>'REV-ANNUAL'!AU53</f>
        <v>590.29999999999995</v>
      </c>
      <c r="AV18" s="131">
        <f>'REV-ANNUAL'!AV53</f>
        <v>613.40000000000009</v>
      </c>
      <c r="AW18" s="131">
        <f>'REV-ANNUAL'!AW53</f>
        <v>575.79999999999995</v>
      </c>
      <c r="AX18" s="131">
        <f>'REV-ANNUAL'!AX53</f>
        <v>616</v>
      </c>
      <c r="AY18" s="132">
        <f>'REV-ANNUAL'!AY53</f>
        <v>2395.5</v>
      </c>
      <c r="AZ18" s="131">
        <f>'REV-ANNUAL'!AZ53</f>
        <v>632.70000000000005</v>
      </c>
      <c r="BA18" s="131">
        <f>'REV-ANNUAL'!BA53</f>
        <v>628.59999999999991</v>
      </c>
      <c r="BB18" s="131">
        <f>'REV-ANNUAL'!BB53</f>
        <v>616</v>
      </c>
      <c r="BC18" s="131">
        <f>'REV-ANNUAL'!BC53</f>
        <v>733.9</v>
      </c>
      <c r="BD18" s="1046">
        <f>'REV-ANNUAL'!BD53</f>
        <v>2611.1999999999998</v>
      </c>
      <c r="BE18" s="131">
        <f>'REV-ANNUAL'!BE53</f>
        <v>650</v>
      </c>
      <c r="BF18" s="131">
        <f>'REV-ANNUAL'!BF53</f>
        <v>700.1</v>
      </c>
      <c r="BG18" s="131">
        <f>'REV-ANNUAL'!BG53</f>
        <v>706.1</v>
      </c>
      <c r="BH18" s="131">
        <f>'REV-ANNUAL'!BH53</f>
        <v>729.1</v>
      </c>
      <c r="BI18" s="132">
        <f>'REV-ANNUAL'!BI53</f>
        <v>2785.3</v>
      </c>
      <c r="BJ18" s="131">
        <f>'REV-ANNUAL'!BJ53</f>
        <v>684</v>
      </c>
      <c r="BK18" s="131">
        <f>'REV-ANNUAL'!BK53</f>
        <v>654.29999999999995</v>
      </c>
      <c r="BL18" s="131">
        <f>'REV-ANNUAL'!BL53</f>
        <v>705</v>
      </c>
      <c r="BM18" s="131">
        <f>'REV-ANNUAL'!BM53</f>
        <v>798.7</v>
      </c>
      <c r="BN18" s="132">
        <f>'REV-ANNUAL'!BN53</f>
        <v>2842</v>
      </c>
      <c r="BO18" s="131">
        <f>'REV-ANNUAL'!BO53</f>
        <v>606.29999999999995</v>
      </c>
      <c r="BP18" s="131">
        <f>'REV-ANNUAL'!BP53</f>
        <v>701.9</v>
      </c>
      <c r="BQ18" s="131">
        <f>'REV-ANNUAL'!BQ53</f>
        <v>640.79999999999995</v>
      </c>
      <c r="BR18" s="131">
        <f>'REV-ANNUAL'!BR53</f>
        <v>819.8</v>
      </c>
      <c r="BS18" s="132">
        <f>'REV-ANNUAL'!BS53</f>
        <v>2768.8</v>
      </c>
      <c r="BT18" s="131">
        <f>'REV-ANNUAL'!BT53</f>
        <v>708.5</v>
      </c>
      <c r="BU18" s="131">
        <f>'REV-ANNUAL'!BU53</f>
        <v>678.4</v>
      </c>
      <c r="BV18" s="131">
        <f>'REV-ANNUAL'!BV53</f>
        <v>696.2</v>
      </c>
      <c r="BW18" s="131">
        <f>'REV-ANNUAL'!BW53</f>
        <v>782.2</v>
      </c>
      <c r="BX18" s="132">
        <f>'REV-ANNUAL'!BX53</f>
        <v>2865.3</v>
      </c>
      <c r="BY18" s="131">
        <f>'REV-ANNUAL'!BY53</f>
        <v>791.7</v>
      </c>
      <c r="BZ18" s="131">
        <f>'REV-ANNUAL'!BZ53</f>
        <v>723.2</v>
      </c>
      <c r="CA18" s="131">
        <f>'REV-ANNUAL'!CA53</f>
        <v>728.197</v>
      </c>
      <c r="CB18" s="131">
        <f>'REV-ANNUAL'!CB53</f>
        <v>756.99199999999996</v>
      </c>
      <c r="CC18" s="132">
        <f>'REV-ANNUAL'!CC53</f>
        <v>3000.0889999999999</v>
      </c>
      <c r="CD18" s="132">
        <f>'REV-ANNUAL'!CD53</f>
        <v>2700.0801000000001</v>
      </c>
      <c r="CE18" s="132">
        <f>'REV-ANNUAL'!CE53</f>
        <v>2377.11735</v>
      </c>
      <c r="CF18" s="132">
        <f>'REV-ANNUAL'!CF53</f>
        <v>2094.3940860000002</v>
      </c>
      <c r="CG18" s="132">
        <f>'REV-ANNUAL'!CG53</f>
        <v>1846.6948777500002</v>
      </c>
      <c r="CH18" s="132">
        <f>'REV-ANNUAL'!CH53</f>
        <v>1629.5045602725002</v>
      </c>
    </row>
    <row r="19" spans="1:243" ht="12.75" customHeight="1">
      <c r="G19" s="9"/>
      <c r="H19" s="134" t="str">
        <f>'REV-ANNUAL'!H115</f>
        <v>Alimta</v>
      </c>
      <c r="I19" s="70"/>
      <c r="J19" s="70"/>
      <c r="K19" s="70"/>
      <c r="L19" s="131">
        <f>'REV-ANNUAL'!L115</f>
        <v>93.9</v>
      </c>
      <c r="M19" s="131">
        <f>'REV-ANNUAL'!M115</f>
        <v>111.1</v>
      </c>
      <c r="N19" s="131">
        <f>'REV-ANNUAL'!N115</f>
        <v>122.3</v>
      </c>
      <c r="O19" s="131">
        <f>'REV-ANNUAL'!O115</f>
        <v>135.9</v>
      </c>
      <c r="P19" s="132">
        <f>'REV-ANNUAL'!P115</f>
        <v>463.2</v>
      </c>
      <c r="Q19" s="131">
        <f>'REV-ANNUAL'!Q115</f>
        <v>130.10000000000002</v>
      </c>
      <c r="R19" s="131">
        <f>'REV-ANNUAL'!R115</f>
        <v>153.10000000000002</v>
      </c>
      <c r="S19" s="131">
        <f>'REV-ANNUAL'!S115</f>
        <v>157.19999999999999</v>
      </c>
      <c r="T19" s="131">
        <f>'REV-ANNUAL'!T115</f>
        <v>171.39999999999998</v>
      </c>
      <c r="U19" s="132">
        <f>'REV-ANNUAL'!U115</f>
        <v>611.79999999999995</v>
      </c>
      <c r="V19" s="131">
        <f>'REV-ANNUAL'!V115</f>
        <v>187.89999999999998</v>
      </c>
      <c r="W19" s="131">
        <f>'REV-ANNUAL'!W115</f>
        <v>207.10000000000002</v>
      </c>
      <c r="X19" s="131">
        <f>'REV-ANNUAL'!X115</f>
        <v>215</v>
      </c>
      <c r="Y19" s="131">
        <f>'REV-ANNUAL'!Y115</f>
        <v>244.1</v>
      </c>
      <c r="Z19" s="133">
        <f>'REV-ANNUAL'!Z115</f>
        <v>854.1</v>
      </c>
      <c r="AA19" s="131">
        <f>'REV-ANNUAL'!AA115</f>
        <v>247.2</v>
      </c>
      <c r="AB19" s="131">
        <f>'REV-ANNUAL'!AB115</f>
        <v>275</v>
      </c>
      <c r="AC19" s="131">
        <f>'REV-ANNUAL'!AC115</f>
        <v>313.89999999999998</v>
      </c>
      <c r="AD19" s="131">
        <f>'REV-ANNUAL'!AD115</f>
        <v>318.7</v>
      </c>
      <c r="AE19" s="132">
        <f>'REV-ANNUAL'!AE115</f>
        <v>1154.8</v>
      </c>
      <c r="AF19" s="131">
        <f>'REV-ANNUAL'!AF115</f>
        <v>335.20000000000005</v>
      </c>
      <c r="AG19" s="131">
        <f>'REV-ANNUAL'!AG115</f>
        <v>385.3</v>
      </c>
      <c r="AH19" s="131">
        <f>'REV-ANNUAL'!AH115</f>
        <v>461.9</v>
      </c>
      <c r="AI19" s="131">
        <f>'REV-ANNUAL'!AI115</f>
        <v>523.6</v>
      </c>
      <c r="AJ19" s="132">
        <f>'REV-ANNUAL'!AJ115</f>
        <v>1706</v>
      </c>
      <c r="AK19" s="131">
        <f>'REV-ANNUAL'!AK115</f>
        <v>527.29999999999995</v>
      </c>
      <c r="AL19" s="131">
        <f>'REV-ANNUAL'!AL115</f>
        <v>551.9</v>
      </c>
      <c r="AM19" s="131">
        <f>'REV-ANNUAL'!AM115</f>
        <v>560.29999999999995</v>
      </c>
      <c r="AN19" s="131">
        <f>'REV-ANNUAL'!AN115</f>
        <v>569.1</v>
      </c>
      <c r="AO19" s="132">
        <f>'REV-ANNUAL'!AO115</f>
        <v>2208.6</v>
      </c>
      <c r="AP19" s="131">
        <f>'REV-ANNUAL'!AP115</f>
        <v>579.9</v>
      </c>
      <c r="AQ19" s="131">
        <f>'REV-ANNUAL'!AQ115</f>
        <v>613.4</v>
      </c>
      <c r="AR19" s="131">
        <f>'REV-ANNUAL'!AR115</f>
        <v>629.70000000000005</v>
      </c>
      <c r="AS19" s="131">
        <f>'REV-ANNUAL'!AS115</f>
        <v>638.20000000000005</v>
      </c>
      <c r="AT19" s="132">
        <f>'REV-ANNUAL'!AT115</f>
        <v>2461.1999999999998</v>
      </c>
      <c r="AU19" s="131">
        <f>'REV-ANNUAL'!AU115</f>
        <v>606.79999999999995</v>
      </c>
      <c r="AV19" s="131">
        <f>'REV-ANNUAL'!AV115</f>
        <v>659.5</v>
      </c>
      <c r="AW19" s="131">
        <f>'REV-ANNUAL'!AW115</f>
        <v>643.6</v>
      </c>
      <c r="AX19" s="131">
        <f>'REV-ANNUAL'!AX115</f>
        <v>684.3</v>
      </c>
      <c r="AY19" s="132">
        <f>'REV-ANNUAL'!AY115</f>
        <v>2594.2000000000003</v>
      </c>
      <c r="AZ19" s="131">
        <f>'REV-ANNUAL'!AZ115</f>
        <v>616.79999999999995</v>
      </c>
      <c r="BA19" s="131">
        <f>'REV-ANNUAL'!BA115</f>
        <v>669.4</v>
      </c>
      <c r="BB19" s="131">
        <f>'REV-ANNUAL'!BB115</f>
        <v>690.5</v>
      </c>
      <c r="BC19" s="131">
        <f>'REV-ANNUAL'!BC115</f>
        <v>726.2</v>
      </c>
      <c r="BD19" s="1046">
        <f>'REV-ANNUAL'!BD115</f>
        <v>2702.9</v>
      </c>
      <c r="BE19" s="131">
        <f>'REV-ANNUAL'!BE115</f>
        <v>632</v>
      </c>
      <c r="BF19" s="131">
        <f>'REV-ANNUAL'!BF115</f>
        <v>711.6</v>
      </c>
      <c r="BG19" s="131">
        <f>'REV-ANNUAL'!BG115</f>
        <v>723.4</v>
      </c>
      <c r="BH19" s="131">
        <f>'REV-ANNUAL'!BH115</f>
        <v>725</v>
      </c>
      <c r="BI19" s="132">
        <f>'REV-ANNUAL'!BI115</f>
        <v>2792</v>
      </c>
      <c r="BJ19" s="131">
        <f>'REV-ANNUAL'!BJ115</f>
        <v>573</v>
      </c>
      <c r="BK19" s="131">
        <f>'REV-ANNUAL'!BK115</f>
        <v>664.3</v>
      </c>
      <c r="BL19" s="131">
        <f>'REV-ANNUAL'!BL115</f>
        <v>628.5</v>
      </c>
      <c r="BM19" s="131">
        <f>'REV-ANNUAL'!BM115</f>
        <v>627.20000000000005</v>
      </c>
      <c r="BN19" s="132">
        <f>'REV-ANNUAL'!BN115</f>
        <v>2493</v>
      </c>
      <c r="BO19" s="131">
        <f>'REV-ANNUAL'!BO115</f>
        <v>564.20000000000005</v>
      </c>
      <c r="BP19" s="131">
        <f>'REV-ANNUAL'!BP115</f>
        <v>607.1</v>
      </c>
      <c r="BQ19" s="131">
        <f>'REV-ANNUAL'!BQ115</f>
        <v>570.4</v>
      </c>
      <c r="BR19" s="131">
        <f>'REV-ANNUAL'!BR115</f>
        <v>541.5</v>
      </c>
      <c r="BS19" s="132">
        <f>'REV-ANNUAL'!BS115</f>
        <v>2283.1999999999998</v>
      </c>
      <c r="BT19" s="131">
        <f>'REV-ANNUAL'!BT115</f>
        <v>489.90000000000003</v>
      </c>
      <c r="BU19" s="131">
        <f>'REV-ANNUAL'!BU115</f>
        <v>532.90000000000009</v>
      </c>
      <c r="BV19" s="131">
        <f>'REV-ANNUAL'!BV115</f>
        <v>514.5</v>
      </c>
      <c r="BW19" s="131">
        <f>'REV-ANNUAL'!BW115</f>
        <v>525.20000000000005</v>
      </c>
      <c r="BX19" s="132">
        <f>'REV-ANNUAL'!BX115</f>
        <v>2062.5</v>
      </c>
      <c r="BY19" s="131">
        <f>'REV-ANNUAL'!BY115</f>
        <v>499.6</v>
      </c>
      <c r="BZ19" s="131">
        <f>'REV-ANNUAL'!BZ115</f>
        <v>538.38599999999997</v>
      </c>
      <c r="CA19" s="131">
        <f>'REV-ANNUAL'!CA115</f>
        <v>540.53</v>
      </c>
      <c r="CB19" s="131">
        <f>'REV-ANNUAL'!CB115</f>
        <v>552.44000000000005</v>
      </c>
      <c r="CC19" s="132">
        <f>'REV-ANNUAL'!CC115</f>
        <v>2130.9560000000001</v>
      </c>
      <c r="CD19" s="132">
        <f>'REV-ANNUAL'!CD115</f>
        <v>2186.5088000000005</v>
      </c>
      <c r="CE19" s="132">
        <f>'REV-ANNUAL'!CE115</f>
        <v>2084.5188000000003</v>
      </c>
      <c r="CF19" s="132">
        <f>'REV-ANNUAL'!CF115</f>
        <v>1600.6939200000002</v>
      </c>
      <c r="CG19" s="132">
        <f>'REV-ANNUAL'!CG115</f>
        <v>855.42156000000011</v>
      </c>
      <c r="CH19" s="132">
        <f>'REV-ANNUAL'!CH115</f>
        <v>250.76595599999999</v>
      </c>
    </row>
    <row r="20" spans="1:243" ht="12.75" customHeight="1">
      <c r="G20" s="9"/>
      <c r="H20" s="134" t="str">
        <f>'REV-ANNUAL'!H143</f>
        <v>Cialis</v>
      </c>
      <c r="I20" s="70"/>
      <c r="J20" s="70"/>
      <c r="K20" s="70"/>
      <c r="L20" s="131">
        <f>'REV-ANNUAL'!L143</f>
        <v>0</v>
      </c>
      <c r="M20" s="131">
        <f>'REV-ANNUAL'!M143</f>
        <v>0</v>
      </c>
      <c r="N20" s="131">
        <f>'REV-ANNUAL'!N143</f>
        <v>0</v>
      </c>
      <c r="O20" s="131">
        <f>'REV-ANNUAL'!O143</f>
        <v>0</v>
      </c>
      <c r="P20" s="132">
        <f>'REV-ANNUAL'!P143</f>
        <v>0</v>
      </c>
      <c r="Q20" s="131">
        <f>'REV-ANNUAL'!Q143</f>
        <v>0</v>
      </c>
      <c r="R20" s="131">
        <f>'REV-ANNUAL'!R143</f>
        <v>0</v>
      </c>
      <c r="S20" s="131">
        <f>'REV-ANNUAL'!S143</f>
        <v>0</v>
      </c>
      <c r="T20" s="131">
        <f>'REV-ANNUAL'!T143</f>
        <v>0</v>
      </c>
      <c r="U20" s="132">
        <f>'REV-ANNUAL'!U143</f>
        <v>0</v>
      </c>
      <c r="V20" s="131">
        <f>'REV-ANNUAL'!V143</f>
        <v>193.1</v>
      </c>
      <c r="W20" s="131">
        <f>'REV-ANNUAL'!W143</f>
        <v>293.10000000000002</v>
      </c>
      <c r="X20" s="131">
        <f>'REV-ANNUAL'!X143</f>
        <v>311.39999999999998</v>
      </c>
      <c r="Y20" s="131">
        <f>'REV-ANNUAL'!Y143</f>
        <v>346.2</v>
      </c>
      <c r="Z20" s="133">
        <f>'REV-ANNUAL'!Z143</f>
        <v>1143.8</v>
      </c>
      <c r="AA20" s="131">
        <f>'REV-ANNUAL'!AA143</f>
        <v>337</v>
      </c>
      <c r="AB20" s="131">
        <f>'REV-ANNUAL'!AB143</f>
        <v>362.20000000000005</v>
      </c>
      <c r="AC20" s="131">
        <f>'REV-ANNUAL'!AC143</f>
        <v>376.6</v>
      </c>
      <c r="AD20" s="131">
        <f>'REV-ANNUAL'!AD143</f>
        <v>368.8</v>
      </c>
      <c r="AE20" s="132">
        <f>'REV-ANNUAL'!AE143</f>
        <v>1444.6</v>
      </c>
      <c r="AF20" s="131">
        <f>'REV-ANNUAL'!AF143</f>
        <v>358.79999999999995</v>
      </c>
      <c r="AG20" s="131">
        <f>'REV-ANNUAL'!AG143</f>
        <v>363.65</v>
      </c>
      <c r="AH20" s="131">
        <f>'REV-ANNUAL'!AH143</f>
        <v>397.2</v>
      </c>
      <c r="AI20" s="131">
        <f>'REV-ANNUAL'!AI143</f>
        <v>439.59999999999997</v>
      </c>
      <c r="AJ20" s="132">
        <f>'REV-ANNUAL'!AJ143</f>
        <v>1559.25</v>
      </c>
      <c r="AK20" s="131">
        <f>'REV-ANNUAL'!AK143</f>
        <v>408.29999999999995</v>
      </c>
      <c r="AL20" s="131">
        <f>'REV-ANNUAL'!AL143</f>
        <v>418.7</v>
      </c>
      <c r="AM20" s="131">
        <f>'REV-ANNUAL'!AM143</f>
        <v>406.5</v>
      </c>
      <c r="AN20" s="131">
        <f>'REV-ANNUAL'!AN143</f>
        <v>465.9</v>
      </c>
      <c r="AO20" s="132">
        <f>'REV-ANNUAL'!AO143</f>
        <v>1699.4</v>
      </c>
      <c r="AP20" s="131">
        <f>'REV-ANNUAL'!AP143</f>
        <v>434.40000000000003</v>
      </c>
      <c r="AQ20" s="131">
        <f>'REV-ANNUAL'!AQ143</f>
        <v>477.3</v>
      </c>
      <c r="AR20" s="131">
        <f>'REV-ANNUAL'!AR143</f>
        <v>469.8</v>
      </c>
      <c r="AS20" s="131">
        <f>'REV-ANNUAL'!AS143</f>
        <v>494.2</v>
      </c>
      <c r="AT20" s="132">
        <f>'REV-ANNUAL'!AT143</f>
        <v>1875.7</v>
      </c>
      <c r="AU20" s="131">
        <f>'REV-ANNUAL'!AU143</f>
        <v>461.8</v>
      </c>
      <c r="AV20" s="131">
        <f>'REV-ANNUAL'!AV143</f>
        <v>469.5</v>
      </c>
      <c r="AW20" s="131">
        <f>'REV-ANNUAL'!AW143</f>
        <v>482.09999999999997</v>
      </c>
      <c r="AX20" s="131">
        <f>'REV-ANNUAL'!AX143</f>
        <v>513.4</v>
      </c>
      <c r="AY20" s="132">
        <f>'REV-ANNUAL'!AY143</f>
        <v>1926.7999999999997</v>
      </c>
      <c r="AZ20" s="131">
        <f>'REV-ANNUAL'!AZ143</f>
        <v>515</v>
      </c>
      <c r="BA20" s="131">
        <f>'REV-ANNUAL'!BA143</f>
        <v>529.4</v>
      </c>
      <c r="BB20" s="131">
        <f>'REV-ANNUAL'!BB143</f>
        <v>526.70000000000005</v>
      </c>
      <c r="BC20" s="131">
        <f>'REV-ANNUAL'!BC143</f>
        <v>588.29999999999995</v>
      </c>
      <c r="BD20" s="1046">
        <f>'REV-ANNUAL'!BD143</f>
        <v>2159.4</v>
      </c>
      <c r="BE20" s="131">
        <f>'REV-ANNUAL'!BE143</f>
        <v>532.40000000000009</v>
      </c>
      <c r="BF20" s="131">
        <f>'REV-ANNUAL'!BF143</f>
        <v>567.79999999999995</v>
      </c>
      <c r="BG20" s="131">
        <f>'REV-ANNUAL'!BG143</f>
        <v>568.4</v>
      </c>
      <c r="BH20" s="131">
        <f>'REV-ANNUAL'!BH143</f>
        <v>622.4</v>
      </c>
      <c r="BI20" s="132">
        <f>'REV-ANNUAL'!BI143</f>
        <v>2291</v>
      </c>
      <c r="BJ20" s="131">
        <f>'REV-ANNUAL'!BJ143</f>
        <v>538.29999999999995</v>
      </c>
      <c r="BK20" s="131">
        <f>'REV-ANNUAL'!BK143</f>
        <v>567.9</v>
      </c>
      <c r="BL20" s="131">
        <f>'REV-ANNUAL'!BL143</f>
        <v>566.1</v>
      </c>
      <c r="BM20" s="131">
        <f>'REV-ANNUAL'!BM143</f>
        <v>638.4</v>
      </c>
      <c r="BN20" s="132">
        <f>'REV-ANNUAL'!BN143</f>
        <v>2310.6999999999998</v>
      </c>
      <c r="BO20" s="131">
        <f>'REV-ANNUAL'!BO143</f>
        <v>576.70000000000005</v>
      </c>
      <c r="BP20" s="131">
        <f>'REV-ANNUAL'!BP143</f>
        <v>630.5</v>
      </c>
      <c r="BQ20" s="131">
        <f>'REV-ANNUAL'!BQ143</f>
        <v>588.20000000000005</v>
      </c>
      <c r="BR20" s="131">
        <f>'REV-ANNUAL'!BR143</f>
        <v>676.3</v>
      </c>
      <c r="BS20" s="132">
        <f>'REV-ANNUAL'!BS143</f>
        <v>2471.6999999999998</v>
      </c>
      <c r="BT20" s="131">
        <f>'REV-ANNUAL'!BT143</f>
        <v>533.6</v>
      </c>
      <c r="BU20" s="131">
        <f>'REV-ANNUAL'!BU143</f>
        <v>627.29999999999995</v>
      </c>
      <c r="BV20" s="131">
        <f>'REV-ANNUAL'!BV143</f>
        <v>564.90000000000009</v>
      </c>
      <c r="BW20" s="131">
        <f>'REV-ANNUAL'!BW143</f>
        <v>597.4</v>
      </c>
      <c r="BX20" s="132">
        <f>'REV-ANNUAL'!BX143</f>
        <v>2323.1999999999998</v>
      </c>
      <c r="BY20" s="131">
        <f>'REV-ANNUAL'!BY143</f>
        <v>495.4</v>
      </c>
      <c r="BZ20" s="131">
        <f>'REV-ANNUAL'!BZ143</f>
        <v>471.63</v>
      </c>
      <c r="CA20" s="131">
        <f>'REV-ANNUAL'!CA143</f>
        <v>362.35</v>
      </c>
      <c r="CB20" s="131">
        <f>'REV-ANNUAL'!CB143</f>
        <v>172.21</v>
      </c>
      <c r="CC20" s="132">
        <f>'REV-ANNUAL'!CC143</f>
        <v>1501.5900000000001</v>
      </c>
      <c r="CD20" s="132">
        <f>'REV-ANNUAL'!CD143</f>
        <v>473.79379999999992</v>
      </c>
      <c r="CE20" s="132">
        <f>'REV-ANNUAL'!CE143</f>
        <v>375.31039999999996</v>
      </c>
      <c r="CF20" s="132">
        <f>'REV-ANNUAL'!CF143</f>
        <v>332.19239999999996</v>
      </c>
      <c r="CG20" s="132">
        <f>'REV-ANNUAL'!CG143</f>
        <v>311.11321199999998</v>
      </c>
      <c r="CH20" s="132">
        <f>'REV-ANNUAL'!CH143</f>
        <v>305.41451279999995</v>
      </c>
    </row>
    <row r="21" spans="1:243" ht="12.75" customHeight="1">
      <c r="G21" s="9"/>
      <c r="H21" s="70" t="s">
        <v>663</v>
      </c>
      <c r="I21" s="70"/>
      <c r="J21" s="70"/>
      <c r="K21" s="70"/>
      <c r="L21" s="131">
        <v>195.5</v>
      </c>
      <c r="M21" s="131">
        <v>201</v>
      </c>
      <c r="N21" s="131">
        <v>215.8</v>
      </c>
      <c r="O21" s="131">
        <v>251.5</v>
      </c>
      <c r="P21" s="132">
        <v>863.8</v>
      </c>
      <c r="Q21" s="131">
        <f>'REV-ANNUAL'!Q206</f>
        <v>198.4</v>
      </c>
      <c r="R21" s="131">
        <f>'REV-ANNUAL'!R206</f>
        <v>201</v>
      </c>
      <c r="S21" s="131">
        <f>'REV-ANNUAL'!S206</f>
        <v>216.2</v>
      </c>
      <c r="T21" s="131">
        <f>'REV-ANNUAL'!T206</f>
        <v>259.89999999999998</v>
      </c>
      <c r="U21" s="132">
        <f>'REV-ANNUAL'!U206</f>
        <v>875.5</v>
      </c>
      <c r="V21" s="131">
        <f>'REV-ANNUAL'!V206</f>
        <v>215.10000000000002</v>
      </c>
      <c r="W21" s="131">
        <f>'REV-ANNUAL'!W206</f>
        <v>214.7</v>
      </c>
      <c r="X21" s="131">
        <f>'REV-ANNUAL'!X206</f>
        <v>236.60000000000002</v>
      </c>
      <c r="Y21" s="131">
        <f>'REV-ANNUAL'!Y206</f>
        <v>329.4</v>
      </c>
      <c r="Z21" s="133">
        <f>'REV-ANNUAL'!Z206</f>
        <v>995.8</v>
      </c>
      <c r="AA21" s="131">
        <f>'REV-ANNUAL'!AA206</f>
        <v>235.3</v>
      </c>
      <c r="AB21" s="131">
        <f>'REV-ANNUAL'!AB206</f>
        <v>254.5</v>
      </c>
      <c r="AC21" s="131">
        <f>'REV-ANNUAL'!AC206</f>
        <v>277.10000000000002</v>
      </c>
      <c r="AD21" s="131">
        <f>'REV-ANNUAL'!AD206</f>
        <v>326.39999999999998</v>
      </c>
      <c r="AE21" s="132">
        <f>SUM(AA21:AD21)</f>
        <v>1093.3000000000002</v>
      </c>
      <c r="AF21" s="131">
        <f>'REV-ANNUAL'!AF206</f>
        <v>264.10000000000002</v>
      </c>
      <c r="AG21" s="131">
        <f>'REV-ANNUAL'!AG206</f>
        <v>275.39999999999998</v>
      </c>
      <c r="AH21" s="131">
        <f>'REV-ANNUAL'!AH206</f>
        <v>314.60000000000002</v>
      </c>
      <c r="AI21" s="131">
        <f>'REV-ANNUAL'!AI206</f>
        <v>353.2</v>
      </c>
      <c r="AJ21" s="132">
        <f>SUM(AF21:AI21)</f>
        <v>1207.3</v>
      </c>
      <c r="AK21" s="131">
        <f>'REV-ANNUAL'!AK206</f>
        <v>289.60000000000002</v>
      </c>
      <c r="AL21" s="131">
        <f>'REV-ANNUAL'!AL206</f>
        <v>324.10000000000002</v>
      </c>
      <c r="AM21" s="131">
        <f>'REV-ANNUAL'!AM206</f>
        <v>353.3</v>
      </c>
      <c r="AN21" s="131">
        <f>'REV-ANNUAL'!AN206</f>
        <v>424.3</v>
      </c>
      <c r="AO21" s="132">
        <f>'REV-ANNUAL'!AO206</f>
        <v>1391.3</v>
      </c>
      <c r="AP21" s="131">
        <f>'REV-ANNUAL'!AP206</f>
        <v>369.8</v>
      </c>
      <c r="AQ21" s="131">
        <f>'REV-ANNUAL'!AQ206</f>
        <v>389.5</v>
      </c>
      <c r="AR21" s="131">
        <f>'REV-ANNUAL'!AR206</f>
        <v>451.1</v>
      </c>
      <c r="AS21" s="131">
        <f>'REV-ANNUAL'!AS206</f>
        <v>468.29999999999995</v>
      </c>
      <c r="AT21" s="132">
        <f>'REV-ANNUAL'!AT206</f>
        <v>1678.6999999999998</v>
      </c>
      <c r="AU21" s="131">
        <f>'REV-ANNUAL'!AU206</f>
        <v>490.70000000000005</v>
      </c>
      <c r="AV21" s="131">
        <f>'REV-ANNUAL'!AV206</f>
        <v>512.20000000000005</v>
      </c>
      <c r="AW21" s="131">
        <f>'REV-ANNUAL'!AW206</f>
        <v>479.4</v>
      </c>
      <c r="AX21" s="131">
        <f>'REV-ANNUAL'!AX206</f>
        <v>554.09999999999991</v>
      </c>
      <c r="AY21" s="132">
        <f>'REV-ANNUAL'!AY206</f>
        <v>2036.4</v>
      </c>
      <c r="AZ21" s="131">
        <f>'REV-ANNUAL'!AZ206</f>
        <v>498.79999999999995</v>
      </c>
      <c r="BA21" s="131">
        <f>'REV-ANNUAL'!BA206</f>
        <v>543.5</v>
      </c>
      <c r="BB21" s="131">
        <f>'REV-ANNUAL'!BB206</f>
        <v>530.29999999999995</v>
      </c>
      <c r="BC21" s="131">
        <f>'REV-ANNUAL'!BC206</f>
        <v>578.4</v>
      </c>
      <c r="BD21" s="1046">
        <f>'REV-ANNUAL'!BD206</f>
        <v>2151</v>
      </c>
      <c r="BE21" s="131">
        <f>'REV-ANNUAL'!BE206</f>
        <v>527.40000000000009</v>
      </c>
      <c r="BF21" s="131">
        <f>'REV-ANNUAL'!BF206</f>
        <v>601.20000000000005</v>
      </c>
      <c r="BG21" s="131">
        <f>'REV-ANNUAL'!BG206</f>
        <v>584.70000000000005</v>
      </c>
      <c r="BH21" s="131">
        <f>'REV-ANNUAL'!BH206</f>
        <v>633.29999999999995</v>
      </c>
      <c r="BI21" s="132">
        <f>'REV-ANNUAL'!BI206</f>
        <v>2346.6000000000004</v>
      </c>
      <c r="BJ21" s="131">
        <f>'REV-ANNUAL'!BJ206</f>
        <v>749.8</v>
      </c>
      <c r="BK21" s="131">
        <f>'REV-ANNUAL'!BK206</f>
        <v>840.8</v>
      </c>
      <c r="BL21" s="131">
        <f>'REV-ANNUAL'!BL206</f>
        <v>778.8</v>
      </c>
      <c r="BM21" s="131">
        <f>'REV-ANNUAL'!BM206</f>
        <v>811.7</v>
      </c>
      <c r="BN21" s="132">
        <f>'REV-ANNUAL'!BN206</f>
        <v>3181.1000000000004</v>
      </c>
      <c r="BO21" s="131">
        <f>'REV-ANNUAL'!BO206</f>
        <v>754.59999999999991</v>
      </c>
      <c r="BP21" s="131">
        <f>'REV-ANNUAL'!BP206</f>
        <v>859.8</v>
      </c>
      <c r="BQ21" s="131">
        <f>'REV-ANNUAL'!BQ206</f>
        <v>706.2</v>
      </c>
      <c r="BR21" s="131">
        <f>'REV-ANNUAL'!BR206</f>
        <v>837.6</v>
      </c>
      <c r="BS21" s="132">
        <f>'REV-ANNUAL'!BS206</f>
        <v>3158.2</v>
      </c>
      <c r="BT21" s="131">
        <f>'REV-ANNUAL'!BT206</f>
        <v>769.40000000000009</v>
      </c>
      <c r="BU21" s="131">
        <f>'REV-ANNUAL'!BU206</f>
        <v>784.8</v>
      </c>
      <c r="BV21" s="131">
        <f>'REV-ANNUAL'!BV206</f>
        <v>740.6</v>
      </c>
      <c r="BW21" s="131">
        <f>'REV-ANNUAL'!BW206</f>
        <v>790.90000000000009</v>
      </c>
      <c r="BX21" s="132">
        <f>'REV-ANNUAL'!BX206</f>
        <v>3085.7</v>
      </c>
      <c r="BY21" s="131">
        <f>'REV-ANNUAL'!BY206</f>
        <v>761.3</v>
      </c>
      <c r="BZ21" s="131">
        <f>'REV-ANNUAL'!BZ206</f>
        <v>796.87800000000004</v>
      </c>
      <c r="CA21" s="131">
        <f>'REV-ANNUAL'!CA206</f>
        <v>762.70600000000013</v>
      </c>
      <c r="CB21" s="131">
        <f>'REV-ANNUAL'!CB206</f>
        <v>840.71699999999998</v>
      </c>
      <c r="CC21" s="132">
        <f>'REV-ANNUAL'!CC206</f>
        <v>3161.5010000000002</v>
      </c>
      <c r="CD21" s="132">
        <f>'REV-ANNUAL'!CD206</f>
        <v>3369.7132000000001</v>
      </c>
      <c r="CE21" s="132">
        <f>'REV-ANNUAL'!CE206</f>
        <v>3602.4887300000009</v>
      </c>
      <c r="CF21" s="132">
        <f>'REV-ANNUAL'!CF206</f>
        <v>3840.0759822160012</v>
      </c>
      <c r="CG21" s="132">
        <f>'REV-ANNUAL'!CG206</f>
        <v>4093.8468782077616</v>
      </c>
      <c r="CH21" s="132">
        <f>'REV-ANNUAL'!CH206</f>
        <v>4364.9373780117276</v>
      </c>
    </row>
    <row r="22" spans="1:243" ht="12.75" customHeight="1">
      <c r="G22" s="9"/>
      <c r="H22" s="70" t="s">
        <v>144</v>
      </c>
      <c r="I22" s="70"/>
      <c r="J22" s="70"/>
      <c r="K22" s="70"/>
      <c r="L22" s="131">
        <v>195.5</v>
      </c>
      <c r="M22" s="131">
        <v>201</v>
      </c>
      <c r="N22" s="131">
        <v>215.8</v>
      </c>
      <c r="O22" s="131">
        <v>251.5</v>
      </c>
      <c r="P22" s="132"/>
      <c r="Q22" s="131">
        <f>'REV-ANNUAL'!Q207</f>
        <v>84</v>
      </c>
      <c r="R22" s="131">
        <f>'REV-ANNUAL'!R207</f>
        <v>92.7</v>
      </c>
      <c r="S22" s="131">
        <f>'REV-ANNUAL'!S207</f>
        <v>98</v>
      </c>
      <c r="T22" s="131">
        <f>'REV-ANNUAL'!T207</f>
        <v>131.19999999999999</v>
      </c>
      <c r="U22" s="132"/>
      <c r="V22" s="131">
        <f>'REV-ANNUAL'!V207</f>
        <v>92.7</v>
      </c>
      <c r="W22" s="131">
        <f>'REV-ANNUAL'!W207</f>
        <v>96.1</v>
      </c>
      <c r="X22" s="131">
        <f>'REV-ANNUAL'!X207</f>
        <v>112.4</v>
      </c>
      <c r="Y22" s="131">
        <f>'REV-ANNUAL'!Y207</f>
        <v>179.7</v>
      </c>
      <c r="Z22" s="133"/>
      <c r="AA22" s="131"/>
      <c r="AB22" s="131"/>
      <c r="AC22" s="131"/>
      <c r="AD22" s="131"/>
      <c r="AE22" s="132"/>
      <c r="AF22" s="131">
        <f>'REV-ANNUAL'!AF201</f>
        <v>0</v>
      </c>
      <c r="AG22" s="131">
        <f>'REV-ANNUAL'!AG201</f>
        <v>0</v>
      </c>
      <c r="AH22" s="131">
        <f>'REV-ANNUAL'!AH201</f>
        <v>0</v>
      </c>
      <c r="AI22" s="131">
        <f>'REV-ANNUAL'!AI201</f>
        <v>0</v>
      </c>
      <c r="AJ22" s="132">
        <f>'REV-ANNUAL'!AJ201</f>
        <v>0</v>
      </c>
      <c r="AK22" s="131">
        <f>'REV-ANNUAL'!AK201</f>
        <v>0</v>
      </c>
      <c r="AL22" s="131">
        <f>'REV-ANNUAL'!AL201</f>
        <v>0</v>
      </c>
      <c r="AM22" s="131">
        <f>'REV-ANNUAL'!AM201</f>
        <v>0</v>
      </c>
      <c r="AN22" s="131">
        <f>'REV-ANNUAL'!AN201</f>
        <v>0</v>
      </c>
      <c r="AO22" s="132">
        <f>'REV-ANNUAL'!AO201</f>
        <v>0</v>
      </c>
      <c r="AP22" s="131">
        <f>'REV-ANNUAL'!AP201</f>
        <v>0</v>
      </c>
      <c r="AQ22" s="131">
        <f>'REV-ANNUAL'!AQ201</f>
        <v>0</v>
      </c>
      <c r="AR22" s="131">
        <f>'REV-ANNUAL'!AR201</f>
        <v>0</v>
      </c>
      <c r="AS22" s="131">
        <f>'REV-ANNUAL'!AS201</f>
        <v>0</v>
      </c>
      <c r="AT22" s="132">
        <f>'REV-ANNUAL'!AT201</f>
        <v>0</v>
      </c>
      <c r="AU22" s="131">
        <f>'REV-ANNUAL'!AU201</f>
        <v>0</v>
      </c>
      <c r="AV22" s="131">
        <f>'REV-ANNUAL'!AV201</f>
        <v>0</v>
      </c>
      <c r="AW22" s="131">
        <f>'REV-ANNUAL'!AW201</f>
        <v>0</v>
      </c>
      <c r="AX22" s="131">
        <f>'REV-ANNUAL'!AX201</f>
        <v>0</v>
      </c>
      <c r="AY22" s="132">
        <f>'REV-ANNUAL'!AY201</f>
        <v>0</v>
      </c>
      <c r="AZ22" s="131">
        <f>'REV-ANNUAL'!AZ201</f>
        <v>0</v>
      </c>
      <c r="BA22" s="131">
        <f>'REV-ANNUAL'!BA201</f>
        <v>0</v>
      </c>
      <c r="BB22" s="131">
        <f>'REV-ANNUAL'!BB201</f>
        <v>0</v>
      </c>
      <c r="BC22" s="131">
        <f>'REV-ANNUAL'!BC201</f>
        <v>0</v>
      </c>
      <c r="BD22" s="1046">
        <f>'REV-ANNUAL'!BD201</f>
        <v>0</v>
      </c>
      <c r="BE22" s="131">
        <f>'REV-ANNUAL'!BE201</f>
        <v>0</v>
      </c>
      <c r="BF22" s="131">
        <f>'REV-ANNUAL'!BF201</f>
        <v>0</v>
      </c>
      <c r="BG22" s="131">
        <f>'REV-ANNUAL'!BG201</f>
        <v>0</v>
      </c>
      <c r="BH22" s="131">
        <f>'REV-ANNUAL'!BH201</f>
        <v>0</v>
      </c>
      <c r="BI22" s="132">
        <f>'REV-ANNUAL'!BI201</f>
        <v>0</v>
      </c>
      <c r="BJ22" s="131">
        <f>'REV-ANNUAL'!BJ201</f>
        <v>0</v>
      </c>
      <c r="BK22" s="131">
        <f>'REV-ANNUAL'!BK201</f>
        <v>0</v>
      </c>
      <c r="BL22" s="131">
        <f>'REV-ANNUAL'!BL201</f>
        <v>0</v>
      </c>
      <c r="BM22" s="131">
        <f>'REV-ANNUAL'!BM201</f>
        <v>0</v>
      </c>
      <c r="BN22" s="132">
        <f>'REV-ANNUAL'!BN201</f>
        <v>0</v>
      </c>
      <c r="BO22" s="131">
        <f>'REV-ANNUAL'!BO201</f>
        <v>0</v>
      </c>
      <c r="BP22" s="131">
        <f>'REV-ANNUAL'!BP201</f>
        <v>0</v>
      </c>
      <c r="BQ22" s="131">
        <f>'REV-ANNUAL'!BQ201</f>
        <v>0</v>
      </c>
      <c r="BR22" s="131">
        <f>'REV-ANNUAL'!BR201</f>
        <v>0</v>
      </c>
      <c r="BS22" s="132">
        <f>'REV-ANNUAL'!BS201</f>
        <v>0</v>
      </c>
      <c r="BT22" s="131">
        <f>'REV-ANNUAL'!BT201</f>
        <v>0</v>
      </c>
      <c r="BU22" s="131">
        <f>'REV-ANNUAL'!BU201</f>
        <v>0</v>
      </c>
      <c r="BV22" s="131">
        <f>'REV-ANNUAL'!BV201</f>
        <v>0</v>
      </c>
      <c r="BW22" s="131">
        <f>'REV-ANNUAL'!BW201</f>
        <v>0</v>
      </c>
      <c r="BX22" s="132">
        <f>'REV-ANNUAL'!BX201</f>
        <v>0</v>
      </c>
      <c r="BY22" s="131">
        <f>'REV-ANNUAL'!BY201</f>
        <v>0</v>
      </c>
      <c r="BZ22" s="131">
        <f>'REV-ANNUAL'!BZ201</f>
        <v>0</v>
      </c>
      <c r="CA22" s="131">
        <f>'REV-ANNUAL'!CA201</f>
        <v>9</v>
      </c>
      <c r="CB22" s="131">
        <f>'REV-ANNUAL'!CB201</f>
        <v>29</v>
      </c>
      <c r="CC22" s="132">
        <f>'REV-ANNUAL'!CC201</f>
        <v>38</v>
      </c>
      <c r="CD22" s="132">
        <f>'REV-ANNUAL'!CD201</f>
        <v>248.52500000000001</v>
      </c>
      <c r="CE22" s="132">
        <f>'REV-ANNUAL'!CE201</f>
        <v>721.97500000000002</v>
      </c>
      <c r="CF22" s="132">
        <f>'REV-ANNUAL'!CF201</f>
        <v>1556.4140000000002</v>
      </c>
      <c r="CG22" s="132">
        <f>'REV-ANNUAL'!CG201</f>
        <v>2708.5974999999999</v>
      </c>
      <c r="CH22" s="132">
        <f>'REV-ANNUAL'!CH201</f>
        <v>4099.8971250000004</v>
      </c>
    </row>
    <row r="23" spans="1:243" s="14" customFormat="1" ht="4.5" customHeight="1">
      <c r="A23"/>
      <c r="B23"/>
      <c r="C23"/>
      <c r="D23"/>
      <c r="E23"/>
      <c r="F23"/>
      <c r="G23" s="9"/>
      <c r="H23" s="135"/>
      <c r="I23" s="135"/>
      <c r="J23" s="135"/>
      <c r="K23" s="135"/>
      <c r="L23" s="136"/>
      <c r="M23" s="136"/>
      <c r="N23" s="136"/>
      <c r="O23" s="136"/>
      <c r="P23" s="137"/>
      <c r="Q23" s="136"/>
      <c r="R23" s="136"/>
      <c r="S23" s="136"/>
      <c r="T23" s="136"/>
      <c r="U23" s="137"/>
      <c r="V23" s="136"/>
      <c r="W23" s="136"/>
      <c r="X23" s="136"/>
      <c r="Y23" s="136"/>
      <c r="Z23" s="138"/>
      <c r="AA23" s="136"/>
      <c r="AB23" s="136"/>
      <c r="AC23" s="136"/>
      <c r="AD23" s="136"/>
      <c r="AE23" s="137"/>
      <c r="AF23" s="136"/>
      <c r="AG23" s="136"/>
      <c r="AH23" s="136"/>
      <c r="AI23" s="136"/>
      <c r="AJ23" s="137"/>
      <c r="AK23" s="139"/>
      <c r="AL23" s="139"/>
      <c r="AM23" s="139"/>
      <c r="AN23" s="139"/>
      <c r="AO23" s="137"/>
      <c r="AP23" s="139"/>
      <c r="AQ23" s="139"/>
      <c r="AR23" s="139"/>
      <c r="AS23" s="139"/>
      <c r="AT23" s="137"/>
      <c r="AU23" s="139"/>
      <c r="AV23" s="139"/>
      <c r="AW23" s="139"/>
      <c r="AX23" s="139"/>
      <c r="AY23" s="137"/>
      <c r="AZ23" s="139"/>
      <c r="BA23" s="139"/>
      <c r="BB23" s="139"/>
      <c r="BC23" s="139"/>
      <c r="BD23" s="1047"/>
      <c r="BE23" s="139"/>
      <c r="BF23" s="139"/>
      <c r="BG23" s="139"/>
      <c r="BH23" s="139"/>
      <c r="BI23" s="137"/>
      <c r="BJ23" s="139"/>
      <c r="BK23" s="139"/>
      <c r="BL23" s="139"/>
      <c r="BM23" s="139"/>
      <c r="BN23" s="137"/>
      <c r="BO23" s="139"/>
      <c r="BP23" s="139"/>
      <c r="BQ23" s="139"/>
      <c r="BR23" s="139"/>
      <c r="BS23" s="137"/>
      <c r="BT23" s="139"/>
      <c r="BU23" s="139"/>
      <c r="BV23" s="139"/>
      <c r="BW23" s="139"/>
      <c r="BX23" s="137"/>
      <c r="BY23" s="139"/>
      <c r="BZ23" s="139"/>
      <c r="CA23" s="139"/>
      <c r="CB23" s="139"/>
      <c r="CC23" s="137"/>
      <c r="CD23" s="137"/>
      <c r="CE23" s="137"/>
      <c r="CF23" s="137"/>
      <c r="CG23" s="137"/>
      <c r="CH23" s="137"/>
    </row>
    <row r="24" spans="1:243" ht="12.75" customHeight="1">
      <c r="G24" s="9"/>
      <c r="H24" s="145" t="s">
        <v>622</v>
      </c>
      <c r="I24" s="145"/>
      <c r="J24" s="145"/>
      <c r="K24" s="145"/>
      <c r="L24" s="146">
        <v>859</v>
      </c>
      <c r="M24" s="146">
        <v>871.3</v>
      </c>
      <c r="N24" s="146">
        <v>845.7</v>
      </c>
      <c r="O24" s="146">
        <v>898.2</v>
      </c>
      <c r="P24" s="132">
        <f>SUM(L24:O24)</f>
        <v>3474.2</v>
      </c>
      <c r="Q24" s="146">
        <v>806.5</v>
      </c>
      <c r="R24" s="146">
        <v>860.6</v>
      </c>
      <c r="S24" s="146">
        <v>860.4</v>
      </c>
      <c r="T24" s="146">
        <v>1019</v>
      </c>
      <c r="U24" s="132">
        <f>SUM(Q24:T24)</f>
        <v>3546.5</v>
      </c>
      <c r="V24" s="146">
        <v>922.5</v>
      </c>
      <c r="W24" s="146">
        <v>998.9</v>
      </c>
      <c r="X24" s="146">
        <v>1054.5999999999999</v>
      </c>
      <c r="Y24" s="146">
        <v>1272.8</v>
      </c>
      <c r="Z24" s="133">
        <f>SUM(V24:Y24)</f>
        <v>4248.8</v>
      </c>
      <c r="AA24" s="146">
        <v>1155.0999999999999</v>
      </c>
      <c r="AB24" s="146">
        <v>1183.3</v>
      </c>
      <c r="AC24" s="146">
        <v>1199.2</v>
      </c>
      <c r="AD24" s="146">
        <v>930.9</v>
      </c>
      <c r="AE24" s="132">
        <f>SUM(AA24:AD24)</f>
        <v>4468.4999999999991</v>
      </c>
      <c r="AF24" s="146">
        <v>816.4</v>
      </c>
      <c r="AG24" s="146">
        <v>947.4</v>
      </c>
      <c r="AH24" s="146">
        <v>1051.9000000000001</v>
      </c>
      <c r="AI24" s="146">
        <v>1431.3</v>
      </c>
      <c r="AJ24" s="132">
        <f>SUM(AF24:AI24)</f>
        <v>4247</v>
      </c>
      <c r="AK24" s="146">
        <v>1122.5</v>
      </c>
      <c r="AL24" s="146">
        <v>1023.9</v>
      </c>
      <c r="AM24" s="146">
        <v>987.6</v>
      </c>
      <c r="AN24" s="146">
        <v>1232.2</v>
      </c>
      <c r="AO24" s="1032">
        <f>SUM(AK24:AN24)</f>
        <v>4366.2</v>
      </c>
      <c r="AP24" s="146">
        <v>1180.0999999999999</v>
      </c>
      <c r="AQ24" s="146">
        <v>1228</v>
      </c>
      <c r="AR24" s="146">
        <v>1338.1</v>
      </c>
      <c r="AS24" s="146">
        <v>1321.7</v>
      </c>
      <c r="AT24" s="1032">
        <f>SUM(AP24:AS24)</f>
        <v>5067.8999999999996</v>
      </c>
      <c r="AU24" s="146">
        <v>1197.9000000000001</v>
      </c>
      <c r="AV24" s="146">
        <v>1146.7</v>
      </c>
      <c r="AW24" s="146">
        <v>1203.5999999999999</v>
      </c>
      <c r="AX24" s="146">
        <v>1248.3000000000002</v>
      </c>
      <c r="AY24" s="1032">
        <f>SUM(AU24:AX24)</f>
        <v>4796.5</v>
      </c>
      <c r="AZ24" s="146">
        <v>1158.3</v>
      </c>
      <c r="BA24" s="146">
        <v>1165.2</v>
      </c>
      <c r="BB24" s="146">
        <v>1198.0999999999999</v>
      </c>
      <c r="BC24" s="146">
        <v>1386.5</v>
      </c>
      <c r="BD24" s="1048">
        <f>SUM(AZ24:BC24)</f>
        <v>4908.1000000000004</v>
      </c>
      <c r="BE24" s="146">
        <f>1222.7-92.4</f>
        <v>1130.3</v>
      </c>
      <c r="BF24" s="146">
        <f>1189.7-95.8</f>
        <v>1093.9000000000001</v>
      </c>
      <c r="BG24" s="146">
        <f>1267-98.1</f>
        <v>1168.9000000000001</v>
      </c>
      <c r="BH24" s="146">
        <f>1253.1-98.8</f>
        <v>1154.3</v>
      </c>
      <c r="BI24" s="1032">
        <f>SUM(BE24:BH24)</f>
        <v>4547.3999999999996</v>
      </c>
      <c r="BJ24" s="1071">
        <v>1012.3</v>
      </c>
      <c r="BK24" s="1071">
        <v>1033.9000000000001</v>
      </c>
      <c r="BL24" s="1071">
        <v>1099</v>
      </c>
      <c r="BM24" s="1071">
        <v>1222.3</v>
      </c>
      <c r="BN24" s="1032">
        <f>SUM(BJ24:BM24)</f>
        <v>4367.5</v>
      </c>
      <c r="BO24" s="1071">
        <v>1152.4000000000001</v>
      </c>
      <c r="BP24" s="1071">
        <v>1298.4000000000001</v>
      </c>
      <c r="BQ24" s="1071">
        <v>1225.0999999999999</v>
      </c>
      <c r="BR24" s="1071">
        <v>1303.3</v>
      </c>
      <c r="BS24" s="1032">
        <f>SUM(BO24:BR24)</f>
        <v>4979.2</v>
      </c>
      <c r="BT24" s="1071">
        <v>1143</v>
      </c>
      <c r="BU24" s="1071">
        <v>1359.2</v>
      </c>
      <c r="BV24" s="1071">
        <v>1406.1</v>
      </c>
      <c r="BW24" s="1071">
        <v>1450.7</v>
      </c>
      <c r="BX24" s="1032">
        <f>SUM(BT24:BW24)</f>
        <v>5359</v>
      </c>
      <c r="BY24" s="1071">
        <f>1420.2</f>
        <v>1420.2</v>
      </c>
      <c r="BZ24" s="131">
        <f>BZ11*BZ56</f>
        <v>1504.3149999999998</v>
      </c>
      <c r="CA24" s="131">
        <f>CA11*CA56</f>
        <v>1527.077916</v>
      </c>
      <c r="CB24" s="131">
        <f>CB11*CB56</f>
        <v>1561.3364999999999</v>
      </c>
      <c r="CC24" s="1032">
        <f>SUM(BY24:CB24)</f>
        <v>6012.929415999999</v>
      </c>
      <c r="CD24" s="132">
        <f>CD11*CD56</f>
        <v>5975.8612123499997</v>
      </c>
      <c r="CE24" s="132">
        <f>CE11*CE56</f>
        <v>5995.7927151899994</v>
      </c>
      <c r="CF24" s="132">
        <f>CF11*CF56</f>
        <v>6081.1399699045496</v>
      </c>
      <c r="CG24" s="132">
        <f>CG11*CG56</f>
        <v>6123.9603296051846</v>
      </c>
      <c r="CH24" s="132">
        <f>CH11*CH56</f>
        <v>6186.603956126196</v>
      </c>
      <c r="CK24" s="1033"/>
      <c r="CM24" s="1033"/>
      <c r="CN24" s="1033"/>
      <c r="CO24" s="1033"/>
    </row>
    <row r="25" spans="1:243" ht="12.75" customHeight="1">
      <c r="G25" s="9"/>
      <c r="H25" s="147" t="s">
        <v>290</v>
      </c>
      <c r="I25" s="147"/>
      <c r="J25" s="147"/>
      <c r="K25" s="147"/>
      <c r="L25" s="136">
        <f t="shared" ref="L25:AQ25" si="1">L11-L24</f>
        <v>2638.4</v>
      </c>
      <c r="M25" s="136">
        <f t="shared" si="1"/>
        <v>2796.3999999999996</v>
      </c>
      <c r="N25" s="136">
        <f t="shared" si="1"/>
        <v>2755.3999999999996</v>
      </c>
      <c r="O25" s="136">
        <f t="shared" si="1"/>
        <v>2980.8999999999996</v>
      </c>
      <c r="P25" s="137">
        <f t="shared" si="1"/>
        <v>11171.099999999999</v>
      </c>
      <c r="Q25" s="136">
        <f t="shared" si="1"/>
        <v>2908.3</v>
      </c>
      <c r="R25" s="136">
        <f t="shared" si="1"/>
        <v>3006.5</v>
      </c>
      <c r="S25" s="136">
        <f t="shared" si="1"/>
        <v>3003.65</v>
      </c>
      <c r="T25" s="136">
        <f t="shared" si="1"/>
        <v>3226.3</v>
      </c>
      <c r="U25" s="137">
        <f t="shared" si="1"/>
        <v>12144.75</v>
      </c>
      <c r="V25" s="136">
        <f t="shared" si="1"/>
        <v>3303.7</v>
      </c>
      <c r="W25" s="136">
        <f t="shared" si="1"/>
        <v>3631.9999999999995</v>
      </c>
      <c r="X25" s="136">
        <f t="shared" si="1"/>
        <v>3532.2000000000003</v>
      </c>
      <c r="Y25" s="136">
        <f t="shared" si="1"/>
        <v>3916.9999999999991</v>
      </c>
      <c r="Z25" s="138">
        <f t="shared" si="1"/>
        <v>14384.899999999998</v>
      </c>
      <c r="AA25" s="136">
        <f t="shared" si="1"/>
        <v>3755.9</v>
      </c>
      <c r="AB25" s="136">
        <f t="shared" si="1"/>
        <v>4067.7</v>
      </c>
      <c r="AC25" s="136">
        <f t="shared" si="1"/>
        <v>4109.5000000000009</v>
      </c>
      <c r="AD25" s="136">
        <f t="shared" si="1"/>
        <v>4330.8000000000011</v>
      </c>
      <c r="AE25" s="137">
        <f t="shared" si="1"/>
        <v>16263.900000000001</v>
      </c>
      <c r="AF25" s="136">
        <f t="shared" si="1"/>
        <v>4230.1000000000004</v>
      </c>
      <c r="AG25" s="136">
        <f t="shared" si="1"/>
        <v>4345.21</v>
      </c>
      <c r="AH25" s="136">
        <f t="shared" si="1"/>
        <v>4510.3000000000011</v>
      </c>
      <c r="AI25" s="136">
        <f t="shared" si="1"/>
        <v>4503.3999999999996</v>
      </c>
      <c r="AJ25" s="137">
        <f t="shared" si="1"/>
        <v>17589.010000000002</v>
      </c>
      <c r="AK25" s="136">
        <f t="shared" si="1"/>
        <v>4362.8999999999996</v>
      </c>
      <c r="AL25" s="136">
        <f t="shared" si="1"/>
        <v>4724.8000000000011</v>
      </c>
      <c r="AM25" s="136">
        <f t="shared" si="1"/>
        <v>4667.3</v>
      </c>
      <c r="AN25" s="136">
        <f t="shared" si="1"/>
        <v>4954.88</v>
      </c>
      <c r="AO25" s="137">
        <f t="shared" si="1"/>
        <v>18709.88</v>
      </c>
      <c r="AP25" s="136">
        <f t="shared" si="1"/>
        <v>4659.1000000000004</v>
      </c>
      <c r="AQ25" s="136">
        <f t="shared" si="1"/>
        <v>5025</v>
      </c>
      <c r="AR25" s="136">
        <f t="shared" ref="AR25:BK25" si="2">AR11-AR24</f>
        <v>4809.8999999999996</v>
      </c>
      <c r="AS25" s="136">
        <f t="shared" si="2"/>
        <v>4724.7</v>
      </c>
      <c r="AT25" s="137">
        <f t="shared" si="2"/>
        <v>19218.700000000004</v>
      </c>
      <c r="AU25" s="136">
        <f t="shared" si="2"/>
        <v>4404.1000000000004</v>
      </c>
      <c r="AV25" s="136">
        <f t="shared" si="2"/>
        <v>4454</v>
      </c>
      <c r="AW25" s="136">
        <f t="shared" si="2"/>
        <v>4239.6999999999989</v>
      </c>
      <c r="AX25" s="136">
        <f t="shared" si="2"/>
        <v>4708.9999999999991</v>
      </c>
      <c r="AY25" s="137">
        <f t="shared" si="2"/>
        <v>17806.800000000003</v>
      </c>
      <c r="AZ25" s="136">
        <f t="shared" si="2"/>
        <v>4443.3999999999996</v>
      </c>
      <c r="BA25" s="136">
        <f t="shared" si="2"/>
        <v>4764.5</v>
      </c>
      <c r="BB25" s="136">
        <f t="shared" si="2"/>
        <v>4574.5</v>
      </c>
      <c r="BC25" s="136">
        <f t="shared" si="2"/>
        <v>4422.2999999999993</v>
      </c>
      <c r="BD25" s="1047">
        <f t="shared" si="2"/>
        <v>18204.700000000004</v>
      </c>
      <c r="BE25" s="136">
        <f t="shared" si="2"/>
        <v>3552.8</v>
      </c>
      <c r="BF25" s="139">
        <f t="shared" si="2"/>
        <v>3841.6999999999994</v>
      </c>
      <c r="BG25" s="139">
        <f t="shared" si="2"/>
        <v>3706.7000000000003</v>
      </c>
      <c r="BH25" s="139">
        <f t="shared" si="2"/>
        <v>3967</v>
      </c>
      <c r="BI25" s="137">
        <f t="shared" si="2"/>
        <v>15068.199999999999</v>
      </c>
      <c r="BJ25" s="136">
        <f t="shared" si="2"/>
        <v>3632.3999999999996</v>
      </c>
      <c r="BK25" s="139">
        <f t="shared" si="2"/>
        <v>3944.7999999999997</v>
      </c>
      <c r="BL25" s="139">
        <f t="shared" ref="BL25:CH25" si="3">BL11-BL24</f>
        <v>3860.7</v>
      </c>
      <c r="BM25" s="139">
        <f t="shared" si="3"/>
        <v>4153.2999999999993</v>
      </c>
      <c r="BN25" s="137">
        <f t="shared" si="3"/>
        <v>15591.199999999997</v>
      </c>
      <c r="BO25" s="139">
        <f t="shared" si="3"/>
        <v>3712.7000000000003</v>
      </c>
      <c r="BP25" s="139">
        <f t="shared" si="3"/>
        <v>4106.4000000000015</v>
      </c>
      <c r="BQ25" s="139">
        <f t="shared" si="3"/>
        <v>3966.6</v>
      </c>
      <c r="BR25" s="139">
        <f t="shared" si="3"/>
        <v>4457.2000000000007</v>
      </c>
      <c r="BS25" s="137">
        <f t="shared" si="3"/>
        <v>16231.000000000004</v>
      </c>
      <c r="BT25" s="139">
        <f t="shared" si="3"/>
        <v>4085.3999999999996</v>
      </c>
      <c r="BU25" s="139">
        <f t="shared" si="3"/>
        <v>4465.1000000000004</v>
      </c>
      <c r="BV25" s="139">
        <f t="shared" si="3"/>
        <v>4252</v>
      </c>
      <c r="BW25" s="139">
        <f t="shared" si="3"/>
        <v>4710.0999999999995</v>
      </c>
      <c r="BX25" s="137">
        <f t="shared" si="3"/>
        <v>17512.599999999999</v>
      </c>
      <c r="BY25" s="139">
        <f t="shared" si="3"/>
        <v>4279.8</v>
      </c>
      <c r="BZ25" s="139">
        <f t="shared" si="3"/>
        <v>4512.9449999999997</v>
      </c>
      <c r="CA25" s="139">
        <f t="shared" si="3"/>
        <v>4532.7550839999994</v>
      </c>
      <c r="CB25" s="139">
        <f t="shared" si="3"/>
        <v>4684.0095000000001</v>
      </c>
      <c r="CC25" s="137">
        <f t="shared" si="3"/>
        <v>18009.409583999997</v>
      </c>
      <c r="CD25" s="137">
        <f t="shared" si="3"/>
        <v>18616.160237650001</v>
      </c>
      <c r="CE25" s="137">
        <f t="shared" si="3"/>
        <v>19518.21883881</v>
      </c>
      <c r="CF25" s="137">
        <f t="shared" si="3"/>
        <v>20358.599029680448</v>
      </c>
      <c r="CG25" s="137">
        <f t="shared" si="3"/>
        <v>21093.641135306745</v>
      </c>
      <c r="CH25" s="137">
        <f t="shared" si="3"/>
        <v>21934.323117174692</v>
      </c>
      <c r="CJ25" s="217"/>
      <c r="CK25" s="1033"/>
      <c r="CM25" s="1033"/>
    </row>
    <row r="26" spans="1:243" ht="12.75" customHeight="1">
      <c r="G26" s="9"/>
      <c r="H26" s="70" t="s">
        <v>572</v>
      </c>
      <c r="I26" s="70"/>
      <c r="J26" s="70"/>
      <c r="K26" s="70"/>
      <c r="L26" s="146">
        <v>1090.4000000000001</v>
      </c>
      <c r="M26" s="146">
        <v>1146.0999999999999</v>
      </c>
      <c r="N26" s="146">
        <v>1070.9000000000001</v>
      </c>
      <c r="O26" s="146">
        <v>1189.5999999999999</v>
      </c>
      <c r="P26" s="132">
        <f>SUM(L26:O26)</f>
        <v>4497</v>
      </c>
      <c r="Q26" s="146">
        <v>1142.9000000000001</v>
      </c>
      <c r="R26" s="146">
        <v>1237.9000000000001</v>
      </c>
      <c r="S26" s="146">
        <v>1198.2</v>
      </c>
      <c r="T26" s="146">
        <v>1310.8</v>
      </c>
      <c r="U26" s="132">
        <f>SUM(Q26:T26)</f>
        <v>4889.8</v>
      </c>
      <c r="V26" s="146">
        <v>1336.8</v>
      </c>
      <c r="W26" s="146">
        <v>1524.7</v>
      </c>
      <c r="X26" s="146">
        <v>1477.8</v>
      </c>
      <c r="Y26" s="146">
        <v>1755.8</v>
      </c>
      <c r="Z26" s="133">
        <f>SUM(V26:Y26)</f>
        <v>6095.1</v>
      </c>
      <c r="AA26" s="146">
        <v>1575</v>
      </c>
      <c r="AB26" s="146">
        <v>1739.6</v>
      </c>
      <c r="AC26" s="146">
        <v>1673.2</v>
      </c>
      <c r="AD26" s="146">
        <v>1740.5</v>
      </c>
      <c r="AE26" s="132">
        <f>SUM(AA26:AD26)</f>
        <v>6728.3</v>
      </c>
      <c r="AF26" s="146">
        <v>1529.2</v>
      </c>
      <c r="AG26" s="146">
        <v>1708.2</v>
      </c>
      <c r="AH26" s="146">
        <v>1701.8</v>
      </c>
      <c r="AI26" s="146">
        <v>1953.3</v>
      </c>
      <c r="AJ26" s="132">
        <f>SUM(AF26:AI26)</f>
        <v>6892.5</v>
      </c>
      <c r="AK26" s="146">
        <v>1614.4</v>
      </c>
      <c r="AL26" s="146">
        <v>1755.4</v>
      </c>
      <c r="AM26" s="146">
        <v>1694.9</v>
      </c>
      <c r="AN26" s="146">
        <v>1988.7</v>
      </c>
      <c r="AO26" s="1032">
        <f>SUM(AK26:AN26)</f>
        <v>7053.4000000000005</v>
      </c>
      <c r="AP26" s="146">
        <v>1785.7</v>
      </c>
      <c r="AQ26" s="146">
        <v>2043</v>
      </c>
      <c r="AR26" s="146">
        <v>1917.8</v>
      </c>
      <c r="AS26" s="146">
        <v>2133.4</v>
      </c>
      <c r="AT26" s="1032">
        <f>SUM(AP26:AS26)</f>
        <v>7879.9</v>
      </c>
      <c r="AU26" s="146">
        <v>1847.5</v>
      </c>
      <c r="AV26" s="146">
        <v>1931.1</v>
      </c>
      <c r="AW26" s="146">
        <v>1757.4</v>
      </c>
      <c r="AX26" s="146">
        <v>1977.5000000000002</v>
      </c>
      <c r="AY26" s="1032">
        <f>SUM(AU26:AX26)</f>
        <v>7513.5</v>
      </c>
      <c r="AZ26" s="146">
        <v>1652</v>
      </c>
      <c r="BA26" s="146">
        <v>1867.6</v>
      </c>
      <c r="BB26" s="146">
        <v>1652.4</v>
      </c>
      <c r="BC26" s="146">
        <v>1953.6</v>
      </c>
      <c r="BD26" s="1049">
        <f>SUM(AZ26:BC26)</f>
        <v>7125.6</v>
      </c>
      <c r="BE26" s="146">
        <f>1484.9-35.7</f>
        <v>1449.2</v>
      </c>
      <c r="BF26" s="146">
        <f>1663.9-36</f>
        <v>1627.9</v>
      </c>
      <c r="BG26" s="146">
        <f>1672.1-119-36.3</f>
        <v>1516.8</v>
      </c>
      <c r="BH26" s="146">
        <f>1799.9-35.7</f>
        <v>1764.2</v>
      </c>
      <c r="BI26" s="166">
        <f>SUM(BE26:BH26)</f>
        <v>6358.1</v>
      </c>
      <c r="BJ26" s="1071">
        <v>1487.9</v>
      </c>
      <c r="BK26" s="1071">
        <f>1635.4-35.8</f>
        <v>1599.6000000000001</v>
      </c>
      <c r="BL26" s="1071">
        <f>1575.7-35.8</f>
        <v>1539.9</v>
      </c>
      <c r="BM26" s="1071">
        <v>1796.3000000000002</v>
      </c>
      <c r="BN26" s="1032">
        <f>SUM(BJ26:BM26)</f>
        <v>6423.7</v>
      </c>
      <c r="BO26" s="1071">
        <f>1473.9-1.7</f>
        <v>1472.2</v>
      </c>
      <c r="BP26" s="1071">
        <v>1620.8</v>
      </c>
      <c r="BQ26" s="1071">
        <v>1563.7</v>
      </c>
      <c r="BR26" s="1071">
        <v>1788.4</v>
      </c>
      <c r="BS26" s="1032">
        <f>SUM(BO26:BR26)</f>
        <v>6445.1</v>
      </c>
      <c r="BT26" s="1071">
        <f>1544.7-1.8</f>
        <v>1542.9</v>
      </c>
      <c r="BU26" s="1071">
        <v>1705.8</v>
      </c>
      <c r="BV26" s="1071">
        <v>1554.3</v>
      </c>
      <c r="BW26" s="1071">
        <v>1779.3</v>
      </c>
      <c r="BX26" s="1032">
        <f>SUM(BT26:BW26)</f>
        <v>6582.3</v>
      </c>
      <c r="BY26" s="1071">
        <f>1498.9</f>
        <v>1498.9</v>
      </c>
      <c r="BZ26" s="131">
        <f>BU26*(1+BZ70)</f>
        <v>1637.568</v>
      </c>
      <c r="CA26" s="131">
        <f>BV26*(1+CA70)</f>
        <v>1507.6709999999998</v>
      </c>
      <c r="CB26" s="131">
        <f>BW26*(1+CB70)</f>
        <v>1725.9209999999998</v>
      </c>
      <c r="CC26" s="1032">
        <f>SUM(BY26:CB26)</f>
        <v>6370.0599999999995</v>
      </c>
      <c r="CD26" s="132">
        <f>CC26*(1+CD70)</f>
        <v>6306.3593999999994</v>
      </c>
      <c r="CE26" s="132">
        <f>CD26*(1+CE70)</f>
        <v>6369.4229939999996</v>
      </c>
      <c r="CF26" s="132">
        <f>CE26*(1+CF70)</f>
        <v>6496.81145388</v>
      </c>
      <c r="CG26" s="132">
        <f>CF26*(1+CG70)</f>
        <v>6626.7476829575999</v>
      </c>
      <c r="CH26" s="132">
        <f>CG26*(1+CH70)</f>
        <v>6759.2826366167519</v>
      </c>
      <c r="CJ26" s="217"/>
      <c r="CK26" s="1033"/>
      <c r="CM26" s="1033"/>
    </row>
    <row r="27" spans="1:243" ht="12.75" hidden="1" customHeight="1">
      <c r="G27" s="9"/>
      <c r="H27" s="149" t="s">
        <v>271</v>
      </c>
      <c r="I27" s="149"/>
      <c r="J27" s="150"/>
      <c r="K27" s="150"/>
      <c r="L27" s="151"/>
      <c r="M27" s="151"/>
      <c r="N27" s="151"/>
      <c r="O27" s="152"/>
      <c r="P27" s="743">
        <v>64.796000000000006</v>
      </c>
      <c r="Q27" s="151">
        <v>21.109000000000002</v>
      </c>
      <c r="R27" s="151">
        <v>13.43</v>
      </c>
      <c r="S27" s="151">
        <v>16.265999999999998</v>
      </c>
      <c r="T27" s="151">
        <v>17.698</v>
      </c>
      <c r="U27" s="153">
        <f>SUM(Q27:T27)</f>
        <v>68.503</v>
      </c>
      <c r="V27" s="151">
        <v>19.385000000000002</v>
      </c>
      <c r="W27" s="151">
        <v>15.818</v>
      </c>
      <c r="X27" s="151">
        <v>18.495000000000001</v>
      </c>
      <c r="Y27" s="151">
        <v>16.934000000000001</v>
      </c>
      <c r="Z27" s="154">
        <f>SUM(V27:Y27)</f>
        <v>70.632000000000005</v>
      </c>
      <c r="AA27" s="151">
        <v>18.082000000000001</v>
      </c>
      <c r="AB27" s="151">
        <v>19.544</v>
      </c>
      <c r="AC27" s="151">
        <v>23.111999999999998</v>
      </c>
      <c r="AD27" s="155" t="s">
        <v>333</v>
      </c>
      <c r="AE27" s="153"/>
      <c r="AF27" s="156"/>
      <c r="AG27" s="156"/>
      <c r="AH27" s="156"/>
      <c r="AI27" s="156"/>
      <c r="AJ27" s="153"/>
      <c r="AK27" s="156"/>
      <c r="AL27" s="156"/>
      <c r="AM27" s="156"/>
      <c r="AN27" s="156"/>
      <c r="AO27" s="157"/>
      <c r="AP27" s="156"/>
      <c r="AQ27" s="156"/>
      <c r="AR27" s="156"/>
      <c r="AS27" s="156"/>
      <c r="AT27" s="157"/>
      <c r="AU27" s="156"/>
      <c r="AV27" s="156"/>
      <c r="AW27" s="156"/>
      <c r="AX27" s="156"/>
      <c r="AY27" s="157"/>
      <c r="AZ27" s="156"/>
      <c r="BA27" s="156"/>
      <c r="BB27" s="156"/>
      <c r="BC27" s="156"/>
      <c r="BD27" s="1050"/>
      <c r="BE27" s="156"/>
      <c r="BF27" s="156"/>
      <c r="BG27" s="156">
        <v>1243.2</v>
      </c>
      <c r="BH27" s="156"/>
      <c r="BI27" s="157"/>
      <c r="BJ27" s="156"/>
      <c r="BK27" s="156"/>
      <c r="BL27" s="156"/>
      <c r="BM27" s="156"/>
      <c r="BN27" s="157"/>
      <c r="BO27" s="156"/>
      <c r="BP27" s="156"/>
      <c r="BQ27" s="156"/>
      <c r="BR27" s="1071"/>
      <c r="BS27" s="157"/>
      <c r="BT27" s="1071"/>
      <c r="BU27" s="1226"/>
      <c r="BV27" s="1226"/>
      <c r="BW27" s="1226">
        <v>1779.1</v>
      </c>
      <c r="BX27" s="1030">
        <f>SUM(BT27:BW27)</f>
        <v>1779.1</v>
      </c>
      <c r="BY27" s="1071">
        <v>1779.1</v>
      </c>
      <c r="BZ27" s="156"/>
      <c r="CA27" s="156"/>
      <c r="CB27" s="156"/>
      <c r="CC27" s="1030">
        <f>SUM(BY27:CB27)</f>
        <v>1779.1</v>
      </c>
      <c r="CD27" s="157"/>
      <c r="CE27" s="157"/>
      <c r="CF27" s="157"/>
      <c r="CG27" s="157"/>
      <c r="CH27" s="157"/>
      <c r="CK27" s="1033"/>
      <c r="CM27" s="1033"/>
    </row>
    <row r="28" spans="1:243" ht="12.75" customHeight="1">
      <c r="G28" s="9"/>
      <c r="H28" s="70" t="s">
        <v>571</v>
      </c>
      <c r="I28" s="70"/>
      <c r="J28" s="70"/>
      <c r="K28" s="70"/>
      <c r="L28" s="146">
        <v>702.2</v>
      </c>
      <c r="M28" s="146">
        <v>762.4</v>
      </c>
      <c r="N28" s="146">
        <v>751</v>
      </c>
      <c r="O28" s="146">
        <v>809.9</v>
      </c>
      <c r="P28" s="132">
        <f>SUM(L28:O28)</f>
        <v>3025.5</v>
      </c>
      <c r="Q28" s="146">
        <v>740.8</v>
      </c>
      <c r="R28" s="146">
        <v>774.8</v>
      </c>
      <c r="S28" s="146">
        <v>755.7</v>
      </c>
      <c r="T28" s="146">
        <v>858</v>
      </c>
      <c r="U28" s="132">
        <f>SUM(Q28:T28)</f>
        <v>3129.3</v>
      </c>
      <c r="V28" s="146">
        <v>834.2</v>
      </c>
      <c r="W28" s="146">
        <v>854.4</v>
      </c>
      <c r="X28" s="146">
        <v>844.5</v>
      </c>
      <c r="Y28" s="146">
        <v>953.6</v>
      </c>
      <c r="Z28" s="133">
        <f>SUM(V28:Y28)</f>
        <v>3486.7</v>
      </c>
      <c r="AA28" s="146">
        <v>913.1</v>
      </c>
      <c r="AB28" s="146">
        <v>994.3</v>
      </c>
      <c r="AC28" s="146">
        <v>996.4</v>
      </c>
      <c r="AD28" s="146">
        <v>1101.5</v>
      </c>
      <c r="AE28" s="132">
        <f>SUM(AA28:AD28)</f>
        <v>4005.3</v>
      </c>
      <c r="AF28" s="146">
        <v>947.3</v>
      </c>
      <c r="AG28" s="146">
        <v>1040.4000000000001</v>
      </c>
      <c r="AH28" s="146">
        <v>1122.0999999999999</v>
      </c>
      <c r="AI28" s="146">
        <v>1216.7</v>
      </c>
      <c r="AJ28" s="132">
        <f>SUM(AF28:AI28)</f>
        <v>4326.5</v>
      </c>
      <c r="AK28" s="146">
        <v>1039.0999999999999</v>
      </c>
      <c r="AL28" s="146">
        <v>1187.2</v>
      </c>
      <c r="AM28" s="146">
        <v>1219.8</v>
      </c>
      <c r="AN28" s="146">
        <v>1438.1</v>
      </c>
      <c r="AO28" s="1032">
        <f>SUM(AK28:AN28)</f>
        <v>4884.2000000000007</v>
      </c>
      <c r="AP28" s="146">
        <v>1124</v>
      </c>
      <c r="AQ28" s="146">
        <v>1260.5999999999999</v>
      </c>
      <c r="AR28" s="146">
        <v>1280.9000000000001</v>
      </c>
      <c r="AS28" s="146">
        <v>1355.3</v>
      </c>
      <c r="AT28" s="1032">
        <f>SUM(AP28:AS28)</f>
        <v>5020.8</v>
      </c>
      <c r="AU28" s="146">
        <v>1151.5</v>
      </c>
      <c r="AV28" s="146">
        <v>1320.7</v>
      </c>
      <c r="AW28" s="146">
        <v>1342.8</v>
      </c>
      <c r="AX28" s="146">
        <f>1463.091316</f>
        <v>1463.091316</v>
      </c>
      <c r="AY28" s="1032">
        <f>SUM(AU28:AX28)</f>
        <v>5278.091316</v>
      </c>
      <c r="AZ28" s="146">
        <v>1348.1</v>
      </c>
      <c r="BA28" s="146">
        <v>1330.3999999999999</v>
      </c>
      <c r="BB28" s="146">
        <v>1377.4</v>
      </c>
      <c r="BC28" s="146">
        <v>1475.4</v>
      </c>
      <c r="BD28" s="1049">
        <f>SUM(AZ28:BC28)</f>
        <v>5531.3</v>
      </c>
      <c r="BE28" s="146">
        <f>1109.3-0.7</f>
        <v>1108.5999999999999</v>
      </c>
      <c r="BF28" s="146">
        <f>1195.4-0.2</f>
        <v>1195.2</v>
      </c>
      <c r="BG28" s="146">
        <f>1243.2-0.2</f>
        <v>1243</v>
      </c>
      <c r="BH28" s="146">
        <f>1185.7-0.2</f>
        <v>1185.5</v>
      </c>
      <c r="BI28" s="166">
        <f>SUM(BE28:BH28)</f>
        <v>4732.3</v>
      </c>
      <c r="BJ28" s="1071">
        <v>1039.0999999999999</v>
      </c>
      <c r="BK28" s="1071">
        <v>1169.5</v>
      </c>
      <c r="BL28" s="1071">
        <v>1169.5</v>
      </c>
      <c r="BM28" s="1071">
        <v>1444.2</v>
      </c>
      <c r="BN28" s="1032">
        <f>SUM(BJ28:BM28)</f>
        <v>4822.3</v>
      </c>
      <c r="BO28" s="1071">
        <f>1221-0.2</f>
        <v>1220.8</v>
      </c>
      <c r="BP28" s="1071">
        <v>1335.7</v>
      </c>
      <c r="BQ28" s="1071">
        <v>1236.2</v>
      </c>
      <c r="BR28" s="1071">
        <v>1450.5</v>
      </c>
      <c r="BS28" s="1032">
        <f>SUM(BO28:BR28)</f>
        <v>5243.2</v>
      </c>
      <c r="BT28" s="1071">
        <v>1238.3</v>
      </c>
      <c r="BU28" s="1071">
        <v>1250.8</v>
      </c>
      <c r="BV28" s="1071">
        <v>1319.2</v>
      </c>
      <c r="BW28" s="1071">
        <v>1473</v>
      </c>
      <c r="BX28" s="1032">
        <f>SUM(BT28:BW28)</f>
        <v>5281.3</v>
      </c>
      <c r="BY28" s="1071">
        <f>1176.7</f>
        <v>1176.7</v>
      </c>
      <c r="BZ28" s="131">
        <f>BU28*(1+BZ71)</f>
        <v>1288.3240000000001</v>
      </c>
      <c r="CA28" s="131">
        <f>BV28*(1+CA71)</f>
        <v>1306.008</v>
      </c>
      <c r="CB28" s="131">
        <f>BW28*(1+CB71)</f>
        <v>1487.73</v>
      </c>
      <c r="CC28" s="1032">
        <f>SUM(BY28:CB28)</f>
        <v>5258.7620000000006</v>
      </c>
      <c r="CD28" s="132">
        <f>CC28*(1+CD71)</f>
        <v>5258.7620000000006</v>
      </c>
      <c r="CE28" s="132">
        <f>CD28*(1+CE71)</f>
        <v>5311.3496200000009</v>
      </c>
      <c r="CF28" s="132">
        <f>CE28*(1+CF71)</f>
        <v>5417.5766124000011</v>
      </c>
      <c r="CG28" s="132">
        <f>CF28*(1+CG71)</f>
        <v>5525.9281446480009</v>
      </c>
      <c r="CH28" s="132">
        <f>CG28*(1+CH71)</f>
        <v>5636.4467075409611</v>
      </c>
      <c r="CJ28" s="217"/>
      <c r="CK28" s="1033"/>
      <c r="CM28" s="1033"/>
    </row>
    <row r="29" spans="1:243" ht="12.75" customHeight="1">
      <c r="G29" s="9"/>
      <c r="H29" s="37" t="s">
        <v>932</v>
      </c>
      <c r="I29" s="37"/>
      <c r="J29" s="37"/>
      <c r="K29" s="37"/>
      <c r="L29" s="136">
        <f t="shared" ref="L29:AQ29" si="4">L25-L26-L28</f>
        <v>845.8</v>
      </c>
      <c r="M29" s="136">
        <f t="shared" si="4"/>
        <v>887.89999999999975</v>
      </c>
      <c r="N29" s="136">
        <f t="shared" si="4"/>
        <v>933.49999999999955</v>
      </c>
      <c r="O29" s="136">
        <f t="shared" si="4"/>
        <v>981.39999999999975</v>
      </c>
      <c r="P29" s="137">
        <f t="shared" si="4"/>
        <v>3648.5999999999985</v>
      </c>
      <c r="Q29" s="136">
        <f t="shared" si="4"/>
        <v>1024.6000000000001</v>
      </c>
      <c r="R29" s="136">
        <f t="shared" si="4"/>
        <v>993.8</v>
      </c>
      <c r="S29" s="136">
        <f t="shared" si="4"/>
        <v>1049.75</v>
      </c>
      <c r="T29" s="136">
        <f t="shared" si="4"/>
        <v>1057.5000000000002</v>
      </c>
      <c r="U29" s="137">
        <f t="shared" si="4"/>
        <v>4125.6499999999996</v>
      </c>
      <c r="V29" s="136">
        <f t="shared" si="4"/>
        <v>1132.6999999999998</v>
      </c>
      <c r="W29" s="136">
        <f t="shared" si="4"/>
        <v>1252.8999999999992</v>
      </c>
      <c r="X29" s="136">
        <f t="shared" si="4"/>
        <v>1209.9000000000005</v>
      </c>
      <c r="Y29" s="136">
        <f t="shared" si="4"/>
        <v>1207.599999999999</v>
      </c>
      <c r="Z29" s="138">
        <f t="shared" si="4"/>
        <v>4803.0999999999976</v>
      </c>
      <c r="AA29" s="136">
        <f t="shared" si="4"/>
        <v>1267.8000000000002</v>
      </c>
      <c r="AB29" s="136">
        <f t="shared" si="4"/>
        <v>1333.8</v>
      </c>
      <c r="AC29" s="136">
        <f t="shared" si="4"/>
        <v>1439.900000000001</v>
      </c>
      <c r="AD29" s="136">
        <f t="shared" si="4"/>
        <v>1488.8000000000011</v>
      </c>
      <c r="AE29" s="137">
        <f t="shared" si="4"/>
        <v>5530.300000000002</v>
      </c>
      <c r="AF29" s="136">
        <f t="shared" si="4"/>
        <v>1753.6000000000006</v>
      </c>
      <c r="AG29" s="136">
        <f t="shared" si="4"/>
        <v>1596.6100000000001</v>
      </c>
      <c r="AH29" s="136">
        <f t="shared" si="4"/>
        <v>1686.400000000001</v>
      </c>
      <c r="AI29" s="136">
        <f t="shared" si="4"/>
        <v>1333.3999999999994</v>
      </c>
      <c r="AJ29" s="137">
        <f t="shared" si="4"/>
        <v>6370.010000000002</v>
      </c>
      <c r="AK29" s="136">
        <f t="shared" si="4"/>
        <v>1709.3999999999996</v>
      </c>
      <c r="AL29" s="136">
        <f t="shared" si="4"/>
        <v>1782.200000000001</v>
      </c>
      <c r="AM29" s="136">
        <f t="shared" si="4"/>
        <v>1752.6000000000001</v>
      </c>
      <c r="AN29" s="136">
        <f t="shared" si="4"/>
        <v>1528.0800000000004</v>
      </c>
      <c r="AO29" s="137">
        <f t="shared" si="4"/>
        <v>6772.2799999999988</v>
      </c>
      <c r="AP29" s="136">
        <f t="shared" si="4"/>
        <v>1749.4000000000005</v>
      </c>
      <c r="AQ29" s="136">
        <f t="shared" si="4"/>
        <v>1721.4</v>
      </c>
      <c r="AR29" s="136">
        <f t="shared" ref="AR29:BK29" si="5">AR25-AR26-AR28</f>
        <v>1611.1999999999994</v>
      </c>
      <c r="AS29" s="136">
        <f t="shared" si="5"/>
        <v>1235.9999999999998</v>
      </c>
      <c r="AT29" s="137">
        <f t="shared" si="5"/>
        <v>6318.0000000000045</v>
      </c>
      <c r="AU29" s="136">
        <f t="shared" si="5"/>
        <v>1405.1000000000004</v>
      </c>
      <c r="AV29" s="136">
        <f t="shared" si="5"/>
        <v>1202.2</v>
      </c>
      <c r="AW29" s="136">
        <f t="shared" si="5"/>
        <v>1139.4999999999989</v>
      </c>
      <c r="AX29" s="136">
        <f t="shared" si="5"/>
        <v>1268.4086839999991</v>
      </c>
      <c r="AY29" s="137">
        <f t="shared" si="5"/>
        <v>5015.2086840000029</v>
      </c>
      <c r="AZ29" s="136">
        <f t="shared" si="5"/>
        <v>1443.2999999999997</v>
      </c>
      <c r="BA29" s="136">
        <f t="shared" si="5"/>
        <v>1566.5000000000002</v>
      </c>
      <c r="BB29" s="136">
        <f t="shared" si="5"/>
        <v>1544.6999999999998</v>
      </c>
      <c r="BC29" s="136">
        <f t="shared" si="5"/>
        <v>993.29999999999927</v>
      </c>
      <c r="BD29" s="1047">
        <f t="shared" si="5"/>
        <v>5547.8000000000038</v>
      </c>
      <c r="BE29" s="136">
        <f t="shared" si="5"/>
        <v>995.00000000000045</v>
      </c>
      <c r="BF29" s="139">
        <f t="shared" si="5"/>
        <v>1018.5999999999992</v>
      </c>
      <c r="BG29" s="139">
        <f t="shared" si="5"/>
        <v>946.90000000000055</v>
      </c>
      <c r="BH29" s="139">
        <f t="shared" si="5"/>
        <v>1017.3000000000002</v>
      </c>
      <c r="BI29" s="137">
        <f>BI25-BI26-BI28</f>
        <v>3977.7999999999984</v>
      </c>
      <c r="BJ29" s="136">
        <f t="shared" si="5"/>
        <v>1105.3999999999996</v>
      </c>
      <c r="BK29" s="139">
        <f t="shared" si="5"/>
        <v>1175.6999999999998</v>
      </c>
      <c r="BL29" s="139">
        <f t="shared" ref="BL29:CH29" si="6">BL25-BL26-BL28</f>
        <v>1151.2999999999997</v>
      </c>
      <c r="BM29" s="139">
        <f t="shared" si="6"/>
        <v>912.79999999999905</v>
      </c>
      <c r="BN29" s="137">
        <f t="shared" si="6"/>
        <v>4345.1999999999962</v>
      </c>
      <c r="BO29" s="139">
        <f t="shared" si="6"/>
        <v>1019.7</v>
      </c>
      <c r="BP29" s="139">
        <f t="shared" si="6"/>
        <v>1149.9000000000012</v>
      </c>
      <c r="BQ29" s="139">
        <f t="shared" si="6"/>
        <v>1166.6999999999996</v>
      </c>
      <c r="BR29" s="139">
        <f t="shared" si="6"/>
        <v>1218.3000000000006</v>
      </c>
      <c r="BS29" s="137">
        <f t="shared" si="6"/>
        <v>4542.7000000000035</v>
      </c>
      <c r="BT29" s="139">
        <f t="shared" si="6"/>
        <v>1304.1999999999996</v>
      </c>
      <c r="BU29" s="139">
        <f t="shared" si="6"/>
        <v>1508.5000000000002</v>
      </c>
      <c r="BV29" s="139">
        <f t="shared" si="6"/>
        <v>1378.4999999999998</v>
      </c>
      <c r="BW29" s="139">
        <f t="shared" si="6"/>
        <v>1457.7999999999993</v>
      </c>
      <c r="BX29" s="137">
        <f t="shared" si="6"/>
        <v>5648.9999999999991</v>
      </c>
      <c r="BY29" s="139">
        <f t="shared" si="6"/>
        <v>1604.2</v>
      </c>
      <c r="BZ29" s="139">
        <f t="shared" si="6"/>
        <v>1587.0529999999994</v>
      </c>
      <c r="CA29" s="139">
        <f t="shared" si="6"/>
        <v>1719.0760839999996</v>
      </c>
      <c r="CB29" s="139">
        <f t="shared" si="6"/>
        <v>1470.3585000000003</v>
      </c>
      <c r="CC29" s="137">
        <f t="shared" si="6"/>
        <v>6380.5875839999972</v>
      </c>
      <c r="CD29" s="137">
        <f t="shared" si="6"/>
        <v>7051.0388376500014</v>
      </c>
      <c r="CE29" s="137">
        <f t="shared" si="6"/>
        <v>7837.446224809999</v>
      </c>
      <c r="CF29" s="137">
        <f t="shared" si="6"/>
        <v>8444.2109634004482</v>
      </c>
      <c r="CG29" s="137">
        <f t="shared" si="6"/>
        <v>8940.9653077011426</v>
      </c>
      <c r="CH29" s="137">
        <f t="shared" si="6"/>
        <v>9538.593773016979</v>
      </c>
      <c r="CJ29" s="217"/>
      <c r="CK29" s="1033"/>
      <c r="CM29" s="1033"/>
      <c r="CN29" s="48"/>
    </row>
    <row r="30" spans="1:243" ht="12.75" customHeight="1">
      <c r="G30" s="9"/>
      <c r="H30" s="245" t="s">
        <v>772</v>
      </c>
      <c r="I30" s="37"/>
      <c r="J30" s="37"/>
      <c r="K30" s="37"/>
      <c r="L30" s="136"/>
      <c r="M30" s="136"/>
      <c r="N30" s="136"/>
      <c r="O30" s="136"/>
      <c r="P30" s="137"/>
      <c r="Q30" s="136"/>
      <c r="R30" s="136"/>
      <c r="S30" s="136"/>
      <c r="T30" s="136"/>
      <c r="U30" s="137"/>
      <c r="V30" s="136"/>
      <c r="W30" s="136"/>
      <c r="X30" s="136"/>
      <c r="Y30" s="136"/>
      <c r="Z30" s="138"/>
      <c r="AA30" s="136"/>
      <c r="AB30" s="136"/>
      <c r="AC30" s="136"/>
      <c r="AD30" s="136"/>
      <c r="AE30" s="137"/>
      <c r="AF30" s="136"/>
      <c r="AG30" s="136"/>
      <c r="AH30" s="136"/>
      <c r="AI30" s="136"/>
      <c r="AJ30" s="137"/>
      <c r="AK30" s="136"/>
      <c r="AL30" s="136"/>
      <c r="AM30" s="136"/>
      <c r="AN30" s="136"/>
      <c r="AO30" s="1012">
        <v>385.7</v>
      </c>
      <c r="AP30" s="136"/>
      <c r="AQ30" s="136"/>
      <c r="AR30" s="136"/>
      <c r="AS30" s="136"/>
      <c r="AT30" s="1012">
        <v>469</v>
      </c>
      <c r="AU30" s="884">
        <v>147.69999999999999</v>
      </c>
      <c r="AV30" s="884">
        <v>133.1</v>
      </c>
      <c r="AW30" s="884">
        <v>140.80000000000001</v>
      </c>
      <c r="AX30" s="884">
        <v>141.4</v>
      </c>
      <c r="AY30" s="153">
        <f>SUM(AU30:AX30)</f>
        <v>563</v>
      </c>
      <c r="AZ30" s="884">
        <v>146.1</v>
      </c>
      <c r="BA30" s="884">
        <v>145.19999999999999</v>
      </c>
      <c r="BB30" s="884">
        <v>132.19999999999999</v>
      </c>
      <c r="BC30" s="884">
        <v>131.5</v>
      </c>
      <c r="BD30" s="1051">
        <f>SUM(AZ30:BC30)</f>
        <v>555</v>
      </c>
      <c r="BE30" s="1036"/>
      <c r="BF30" s="1036"/>
      <c r="BG30" s="1036"/>
      <c r="BH30" s="1036"/>
      <c r="BI30" s="1036"/>
      <c r="BJ30" s="1036"/>
      <c r="BK30" s="1036"/>
      <c r="BL30" s="1036"/>
      <c r="BM30" s="1036"/>
      <c r="BN30" s="1036"/>
      <c r="BO30" s="1036"/>
      <c r="BP30" s="1036"/>
      <c r="BQ30" s="1036"/>
      <c r="BR30" s="1036"/>
      <c r="BS30" s="1036"/>
      <c r="BT30" s="1037"/>
      <c r="BU30" s="1037"/>
      <c r="BV30" s="1037"/>
      <c r="BW30" s="1037"/>
      <c r="BX30" s="1036"/>
      <c r="BY30" s="1037"/>
      <c r="BZ30" s="1037"/>
      <c r="CA30" s="1037"/>
      <c r="CB30" s="1037"/>
      <c r="CC30" s="1036"/>
      <c r="CD30" s="1036"/>
      <c r="CE30" s="1036"/>
      <c r="CF30" s="1036"/>
      <c r="CG30" s="1036"/>
      <c r="CH30" s="1036"/>
      <c r="CK30" s="1033"/>
      <c r="CM30" s="1033"/>
    </row>
    <row r="31" spans="1:243" ht="12.75" customHeight="1">
      <c r="G31" s="9"/>
      <c r="H31" s="814" t="s">
        <v>787</v>
      </c>
      <c r="I31" s="821"/>
      <c r="J31" s="821"/>
      <c r="K31" s="821"/>
      <c r="L31" s="818"/>
      <c r="M31" s="818"/>
      <c r="N31" s="818"/>
      <c r="O31" s="818"/>
      <c r="P31" s="153"/>
      <c r="Q31" s="818"/>
      <c r="R31" s="818"/>
      <c r="S31" s="818"/>
      <c r="T31" s="818"/>
      <c r="U31" s="153"/>
      <c r="V31" s="818"/>
      <c r="W31" s="818"/>
      <c r="X31" s="818"/>
      <c r="Y31" s="818"/>
      <c r="Z31" s="154"/>
      <c r="AA31" s="818"/>
      <c r="AB31" s="818"/>
      <c r="AC31" s="818"/>
      <c r="AD31" s="818"/>
      <c r="AE31" s="153"/>
      <c r="AF31" s="818"/>
      <c r="AG31" s="818"/>
      <c r="AH31" s="818"/>
      <c r="AI31" s="818"/>
      <c r="AJ31" s="153"/>
      <c r="AK31" s="152"/>
      <c r="AL31" s="152"/>
      <c r="AM31" s="152"/>
      <c r="AN31" s="152"/>
      <c r="AO31" s="153">
        <f>AO29+AO30</f>
        <v>7157.9799999999987</v>
      </c>
      <c r="AP31" s="152"/>
      <c r="AQ31" s="152"/>
      <c r="AR31" s="152"/>
      <c r="AS31" s="152"/>
      <c r="AT31" s="153">
        <f t="shared" ref="AT31:BC31" si="7">AT29+AT30</f>
        <v>6787.0000000000045</v>
      </c>
      <c r="AU31" s="152">
        <f t="shared" si="7"/>
        <v>1552.8000000000004</v>
      </c>
      <c r="AV31" s="152">
        <f t="shared" si="7"/>
        <v>1335.3</v>
      </c>
      <c r="AW31" s="152">
        <f t="shared" si="7"/>
        <v>1280.2999999999988</v>
      </c>
      <c r="AX31" s="152">
        <f t="shared" si="7"/>
        <v>1409.8086839999992</v>
      </c>
      <c r="AY31" s="153">
        <f t="shared" si="7"/>
        <v>5578.2086840000029</v>
      </c>
      <c r="AZ31" s="152">
        <f t="shared" si="7"/>
        <v>1589.3999999999996</v>
      </c>
      <c r="BA31" s="152">
        <f t="shared" si="7"/>
        <v>1711.7000000000003</v>
      </c>
      <c r="BB31" s="152">
        <f t="shared" si="7"/>
        <v>1676.8999999999999</v>
      </c>
      <c r="BC31" s="152">
        <f t="shared" si="7"/>
        <v>1124.7999999999993</v>
      </c>
      <c r="BD31" s="1051">
        <f>BD29+BD30</f>
        <v>6102.8000000000038</v>
      </c>
      <c r="BE31" s="1036"/>
      <c r="BF31" s="1036"/>
      <c r="BG31" s="1036"/>
      <c r="BH31" s="1036"/>
      <c r="BI31" s="1036"/>
      <c r="BJ31" s="1036"/>
      <c r="BK31" s="1036"/>
      <c r="BL31" s="1036"/>
      <c r="BM31" s="1036"/>
      <c r="BN31" s="1036"/>
      <c r="BO31" s="1036"/>
      <c r="BP31" s="1036"/>
      <c r="BQ31" s="1036"/>
      <c r="BR31" s="1036"/>
      <c r="BS31" s="1038"/>
      <c r="BT31" s="1038"/>
      <c r="BU31" s="1038"/>
      <c r="BV31" s="1038"/>
      <c r="BW31" s="1038"/>
      <c r="BX31" s="1038"/>
      <c r="BY31" s="1038"/>
      <c r="BZ31" s="1038"/>
      <c r="CA31" s="1038"/>
      <c r="CB31" s="1038"/>
      <c r="CC31" s="1038"/>
      <c r="CD31" s="1038"/>
      <c r="CE31" s="1038"/>
      <c r="CF31" s="1038"/>
      <c r="CG31" s="1038"/>
      <c r="CH31" s="1038"/>
      <c r="CK31" s="1033"/>
      <c r="CM31" s="1033"/>
      <c r="II31" s="153"/>
    </row>
    <row r="32" spans="1:243" s="292" customFormat="1" ht="12.75" customHeight="1">
      <c r="A32"/>
      <c r="B32"/>
      <c r="C32"/>
      <c r="D32"/>
      <c r="E32"/>
      <c r="F32"/>
      <c r="G32" s="285"/>
      <c r="H32" s="814" t="s">
        <v>771</v>
      </c>
      <c r="I32" s="815"/>
      <c r="J32" s="815"/>
      <c r="K32" s="815"/>
      <c r="L32" s="818">
        <f>P32/4</f>
        <v>180.25</v>
      </c>
      <c r="M32" s="818">
        <f>(P32-L32)/3</f>
        <v>180.25</v>
      </c>
      <c r="N32" s="818">
        <f>(P32-L32-M32)/2</f>
        <v>180.25</v>
      </c>
      <c r="O32" s="820">
        <f>P32-N32-M32-L32</f>
        <v>180.25</v>
      </c>
      <c r="P32" s="743">
        <v>721</v>
      </c>
      <c r="Q32" s="818">
        <f>U32/4</f>
        <v>198.55</v>
      </c>
      <c r="R32" s="818">
        <f>(U32-Q32)/3</f>
        <v>198.55000000000004</v>
      </c>
      <c r="S32" s="818">
        <f>(U32-Q32-R32)/2</f>
        <v>198.55</v>
      </c>
      <c r="T32" s="820">
        <f>U32-S32-R32-Q32</f>
        <v>198.55</v>
      </c>
      <c r="U32" s="743">
        <v>794.2</v>
      </c>
      <c r="V32" s="818">
        <f>Z32/4</f>
        <v>218.77500000000001</v>
      </c>
      <c r="W32" s="818">
        <f>(Z32-V32)/3</f>
        <v>218.77500000000001</v>
      </c>
      <c r="X32" s="818">
        <f>(Z32-V32-W32)/2</f>
        <v>218.77500000000003</v>
      </c>
      <c r="Y32" s="820">
        <f>Z32-X32-W32-V32</f>
        <v>218.77500000000006</v>
      </c>
      <c r="Z32" s="823">
        <v>875.1</v>
      </c>
      <c r="AA32" s="818">
        <f>AE32/4</f>
        <v>232.3</v>
      </c>
      <c r="AB32" s="818">
        <f>(AE32-AA32)/3</f>
        <v>232.30000000000004</v>
      </c>
      <c r="AC32" s="818">
        <f>(AE32-AA32-AB32)/2</f>
        <v>232.3</v>
      </c>
      <c r="AD32" s="820">
        <f>AE32-AC32-AB32-AA32</f>
        <v>232.3</v>
      </c>
      <c r="AE32" s="743">
        <v>929.2</v>
      </c>
      <c r="AF32" s="818">
        <f>AJ32/4</f>
        <v>255.2</v>
      </c>
      <c r="AG32" s="818">
        <f>(AJ32-AF32)/3</f>
        <v>255.19999999999996</v>
      </c>
      <c r="AH32" s="818">
        <f>(AJ32-AF32-AG32)/2</f>
        <v>255.2</v>
      </c>
      <c r="AI32" s="820">
        <f>AJ32-AH32-AG32-AF32</f>
        <v>255.2</v>
      </c>
      <c r="AJ32" s="743">
        <v>1020.8</v>
      </c>
      <c r="AK32" s="818"/>
      <c r="AL32" s="818"/>
      <c r="AM32" s="818"/>
      <c r="AN32" s="820"/>
      <c r="AO32" s="743">
        <v>942.5</v>
      </c>
      <c r="AP32" s="818"/>
      <c r="AQ32" s="818"/>
      <c r="AR32" s="818"/>
      <c r="AS32" s="820"/>
      <c r="AT32" s="743">
        <v>904.6</v>
      </c>
      <c r="AU32" s="884">
        <v>238.2</v>
      </c>
      <c r="AV32" s="884">
        <v>228.9</v>
      </c>
      <c r="AW32" s="884">
        <v>228.9</v>
      </c>
      <c r="AX32" s="884">
        <v>203.2</v>
      </c>
      <c r="AY32" s="153">
        <f>SUM(AU32:AX32)</f>
        <v>899.2</v>
      </c>
      <c r="AZ32" s="1011">
        <v>235.4</v>
      </c>
      <c r="BA32" s="1011">
        <v>218.7</v>
      </c>
      <c r="BB32" s="1011">
        <v>216.8</v>
      </c>
      <c r="BC32" s="1011">
        <v>219.7</v>
      </c>
      <c r="BD32" s="1051">
        <f>SUM(AZ32:BC32)</f>
        <v>890.60000000000014</v>
      </c>
      <c r="BE32" s="884">
        <v>216.8</v>
      </c>
      <c r="BF32" s="884">
        <v>214.30000000000004</v>
      </c>
      <c r="BG32" s="884">
        <v>208.39999999999981</v>
      </c>
      <c r="BH32" s="884">
        <v>203.60000000000008</v>
      </c>
      <c r="BI32" s="153">
        <f>SUM(BE32:BH32)</f>
        <v>843.09999999999991</v>
      </c>
      <c r="BJ32" s="884">
        <v>203.3</v>
      </c>
      <c r="BK32" s="884">
        <v>215.1</v>
      </c>
      <c r="BL32" s="884">
        <v>204.19999999999996</v>
      </c>
      <c r="BM32" s="884">
        <v>173.3</v>
      </c>
      <c r="BN32" s="1040">
        <f>SUM(BJ32:BM32)</f>
        <v>795.89999999999986</v>
      </c>
      <c r="BO32" s="884">
        <v>213</v>
      </c>
      <c r="BP32" s="884">
        <v>205.10000000000005</v>
      </c>
      <c r="BQ32" s="884">
        <v>215.09999999999997</v>
      </c>
      <c r="BR32" s="884">
        <v>175.49999999999989</v>
      </c>
      <c r="BS32" s="153">
        <f>SUM(BO32:BR32)</f>
        <v>808.69999999999993</v>
      </c>
      <c r="BT32" s="884">
        <v>210.79999999999998</v>
      </c>
      <c r="BU32" s="884">
        <v>217.50000000000003</v>
      </c>
      <c r="BV32" s="884">
        <v>217.10000000000008</v>
      </c>
      <c r="BW32" s="884">
        <v>238.49999999999997</v>
      </c>
      <c r="BX32" s="153">
        <f>SUM(BT32:BW32)</f>
        <v>883.90000000000009</v>
      </c>
      <c r="BY32" s="817">
        <v>215.75</v>
      </c>
      <c r="BZ32" s="817">
        <v>215.75</v>
      </c>
      <c r="CA32" s="817">
        <v>215.75</v>
      </c>
      <c r="CB32" s="817">
        <v>215.75</v>
      </c>
      <c r="CC32" s="153">
        <f>SUM(BY32:CB32)</f>
        <v>863</v>
      </c>
      <c r="CD32" s="816">
        <f>CC32</f>
        <v>863</v>
      </c>
      <c r="CE32" s="816">
        <f>CD32</f>
        <v>863</v>
      </c>
      <c r="CF32" s="816">
        <f>CE32</f>
        <v>863</v>
      </c>
      <c r="CG32" s="816">
        <f>CF32</f>
        <v>863</v>
      </c>
      <c r="CH32" s="816">
        <f>CG32</f>
        <v>863</v>
      </c>
      <c r="CK32" s="1033"/>
      <c r="CM32" s="1033"/>
    </row>
    <row r="33" spans="1:243" s="832" customFormat="1" ht="12.75" customHeight="1">
      <c r="A33"/>
      <c r="B33"/>
      <c r="C33"/>
      <c r="D33"/>
      <c r="E33"/>
      <c r="F33"/>
      <c r="G33" s="827"/>
      <c r="H33" s="1230" t="s">
        <v>332</v>
      </c>
      <c r="I33" s="815"/>
      <c r="J33" s="815"/>
      <c r="K33" s="1031"/>
      <c r="L33" s="1231">
        <f t="shared" ref="L33:AJ33" si="8">L29+L32</f>
        <v>1026.05</v>
      </c>
      <c r="M33" s="1231">
        <f t="shared" si="8"/>
        <v>1068.1499999999996</v>
      </c>
      <c r="N33" s="1231">
        <f t="shared" si="8"/>
        <v>1113.7499999999995</v>
      </c>
      <c r="O33" s="1231">
        <f t="shared" si="8"/>
        <v>1161.6499999999996</v>
      </c>
      <c r="P33" s="1232">
        <f t="shared" si="8"/>
        <v>4369.5999999999985</v>
      </c>
      <c r="Q33" s="1231">
        <f t="shared" si="8"/>
        <v>1223.1500000000001</v>
      </c>
      <c r="R33" s="1231">
        <f t="shared" si="8"/>
        <v>1192.3499999999999</v>
      </c>
      <c r="S33" s="1231">
        <f t="shared" si="8"/>
        <v>1248.3</v>
      </c>
      <c r="T33" s="1231">
        <f t="shared" si="8"/>
        <v>1256.0500000000002</v>
      </c>
      <c r="U33" s="1232">
        <f t="shared" si="8"/>
        <v>4919.8499999999995</v>
      </c>
      <c r="V33" s="1231">
        <f t="shared" si="8"/>
        <v>1351.4749999999999</v>
      </c>
      <c r="W33" s="1231">
        <f t="shared" si="8"/>
        <v>1471.6749999999993</v>
      </c>
      <c r="X33" s="1231">
        <f t="shared" si="8"/>
        <v>1428.6750000000006</v>
      </c>
      <c r="Y33" s="1231">
        <f t="shared" si="8"/>
        <v>1426.3749999999991</v>
      </c>
      <c r="Z33" s="1233">
        <f t="shared" si="8"/>
        <v>5678.199999999998</v>
      </c>
      <c r="AA33" s="1231">
        <f t="shared" si="8"/>
        <v>1500.1000000000001</v>
      </c>
      <c r="AB33" s="1231">
        <f t="shared" si="8"/>
        <v>1566.1</v>
      </c>
      <c r="AC33" s="1231">
        <f t="shared" si="8"/>
        <v>1672.200000000001</v>
      </c>
      <c r="AD33" s="1231">
        <f t="shared" si="8"/>
        <v>1721.100000000001</v>
      </c>
      <c r="AE33" s="1232">
        <f t="shared" si="8"/>
        <v>6459.5000000000018</v>
      </c>
      <c r="AF33" s="1231">
        <f t="shared" si="8"/>
        <v>2008.8000000000006</v>
      </c>
      <c r="AG33" s="1231">
        <f t="shared" si="8"/>
        <v>1851.8100000000002</v>
      </c>
      <c r="AH33" s="1231">
        <f t="shared" si="8"/>
        <v>1941.600000000001</v>
      </c>
      <c r="AI33" s="1231">
        <f t="shared" si="8"/>
        <v>1588.5999999999995</v>
      </c>
      <c r="AJ33" s="1232">
        <f t="shared" si="8"/>
        <v>7390.8100000000022</v>
      </c>
      <c r="AK33" s="1231"/>
      <c r="AL33" s="1231"/>
      <c r="AM33" s="1231"/>
      <c r="AN33" s="1231"/>
      <c r="AO33" s="1232">
        <f t="shared" ref="AO33:BD33" si="9">AO29+AO32+AO30</f>
        <v>8100.4799999999987</v>
      </c>
      <c r="AP33" s="1231"/>
      <c r="AQ33" s="1231"/>
      <c r="AR33" s="1231"/>
      <c r="AS33" s="1231"/>
      <c r="AT33" s="1232">
        <f t="shared" si="9"/>
        <v>7691.6000000000049</v>
      </c>
      <c r="AU33" s="1231">
        <f t="shared" si="9"/>
        <v>1791.0000000000005</v>
      </c>
      <c r="AV33" s="1231">
        <f t="shared" si="9"/>
        <v>1564.2</v>
      </c>
      <c r="AW33" s="1231">
        <f t="shared" si="9"/>
        <v>1509.1999999999989</v>
      </c>
      <c r="AX33" s="1231">
        <f t="shared" si="9"/>
        <v>1613.0086839999992</v>
      </c>
      <c r="AY33" s="1232">
        <f t="shared" si="9"/>
        <v>6477.4086840000027</v>
      </c>
      <c r="AZ33" s="1231">
        <f t="shared" si="9"/>
        <v>1824.7999999999997</v>
      </c>
      <c r="BA33" s="1231">
        <f t="shared" si="9"/>
        <v>1930.4000000000003</v>
      </c>
      <c r="BB33" s="1231">
        <f t="shared" si="9"/>
        <v>1893.6999999999998</v>
      </c>
      <c r="BC33" s="1231">
        <f t="shared" si="9"/>
        <v>1344.4999999999993</v>
      </c>
      <c r="BD33" s="1234">
        <f t="shared" si="9"/>
        <v>6993.4000000000042</v>
      </c>
      <c r="BE33" s="948">
        <f t="shared" ref="BE33:BV33" si="10">BE29+BE32</f>
        <v>1211.8000000000004</v>
      </c>
      <c r="BF33" s="819">
        <f t="shared" si="10"/>
        <v>1232.8999999999992</v>
      </c>
      <c r="BG33" s="819">
        <f t="shared" si="10"/>
        <v>1155.3000000000004</v>
      </c>
      <c r="BH33" s="819">
        <f t="shared" si="10"/>
        <v>1220.9000000000003</v>
      </c>
      <c r="BI33" s="1235">
        <f t="shared" si="10"/>
        <v>4820.8999999999978</v>
      </c>
      <c r="BJ33" s="948">
        <f t="shared" si="10"/>
        <v>1308.6999999999996</v>
      </c>
      <c r="BK33" s="819">
        <f t="shared" si="10"/>
        <v>1390.7999999999997</v>
      </c>
      <c r="BL33" s="819">
        <f t="shared" si="10"/>
        <v>1355.4999999999998</v>
      </c>
      <c r="BM33" s="819">
        <f t="shared" si="10"/>
        <v>1086.099999999999</v>
      </c>
      <c r="BN33" s="1235">
        <f t="shared" si="10"/>
        <v>5141.0999999999958</v>
      </c>
      <c r="BO33" s="819">
        <f t="shared" si="10"/>
        <v>1232.7</v>
      </c>
      <c r="BP33" s="819">
        <f t="shared" si="10"/>
        <v>1355.0000000000014</v>
      </c>
      <c r="BQ33" s="819">
        <f t="shared" si="10"/>
        <v>1381.7999999999995</v>
      </c>
      <c r="BR33" s="819">
        <f t="shared" si="10"/>
        <v>1393.8000000000006</v>
      </c>
      <c r="BS33" s="1235">
        <f t="shared" si="10"/>
        <v>5351.4000000000033</v>
      </c>
      <c r="BT33" s="819">
        <f t="shared" si="10"/>
        <v>1514.9999999999995</v>
      </c>
      <c r="BU33" s="819">
        <f t="shared" si="10"/>
        <v>1726.0000000000002</v>
      </c>
      <c r="BV33" s="819">
        <f t="shared" si="10"/>
        <v>1595.6</v>
      </c>
      <c r="BW33" s="819">
        <f t="shared" ref="BW33:CC33" si="11">BW29+BW32</f>
        <v>1696.2999999999993</v>
      </c>
      <c r="BX33" s="1235">
        <f>BX29+BX32</f>
        <v>6532.9</v>
      </c>
      <c r="BY33" s="819">
        <f>BY29+BY32</f>
        <v>1819.95</v>
      </c>
      <c r="BZ33" s="819">
        <f t="shared" si="11"/>
        <v>1802.8029999999994</v>
      </c>
      <c r="CA33" s="819">
        <f t="shared" si="11"/>
        <v>1934.8260839999996</v>
      </c>
      <c r="CB33" s="819">
        <f t="shared" si="11"/>
        <v>1686.1085000000003</v>
      </c>
      <c r="CC33" s="1235">
        <f t="shared" si="11"/>
        <v>7243.5875839999972</v>
      </c>
      <c r="CD33" s="1235">
        <f>CD29+CD32</f>
        <v>7914.0388376500014</v>
      </c>
      <c r="CE33" s="1235">
        <f>CE29+CE32</f>
        <v>8700.446224809999</v>
      </c>
      <c r="CF33" s="1235">
        <f>CF29+CF32</f>
        <v>9307.2109634004482</v>
      </c>
      <c r="CG33" s="1235">
        <f>CG29+CG32</f>
        <v>9803.9653077011426</v>
      </c>
      <c r="CH33" s="1235">
        <f>CH29+CH32</f>
        <v>10401.593773016979</v>
      </c>
      <c r="CK33" s="1236"/>
      <c r="CM33" s="1236"/>
      <c r="II33" s="1235"/>
    </row>
    <row r="34" spans="1:243" ht="12.75" customHeight="1">
      <c r="G34" s="9"/>
      <c r="H34" s="70" t="s">
        <v>953</v>
      </c>
      <c r="I34" s="70"/>
      <c r="J34" s="70"/>
      <c r="K34" s="70"/>
      <c r="L34" s="158">
        <f t="shared" ref="L34:AN34" si="12">L37+L35+L36</f>
        <v>98.6</v>
      </c>
      <c r="M34" s="158">
        <f t="shared" si="12"/>
        <v>45.756999999999998</v>
      </c>
      <c r="N34" s="158">
        <f t="shared" si="12"/>
        <v>84.7</v>
      </c>
      <c r="O34" s="158">
        <f t="shared" si="12"/>
        <v>84.600000000000009</v>
      </c>
      <c r="P34" s="161">
        <f t="shared" si="12"/>
        <v>313.65700000000004</v>
      </c>
      <c r="Q34" s="158">
        <f t="shared" si="12"/>
        <v>31.700000000000003</v>
      </c>
      <c r="R34" s="158">
        <f t="shared" si="12"/>
        <v>47</v>
      </c>
      <c r="S34" s="158">
        <f t="shared" si="12"/>
        <v>56</v>
      </c>
      <c r="T34" s="158">
        <f t="shared" si="12"/>
        <v>102.69999999999999</v>
      </c>
      <c r="U34" s="161">
        <f t="shared" si="12"/>
        <v>237.40000000000003</v>
      </c>
      <c r="V34" s="158">
        <f t="shared" si="12"/>
        <v>38</v>
      </c>
      <c r="W34" s="158">
        <f t="shared" si="12"/>
        <v>2</v>
      </c>
      <c r="X34" s="158">
        <f t="shared" si="12"/>
        <v>50.2</v>
      </c>
      <c r="Y34" s="158">
        <f t="shared" si="12"/>
        <v>31.6</v>
      </c>
      <c r="Z34" s="133">
        <f t="shared" si="12"/>
        <v>121.79999999999998</v>
      </c>
      <c r="AA34" s="158">
        <f t="shared" si="12"/>
        <v>-45.3</v>
      </c>
      <c r="AB34" s="158">
        <f t="shared" si="12"/>
        <v>-37</v>
      </c>
      <c r="AC34" s="158">
        <f t="shared" si="12"/>
        <v>-76.3</v>
      </c>
      <c r="AD34" s="158">
        <f t="shared" si="12"/>
        <v>-109.30000000000001</v>
      </c>
      <c r="AE34" s="161">
        <f t="shared" si="12"/>
        <v>-267.89999999999998</v>
      </c>
      <c r="AF34" s="158">
        <f t="shared" si="12"/>
        <v>-70.699999999999989</v>
      </c>
      <c r="AG34" s="158">
        <f t="shared" si="12"/>
        <v>-24.099999999999991</v>
      </c>
      <c r="AH34" s="158">
        <f t="shared" si="12"/>
        <v>-66.899999999999991</v>
      </c>
      <c r="AI34" s="158">
        <f t="shared" si="12"/>
        <v>-67.8</v>
      </c>
      <c r="AJ34" s="161">
        <f t="shared" si="12"/>
        <v>-229.49999999999994</v>
      </c>
      <c r="AK34" s="158">
        <f t="shared" si="12"/>
        <v>74.5</v>
      </c>
      <c r="AL34" s="158">
        <f t="shared" si="12"/>
        <v>-18.399999999999999</v>
      </c>
      <c r="AM34" s="158">
        <f t="shared" si="12"/>
        <v>-21.7</v>
      </c>
      <c r="AN34" s="158">
        <f t="shared" si="12"/>
        <v>-39.400000000000006</v>
      </c>
      <c r="AO34" s="161">
        <f>AO35+AO37+AO36</f>
        <v>-5</v>
      </c>
      <c r="AP34" s="158">
        <f t="shared" ref="AP34:AY34" si="13">AP37+AP35+AP36</f>
        <v>-11.199999999999996</v>
      </c>
      <c r="AQ34" s="158">
        <f t="shared" si="13"/>
        <v>-57.600000000000009</v>
      </c>
      <c r="AR34" s="158">
        <f t="shared" si="13"/>
        <v>-83.399999999999991</v>
      </c>
      <c r="AS34" s="158">
        <f>AS37+AS35+AS36</f>
        <v>-26.800000000000004</v>
      </c>
      <c r="AT34" s="161">
        <f t="shared" si="13"/>
        <v>-178.99999999999997</v>
      </c>
      <c r="AU34" s="158">
        <f t="shared" si="13"/>
        <v>-45.999999999999993</v>
      </c>
      <c r="AV34" s="158">
        <f>AV37+AV35+AV36</f>
        <v>-16.500000000000004</v>
      </c>
      <c r="AW34" s="158">
        <f t="shared" si="13"/>
        <v>0.69999999999999929</v>
      </c>
      <c r="AX34" s="158">
        <f t="shared" si="13"/>
        <v>-51.999999999999993</v>
      </c>
      <c r="AY34" s="161">
        <f t="shared" si="13"/>
        <v>-113.80000000000001</v>
      </c>
      <c r="AZ34" s="158">
        <f t="shared" ref="AZ34:BK34" si="14">AZ37+AZ35+AZ36</f>
        <v>33.800000000000004</v>
      </c>
      <c r="BA34" s="158">
        <f t="shared" si="14"/>
        <v>11.900000000000002</v>
      </c>
      <c r="BB34" s="158">
        <f t="shared" si="14"/>
        <v>-31.299999999999997</v>
      </c>
      <c r="BC34" s="158">
        <f t="shared" si="14"/>
        <v>9.1000000000000014</v>
      </c>
      <c r="BD34" s="1052">
        <f t="shared" si="14"/>
        <v>23.500000000000014</v>
      </c>
      <c r="BE34" s="158">
        <f>BE37+BE35+BE36</f>
        <v>56</v>
      </c>
      <c r="BF34" s="158">
        <f t="shared" si="14"/>
        <v>53.8</v>
      </c>
      <c r="BG34" s="158">
        <f t="shared" si="14"/>
        <v>93.499999999999986</v>
      </c>
      <c r="BH34" s="158">
        <f t="shared" si="14"/>
        <v>45.2</v>
      </c>
      <c r="BI34" s="161">
        <f t="shared" si="14"/>
        <v>248.49999999999994</v>
      </c>
      <c r="BJ34" s="158">
        <f>BJ37+BJ35+BJ36</f>
        <v>92.700000000000017</v>
      </c>
      <c r="BK34" s="158">
        <f t="shared" si="14"/>
        <v>29.4</v>
      </c>
      <c r="BL34" s="158">
        <f t="shared" ref="BL34:CH34" si="15">BL37+BL35+BL36</f>
        <v>86.5</v>
      </c>
      <c r="BM34" s="158">
        <f t="shared" si="15"/>
        <v>44.699999999999989</v>
      </c>
      <c r="BN34" s="161">
        <f t="shared" si="15"/>
        <v>253.30000000000007</v>
      </c>
      <c r="BO34" s="158">
        <f t="shared" si="15"/>
        <v>54.899999999999991</v>
      </c>
      <c r="BP34" s="158">
        <f t="shared" si="15"/>
        <v>21.199999999999996</v>
      </c>
      <c r="BQ34" s="158">
        <f t="shared" si="15"/>
        <v>27.199999999999996</v>
      </c>
      <c r="BR34" s="158">
        <f t="shared" si="15"/>
        <v>15.799999999999997</v>
      </c>
      <c r="BS34" s="161">
        <f t="shared" si="15"/>
        <v>119.10000000000002</v>
      </c>
      <c r="BT34" s="158">
        <f t="shared" si="15"/>
        <v>15.100000000000001</v>
      </c>
      <c r="BU34" s="158">
        <f t="shared" si="15"/>
        <v>-3.8999999999999986</v>
      </c>
      <c r="BV34" s="158">
        <f t="shared" si="15"/>
        <v>-13.899999999999999</v>
      </c>
      <c r="BW34" s="158">
        <f t="shared" si="15"/>
        <v>55.1</v>
      </c>
      <c r="BX34" s="161">
        <f t="shared" si="15"/>
        <v>52.400000000000006</v>
      </c>
      <c r="BY34" s="158">
        <f t="shared" si="15"/>
        <v>67.5</v>
      </c>
      <c r="BZ34" s="158">
        <f t="shared" si="15"/>
        <v>40.429658333333329</v>
      </c>
      <c r="CA34" s="158">
        <f t="shared" si="15"/>
        <v>40.429658333333336</v>
      </c>
      <c r="CB34" s="158">
        <f t="shared" si="15"/>
        <v>40.429658333333336</v>
      </c>
      <c r="CC34" s="161">
        <f t="shared" si="15"/>
        <v>188.78897499999999</v>
      </c>
      <c r="CD34" s="161">
        <f t="shared" si="15"/>
        <v>155.55638125000002</v>
      </c>
      <c r="CE34" s="161">
        <f t="shared" si="15"/>
        <v>172.14268750000002</v>
      </c>
      <c r="CF34" s="161">
        <f t="shared" si="15"/>
        <v>172.14268750000002</v>
      </c>
      <c r="CG34" s="161">
        <f t="shared" si="15"/>
        <v>175.4141875</v>
      </c>
      <c r="CH34" s="161">
        <f t="shared" si="15"/>
        <v>178.6856875</v>
      </c>
      <c r="EW34" s="7" t="s">
        <v>1123</v>
      </c>
    </row>
    <row r="35" spans="1:243" ht="12.75" customHeight="1">
      <c r="G35" s="9"/>
      <c r="H35" s="134" t="s">
        <v>686</v>
      </c>
      <c r="I35" s="134"/>
      <c r="J35" s="134"/>
      <c r="K35" s="134"/>
      <c r="L35" s="165">
        <v>-24.6</v>
      </c>
      <c r="M35" s="165">
        <v>-12</v>
      </c>
      <c r="N35" s="165">
        <v>-24.3</v>
      </c>
      <c r="O35" s="165">
        <v>-44.3</v>
      </c>
      <c r="P35" s="159">
        <f t="shared" ref="P35:P42" si="16">SUM(L35:O35)</f>
        <v>-105.2</v>
      </c>
      <c r="Q35" s="165">
        <v>-65</v>
      </c>
      <c r="R35" s="165">
        <v>-66</v>
      </c>
      <c r="S35" s="165">
        <v>-62.7</v>
      </c>
      <c r="T35" s="165">
        <v>-44.6</v>
      </c>
      <c r="U35" s="159">
        <f t="shared" ref="U35:U43" si="17">SUM(Q35:T35)</f>
        <v>-238.29999999999998</v>
      </c>
      <c r="V35" s="165">
        <v>-53</v>
      </c>
      <c r="W35" s="165">
        <v>-59</v>
      </c>
      <c r="X35" s="165">
        <v>-55.8</v>
      </c>
      <c r="Y35" s="165">
        <v>-60.4</v>
      </c>
      <c r="Z35" s="160">
        <f t="shared" ref="Z35:Z43" si="18">SUM(V35:Y35)</f>
        <v>-228.20000000000002</v>
      </c>
      <c r="AA35" s="165">
        <v>-73.8</v>
      </c>
      <c r="AB35" s="165">
        <v>-68.599999999999994</v>
      </c>
      <c r="AC35" s="165">
        <v>-62</v>
      </c>
      <c r="AD35" s="165">
        <v>-61.1</v>
      </c>
      <c r="AE35" s="166">
        <f>SUM(AA35:AD35)</f>
        <v>-265.5</v>
      </c>
      <c r="AF35" s="165">
        <v>-87.6</v>
      </c>
      <c r="AG35" s="165">
        <v>-64.3</v>
      </c>
      <c r="AH35" s="165">
        <v>-59.2</v>
      </c>
      <c r="AI35" s="165">
        <v>-50.2</v>
      </c>
      <c r="AJ35" s="166">
        <f>SUM(AF35:AI35)</f>
        <v>-261.29999999999995</v>
      </c>
      <c r="AK35" s="165">
        <v>-47.6</v>
      </c>
      <c r="AL35" s="165">
        <v>-47.5</v>
      </c>
      <c r="AM35" s="165">
        <v>-47.2</v>
      </c>
      <c r="AN35" s="165">
        <v>-43.2</v>
      </c>
      <c r="AO35" s="166">
        <f>SUM(AK35:AN35)</f>
        <v>-185.5</v>
      </c>
      <c r="AP35" s="165">
        <v>-45.8</v>
      </c>
      <c r="AQ35" s="165">
        <v>-45.1</v>
      </c>
      <c r="AR35" s="165">
        <v>-45</v>
      </c>
      <c r="AS35" s="165">
        <v>-50</v>
      </c>
      <c r="AT35" s="166">
        <f>SUM(AP35:AS35)</f>
        <v>-185.9</v>
      </c>
      <c r="AU35" s="165">
        <v>-45.3</v>
      </c>
      <c r="AV35" s="165">
        <v>-43</v>
      </c>
      <c r="AW35" s="165">
        <v>-47</v>
      </c>
      <c r="AX35" s="165">
        <v>-42.6</v>
      </c>
      <c r="AY35" s="166">
        <f>SUM(AU35:AX35)</f>
        <v>-177.9</v>
      </c>
      <c r="AZ35" s="165">
        <v>-40.299999999999997</v>
      </c>
      <c r="BA35" s="146">
        <v>-40.299999999999997</v>
      </c>
      <c r="BB35" s="146">
        <v>-39.799999999999997</v>
      </c>
      <c r="BC35" s="146">
        <v>-39.700000000000003</v>
      </c>
      <c r="BD35" s="1049">
        <f>SUM(AZ35:BC35)</f>
        <v>-160.1</v>
      </c>
      <c r="BE35" s="165">
        <v>-37.799999999999997</v>
      </c>
      <c r="BF35" s="165">
        <v>-35.5</v>
      </c>
      <c r="BG35" s="165">
        <v>-38.1</v>
      </c>
      <c r="BH35" s="165">
        <v>-37.4</v>
      </c>
      <c r="BI35" s="166">
        <f>SUM(BE35:BH35)</f>
        <v>-148.80000000000001</v>
      </c>
      <c r="BJ35" s="1071">
        <v>-40.9</v>
      </c>
      <c r="BK35" s="1071">
        <v>-48</v>
      </c>
      <c r="BL35" s="1071">
        <v>-39.299999999999997</v>
      </c>
      <c r="BM35" s="1071">
        <v>-44.2</v>
      </c>
      <c r="BN35" s="166">
        <f>SUM(BJ35:BM35)</f>
        <v>-172.39999999999998</v>
      </c>
      <c r="BO35" s="1071">
        <v>-43.4</v>
      </c>
      <c r="BP35" s="1071">
        <v>-43.2</v>
      </c>
      <c r="BQ35" s="1071">
        <v>-47.2</v>
      </c>
      <c r="BR35" s="1071">
        <v>-51.4</v>
      </c>
      <c r="BS35" s="166">
        <f>SUM(BO35:BR35)</f>
        <v>-185.20000000000002</v>
      </c>
      <c r="BT35" s="1071">
        <v>-46.6</v>
      </c>
      <c r="BU35" s="1071">
        <v>-53.6</v>
      </c>
      <c r="BV35" s="1071">
        <v>-61.9</v>
      </c>
      <c r="BW35" s="1071">
        <v>-62.9</v>
      </c>
      <c r="BX35" s="166">
        <f>SUM(BT35:BW35)</f>
        <v>-225</v>
      </c>
      <c r="BY35" s="1071">
        <f>-61.2</f>
        <v>-61.2</v>
      </c>
      <c r="BZ35" s="131">
        <f>(CC35-BY35)/3</f>
        <v>-54.570341666666671</v>
      </c>
      <c r="CA35" s="131">
        <f>(CC35-BY35-BZ35)/2</f>
        <v>-54.570341666666664</v>
      </c>
      <c r="CB35" s="131">
        <f>CC35-BY35-BZ35-CA35</f>
        <v>-54.570341666666664</v>
      </c>
      <c r="CC35" s="161">
        <f>-DEBT!CC20</f>
        <v>-224.911025</v>
      </c>
      <c r="CD35" s="161">
        <f>-DEBT!CD20</f>
        <v>-149.94361874999998</v>
      </c>
      <c r="CE35" s="161">
        <f>-DEBT!CE20</f>
        <v>-133.35731249999998</v>
      </c>
      <c r="CF35" s="161">
        <f>-DEBT!CF20</f>
        <v>-133.35731249999998</v>
      </c>
      <c r="CG35" s="161">
        <f>-DEBT!CG20</f>
        <v>-130.0858125</v>
      </c>
      <c r="CH35" s="161">
        <f>-DEBT!CH20</f>
        <v>-126.8143125</v>
      </c>
    </row>
    <row r="36" spans="1:243" ht="12.75" customHeight="1">
      <c r="G36" s="9"/>
      <c r="H36" s="134" t="s">
        <v>221</v>
      </c>
      <c r="I36" s="169"/>
      <c r="J36" s="169"/>
      <c r="K36" s="169"/>
      <c r="L36" s="165">
        <v>46</v>
      </c>
      <c r="M36" s="165">
        <v>46.3</v>
      </c>
      <c r="N36" s="165">
        <v>52</v>
      </c>
      <c r="O36" s="146">
        <v>67.900000000000006</v>
      </c>
      <c r="P36" s="161">
        <f>SUM(L36:O36)</f>
        <v>212.20000000000002</v>
      </c>
      <c r="Q36" s="165">
        <v>59.7</v>
      </c>
      <c r="R36" s="165">
        <v>68</v>
      </c>
      <c r="S36" s="165">
        <v>67.5</v>
      </c>
      <c r="T36" s="165">
        <v>66.3</v>
      </c>
      <c r="U36" s="161">
        <f>SUM(Q36:T36)</f>
        <v>261.5</v>
      </c>
      <c r="V36" s="165">
        <v>57</v>
      </c>
      <c r="W36" s="165">
        <v>50</v>
      </c>
      <c r="X36" s="165">
        <v>50</v>
      </c>
      <c r="Y36" s="165">
        <v>58</v>
      </c>
      <c r="Z36" s="168">
        <f>SUM(V36:Y36)</f>
        <v>215</v>
      </c>
      <c r="AA36" s="165">
        <v>17.8</v>
      </c>
      <c r="AB36" s="165">
        <v>2.5</v>
      </c>
      <c r="AC36" s="165">
        <v>4.7</v>
      </c>
      <c r="AD36" s="165">
        <v>1.8</v>
      </c>
      <c r="AE36" s="132">
        <f>SUM(AA36:AD36)</f>
        <v>26.8</v>
      </c>
      <c r="AF36" s="165">
        <v>27.4</v>
      </c>
      <c r="AG36" s="165">
        <v>18.8</v>
      </c>
      <c r="AH36" s="165">
        <v>15.2</v>
      </c>
      <c r="AI36" s="165">
        <v>13.8</v>
      </c>
      <c r="AJ36" s="132">
        <f>SUM(AF36:AI36)</f>
        <v>75.2</v>
      </c>
      <c r="AK36" s="165">
        <v>10.6</v>
      </c>
      <c r="AL36" s="165">
        <v>11</v>
      </c>
      <c r="AM36" s="165">
        <v>16.3</v>
      </c>
      <c r="AN36" s="165">
        <v>14</v>
      </c>
      <c r="AO36" s="132">
        <f>SUM(AK36:AN36)</f>
        <v>51.900000000000006</v>
      </c>
      <c r="AP36" s="165">
        <v>15.5</v>
      </c>
      <c r="AQ36" s="165">
        <v>17.8</v>
      </c>
      <c r="AR36" s="165">
        <v>22.2</v>
      </c>
      <c r="AS36" s="165">
        <v>24.4</v>
      </c>
      <c r="AT36" s="132">
        <f t="shared" ref="AT36:AT41" si="19">SUM(AP36:AS36)</f>
        <v>79.900000000000006</v>
      </c>
      <c r="AU36" s="165">
        <v>26.1</v>
      </c>
      <c r="AV36" s="165">
        <v>27.2</v>
      </c>
      <c r="AW36" s="165">
        <v>25.7</v>
      </c>
      <c r="AX36" s="165">
        <v>26.1</v>
      </c>
      <c r="AY36" s="132">
        <f t="shared" ref="AY36:AY41" si="20">SUM(AU36:AX36)</f>
        <v>105.1</v>
      </c>
      <c r="AZ36" s="165">
        <v>23.6</v>
      </c>
      <c r="BA36" s="146">
        <v>29.7</v>
      </c>
      <c r="BB36" s="146">
        <v>32.200000000000003</v>
      </c>
      <c r="BC36" s="146">
        <v>34.200000000000003</v>
      </c>
      <c r="BD36" s="1046">
        <f>SUM(AZ36:BC36)</f>
        <v>119.7</v>
      </c>
      <c r="BE36" s="165">
        <v>34.4</v>
      </c>
      <c r="BF36" s="165">
        <v>33.6</v>
      </c>
      <c r="BG36" s="165">
        <v>28.8</v>
      </c>
      <c r="BH36" s="165">
        <v>24.2</v>
      </c>
      <c r="BI36" s="132">
        <f>SUM(BE36:BH36)</f>
        <v>121</v>
      </c>
      <c r="BJ36" s="1073">
        <v>21.4</v>
      </c>
      <c r="BK36" s="1073">
        <v>20.6</v>
      </c>
      <c r="BL36" s="1073">
        <v>21.2</v>
      </c>
      <c r="BM36" s="1073">
        <v>23.8</v>
      </c>
      <c r="BN36" s="132">
        <f>SUM(BJ36:BM36)</f>
        <v>87</v>
      </c>
      <c r="BO36" s="1073">
        <v>24.2</v>
      </c>
      <c r="BP36" s="1073">
        <v>23.5</v>
      </c>
      <c r="BQ36" s="1073">
        <v>29.1</v>
      </c>
      <c r="BR36" s="1073">
        <v>31.9</v>
      </c>
      <c r="BS36" s="132">
        <f>SUM(BO36:BR36)</f>
        <v>108.70000000000002</v>
      </c>
      <c r="BT36" s="1073">
        <v>32.6</v>
      </c>
      <c r="BU36" s="1073">
        <v>36.9</v>
      </c>
      <c r="BV36" s="1073">
        <v>45.1</v>
      </c>
      <c r="BW36" s="1073">
        <v>52.7</v>
      </c>
      <c r="BX36" s="132">
        <f>SUM(BT36:BW36)</f>
        <v>167.3</v>
      </c>
      <c r="BY36" s="1073">
        <f>45.5</f>
        <v>45.5</v>
      </c>
      <c r="BZ36" s="432">
        <f>180/4</f>
        <v>45</v>
      </c>
      <c r="CA36" s="432">
        <f>180/4</f>
        <v>45</v>
      </c>
      <c r="CB36" s="432">
        <f>180/4</f>
        <v>45</v>
      </c>
      <c r="CC36" s="132">
        <f>SUM(BY36:CB36)</f>
        <v>180.5</v>
      </c>
      <c r="CD36" s="69">
        <f>CC36</f>
        <v>180.5</v>
      </c>
      <c r="CE36" s="69">
        <f>CD36</f>
        <v>180.5</v>
      </c>
      <c r="CF36" s="69">
        <f>CE36</f>
        <v>180.5</v>
      </c>
      <c r="CG36" s="69">
        <f>CF36</f>
        <v>180.5</v>
      </c>
      <c r="CH36" s="69">
        <f>CG36</f>
        <v>180.5</v>
      </c>
      <c r="IA36" s="132"/>
    </row>
    <row r="37" spans="1:243" ht="12.75" customHeight="1">
      <c r="G37" s="9"/>
      <c r="H37" s="134" t="s">
        <v>952</v>
      </c>
      <c r="I37" s="134"/>
      <c r="J37" s="134"/>
      <c r="K37" s="134"/>
      <c r="L37" s="778">
        <f t="shared" ref="L37:V37" si="21">L38+L39+L40+L41+L42</f>
        <v>77.2</v>
      </c>
      <c r="M37" s="778">
        <f t="shared" si="21"/>
        <v>11.457000000000001</v>
      </c>
      <c r="N37" s="778">
        <f t="shared" si="21"/>
        <v>57</v>
      </c>
      <c r="O37" s="778">
        <f t="shared" si="21"/>
        <v>61</v>
      </c>
      <c r="P37" s="777">
        <f t="shared" si="21"/>
        <v>206.65700000000001</v>
      </c>
      <c r="Q37" s="778">
        <f t="shared" si="21"/>
        <v>37</v>
      </c>
      <c r="R37" s="778">
        <f t="shared" si="21"/>
        <v>45</v>
      </c>
      <c r="S37" s="778">
        <f t="shared" si="21"/>
        <v>51.2</v>
      </c>
      <c r="T37" s="778">
        <f t="shared" si="21"/>
        <v>81</v>
      </c>
      <c r="U37" s="777">
        <f t="shared" si="21"/>
        <v>214.20000000000002</v>
      </c>
      <c r="V37" s="778">
        <f t="shared" si="21"/>
        <v>34</v>
      </c>
      <c r="W37" s="778">
        <f t="shared" ref="W37:AM37" si="22">W38+W39+W40+W41</f>
        <v>11</v>
      </c>
      <c r="X37" s="778">
        <f t="shared" si="22"/>
        <v>56</v>
      </c>
      <c r="Y37" s="778">
        <f t="shared" si="22"/>
        <v>34</v>
      </c>
      <c r="Z37" s="779">
        <f>Z38+Z39+Z40+Z41+Z42</f>
        <v>135</v>
      </c>
      <c r="AA37" s="158">
        <f t="shared" si="22"/>
        <v>10.7</v>
      </c>
      <c r="AB37" s="158">
        <f t="shared" si="22"/>
        <v>29.099999999999998</v>
      </c>
      <c r="AC37" s="158">
        <f t="shared" si="22"/>
        <v>-19</v>
      </c>
      <c r="AD37" s="158">
        <f t="shared" si="22"/>
        <v>-50.000000000000007</v>
      </c>
      <c r="AE37" s="162">
        <f t="shared" si="22"/>
        <v>-29.200000000000003</v>
      </c>
      <c r="AF37" s="158">
        <f t="shared" si="22"/>
        <v>-10.5</v>
      </c>
      <c r="AG37" s="158">
        <f t="shared" si="22"/>
        <v>21.400000000000002</v>
      </c>
      <c r="AH37" s="158">
        <f t="shared" si="22"/>
        <v>-22.9</v>
      </c>
      <c r="AI37" s="158">
        <f t="shared" si="22"/>
        <v>-31.4</v>
      </c>
      <c r="AJ37" s="162">
        <f t="shared" si="22"/>
        <v>-43.4</v>
      </c>
      <c r="AK37" s="158">
        <f t="shared" si="22"/>
        <v>111.5</v>
      </c>
      <c r="AL37" s="158">
        <f t="shared" si="22"/>
        <v>18.100000000000001</v>
      </c>
      <c r="AM37" s="158">
        <f t="shared" si="22"/>
        <v>9.1999999999999993</v>
      </c>
      <c r="AN37" s="158">
        <f>AN38+AN39+AN40+AN41</f>
        <v>-10.200000000000001</v>
      </c>
      <c r="AO37" s="162">
        <f>AO38+AO39+AO40+AO41</f>
        <v>128.6</v>
      </c>
      <c r="AP37" s="165">
        <v>19.100000000000001</v>
      </c>
      <c r="AQ37" s="165">
        <f>40.4-0.9-69.8</f>
        <v>-30.299999999999997</v>
      </c>
      <c r="AR37" s="165">
        <f>9.8+11.6-82</f>
        <v>-60.6</v>
      </c>
      <c r="AS37" s="165">
        <f>-4.7+10.8-7.3</f>
        <v>-1.1999999999999993</v>
      </c>
      <c r="AT37" s="132">
        <f t="shared" si="19"/>
        <v>-73</v>
      </c>
      <c r="AU37" s="165">
        <v>-26.8</v>
      </c>
      <c r="AV37" s="165">
        <v>-0.7</v>
      </c>
      <c r="AW37" s="165">
        <v>22</v>
      </c>
      <c r="AX37" s="165">
        <v>-35.5</v>
      </c>
      <c r="AY37" s="132">
        <f t="shared" si="20"/>
        <v>-41</v>
      </c>
      <c r="AZ37" s="165">
        <v>50.5</v>
      </c>
      <c r="BA37" s="146">
        <v>22.5</v>
      </c>
      <c r="BB37" s="146">
        <v>-23.7</v>
      </c>
      <c r="BC37" s="146">
        <v>14.6</v>
      </c>
      <c r="BD37" s="1046">
        <f>SUM(AZ37:BC37)</f>
        <v>63.9</v>
      </c>
      <c r="BE37" s="165">
        <v>59.4</v>
      </c>
      <c r="BF37" s="165">
        <v>55.699999999999996</v>
      </c>
      <c r="BG37" s="165">
        <f>-8+77+33.8</f>
        <v>102.8</v>
      </c>
      <c r="BH37" s="165">
        <v>58.4</v>
      </c>
      <c r="BI37" s="132">
        <f>SUM(BE37:BH37)</f>
        <v>276.29999999999995</v>
      </c>
      <c r="BJ37" s="1073">
        <v>112.2</v>
      </c>
      <c r="BK37" s="1073">
        <v>56.8</v>
      </c>
      <c r="BL37" s="1073">
        <v>104.6</v>
      </c>
      <c r="BM37" s="1073">
        <v>65.099999999999994</v>
      </c>
      <c r="BN37" s="132">
        <f>SUM(BJ37:BM37)</f>
        <v>338.70000000000005</v>
      </c>
      <c r="BO37" s="1073">
        <v>74.099999999999994</v>
      </c>
      <c r="BP37" s="1073">
        <v>40.9</v>
      </c>
      <c r="BQ37" s="1073">
        <v>45.3</v>
      </c>
      <c r="BR37" s="1073">
        <v>35.299999999999997</v>
      </c>
      <c r="BS37" s="132">
        <f>SUM(BO37:BR37)</f>
        <v>195.60000000000002</v>
      </c>
      <c r="BT37" s="1073">
        <v>29.1</v>
      </c>
      <c r="BU37" s="1073">
        <v>12.8</v>
      </c>
      <c r="BV37" s="1073">
        <v>2.9</v>
      </c>
      <c r="BW37" s="1073">
        <v>65.3</v>
      </c>
      <c r="BX37" s="132">
        <f>SUM(BT37:BW37)</f>
        <v>110.1</v>
      </c>
      <c r="BY37" s="1073">
        <v>83.2</v>
      </c>
      <c r="BZ37" s="432">
        <v>50</v>
      </c>
      <c r="CA37" s="432">
        <v>50</v>
      </c>
      <c r="CB37" s="432">
        <v>50</v>
      </c>
      <c r="CC37" s="132">
        <f>SUM(BY37:CB37)</f>
        <v>233.2</v>
      </c>
      <c r="CD37" s="69">
        <v>125</v>
      </c>
      <c r="CE37" s="69">
        <v>125</v>
      </c>
      <c r="CF37" s="69">
        <v>125</v>
      </c>
      <c r="CG37" s="69">
        <v>125</v>
      </c>
      <c r="CH37" s="69">
        <v>125</v>
      </c>
    </row>
    <row r="38" spans="1:243" ht="12.75" hidden="1" customHeight="1">
      <c r="G38" s="9"/>
      <c r="H38" s="174" t="s">
        <v>26</v>
      </c>
      <c r="I38" s="174"/>
      <c r="J38" s="169"/>
      <c r="K38" s="169"/>
      <c r="L38" s="165">
        <v>14.5</v>
      </c>
      <c r="M38" s="165">
        <v>10</v>
      </c>
      <c r="N38" s="165">
        <v>12</v>
      </c>
      <c r="O38" s="165">
        <v>43</v>
      </c>
      <c r="P38" s="161">
        <f t="shared" si="16"/>
        <v>79.5</v>
      </c>
      <c r="Q38" s="165">
        <v>1</v>
      </c>
      <c r="R38" s="165">
        <v>1</v>
      </c>
      <c r="S38" s="165">
        <v>10.1</v>
      </c>
      <c r="T38" s="165">
        <v>12.6</v>
      </c>
      <c r="U38" s="161">
        <f t="shared" si="17"/>
        <v>24.7</v>
      </c>
      <c r="V38" s="165">
        <v>2</v>
      </c>
      <c r="W38" s="165">
        <v>1</v>
      </c>
      <c r="X38" s="165">
        <v>26</v>
      </c>
      <c r="Y38" s="165">
        <v>5</v>
      </c>
      <c r="Z38" s="133">
        <f t="shared" si="18"/>
        <v>34</v>
      </c>
      <c r="AA38" s="165">
        <v>4</v>
      </c>
      <c r="AB38" s="165">
        <v>5.4</v>
      </c>
      <c r="AC38" s="165">
        <v>11.7</v>
      </c>
      <c r="AD38" s="165">
        <v>33.799999999999997</v>
      </c>
      <c r="AE38" s="132">
        <f t="shared" ref="AE38:AE45" si="23">SUM(AA38:AD38)</f>
        <v>54.9</v>
      </c>
      <c r="AF38" s="165">
        <v>3.3</v>
      </c>
      <c r="AG38" s="165">
        <v>4.8</v>
      </c>
      <c r="AH38" s="165">
        <v>0</v>
      </c>
      <c r="AI38" s="165">
        <v>0</v>
      </c>
      <c r="AJ38" s="132">
        <f>SUM(AF38:AI38)</f>
        <v>8.1</v>
      </c>
      <c r="AK38" s="165">
        <v>0</v>
      </c>
      <c r="AL38" s="165">
        <v>0</v>
      </c>
      <c r="AM38" s="165">
        <v>0</v>
      </c>
      <c r="AN38" s="165">
        <v>0</v>
      </c>
      <c r="AO38" s="132">
        <f>SUM(AK38:AN38)</f>
        <v>0</v>
      </c>
      <c r="AP38" s="165">
        <v>0</v>
      </c>
      <c r="AQ38" s="165">
        <v>0</v>
      </c>
      <c r="AR38" s="170">
        <v>0</v>
      </c>
      <c r="AS38" s="170">
        <v>0</v>
      </c>
      <c r="AT38" s="132">
        <f t="shared" si="19"/>
        <v>0</v>
      </c>
      <c r="AU38" s="170">
        <v>0</v>
      </c>
      <c r="AV38" s="170">
        <v>0</v>
      </c>
      <c r="AW38" s="170">
        <v>0</v>
      </c>
      <c r="AX38" s="170">
        <v>0</v>
      </c>
      <c r="AY38" s="132">
        <f t="shared" si="20"/>
        <v>0</v>
      </c>
      <c r="AZ38" s="170">
        <v>0</v>
      </c>
      <c r="BA38" s="171"/>
      <c r="BB38" s="171"/>
      <c r="BC38" s="171"/>
      <c r="BD38" s="1053">
        <v>0</v>
      </c>
      <c r="BE38" s="170">
        <v>0</v>
      </c>
      <c r="BF38" s="171">
        <v>0</v>
      </c>
      <c r="BG38" s="171">
        <v>0</v>
      </c>
      <c r="BH38" s="171">
        <v>0</v>
      </c>
      <c r="BI38" s="69">
        <v>0</v>
      </c>
      <c r="BJ38" s="171"/>
      <c r="BK38" s="171"/>
      <c r="BL38" s="171"/>
      <c r="BM38" s="171"/>
      <c r="BN38" s="69">
        <v>0</v>
      </c>
      <c r="BO38" s="171"/>
      <c r="BP38" s="171"/>
      <c r="BQ38" s="171"/>
      <c r="BR38" s="171"/>
      <c r="BS38" s="69">
        <v>0</v>
      </c>
      <c r="BT38" s="171">
        <v>0</v>
      </c>
      <c r="BU38" s="171">
        <v>0</v>
      </c>
      <c r="BV38" s="171">
        <v>0</v>
      </c>
      <c r="BW38" s="171">
        <v>0</v>
      </c>
      <c r="BX38" s="69">
        <v>0</v>
      </c>
      <c r="BY38" s="171">
        <v>0</v>
      </c>
      <c r="BZ38" s="171">
        <v>0</v>
      </c>
      <c r="CA38" s="171">
        <v>0</v>
      </c>
      <c r="CB38" s="171">
        <v>0</v>
      </c>
      <c r="CC38" s="69">
        <v>0</v>
      </c>
      <c r="CD38" s="69">
        <v>0</v>
      </c>
      <c r="CE38" s="69">
        <v>0</v>
      </c>
      <c r="CF38" s="69">
        <v>0</v>
      </c>
      <c r="CG38" s="69">
        <v>0</v>
      </c>
      <c r="CH38" s="69">
        <v>0</v>
      </c>
    </row>
    <row r="39" spans="1:243" ht="12.75" hidden="1" customHeight="1">
      <c r="G39" s="9"/>
      <c r="H39" s="174" t="s">
        <v>27</v>
      </c>
      <c r="I39" s="174"/>
      <c r="J39" s="169"/>
      <c r="K39" s="169"/>
      <c r="L39" s="165">
        <v>39</v>
      </c>
      <c r="M39" s="165">
        <v>13</v>
      </c>
      <c r="N39" s="165">
        <v>0</v>
      </c>
      <c r="O39" s="165">
        <v>12</v>
      </c>
      <c r="P39" s="161">
        <f t="shared" si="16"/>
        <v>64</v>
      </c>
      <c r="Q39" s="165">
        <v>8</v>
      </c>
      <c r="R39" s="165">
        <v>16</v>
      </c>
      <c r="S39" s="165">
        <v>3.1</v>
      </c>
      <c r="T39" s="165">
        <v>21.6</v>
      </c>
      <c r="U39" s="161">
        <f t="shared" si="17"/>
        <v>48.7</v>
      </c>
      <c r="V39" s="165">
        <v>25</v>
      </c>
      <c r="W39" s="165">
        <v>29</v>
      </c>
      <c r="X39" s="165">
        <v>31</v>
      </c>
      <c r="Y39" s="165">
        <v>39</v>
      </c>
      <c r="Z39" s="133">
        <f t="shared" si="18"/>
        <v>124</v>
      </c>
      <c r="AA39" s="165">
        <v>25</v>
      </c>
      <c r="AB39" s="165">
        <v>13</v>
      </c>
      <c r="AC39" s="165">
        <v>0</v>
      </c>
      <c r="AD39" s="165">
        <v>2</v>
      </c>
      <c r="AE39" s="132">
        <f t="shared" si="23"/>
        <v>40</v>
      </c>
      <c r="AF39" s="165">
        <v>1</v>
      </c>
      <c r="AG39" s="165">
        <v>0</v>
      </c>
      <c r="AH39" s="165">
        <v>0</v>
      </c>
      <c r="AI39" s="165">
        <v>0</v>
      </c>
      <c r="AJ39" s="132">
        <f>SUM(AF39:AI39)</f>
        <v>1</v>
      </c>
      <c r="AK39" s="165">
        <v>11.2</v>
      </c>
      <c r="AL39" s="165">
        <v>1.6</v>
      </c>
      <c r="AM39" s="165">
        <v>3.5</v>
      </c>
      <c r="AN39" s="165">
        <v>1.2</v>
      </c>
      <c r="AO39" s="132">
        <f>SUM(AK39:AN39)</f>
        <v>17.499999999999996</v>
      </c>
      <c r="AP39" s="165">
        <v>0</v>
      </c>
      <c r="AQ39" s="165">
        <v>0</v>
      </c>
      <c r="AR39" s="170">
        <v>0</v>
      </c>
      <c r="AS39" s="170">
        <v>0</v>
      </c>
      <c r="AT39" s="132">
        <f t="shared" si="19"/>
        <v>0</v>
      </c>
      <c r="AU39" s="170">
        <v>0</v>
      </c>
      <c r="AV39" s="170">
        <v>0</v>
      </c>
      <c r="AW39" s="170">
        <v>0</v>
      </c>
      <c r="AX39" s="170">
        <v>0</v>
      </c>
      <c r="AY39" s="132">
        <f t="shared" si="20"/>
        <v>0</v>
      </c>
      <c r="AZ39" s="170">
        <v>0</v>
      </c>
      <c r="BA39" s="171"/>
      <c r="BB39" s="171"/>
      <c r="BC39" s="171"/>
      <c r="BD39" s="1053">
        <v>0</v>
      </c>
      <c r="BE39" s="170">
        <v>0</v>
      </c>
      <c r="BF39" s="171">
        <v>0</v>
      </c>
      <c r="BG39" s="171">
        <v>0</v>
      </c>
      <c r="BH39" s="171">
        <v>0</v>
      </c>
      <c r="BI39" s="69">
        <v>0</v>
      </c>
      <c r="BJ39" s="171"/>
      <c r="BK39" s="171"/>
      <c r="BL39" s="171"/>
      <c r="BM39" s="171"/>
      <c r="BN39" s="69">
        <v>0</v>
      </c>
      <c r="BO39" s="171"/>
      <c r="BP39" s="171"/>
      <c r="BQ39" s="171"/>
      <c r="BR39" s="171"/>
      <c r="BS39" s="69">
        <v>0</v>
      </c>
      <c r="BT39" s="171">
        <v>0</v>
      </c>
      <c r="BU39" s="171">
        <v>0</v>
      </c>
      <c r="BV39" s="171">
        <v>0</v>
      </c>
      <c r="BW39" s="171">
        <v>0</v>
      </c>
      <c r="BX39" s="69">
        <v>0</v>
      </c>
      <c r="BY39" s="171">
        <v>0</v>
      </c>
      <c r="BZ39" s="171">
        <v>0</v>
      </c>
      <c r="CA39" s="171">
        <v>0</v>
      </c>
      <c r="CB39" s="171">
        <v>0</v>
      </c>
      <c r="CC39" s="69">
        <v>0</v>
      </c>
      <c r="CD39" s="69">
        <v>0</v>
      </c>
      <c r="CE39" s="69">
        <v>0</v>
      </c>
      <c r="CF39" s="69">
        <v>0</v>
      </c>
      <c r="CG39" s="69">
        <v>0</v>
      </c>
      <c r="CH39" s="69">
        <v>0</v>
      </c>
    </row>
    <row r="40" spans="1:243" ht="12.75" hidden="1" customHeight="1">
      <c r="G40" s="9"/>
      <c r="H40" s="174" t="s">
        <v>28</v>
      </c>
      <c r="I40" s="174"/>
      <c r="J40" s="169"/>
      <c r="K40" s="169"/>
      <c r="L40" s="165">
        <v>1.63</v>
      </c>
      <c r="M40" s="165">
        <v>2</v>
      </c>
      <c r="N40" s="165">
        <v>2</v>
      </c>
      <c r="O40" s="165">
        <v>3</v>
      </c>
      <c r="P40" s="161">
        <f t="shared" si="16"/>
        <v>8.629999999999999</v>
      </c>
      <c r="Q40" s="165">
        <v>1</v>
      </c>
      <c r="R40" s="165">
        <v>1</v>
      </c>
      <c r="S40" s="165">
        <v>1.1000000000000001</v>
      </c>
      <c r="T40" s="165">
        <v>0.6</v>
      </c>
      <c r="U40" s="161">
        <f t="shared" si="17"/>
        <v>3.7</v>
      </c>
      <c r="V40" s="165">
        <v>14</v>
      </c>
      <c r="W40" s="165">
        <v>0</v>
      </c>
      <c r="X40" s="165">
        <v>10</v>
      </c>
      <c r="Y40" s="165">
        <v>3</v>
      </c>
      <c r="Z40" s="133">
        <f t="shared" si="18"/>
        <v>27</v>
      </c>
      <c r="AA40" s="165">
        <v>0</v>
      </c>
      <c r="AB40" s="165">
        <v>2.5</v>
      </c>
      <c r="AC40" s="165">
        <v>0</v>
      </c>
      <c r="AD40" s="165">
        <v>1.1000000000000001</v>
      </c>
      <c r="AE40" s="132">
        <f t="shared" si="23"/>
        <v>3.6</v>
      </c>
      <c r="AF40" s="165">
        <v>0</v>
      </c>
      <c r="AG40" s="165">
        <v>0</v>
      </c>
      <c r="AH40" s="165">
        <v>0</v>
      </c>
      <c r="AI40" s="165">
        <v>0</v>
      </c>
      <c r="AJ40" s="132">
        <f>SUM(AF40:AI40)</f>
        <v>0</v>
      </c>
      <c r="AK40" s="165">
        <v>0</v>
      </c>
      <c r="AL40" s="165">
        <v>0</v>
      </c>
      <c r="AM40" s="165">
        <v>0</v>
      </c>
      <c r="AN40" s="165">
        <v>0</v>
      </c>
      <c r="AO40" s="132">
        <f>SUM(AK40:AN40)</f>
        <v>0</v>
      </c>
      <c r="AP40" s="165">
        <v>0</v>
      </c>
      <c r="AQ40" s="165">
        <v>0</v>
      </c>
      <c r="AR40" s="170">
        <v>0</v>
      </c>
      <c r="AS40" s="170">
        <v>0</v>
      </c>
      <c r="AT40" s="132">
        <f t="shared" si="19"/>
        <v>0</v>
      </c>
      <c r="AU40" s="170">
        <v>0</v>
      </c>
      <c r="AV40" s="170">
        <v>0</v>
      </c>
      <c r="AW40" s="170">
        <v>0</v>
      </c>
      <c r="AX40" s="170">
        <v>0</v>
      </c>
      <c r="AY40" s="132">
        <f t="shared" si="20"/>
        <v>0</v>
      </c>
      <c r="AZ40" s="170">
        <v>0</v>
      </c>
      <c r="BA40" s="171"/>
      <c r="BB40" s="171"/>
      <c r="BC40" s="171"/>
      <c r="BD40" s="1053">
        <v>0</v>
      </c>
      <c r="BE40" s="170">
        <v>0</v>
      </c>
      <c r="BF40" s="171">
        <v>0</v>
      </c>
      <c r="BG40" s="171">
        <v>0</v>
      </c>
      <c r="BH40" s="171">
        <v>0</v>
      </c>
      <c r="BI40" s="69">
        <v>0</v>
      </c>
      <c r="BJ40" s="171"/>
      <c r="BK40" s="171"/>
      <c r="BL40" s="171"/>
      <c r="BM40" s="171"/>
      <c r="BN40" s="69">
        <v>0</v>
      </c>
      <c r="BO40" s="171"/>
      <c r="BP40" s="171"/>
      <c r="BQ40" s="171"/>
      <c r="BR40" s="171"/>
      <c r="BS40" s="69">
        <v>0</v>
      </c>
      <c r="BT40" s="171">
        <v>0</v>
      </c>
      <c r="BU40" s="171">
        <v>0</v>
      </c>
      <c r="BV40" s="171">
        <v>0</v>
      </c>
      <c r="BW40" s="171">
        <v>0</v>
      </c>
      <c r="BX40" s="69">
        <v>0</v>
      </c>
      <c r="BY40" s="171">
        <v>0</v>
      </c>
      <c r="BZ40" s="171">
        <v>0</v>
      </c>
      <c r="CA40" s="171">
        <v>0</v>
      </c>
      <c r="CB40" s="171">
        <v>0</v>
      </c>
      <c r="CC40" s="69">
        <v>0</v>
      </c>
      <c r="CD40" s="69">
        <v>0</v>
      </c>
      <c r="CE40" s="69">
        <v>0</v>
      </c>
      <c r="CF40" s="69">
        <v>0</v>
      </c>
      <c r="CG40" s="69">
        <v>0</v>
      </c>
      <c r="CH40" s="69">
        <v>0</v>
      </c>
    </row>
    <row r="41" spans="1:243" ht="12.75" hidden="1" customHeight="1">
      <c r="G41" s="9"/>
      <c r="H41" s="174" t="s">
        <v>106</v>
      </c>
      <c r="I41" s="174"/>
      <c r="J41" s="169"/>
      <c r="K41" s="169"/>
      <c r="L41" s="165">
        <v>34.799999999999997</v>
      </c>
      <c r="M41" s="165">
        <v>-13</v>
      </c>
      <c r="N41" s="165">
        <v>37</v>
      </c>
      <c r="O41" s="165">
        <v>-15</v>
      </c>
      <c r="P41" s="161">
        <f t="shared" si="16"/>
        <v>43.8</v>
      </c>
      <c r="Q41" s="165">
        <v>7</v>
      </c>
      <c r="R41" s="165">
        <v>4</v>
      </c>
      <c r="S41" s="165">
        <v>13.1</v>
      </c>
      <c r="T41" s="165">
        <v>16</v>
      </c>
      <c r="U41" s="161">
        <f t="shared" si="17"/>
        <v>40.1</v>
      </c>
      <c r="V41" s="165">
        <v>-18</v>
      </c>
      <c r="W41" s="165">
        <v>-19</v>
      </c>
      <c r="X41" s="165">
        <v>-11</v>
      </c>
      <c r="Y41" s="165">
        <v>-13</v>
      </c>
      <c r="Z41" s="133">
        <f t="shared" si="18"/>
        <v>-61</v>
      </c>
      <c r="AA41" s="165">
        <v>-18.3</v>
      </c>
      <c r="AB41" s="165">
        <v>8.1999999999999993</v>
      </c>
      <c r="AC41" s="165">
        <v>-30.7</v>
      </c>
      <c r="AD41" s="165">
        <v>-86.9</v>
      </c>
      <c r="AE41" s="132">
        <f t="shared" si="23"/>
        <v>-127.7</v>
      </c>
      <c r="AF41" s="165">
        <v>-14.8</v>
      </c>
      <c r="AG41" s="165">
        <v>16.600000000000001</v>
      </c>
      <c r="AH41" s="165">
        <v>-22.9</v>
      </c>
      <c r="AI41" s="165">
        <v>-31.4</v>
      </c>
      <c r="AJ41" s="132">
        <f>SUM(AF41:AI41)</f>
        <v>-52.5</v>
      </c>
      <c r="AK41" s="165">
        <v>100.3</v>
      </c>
      <c r="AL41" s="165">
        <v>16.5</v>
      </c>
      <c r="AM41" s="165">
        <v>5.7</v>
      </c>
      <c r="AN41" s="165">
        <v>-11.4</v>
      </c>
      <c r="AO41" s="132">
        <f>SUM(AK41:AN41)</f>
        <v>111.1</v>
      </c>
      <c r="AP41" s="165">
        <v>0</v>
      </c>
      <c r="AQ41" s="165">
        <v>0</v>
      </c>
      <c r="AR41" s="170">
        <v>0</v>
      </c>
      <c r="AS41" s="170">
        <v>0</v>
      </c>
      <c r="AT41" s="132">
        <f t="shared" si="19"/>
        <v>0</v>
      </c>
      <c r="AU41" s="170">
        <v>0</v>
      </c>
      <c r="AV41" s="170">
        <v>0</v>
      </c>
      <c r="AW41" s="170">
        <v>0</v>
      </c>
      <c r="AX41" s="170">
        <v>0</v>
      </c>
      <c r="AY41" s="132">
        <f t="shared" si="20"/>
        <v>0</v>
      </c>
      <c r="AZ41" s="170">
        <v>0</v>
      </c>
      <c r="BA41" s="171"/>
      <c r="BB41" s="171"/>
      <c r="BC41" s="171"/>
      <c r="BD41" s="1054">
        <f t="shared" ref="BD41:BI41" si="24">AY41</f>
        <v>0</v>
      </c>
      <c r="BE41" s="170">
        <v>0</v>
      </c>
      <c r="BF41" s="171">
        <f t="shared" si="24"/>
        <v>0</v>
      </c>
      <c r="BG41" s="171">
        <f t="shared" si="24"/>
        <v>0</v>
      </c>
      <c r="BH41" s="171">
        <f t="shared" si="24"/>
        <v>0</v>
      </c>
      <c r="BI41" s="173">
        <f t="shared" si="24"/>
        <v>0</v>
      </c>
      <c r="BJ41" s="171"/>
      <c r="BK41" s="171"/>
      <c r="BL41" s="171"/>
      <c r="BM41" s="171"/>
      <c r="BN41" s="173">
        <f>BI41</f>
        <v>0</v>
      </c>
      <c r="BO41" s="171"/>
      <c r="BP41" s="171"/>
      <c r="BQ41" s="171"/>
      <c r="BR41" s="171"/>
      <c r="BS41" s="173">
        <f t="shared" ref="BS41:CC41" si="25">BN41</f>
        <v>0</v>
      </c>
      <c r="BT41" s="171">
        <f t="shared" si="25"/>
        <v>0</v>
      </c>
      <c r="BU41" s="171">
        <f t="shared" si="25"/>
        <v>0</v>
      </c>
      <c r="BV41" s="171">
        <f t="shared" si="25"/>
        <v>0</v>
      </c>
      <c r="BW41" s="171">
        <f t="shared" si="25"/>
        <v>0</v>
      </c>
      <c r="BX41" s="173">
        <f t="shared" si="25"/>
        <v>0</v>
      </c>
      <c r="BY41" s="171">
        <f t="shared" si="25"/>
        <v>0</v>
      </c>
      <c r="BZ41" s="171">
        <f t="shared" si="25"/>
        <v>0</v>
      </c>
      <c r="CA41" s="171">
        <f t="shared" si="25"/>
        <v>0</v>
      </c>
      <c r="CB41" s="171">
        <f t="shared" si="25"/>
        <v>0</v>
      </c>
      <c r="CC41" s="173">
        <f t="shared" si="25"/>
        <v>0</v>
      </c>
      <c r="CD41" s="173">
        <f>CC41</f>
        <v>0</v>
      </c>
      <c r="CE41" s="173">
        <f>CD41</f>
        <v>0</v>
      </c>
      <c r="CF41" s="173">
        <f>CE41</f>
        <v>0</v>
      </c>
      <c r="CG41" s="173">
        <f>CF41</f>
        <v>0</v>
      </c>
      <c r="CH41" s="173">
        <f>CG41</f>
        <v>0</v>
      </c>
    </row>
    <row r="42" spans="1:243" ht="12.75" hidden="1" customHeight="1">
      <c r="G42" s="9"/>
      <c r="H42" s="174" t="s">
        <v>336</v>
      </c>
      <c r="I42" s="174"/>
      <c r="J42" s="169"/>
      <c r="K42" s="169"/>
      <c r="L42" s="146">
        <v>-12.73</v>
      </c>
      <c r="M42" s="146">
        <v>-0.54300000000000004</v>
      </c>
      <c r="N42" s="146">
        <v>6</v>
      </c>
      <c r="O42" s="146">
        <v>18</v>
      </c>
      <c r="P42" s="161">
        <f t="shared" si="16"/>
        <v>10.727</v>
      </c>
      <c r="Q42" s="146">
        <v>20</v>
      </c>
      <c r="R42" s="146">
        <v>23</v>
      </c>
      <c r="S42" s="146">
        <v>23.8</v>
      </c>
      <c r="T42" s="146">
        <v>30.2</v>
      </c>
      <c r="U42" s="161">
        <f t="shared" si="17"/>
        <v>97</v>
      </c>
      <c r="V42" s="165">
        <v>11</v>
      </c>
      <c r="W42" s="165">
        <v>0</v>
      </c>
      <c r="X42" s="165">
        <v>0</v>
      </c>
      <c r="Y42" s="165">
        <v>0</v>
      </c>
      <c r="Z42" s="133">
        <f t="shared" si="18"/>
        <v>11</v>
      </c>
      <c r="AA42" s="179">
        <v>0</v>
      </c>
      <c r="AB42" s="179">
        <v>0</v>
      </c>
      <c r="AC42" s="179">
        <v>0</v>
      </c>
      <c r="AD42" s="179">
        <v>0</v>
      </c>
      <c r="AE42" s="132">
        <f t="shared" si="23"/>
        <v>0</v>
      </c>
      <c r="AF42" s="165">
        <v>0</v>
      </c>
      <c r="AG42" s="165"/>
      <c r="AH42" s="170"/>
      <c r="AI42" s="170"/>
      <c r="AJ42" s="132">
        <f>SUM(AF42:AI42)</f>
        <v>0</v>
      </c>
      <c r="AK42" s="170"/>
      <c r="AL42" s="170"/>
      <c r="AM42" s="170"/>
      <c r="AN42" s="170"/>
      <c r="AO42" s="132">
        <f>SUM(AK42:AN42)</f>
        <v>0</v>
      </c>
      <c r="AP42" s="170"/>
      <c r="AQ42" s="170"/>
      <c r="AR42" s="170"/>
      <c r="AS42" s="170"/>
      <c r="AT42" s="132"/>
      <c r="AU42" s="170"/>
      <c r="AV42" s="170"/>
      <c r="AW42" s="170"/>
      <c r="AX42" s="170"/>
      <c r="AY42" s="132"/>
      <c r="AZ42" s="170"/>
      <c r="BA42" s="131"/>
      <c r="BB42" s="131"/>
      <c r="BC42" s="131"/>
      <c r="BD42" s="1046"/>
      <c r="BE42" s="170"/>
      <c r="BF42" s="131"/>
      <c r="BG42" s="131"/>
      <c r="BH42" s="131"/>
      <c r="BI42" s="132"/>
      <c r="BJ42" s="131"/>
      <c r="BK42" s="131"/>
      <c r="BL42" s="131"/>
      <c r="BM42" s="131"/>
      <c r="BN42" s="132"/>
      <c r="BO42" s="131"/>
      <c r="BP42" s="131"/>
      <c r="BQ42" s="131"/>
      <c r="BR42" s="131"/>
      <c r="BS42" s="132"/>
      <c r="BT42" s="171"/>
      <c r="BU42" s="171"/>
      <c r="BV42" s="171"/>
      <c r="BW42" s="171"/>
      <c r="BX42" s="132"/>
      <c r="BY42" s="171"/>
      <c r="BZ42" s="171"/>
      <c r="CA42" s="171"/>
      <c r="CB42" s="171"/>
      <c r="CC42" s="132"/>
      <c r="CD42" s="132"/>
      <c r="CE42" s="132"/>
      <c r="CF42" s="132"/>
      <c r="CG42" s="132"/>
      <c r="CH42" s="132"/>
    </row>
    <row r="43" spans="1:243" ht="12.75" hidden="1" customHeight="1">
      <c r="G43" s="9"/>
      <c r="H43" s="176" t="s">
        <v>337</v>
      </c>
      <c r="I43" s="176"/>
      <c r="J43" s="177"/>
      <c r="K43" s="177"/>
      <c r="L43" s="165"/>
      <c r="M43" s="165"/>
      <c r="N43" s="165"/>
      <c r="O43" s="146"/>
      <c r="P43" s="743">
        <v>96.441999999999993</v>
      </c>
      <c r="Q43" s="179">
        <v>144.40299999999999</v>
      </c>
      <c r="R43" s="179">
        <v>33.456000000000003</v>
      </c>
      <c r="S43" s="179">
        <v>34.948</v>
      </c>
      <c r="T43" s="179">
        <v>19.462</v>
      </c>
      <c r="U43" s="178">
        <f t="shared" si="17"/>
        <v>232.26899999999998</v>
      </c>
      <c r="V43" s="179">
        <v>29.294</v>
      </c>
      <c r="W43" s="179">
        <v>33.445</v>
      </c>
      <c r="X43" s="179">
        <v>19.225999999999999</v>
      </c>
      <c r="Y43" s="179">
        <v>20.945</v>
      </c>
      <c r="Z43" s="180">
        <f t="shared" si="18"/>
        <v>102.91</v>
      </c>
      <c r="AA43" s="179">
        <v>24.132000000000001</v>
      </c>
      <c r="AB43" s="179">
        <v>27.818000000000001</v>
      </c>
      <c r="AC43" s="179">
        <v>25.771000000000001</v>
      </c>
      <c r="AD43" s="179" t="s">
        <v>333</v>
      </c>
      <c r="AE43" s="178">
        <f t="shared" si="23"/>
        <v>77.721000000000004</v>
      </c>
      <c r="AF43" s="165">
        <v>0</v>
      </c>
      <c r="AG43" s="165"/>
      <c r="AH43" s="155"/>
      <c r="AI43" s="155"/>
      <c r="AJ43" s="153"/>
      <c r="AK43" s="155"/>
      <c r="AL43" s="155"/>
      <c r="AM43" s="155"/>
      <c r="AN43" s="155"/>
      <c r="AO43" s="153"/>
      <c r="AP43" s="155"/>
      <c r="AQ43" s="155"/>
      <c r="AR43" s="155"/>
      <c r="AS43" s="155"/>
      <c r="AT43" s="69"/>
      <c r="AU43" s="155"/>
      <c r="AV43" s="155"/>
      <c r="AW43" s="155"/>
      <c r="AX43" s="155"/>
      <c r="AY43" s="69"/>
      <c r="AZ43" s="155"/>
      <c r="BA43" s="171"/>
      <c r="BB43" s="171"/>
      <c r="BC43" s="171"/>
      <c r="BD43" s="1053"/>
      <c r="BE43" s="155"/>
      <c r="BF43" s="171"/>
      <c r="BG43" s="171"/>
      <c r="BH43" s="171"/>
      <c r="BI43" s="69"/>
      <c r="BJ43" s="171"/>
      <c r="BK43" s="171"/>
      <c r="BL43" s="171"/>
      <c r="BM43" s="171"/>
      <c r="BN43" s="69"/>
      <c r="BO43" s="171"/>
      <c r="BP43" s="171"/>
      <c r="BQ43" s="171"/>
      <c r="BR43" s="171"/>
      <c r="BS43" s="69"/>
      <c r="BT43" s="171"/>
      <c r="BU43" s="171"/>
      <c r="BV43" s="171"/>
      <c r="BW43" s="171"/>
      <c r="BX43" s="69"/>
      <c r="BY43" s="171"/>
      <c r="BZ43" s="171"/>
      <c r="CA43" s="171"/>
      <c r="CB43" s="171"/>
      <c r="CC43" s="69"/>
      <c r="CD43" s="69"/>
      <c r="CE43" s="69"/>
      <c r="CF43" s="69"/>
      <c r="CG43" s="69"/>
      <c r="CH43" s="69"/>
    </row>
    <row r="44" spans="1:243" ht="12.75" customHeight="1">
      <c r="G44" s="9"/>
      <c r="H44" s="147" t="s">
        <v>933</v>
      </c>
      <c r="I44" s="147"/>
      <c r="J44" s="147"/>
      <c r="K44" s="147"/>
      <c r="L44" s="136">
        <v>944.4</v>
      </c>
      <c r="M44" s="136">
        <v>933.6569999999997</v>
      </c>
      <c r="N44" s="136">
        <v>1018.2</v>
      </c>
      <c r="O44" s="136">
        <v>1066</v>
      </c>
      <c r="P44" s="182">
        <f t="shared" ref="P44:AD44" si="26">P29+P34</f>
        <v>3962.2569999999987</v>
      </c>
      <c r="Q44" s="136">
        <f t="shared" si="26"/>
        <v>1056.3000000000002</v>
      </c>
      <c r="R44" s="136">
        <f t="shared" si="26"/>
        <v>1040.8</v>
      </c>
      <c r="S44" s="136">
        <f t="shared" si="26"/>
        <v>1105.75</v>
      </c>
      <c r="T44" s="136">
        <f t="shared" si="26"/>
        <v>1160.2000000000003</v>
      </c>
      <c r="U44" s="182">
        <f t="shared" si="26"/>
        <v>4363.0499999999993</v>
      </c>
      <c r="V44" s="136">
        <f t="shared" si="26"/>
        <v>1170.6999999999998</v>
      </c>
      <c r="W44" s="136">
        <f t="shared" si="26"/>
        <v>1254.8999999999992</v>
      </c>
      <c r="X44" s="136">
        <f t="shared" si="26"/>
        <v>1260.1000000000006</v>
      </c>
      <c r="Y44" s="136">
        <f t="shared" si="26"/>
        <v>1239.1999999999989</v>
      </c>
      <c r="Z44" s="183">
        <f t="shared" si="26"/>
        <v>4924.8999999999978</v>
      </c>
      <c r="AA44" s="136">
        <f t="shared" si="26"/>
        <v>1222.5000000000002</v>
      </c>
      <c r="AB44" s="136">
        <f t="shared" si="26"/>
        <v>1296.8</v>
      </c>
      <c r="AC44" s="136">
        <f t="shared" si="26"/>
        <v>1363.600000000001</v>
      </c>
      <c r="AD44" s="136">
        <f t="shared" si="26"/>
        <v>1379.5000000000011</v>
      </c>
      <c r="AE44" s="182">
        <f t="shared" si="23"/>
        <v>5262.4000000000024</v>
      </c>
      <c r="AF44" s="136">
        <f>AF29+AF34</f>
        <v>1682.9000000000005</v>
      </c>
      <c r="AG44" s="136">
        <f>AG29+AG34</f>
        <v>1572.5100000000002</v>
      </c>
      <c r="AH44" s="136">
        <f>AH29+AH34</f>
        <v>1619.5000000000009</v>
      </c>
      <c r="AI44" s="136">
        <f>AI29+AI34</f>
        <v>1265.5999999999995</v>
      </c>
      <c r="AJ44" s="182">
        <f>SUM(AF44:AI44)</f>
        <v>6140.5100000000011</v>
      </c>
      <c r="AK44" s="136">
        <f>AK29+AK34</f>
        <v>1783.8999999999996</v>
      </c>
      <c r="AL44" s="136">
        <f>AL29+AL34</f>
        <v>1763.8000000000009</v>
      </c>
      <c r="AM44" s="136">
        <f>AM29+AM34</f>
        <v>1730.9</v>
      </c>
      <c r="AN44" s="136">
        <f>AN29+AN34</f>
        <v>1488.6800000000003</v>
      </c>
      <c r="AO44" s="182">
        <f>SUM(AK44:AN44)</f>
        <v>6767.2800000000007</v>
      </c>
      <c r="AP44" s="136">
        <f t="shared" ref="AP44:BC44" si="27">AP29+AP34</f>
        <v>1738.2000000000005</v>
      </c>
      <c r="AQ44" s="136">
        <f t="shared" si="27"/>
        <v>1663.8000000000002</v>
      </c>
      <c r="AR44" s="136">
        <f t="shared" si="27"/>
        <v>1527.7999999999993</v>
      </c>
      <c r="AS44" s="136">
        <f>AS29+AS34</f>
        <v>1209.1999999999998</v>
      </c>
      <c r="AT44" s="137">
        <f t="shared" si="27"/>
        <v>6139.0000000000045</v>
      </c>
      <c r="AU44" s="136">
        <f t="shared" si="27"/>
        <v>1359.1000000000004</v>
      </c>
      <c r="AV44" s="136">
        <f>AV29+AV34</f>
        <v>1185.7</v>
      </c>
      <c r="AW44" s="136">
        <f t="shared" si="27"/>
        <v>1140.1999999999989</v>
      </c>
      <c r="AX44" s="136">
        <f t="shared" si="27"/>
        <v>1216.4086839999991</v>
      </c>
      <c r="AY44" s="137">
        <f t="shared" si="27"/>
        <v>4901.4086840000027</v>
      </c>
      <c r="AZ44" s="136">
        <f>AZ29+AZ34</f>
        <v>1477.0999999999997</v>
      </c>
      <c r="BA44" s="136">
        <f>BA29+BA34</f>
        <v>1578.4000000000003</v>
      </c>
      <c r="BB44" s="136">
        <f>BB29+BB34</f>
        <v>1513.3999999999999</v>
      </c>
      <c r="BC44" s="136">
        <f t="shared" si="27"/>
        <v>1002.3999999999993</v>
      </c>
      <c r="BD44" s="1047">
        <f t="shared" ref="BD44:BW44" si="28">BD29+BD34</f>
        <v>5571.3000000000038</v>
      </c>
      <c r="BE44" s="136">
        <f>BE29+BE34</f>
        <v>1051.0000000000005</v>
      </c>
      <c r="BF44" s="139">
        <f t="shared" si="28"/>
        <v>1072.3999999999992</v>
      </c>
      <c r="BG44" s="139">
        <f t="shared" si="28"/>
        <v>1040.4000000000005</v>
      </c>
      <c r="BH44" s="139">
        <f>BH29+BH34</f>
        <v>1062.5000000000002</v>
      </c>
      <c r="BI44" s="137">
        <f t="shared" si="28"/>
        <v>4226.2999999999984</v>
      </c>
      <c r="BJ44" s="136">
        <f t="shared" si="28"/>
        <v>1198.0999999999997</v>
      </c>
      <c r="BK44" s="139">
        <f t="shared" si="28"/>
        <v>1205.0999999999999</v>
      </c>
      <c r="BL44" s="139">
        <f t="shared" si="28"/>
        <v>1237.7999999999997</v>
      </c>
      <c r="BM44" s="139">
        <f t="shared" si="28"/>
        <v>957.49999999999909</v>
      </c>
      <c r="BN44" s="137">
        <f t="shared" si="28"/>
        <v>4598.4999999999964</v>
      </c>
      <c r="BO44" s="139">
        <f t="shared" si="28"/>
        <v>1074.6000000000001</v>
      </c>
      <c r="BP44" s="139">
        <f t="shared" si="28"/>
        <v>1171.1000000000013</v>
      </c>
      <c r="BQ44" s="139">
        <f t="shared" si="28"/>
        <v>1193.8999999999996</v>
      </c>
      <c r="BR44" s="139">
        <f t="shared" si="28"/>
        <v>1234.1000000000006</v>
      </c>
      <c r="BS44" s="137">
        <f t="shared" si="28"/>
        <v>4661.8000000000038</v>
      </c>
      <c r="BT44" s="139">
        <f t="shared" si="28"/>
        <v>1319.2999999999995</v>
      </c>
      <c r="BU44" s="139">
        <f t="shared" si="28"/>
        <v>1504.6000000000001</v>
      </c>
      <c r="BV44" s="139">
        <f>BV29+BV34</f>
        <v>1364.5999999999997</v>
      </c>
      <c r="BW44" s="139">
        <f t="shared" si="28"/>
        <v>1512.8999999999992</v>
      </c>
      <c r="BX44" s="137">
        <f t="shared" ref="BX44:CH44" si="29">BX29+BX34</f>
        <v>5701.3999999999987</v>
      </c>
      <c r="BY44" s="139">
        <f t="shared" si="29"/>
        <v>1671.7</v>
      </c>
      <c r="BZ44" s="139">
        <f t="shared" si="29"/>
        <v>1627.4826583333327</v>
      </c>
      <c r="CA44" s="139">
        <f t="shared" si="29"/>
        <v>1759.5057423333328</v>
      </c>
      <c r="CB44" s="139">
        <f t="shared" si="29"/>
        <v>1510.7881583333335</v>
      </c>
      <c r="CC44" s="137">
        <f t="shared" si="29"/>
        <v>6569.3765589999975</v>
      </c>
      <c r="CD44" s="137">
        <f t="shared" si="29"/>
        <v>7206.5952189000018</v>
      </c>
      <c r="CE44" s="137">
        <f t="shared" si="29"/>
        <v>8009.5889123099987</v>
      </c>
      <c r="CF44" s="137">
        <f t="shared" si="29"/>
        <v>8616.353650900448</v>
      </c>
      <c r="CG44" s="137">
        <f t="shared" si="29"/>
        <v>9116.3794952011431</v>
      </c>
      <c r="CH44" s="137">
        <f t="shared" si="29"/>
        <v>9717.2794605169784</v>
      </c>
      <c r="EW44" s="7" t="s">
        <v>683</v>
      </c>
    </row>
    <row r="45" spans="1:243" ht="12.75" customHeight="1">
      <c r="G45" s="9"/>
      <c r="H45" s="70" t="s">
        <v>338</v>
      </c>
      <c r="I45" s="70"/>
      <c r="J45" s="70"/>
      <c r="K45" s="70"/>
      <c r="L45" s="131">
        <v>207.768</v>
      </c>
      <c r="M45" s="131">
        <v>205.40453999999994</v>
      </c>
      <c r="N45" s="146">
        <v>224.1</v>
      </c>
      <c r="O45" s="146">
        <v>195</v>
      </c>
      <c r="P45" s="132">
        <f>SUM(L45:O45)</f>
        <v>832.27253999999994</v>
      </c>
      <c r="Q45" s="146">
        <v>221.9</v>
      </c>
      <c r="R45" s="146">
        <v>218.5</v>
      </c>
      <c r="S45" s="146">
        <v>232.2</v>
      </c>
      <c r="T45" s="146">
        <v>230.6</v>
      </c>
      <c r="U45" s="132">
        <f>SUM(Q45:T45)</f>
        <v>903.19999999999993</v>
      </c>
      <c r="V45" s="146">
        <v>257.60000000000002</v>
      </c>
      <c r="W45" s="146">
        <v>276.10000000000002</v>
      </c>
      <c r="X45" s="146">
        <v>263.3</v>
      </c>
      <c r="Y45" s="146">
        <v>253.1</v>
      </c>
      <c r="Z45" s="133">
        <f>SUM(V45:Y45)</f>
        <v>1050.0999999999999</v>
      </c>
      <c r="AA45" s="146">
        <v>260.10000000000002</v>
      </c>
      <c r="AB45" s="146">
        <v>273.60000000000002</v>
      </c>
      <c r="AC45" s="146">
        <v>288.2</v>
      </c>
      <c r="AD45" s="146">
        <v>263.39999999999998</v>
      </c>
      <c r="AE45" s="132">
        <f t="shared" si="23"/>
        <v>1085.3000000000002</v>
      </c>
      <c r="AF45" s="146">
        <v>370.3</v>
      </c>
      <c r="AG45" s="146">
        <v>346</v>
      </c>
      <c r="AH45" s="146">
        <v>307.5</v>
      </c>
      <c r="AI45" s="146">
        <v>265.7</v>
      </c>
      <c r="AJ45" s="132">
        <f>SUM(AF45:AI45)</f>
        <v>1289.5</v>
      </c>
      <c r="AK45" s="146">
        <v>486.4</v>
      </c>
      <c r="AL45" s="146">
        <v>396.9</v>
      </c>
      <c r="AM45" s="146">
        <v>389.4</v>
      </c>
      <c r="AN45" s="146">
        <v>253.7</v>
      </c>
      <c r="AO45" s="132">
        <f>SUM(AK45:AN45)</f>
        <v>1526.3999999999999</v>
      </c>
      <c r="AP45" s="146">
        <v>363.3</v>
      </c>
      <c r="AQ45" s="146">
        <v>347.7</v>
      </c>
      <c r="AR45" s="146">
        <v>273.89999999999998</v>
      </c>
      <c r="AS45" s="146">
        <v>240.5</v>
      </c>
      <c r="AT45" s="132">
        <f>SUM(AP45:AS45)</f>
        <v>1225.4000000000001</v>
      </c>
      <c r="AU45" s="146">
        <v>332.2</v>
      </c>
      <c r="AV45" s="146">
        <v>262.10000000000002</v>
      </c>
      <c r="AW45" s="146">
        <v>251.9</v>
      </c>
      <c r="AX45" s="146">
        <v>271.20000000000005</v>
      </c>
      <c r="AY45" s="132">
        <f>SUM(AU45:AX45)</f>
        <v>1117.4000000000001</v>
      </c>
      <c r="AZ45" s="146">
        <v>229.7</v>
      </c>
      <c r="BA45" s="146">
        <v>323.50000000000006</v>
      </c>
      <c r="BB45" s="146">
        <v>310.3</v>
      </c>
      <c r="BC45" s="146">
        <v>205.5</v>
      </c>
      <c r="BD45" s="1049">
        <f>SUM(AZ45:BC45)</f>
        <v>1069</v>
      </c>
      <c r="BE45" s="146">
        <f>172.3+44.1</f>
        <v>216.4</v>
      </c>
      <c r="BF45" s="146">
        <f>206.9+45.2</f>
        <v>252.10000000000002</v>
      </c>
      <c r="BG45" s="146">
        <f>199.3+46.1</f>
        <v>245.4</v>
      </c>
      <c r="BH45" s="146">
        <f>130.2+46.2</f>
        <v>176.39999999999998</v>
      </c>
      <c r="BI45" s="166">
        <f>SUM(BE45:BH45)</f>
        <v>890.3</v>
      </c>
      <c r="BJ45" s="146">
        <v>274.39999999999998</v>
      </c>
      <c r="BK45" s="146">
        <v>250.3</v>
      </c>
      <c r="BL45" s="146">
        <v>314.3</v>
      </c>
      <c r="BM45" s="146">
        <v>129.30000000000001</v>
      </c>
      <c r="BN45" s="166">
        <f>SUM(BJ45:BM45)</f>
        <v>968.3</v>
      </c>
      <c r="BO45" s="146">
        <v>192.3</v>
      </c>
      <c r="BP45" s="146">
        <v>262.3</v>
      </c>
      <c r="BQ45" s="146">
        <v>262.89999999999998</v>
      </c>
      <c r="BR45" s="146">
        <v>220.7</v>
      </c>
      <c r="BS45" s="166">
        <f>SUM(BO45:BR45)</f>
        <v>938.2</v>
      </c>
      <c r="BT45" s="146">
        <v>279.60000000000002</v>
      </c>
      <c r="BU45" s="1071">
        <v>327.2</v>
      </c>
      <c r="BV45" s="1071">
        <v>257.8</v>
      </c>
      <c r="BW45" s="1071">
        <v>306.10000000000002</v>
      </c>
      <c r="BX45" s="166">
        <f>SUM(BT45:BW45)</f>
        <v>1170.6999999999998</v>
      </c>
      <c r="BY45" s="146">
        <f>265.6</f>
        <v>265.60000000000002</v>
      </c>
      <c r="BZ45" s="131">
        <f>BZ44*BZ46</f>
        <v>284.80946520833322</v>
      </c>
      <c r="CA45" s="131">
        <f>CA44*CA46</f>
        <v>307.91350490833321</v>
      </c>
      <c r="CB45" s="131">
        <f>CB44*CB46</f>
        <v>264.38792770833334</v>
      </c>
      <c r="CC45" s="166">
        <f>SUM(BY45:CB45)</f>
        <v>1122.7108978249998</v>
      </c>
      <c r="CD45" s="132">
        <f>CD44*CD46</f>
        <v>1210.7079967752004</v>
      </c>
      <c r="CE45" s="132">
        <f>CE44*CE46</f>
        <v>1321.5821705311498</v>
      </c>
      <c r="CF45" s="132">
        <f>CF44*CF46</f>
        <v>1421.6983523985739</v>
      </c>
      <c r="CG45" s="132">
        <f>CG44*CG46</f>
        <v>1504.2026167081888</v>
      </c>
      <c r="CH45" s="132">
        <f>CH44*CH46</f>
        <v>1603.3511109853016</v>
      </c>
    </row>
    <row r="46" spans="1:243" ht="12.75" customHeight="1">
      <c r="G46" s="9"/>
      <c r="H46" s="70" t="s">
        <v>573</v>
      </c>
      <c r="I46" s="70"/>
      <c r="J46" s="70"/>
      <c r="K46" s="70"/>
      <c r="L46" s="184">
        <v>0.22</v>
      </c>
      <c r="M46" s="184">
        <v>0.22</v>
      </c>
      <c r="N46" s="185">
        <v>0.22009428403064241</v>
      </c>
      <c r="O46" s="185">
        <v>0.18292682926829273</v>
      </c>
      <c r="P46" s="186">
        <f t="shared" ref="P46:BG46" si="30">P45/P44</f>
        <v>0.21005011537616067</v>
      </c>
      <c r="Q46" s="185">
        <f t="shared" si="30"/>
        <v>0.21007289595758777</v>
      </c>
      <c r="R46" s="185">
        <f t="shared" si="30"/>
        <v>0.20993466564181401</v>
      </c>
      <c r="S46" s="185">
        <f t="shared" si="30"/>
        <v>0.20999321727334389</v>
      </c>
      <c r="T46" s="185">
        <f t="shared" si="30"/>
        <v>0.19875883468367517</v>
      </c>
      <c r="U46" s="186">
        <f t="shared" si="30"/>
        <v>0.20701115045667598</v>
      </c>
      <c r="V46" s="185">
        <f t="shared" si="30"/>
        <v>0.22003929273084485</v>
      </c>
      <c r="W46" s="185">
        <f t="shared" si="30"/>
        <v>0.22001753127739279</v>
      </c>
      <c r="X46" s="185">
        <f t="shared" si="30"/>
        <v>0.20895167050234101</v>
      </c>
      <c r="Y46" s="185">
        <f t="shared" si="30"/>
        <v>0.20424467398321516</v>
      </c>
      <c r="Z46" s="187">
        <f t="shared" si="30"/>
        <v>0.21322260350463976</v>
      </c>
      <c r="AA46" s="185">
        <f t="shared" si="30"/>
        <v>0.21276073619631899</v>
      </c>
      <c r="AB46" s="185">
        <f t="shared" si="30"/>
        <v>0.21098087600246765</v>
      </c>
      <c r="AC46" s="185">
        <f t="shared" si="30"/>
        <v>0.21135230272807257</v>
      </c>
      <c r="AD46" s="185">
        <f t="shared" si="30"/>
        <v>0.19093874592243548</v>
      </c>
      <c r="AE46" s="186">
        <f t="shared" si="30"/>
        <v>0.20623669808452411</v>
      </c>
      <c r="AF46" s="185">
        <f t="shared" si="30"/>
        <v>0.22003684116703304</v>
      </c>
      <c r="AG46" s="185">
        <f t="shared" si="30"/>
        <v>0.22003039726297444</v>
      </c>
      <c r="AH46" s="185">
        <f t="shared" si="30"/>
        <v>0.18987341772151889</v>
      </c>
      <c r="AI46" s="185">
        <f t="shared" si="30"/>
        <v>0.20993994943109995</v>
      </c>
      <c r="AJ46" s="186">
        <f t="shared" si="30"/>
        <v>0.20999884374424921</v>
      </c>
      <c r="AK46" s="185">
        <f t="shared" si="30"/>
        <v>0.27266102359997763</v>
      </c>
      <c r="AL46" s="185">
        <f t="shared" si="30"/>
        <v>0.22502551309672286</v>
      </c>
      <c r="AM46" s="185">
        <f t="shared" si="30"/>
        <v>0.22496966895834533</v>
      </c>
      <c r="AN46" s="185">
        <f t="shared" si="30"/>
        <v>0.17041943198000908</v>
      </c>
      <c r="AO46" s="186">
        <f t="shared" si="30"/>
        <v>0.22555591020321306</v>
      </c>
      <c r="AP46" s="185">
        <f t="shared" si="30"/>
        <v>0.20900931998619257</v>
      </c>
      <c r="AQ46" s="185">
        <f t="shared" si="30"/>
        <v>0.20897944464478901</v>
      </c>
      <c r="AR46" s="185">
        <f t="shared" si="30"/>
        <v>0.17927739232883894</v>
      </c>
      <c r="AS46" s="185">
        <f t="shared" si="30"/>
        <v>0.19889182930863383</v>
      </c>
      <c r="AT46" s="186">
        <f t="shared" si="30"/>
        <v>0.19960905684964964</v>
      </c>
      <c r="AU46" s="185">
        <f t="shared" si="30"/>
        <v>0.24442645868589499</v>
      </c>
      <c r="AV46" s="185">
        <f t="shared" si="30"/>
        <v>0.22105085603441008</v>
      </c>
      <c r="AW46" s="185">
        <f t="shared" si="30"/>
        <v>0.22092615330643769</v>
      </c>
      <c r="AX46" s="185">
        <f t="shared" si="30"/>
        <v>0.22295138432273823</v>
      </c>
      <c r="AY46" s="186">
        <f t="shared" si="30"/>
        <v>0.22797527650522265</v>
      </c>
      <c r="AZ46" s="185">
        <f t="shared" si="30"/>
        <v>0.15550741317446351</v>
      </c>
      <c r="BA46" s="185">
        <f t="shared" si="30"/>
        <v>0.20495438418651798</v>
      </c>
      <c r="BB46" s="185">
        <f t="shared" si="30"/>
        <v>0.20503502048367916</v>
      </c>
      <c r="BC46" s="185">
        <f t="shared" si="30"/>
        <v>0.20500798084596983</v>
      </c>
      <c r="BD46" s="1055">
        <f t="shared" si="30"/>
        <v>0.19187622278462824</v>
      </c>
      <c r="BE46" s="185">
        <f t="shared" si="30"/>
        <v>0.2058991436726926</v>
      </c>
      <c r="BF46" s="185">
        <f t="shared" si="30"/>
        <v>0.23508019395747876</v>
      </c>
      <c r="BG46" s="185">
        <f t="shared" si="30"/>
        <v>0.2358708189158015</v>
      </c>
      <c r="BH46" s="185">
        <f t="shared" ref="BH46:BW46" si="31">BH45/BH44</f>
        <v>0.16602352941176465</v>
      </c>
      <c r="BI46" s="186">
        <f t="shared" si="31"/>
        <v>0.21065707592929994</v>
      </c>
      <c r="BJ46" s="185">
        <f t="shared" si="31"/>
        <v>0.22902929638594446</v>
      </c>
      <c r="BK46" s="185">
        <f t="shared" si="31"/>
        <v>0.20770060575885821</v>
      </c>
      <c r="BL46" s="185">
        <f t="shared" si="31"/>
        <v>0.25391824204233326</v>
      </c>
      <c r="BM46" s="185">
        <f t="shared" si="31"/>
        <v>0.13503916449086176</v>
      </c>
      <c r="BN46" s="186">
        <f t="shared" si="31"/>
        <v>0.21056866369468322</v>
      </c>
      <c r="BO46" s="185">
        <f t="shared" si="31"/>
        <v>0.17895030709101059</v>
      </c>
      <c r="BP46" s="185">
        <f t="shared" si="31"/>
        <v>0.22397745709162303</v>
      </c>
      <c r="BQ46" s="185">
        <f t="shared" si="31"/>
        <v>0.2202026970433035</v>
      </c>
      <c r="BR46" s="185">
        <f t="shared" si="31"/>
        <v>0.17883477838100631</v>
      </c>
      <c r="BS46" s="186">
        <f>BS45/BS44</f>
        <v>0.20125273499506613</v>
      </c>
      <c r="BT46" s="185">
        <f t="shared" si="31"/>
        <v>0.21193056924126441</v>
      </c>
      <c r="BU46" s="185">
        <f t="shared" si="31"/>
        <v>0.21746643626212944</v>
      </c>
      <c r="BV46" s="185">
        <f>BV45/BV44</f>
        <v>0.18891982998680937</v>
      </c>
      <c r="BW46" s="185">
        <f t="shared" si="31"/>
        <v>0.20232665741291572</v>
      </c>
      <c r="BX46" s="1207">
        <f>BX45/BX44</f>
        <v>0.20533553162381171</v>
      </c>
      <c r="BY46" s="185">
        <f>BY45/BY44</f>
        <v>0.15888018185081057</v>
      </c>
      <c r="BZ46" s="1223">
        <v>0.17499999999999999</v>
      </c>
      <c r="CA46" s="1223">
        <v>0.17499999999999999</v>
      </c>
      <c r="CB46" s="1223">
        <v>0.17499999999999999</v>
      </c>
      <c r="CC46" s="1207">
        <f>CC45/CC44</f>
        <v>0.17090067645565152</v>
      </c>
      <c r="CD46" s="189">
        <v>0.16800000000000001</v>
      </c>
      <c r="CE46" s="189">
        <v>0.16500000000000001</v>
      </c>
      <c r="CF46" s="189">
        <v>0.16500000000000001</v>
      </c>
      <c r="CG46" s="189">
        <v>0.16500000000000001</v>
      </c>
      <c r="CH46" s="189">
        <v>0.16500000000000001</v>
      </c>
    </row>
    <row r="47" spans="1:243" ht="12.75" customHeight="1">
      <c r="G47" s="9"/>
      <c r="H47" s="147" t="s">
        <v>262</v>
      </c>
      <c r="I47" s="147"/>
      <c r="J47" s="147"/>
      <c r="K47" s="147"/>
      <c r="L47" s="136">
        <v>736.63199999999995</v>
      </c>
      <c r="M47" s="136">
        <v>728.2524599999997</v>
      </c>
      <c r="N47" s="136">
        <v>794.1</v>
      </c>
      <c r="O47" s="136">
        <v>871</v>
      </c>
      <c r="P47" s="182">
        <f t="shared" ref="P47:BK47" si="32">P44-P45</f>
        <v>3129.9844599999988</v>
      </c>
      <c r="Q47" s="136">
        <f t="shared" si="32"/>
        <v>834.4000000000002</v>
      </c>
      <c r="R47" s="136">
        <f t="shared" si="32"/>
        <v>822.3</v>
      </c>
      <c r="S47" s="136">
        <f t="shared" si="32"/>
        <v>873.55</v>
      </c>
      <c r="T47" s="136">
        <f t="shared" si="32"/>
        <v>929.60000000000025</v>
      </c>
      <c r="U47" s="182">
        <f t="shared" si="32"/>
        <v>3459.8499999999995</v>
      </c>
      <c r="V47" s="136">
        <f t="shared" si="32"/>
        <v>913.0999999999998</v>
      </c>
      <c r="W47" s="136">
        <f t="shared" si="32"/>
        <v>978.79999999999916</v>
      </c>
      <c r="X47" s="136">
        <f t="shared" si="32"/>
        <v>996.80000000000064</v>
      </c>
      <c r="Y47" s="136">
        <f t="shared" si="32"/>
        <v>986.09999999999889</v>
      </c>
      <c r="Z47" s="183">
        <f t="shared" si="32"/>
        <v>3874.7999999999979</v>
      </c>
      <c r="AA47" s="136">
        <f t="shared" si="32"/>
        <v>962.4000000000002</v>
      </c>
      <c r="AB47" s="136">
        <f t="shared" si="32"/>
        <v>1023.1999999999999</v>
      </c>
      <c r="AC47" s="136">
        <f t="shared" si="32"/>
        <v>1075.400000000001</v>
      </c>
      <c r="AD47" s="136">
        <f t="shared" si="32"/>
        <v>1116.1000000000013</v>
      </c>
      <c r="AE47" s="182">
        <f t="shared" si="32"/>
        <v>4177.1000000000022</v>
      </c>
      <c r="AF47" s="136">
        <f t="shared" si="32"/>
        <v>1312.6000000000006</v>
      </c>
      <c r="AG47" s="136">
        <f t="shared" si="32"/>
        <v>1226.5100000000002</v>
      </c>
      <c r="AH47" s="136">
        <f t="shared" si="32"/>
        <v>1312.0000000000009</v>
      </c>
      <c r="AI47" s="136">
        <f t="shared" si="32"/>
        <v>999.89999999999941</v>
      </c>
      <c r="AJ47" s="182">
        <f t="shared" si="32"/>
        <v>4851.0100000000011</v>
      </c>
      <c r="AK47" s="136">
        <f t="shared" si="32"/>
        <v>1297.4999999999995</v>
      </c>
      <c r="AL47" s="136">
        <f t="shared" si="32"/>
        <v>1366.900000000001</v>
      </c>
      <c r="AM47" s="136">
        <f t="shared" si="32"/>
        <v>1341.5</v>
      </c>
      <c r="AN47" s="136">
        <f t="shared" si="32"/>
        <v>1234.9800000000002</v>
      </c>
      <c r="AO47" s="182">
        <f t="shared" si="32"/>
        <v>5240.880000000001</v>
      </c>
      <c r="AP47" s="136">
        <f t="shared" si="32"/>
        <v>1374.9000000000005</v>
      </c>
      <c r="AQ47" s="136">
        <f t="shared" si="32"/>
        <v>1316.1000000000001</v>
      </c>
      <c r="AR47" s="136">
        <f t="shared" si="32"/>
        <v>1253.8999999999992</v>
      </c>
      <c r="AS47" s="136">
        <f t="shared" si="32"/>
        <v>968.69999999999982</v>
      </c>
      <c r="AT47" s="137">
        <f t="shared" si="32"/>
        <v>4913.600000000004</v>
      </c>
      <c r="AU47" s="136">
        <f t="shared" si="32"/>
        <v>1026.9000000000003</v>
      </c>
      <c r="AV47" s="136">
        <f t="shared" si="32"/>
        <v>923.6</v>
      </c>
      <c r="AW47" s="136">
        <f t="shared" si="32"/>
        <v>888.29999999999893</v>
      </c>
      <c r="AX47" s="136">
        <f t="shared" si="32"/>
        <v>945.20868399999904</v>
      </c>
      <c r="AY47" s="137">
        <f t="shared" si="32"/>
        <v>3784.0086840000026</v>
      </c>
      <c r="AZ47" s="136">
        <f t="shared" si="32"/>
        <v>1247.3999999999996</v>
      </c>
      <c r="BA47" s="136">
        <f t="shared" si="32"/>
        <v>1254.9000000000003</v>
      </c>
      <c r="BB47" s="136">
        <f t="shared" si="32"/>
        <v>1203.0999999999999</v>
      </c>
      <c r="BC47" s="136">
        <f t="shared" si="32"/>
        <v>796.8999999999993</v>
      </c>
      <c r="BD47" s="1047">
        <f t="shared" si="32"/>
        <v>4502.3000000000038</v>
      </c>
      <c r="BE47" s="136">
        <f t="shared" si="32"/>
        <v>834.60000000000048</v>
      </c>
      <c r="BF47" s="139">
        <f t="shared" si="32"/>
        <v>820.29999999999916</v>
      </c>
      <c r="BG47" s="139">
        <f t="shared" si="32"/>
        <v>795.00000000000057</v>
      </c>
      <c r="BH47" s="139">
        <f t="shared" si="32"/>
        <v>886.10000000000025</v>
      </c>
      <c r="BI47" s="137">
        <f t="shared" si="32"/>
        <v>3335.9999999999982</v>
      </c>
      <c r="BJ47" s="136">
        <f t="shared" si="32"/>
        <v>923.6999999999997</v>
      </c>
      <c r="BK47" s="139">
        <f t="shared" si="32"/>
        <v>954.8</v>
      </c>
      <c r="BL47" s="139">
        <f t="shared" ref="BL47:CH47" si="33">BL44-BL45</f>
        <v>923.49999999999977</v>
      </c>
      <c r="BM47" s="139">
        <f t="shared" si="33"/>
        <v>828.19999999999914</v>
      </c>
      <c r="BN47" s="137">
        <f t="shared" si="33"/>
        <v>3630.1999999999962</v>
      </c>
      <c r="BO47" s="139">
        <f t="shared" si="33"/>
        <v>882.30000000000018</v>
      </c>
      <c r="BP47" s="139">
        <f t="shared" si="33"/>
        <v>908.80000000000132</v>
      </c>
      <c r="BQ47" s="139">
        <f t="shared" si="33"/>
        <v>930.99999999999966</v>
      </c>
      <c r="BR47" s="139">
        <f t="shared" si="33"/>
        <v>1013.4000000000005</v>
      </c>
      <c r="BS47" s="137">
        <f t="shared" si="33"/>
        <v>3723.600000000004</v>
      </c>
      <c r="BT47" s="139">
        <f t="shared" si="33"/>
        <v>1039.6999999999994</v>
      </c>
      <c r="BU47" s="139">
        <f t="shared" si="33"/>
        <v>1177.4000000000001</v>
      </c>
      <c r="BV47" s="139">
        <f t="shared" si="33"/>
        <v>1106.7999999999997</v>
      </c>
      <c r="BW47" s="139">
        <f t="shared" si="33"/>
        <v>1206.7999999999993</v>
      </c>
      <c r="BX47" s="137">
        <f t="shared" si="33"/>
        <v>4530.6999999999989</v>
      </c>
      <c r="BY47" s="139">
        <f t="shared" si="33"/>
        <v>1406.1</v>
      </c>
      <c r="BZ47" s="139">
        <f t="shared" si="33"/>
        <v>1342.6731931249994</v>
      </c>
      <c r="CA47" s="139">
        <f t="shared" si="33"/>
        <v>1451.5922374249997</v>
      </c>
      <c r="CB47" s="139">
        <f t="shared" si="33"/>
        <v>1246.4002306250002</v>
      </c>
      <c r="CC47" s="137">
        <f t="shared" si="33"/>
        <v>5446.6656611749977</v>
      </c>
      <c r="CD47" s="137">
        <f t="shared" si="33"/>
        <v>5995.8872221248012</v>
      </c>
      <c r="CE47" s="137">
        <f t="shared" si="33"/>
        <v>6688.0067417788487</v>
      </c>
      <c r="CF47" s="137">
        <f t="shared" si="33"/>
        <v>7194.6552985018743</v>
      </c>
      <c r="CG47" s="137">
        <f t="shared" si="33"/>
        <v>7612.1768784929545</v>
      </c>
      <c r="CH47" s="137">
        <f t="shared" si="33"/>
        <v>8113.9283495316768</v>
      </c>
    </row>
    <row r="48" spans="1:243" ht="13.5" customHeight="1" thickBot="1">
      <c r="G48" s="9"/>
      <c r="H48" s="191"/>
      <c r="I48" s="191"/>
      <c r="J48" s="191"/>
      <c r="K48" s="191"/>
      <c r="L48" s="192"/>
      <c r="M48" s="192"/>
      <c r="N48" s="192"/>
      <c r="O48" s="192"/>
      <c r="P48" s="193"/>
      <c r="Q48" s="192"/>
      <c r="R48" s="192"/>
      <c r="S48" s="192"/>
      <c r="T48" s="192"/>
      <c r="V48" s="192"/>
      <c r="W48" s="192"/>
      <c r="X48" s="192"/>
      <c r="Y48" s="192"/>
      <c r="Z48" s="194"/>
      <c r="AA48" s="192"/>
      <c r="AB48" s="192"/>
      <c r="AC48" s="192"/>
      <c r="AD48" s="192"/>
      <c r="AF48" s="192"/>
      <c r="AG48" s="192"/>
      <c r="AH48" s="192"/>
      <c r="AI48" s="192"/>
      <c r="AJ48" s="740"/>
      <c r="AK48" s="192"/>
      <c r="AL48" s="192"/>
      <c r="AM48" s="192"/>
      <c r="AN48" s="742"/>
      <c r="AO48" s="740"/>
      <c r="AP48" s="742"/>
      <c r="AQ48" s="742"/>
      <c r="AR48" s="742"/>
      <c r="AS48" s="742"/>
      <c r="AT48" s="740"/>
      <c r="AU48" s="742"/>
      <c r="AV48" s="742"/>
      <c r="AW48" s="742"/>
      <c r="AX48" s="742"/>
      <c r="AY48" s="740"/>
      <c r="AZ48" s="742"/>
      <c r="BA48" s="741"/>
      <c r="BB48" s="741"/>
      <c r="BC48" s="741"/>
      <c r="BD48" s="1056"/>
      <c r="BE48" s="741"/>
      <c r="BF48" s="741"/>
      <c r="BG48" s="741"/>
      <c r="BH48" s="741"/>
      <c r="BI48" s="740"/>
      <c r="BJ48" s="741"/>
      <c r="BK48" s="741"/>
      <c r="BL48" s="741"/>
      <c r="BM48" s="741"/>
      <c r="BN48" s="1028"/>
      <c r="BO48" s="741"/>
      <c r="BP48" s="741"/>
      <c r="BQ48" s="741"/>
      <c r="BR48" s="741"/>
      <c r="BS48" s="1028"/>
      <c r="BT48" s="741"/>
      <c r="BU48" s="741"/>
      <c r="BV48" s="741"/>
      <c r="BW48" s="741"/>
      <c r="BX48" s="1028"/>
      <c r="BY48" s="741"/>
      <c r="BZ48" s="741"/>
      <c r="CA48" s="741"/>
      <c r="CB48" s="741"/>
      <c r="CC48" s="1028"/>
      <c r="CD48" s="1028"/>
      <c r="CE48" s="1028"/>
      <c r="CF48" s="1028"/>
      <c r="CG48" s="1028"/>
      <c r="CH48" s="1028"/>
    </row>
    <row r="49" spans="1:153" ht="12.75" customHeight="1" thickBot="1">
      <c r="G49" s="9"/>
      <c r="H49" s="196" t="s">
        <v>934</v>
      </c>
      <c r="I49" s="197"/>
      <c r="J49" s="197"/>
      <c r="K49" s="197"/>
      <c r="L49" s="198">
        <v>0.67630492443543477</v>
      </c>
      <c r="M49" s="198">
        <v>0.66798731264085442</v>
      </c>
      <c r="N49" s="198">
        <v>0.72762291521969746</v>
      </c>
      <c r="O49" s="198">
        <v>0.79651690746595127</v>
      </c>
      <c r="P49" s="199">
        <f t="shared" ref="P49:BM49" si="34">P47/P50</f>
        <v>2.8687207389604676</v>
      </c>
      <c r="Q49" s="198">
        <f t="shared" si="34"/>
        <v>0.76762153240956277</v>
      </c>
      <c r="R49" s="198">
        <f t="shared" si="34"/>
        <v>0.75766370898637259</v>
      </c>
      <c r="S49" s="198">
        <f t="shared" si="34"/>
        <v>0.80406880630920863</v>
      </c>
      <c r="T49" s="198">
        <f t="shared" si="34"/>
        <v>0.85355115292760908</v>
      </c>
      <c r="U49" s="199">
        <f t="shared" si="34"/>
        <v>3.1830715810454584</v>
      </c>
      <c r="V49" s="198">
        <f t="shared" si="34"/>
        <v>0.83779942544080566</v>
      </c>
      <c r="W49" s="198">
        <f t="shared" si="34"/>
        <v>0.89802614074458664</v>
      </c>
      <c r="X49" s="198">
        <f t="shared" si="34"/>
        <v>0.91430416389966185</v>
      </c>
      <c r="Y49" s="198">
        <f t="shared" si="34"/>
        <v>0.90249634828067071</v>
      </c>
      <c r="Z49" s="200">
        <f t="shared" si="34"/>
        <v>3.5526712997419687</v>
      </c>
      <c r="AA49" s="198">
        <f t="shared" si="34"/>
        <v>0.87966246700351736</v>
      </c>
      <c r="AB49" s="198">
        <f t="shared" si="34"/>
        <v>0.9354270125576869</v>
      </c>
      <c r="AC49" s="198">
        <f t="shared" si="34"/>
        <v>0.98297660746016646</v>
      </c>
      <c r="AD49" s="198">
        <f t="shared" si="34"/>
        <v>1.017851850163016</v>
      </c>
      <c r="AE49" s="199">
        <f t="shared" si="34"/>
        <v>3.8160649565130225</v>
      </c>
      <c r="AF49" s="198">
        <f t="shared" si="34"/>
        <v>1.1962568443462607</v>
      </c>
      <c r="AG49" s="198">
        <f t="shared" si="34"/>
        <v>1.1178412942610052</v>
      </c>
      <c r="AH49" s="198">
        <f t="shared" si="34"/>
        <v>1.1952263824360034</v>
      </c>
      <c r="AI49" s="198">
        <f t="shared" si="34"/>
        <v>0.90780582270413335</v>
      </c>
      <c r="AJ49" s="199">
        <f t="shared" si="34"/>
        <v>4.4164169103535684</v>
      </c>
      <c r="AK49" s="198">
        <f t="shared" si="34"/>
        <v>1.1759044268383529</v>
      </c>
      <c r="AL49" s="198">
        <f t="shared" si="34"/>
        <v>1.2383505449775196</v>
      </c>
      <c r="AM49" s="198">
        <f t="shared" si="34"/>
        <v>1.2138096522071158</v>
      </c>
      <c r="AN49" s="198">
        <f t="shared" si="34"/>
        <v>1.1132354571685863</v>
      </c>
      <c r="AO49" s="199">
        <f t="shared" si="34"/>
        <v>4.7409771467185564</v>
      </c>
      <c r="AP49" s="198">
        <f t="shared" si="34"/>
        <v>1.2363919548643652</v>
      </c>
      <c r="AQ49" s="198">
        <f t="shared" si="34"/>
        <v>1.1814639164707434</v>
      </c>
      <c r="AR49" s="198">
        <f t="shared" si="34"/>
        <v>1.1257441591753214</v>
      </c>
      <c r="AS49" s="198">
        <f t="shared" si="34"/>
        <v>0.86810176335691092</v>
      </c>
      <c r="AT49" s="199">
        <f t="shared" si="34"/>
        <v>4.4110620379661443</v>
      </c>
      <c r="AU49" s="198">
        <f t="shared" si="34"/>
        <v>0.91935150311150693</v>
      </c>
      <c r="AV49" s="198">
        <f t="shared" si="34"/>
        <v>0.82559597821413466</v>
      </c>
      <c r="AW49" s="198">
        <f t="shared" si="34"/>
        <v>0.79337930640267629</v>
      </c>
      <c r="AX49" s="198">
        <f t="shared" si="34"/>
        <v>0.84857317125722609</v>
      </c>
      <c r="AY49" s="199">
        <f t="shared" si="34"/>
        <v>3.3867353177104436</v>
      </c>
      <c r="AZ49" s="198">
        <f t="shared" si="34"/>
        <v>1.142437419633731</v>
      </c>
      <c r="BA49" s="198">
        <f t="shared" si="34"/>
        <v>1.1576173138001751</v>
      </c>
      <c r="BB49" s="198">
        <f t="shared" si="34"/>
        <v>1.1096077774918676</v>
      </c>
      <c r="BC49" s="198">
        <f t="shared" si="34"/>
        <v>0.73857064475947487</v>
      </c>
      <c r="BD49" s="1057">
        <f t="shared" si="34"/>
        <v>4.1504019454519421</v>
      </c>
      <c r="BE49" s="198">
        <f t="shared" si="34"/>
        <v>0.7757687974747085</v>
      </c>
      <c r="BF49" s="198">
        <f t="shared" si="34"/>
        <v>0.76206455113162286</v>
      </c>
      <c r="BG49" s="198">
        <f t="shared" si="34"/>
        <v>0.73995751992300773</v>
      </c>
      <c r="BH49" s="198">
        <f t="shared" si="34"/>
        <v>0.82829572615857194</v>
      </c>
      <c r="BI49" s="199">
        <f t="shared" si="34"/>
        <v>3.1058365474381371</v>
      </c>
      <c r="BJ49" s="198">
        <f t="shared" si="34"/>
        <v>0.86566901210455849</v>
      </c>
      <c r="BK49" s="198">
        <f t="shared" si="34"/>
        <v>0.89603447499211686</v>
      </c>
      <c r="BL49" s="198">
        <f t="shared" si="34"/>
        <v>0.86700670979637751</v>
      </c>
      <c r="BM49" s="198">
        <f t="shared" si="34"/>
        <v>0.77773072036345348</v>
      </c>
      <c r="BN49" s="199">
        <f t="shared" ref="BN49:CH49" si="35">BN47/BN50</f>
        <v>3.4065018373452105</v>
      </c>
      <c r="BO49" s="198">
        <f t="shared" si="35"/>
        <v>0.82995085012816605</v>
      </c>
      <c r="BP49" s="198">
        <f t="shared" si="35"/>
        <v>0.85729136303478237</v>
      </c>
      <c r="BQ49" s="198">
        <f t="shared" si="35"/>
        <v>0.87765110022191051</v>
      </c>
      <c r="BR49" s="198">
        <f t="shared" si="35"/>
        <v>0.95468856276695813</v>
      </c>
      <c r="BS49" s="199">
        <f t="shared" si="35"/>
        <v>3.5083272837080361</v>
      </c>
      <c r="BT49" s="198">
        <f t="shared" si="35"/>
        <v>0.9842791766779696</v>
      </c>
      <c r="BU49" s="198">
        <f t="shared" si="35"/>
        <v>1.1137913745967782</v>
      </c>
      <c r="BV49" s="198">
        <f t="shared" si="35"/>
        <v>1.0480812480765129</v>
      </c>
      <c r="BW49" s="198">
        <f t="shared" si="35"/>
        <v>1.1417564202511326</v>
      </c>
      <c r="BX49" s="199">
        <f t="shared" si="35"/>
        <v>4.2879901117000259</v>
      </c>
      <c r="BY49" s="198">
        <f t="shared" si="35"/>
        <v>1.3393482238705172</v>
      </c>
      <c r="BZ49" s="198">
        <f t="shared" si="35"/>
        <v>1.2790893665245118</v>
      </c>
      <c r="CA49" s="198">
        <f t="shared" si="35"/>
        <v>1.3842712175493834</v>
      </c>
      <c r="CB49" s="198">
        <f t="shared" si="35"/>
        <v>1.1887321521447243</v>
      </c>
      <c r="CC49" s="199">
        <f t="shared" si="35"/>
        <v>5.1913866081679432</v>
      </c>
      <c r="CD49" s="199">
        <f t="shared" si="35"/>
        <v>5.7320629652620507</v>
      </c>
      <c r="CE49" s="199">
        <f t="shared" si="35"/>
        <v>6.4129675261779697</v>
      </c>
      <c r="CF49" s="199">
        <f t="shared" si="35"/>
        <v>6.9195391619361724</v>
      </c>
      <c r="CG49" s="199">
        <f t="shared" si="35"/>
        <v>7.3431245244815031</v>
      </c>
      <c r="CH49" s="200">
        <f t="shared" si="35"/>
        <v>7.8506936732850674</v>
      </c>
    </row>
    <row r="50" spans="1:153" ht="12.75" customHeight="1">
      <c r="G50" s="9"/>
      <c r="H50" s="191" t="s">
        <v>767</v>
      </c>
      <c r="I50" s="191"/>
      <c r="J50" s="191"/>
      <c r="K50" s="191"/>
      <c r="L50" s="201">
        <v>1089.201</v>
      </c>
      <c r="M50" s="201">
        <v>1090.2190000000001</v>
      </c>
      <c r="N50" s="201">
        <v>1091.3620000000001</v>
      </c>
      <c r="O50" s="201">
        <v>1093.511</v>
      </c>
      <c r="P50" s="202">
        <f>AVERAGE(L50:O50)</f>
        <v>1091.0732499999999</v>
      </c>
      <c r="Q50" s="201">
        <v>1086.9939999999999</v>
      </c>
      <c r="R50" s="201">
        <v>1085.31</v>
      </c>
      <c r="S50" s="201">
        <v>1086.412</v>
      </c>
      <c r="T50" s="201">
        <v>1089.097</v>
      </c>
      <c r="U50" s="202">
        <f>AVERAGE(Q50:T50)</f>
        <v>1086.95325</v>
      </c>
      <c r="V50" s="201">
        <v>1089.8789999999999</v>
      </c>
      <c r="W50" s="201">
        <v>1089.9459999999999</v>
      </c>
      <c r="X50" s="201">
        <v>1090.2280000000001</v>
      </c>
      <c r="Y50" s="201">
        <v>1092.636</v>
      </c>
      <c r="Z50" s="133">
        <f>AVERAGE(V50:Y50)</f>
        <v>1090.6722500000001</v>
      </c>
      <c r="AA50" s="201">
        <v>1094.056</v>
      </c>
      <c r="AB50" s="201">
        <v>1093.8320000000001</v>
      </c>
      <c r="AC50" s="201">
        <v>1094.0239999999999</v>
      </c>
      <c r="AD50" s="201">
        <v>1096.5250000000001</v>
      </c>
      <c r="AE50" s="202">
        <f>AVERAGE(AA50:AD50)</f>
        <v>1094.60925</v>
      </c>
      <c r="AF50" s="201">
        <v>1097.2560000000001</v>
      </c>
      <c r="AG50" s="201">
        <v>1097.213</v>
      </c>
      <c r="AH50" s="201">
        <v>1097.7</v>
      </c>
      <c r="AI50" s="201">
        <v>1101.4469999999999</v>
      </c>
      <c r="AJ50" s="202">
        <f>AVERAGE(AF50:AI50)</f>
        <v>1098.404</v>
      </c>
      <c r="AK50" s="201">
        <v>1103.4059999999999</v>
      </c>
      <c r="AL50" s="201">
        <v>1103.807</v>
      </c>
      <c r="AM50" s="201">
        <v>1105.1980000000001</v>
      </c>
      <c r="AN50" s="201">
        <v>1109.3610000000001</v>
      </c>
      <c r="AO50" s="202">
        <f>AVERAGE(AK50:AN50)</f>
        <v>1105.443</v>
      </c>
      <c r="AP50" s="201">
        <v>1112.0260000000001</v>
      </c>
      <c r="AQ50" s="201">
        <v>1113.9570000000001</v>
      </c>
      <c r="AR50" s="201">
        <v>1113.8409999999999</v>
      </c>
      <c r="AS50" s="201">
        <v>1115.883</v>
      </c>
      <c r="AT50" s="202">
        <f>AVERAGE(AP50:AS50)</f>
        <v>1113.9267500000001</v>
      </c>
      <c r="AU50" s="201">
        <v>1116.9829999999999</v>
      </c>
      <c r="AV50" s="201">
        <v>1118.7070000000001</v>
      </c>
      <c r="AW50" s="201">
        <v>1119.6410000000001</v>
      </c>
      <c r="AX50" s="201">
        <v>1113.8800000000001</v>
      </c>
      <c r="AY50" s="202">
        <f>AVERAGE(AU50:AX50)</f>
        <v>1117.3027500000001</v>
      </c>
      <c r="AZ50" s="201">
        <v>1091.876</v>
      </c>
      <c r="BA50" s="201">
        <v>1084.037</v>
      </c>
      <c r="BB50" s="201">
        <v>1084.2570000000001</v>
      </c>
      <c r="BC50" s="201">
        <v>1078.9760000000001</v>
      </c>
      <c r="BD50" s="1046">
        <f>AVERAGE(AZ50:BC50)</f>
        <v>1084.7865000000002</v>
      </c>
      <c r="BE50" s="201">
        <v>1075.836</v>
      </c>
      <c r="BF50" s="201">
        <v>1076.4179999999999</v>
      </c>
      <c r="BG50" s="201">
        <v>1074.386</v>
      </c>
      <c r="BH50" s="201">
        <v>1069.787</v>
      </c>
      <c r="BI50" s="202">
        <f>AVERAGE(BE50:BH50)</f>
        <v>1074.1067499999999</v>
      </c>
      <c r="BJ50" s="201">
        <v>1067.0360000000001</v>
      </c>
      <c r="BK50" s="201">
        <v>1065.5840000000001</v>
      </c>
      <c r="BL50" s="201">
        <v>1065.1590000000001</v>
      </c>
      <c r="BM50" s="201">
        <v>1064.893</v>
      </c>
      <c r="BN50" s="202">
        <f>AVERAGE(BJ50:BM50)</f>
        <v>1065.6680000000001</v>
      </c>
      <c r="BO50" s="201">
        <v>1063.075</v>
      </c>
      <c r="BP50" s="201">
        <v>1060.0830000000001</v>
      </c>
      <c r="BQ50" s="201">
        <v>1060.7860000000001</v>
      </c>
      <c r="BR50" s="201">
        <v>1061.498</v>
      </c>
      <c r="BS50" s="202">
        <f>AVERAGE(BO50:BR50)</f>
        <v>1061.3605000000002</v>
      </c>
      <c r="BT50" s="201">
        <v>1056.306</v>
      </c>
      <c r="BU50" s="201">
        <v>1057.1099999999999</v>
      </c>
      <c r="BV50" s="201">
        <v>1056.0250000000001</v>
      </c>
      <c r="BW50" s="201">
        <v>1056.9680000000001</v>
      </c>
      <c r="BX50" s="202">
        <f>AVERAGE(BT50:BW50)</f>
        <v>1056.6022500000001</v>
      </c>
      <c r="BY50" s="201">
        <f>1049.839</f>
        <v>1049.8389999999999</v>
      </c>
      <c r="BZ50" s="203">
        <f>BU50*(1+BZ77)</f>
        <v>1049.7102299999999</v>
      </c>
      <c r="CA50" s="203">
        <f>BV50*(1+CA77)</f>
        <v>1048.6328250000001</v>
      </c>
      <c r="CB50" s="203">
        <f>BW50*(1+CB77)</f>
        <v>1048.512256</v>
      </c>
      <c r="CC50" s="202">
        <f>AVERAGE(BY50:CB50)</f>
        <v>1049.1735777499998</v>
      </c>
      <c r="CD50" s="202">
        <f>CC50*(1+CD77)</f>
        <v>1046.0260570167497</v>
      </c>
      <c r="CE50" s="202">
        <f>CD50*(1+CE77)</f>
        <v>1042.8879788456995</v>
      </c>
      <c r="CF50" s="202">
        <f>CE50*(1+CF77)</f>
        <v>1039.7593149091624</v>
      </c>
      <c r="CG50" s="202">
        <f>CF50*(1+CG77)</f>
        <v>1036.640036964435</v>
      </c>
      <c r="CH50" s="202">
        <f>CG50*(1+CH77)</f>
        <v>1033.5301168535418</v>
      </c>
      <c r="EW50" s="7" t="s">
        <v>1121</v>
      </c>
    </row>
    <row r="51" spans="1:153" ht="12.75" customHeight="1">
      <c r="G51" s="9"/>
      <c r="H51" s="191" t="s">
        <v>768</v>
      </c>
      <c r="I51" s="191"/>
      <c r="J51" s="191"/>
      <c r="K51" s="191"/>
      <c r="L51" s="201">
        <v>1086.8409999999999</v>
      </c>
      <c r="M51" s="201">
        <v>1087.5820000000001</v>
      </c>
      <c r="N51" s="201">
        <v>1088.9359999999999</v>
      </c>
      <c r="O51" s="201">
        <v>1091.655</v>
      </c>
      <c r="P51" s="202">
        <f>AVERAGE(L51:O51)</f>
        <v>1088.7534999999998</v>
      </c>
      <c r="Q51" s="201">
        <v>1086.0350000000001</v>
      </c>
      <c r="R51" s="201">
        <v>1084.6859999999999</v>
      </c>
      <c r="S51" s="201">
        <v>1085.6030000000001</v>
      </c>
      <c r="T51" s="201">
        <v>1088.6120000000001</v>
      </c>
      <c r="U51" s="202">
        <f>AVERAGE(Q51:T51)</f>
        <v>1086.2339999999999</v>
      </c>
      <c r="V51" s="201">
        <v>1089.732</v>
      </c>
      <c r="W51" s="201">
        <v>1089</v>
      </c>
      <c r="X51" s="201">
        <v>1090.067</v>
      </c>
      <c r="Y51" s="201">
        <v>1092.472</v>
      </c>
      <c r="Z51" s="133">
        <f>AVERAGE(V51:Y51)</f>
        <v>1090.3177499999999</v>
      </c>
      <c r="AA51" s="201">
        <v>1093.866</v>
      </c>
      <c r="AB51" s="201">
        <v>1092.0999999999999</v>
      </c>
      <c r="AC51" s="201">
        <v>1093.9770000000001</v>
      </c>
      <c r="AD51" s="201">
        <v>1096.491</v>
      </c>
      <c r="AE51" s="202">
        <f>AVERAGE(AA51:AD51)</f>
        <v>1094.1085</v>
      </c>
      <c r="AF51" s="201">
        <v>1097.2239999999999</v>
      </c>
      <c r="AG51" s="201">
        <v>1097.2</v>
      </c>
      <c r="AH51" s="201">
        <v>1097.7</v>
      </c>
      <c r="AI51" s="201">
        <v>1101.42</v>
      </c>
      <c r="AJ51" s="202">
        <f>AVERAGE(AF51:AI51)</f>
        <v>1098.386</v>
      </c>
      <c r="AK51" s="201">
        <v>1103.3800000000001</v>
      </c>
      <c r="AL51" s="201">
        <v>1103.7819999999999</v>
      </c>
      <c r="AM51" s="201">
        <v>1105.173</v>
      </c>
      <c r="AN51" s="201">
        <v>1109.336</v>
      </c>
      <c r="AO51" s="202">
        <f>AVERAGE(AK51:AN51)</f>
        <v>1105.4177500000001</v>
      </c>
      <c r="AP51" s="201">
        <v>1112.0029999999999</v>
      </c>
      <c r="AQ51" s="201">
        <v>1113.933</v>
      </c>
      <c r="AR51" s="201">
        <v>1113.82</v>
      </c>
      <c r="AS51" s="201">
        <v>1115.846</v>
      </c>
      <c r="AT51" s="202">
        <f>AVERAGE(AP51:AS51)</f>
        <v>1113.9004999999997</v>
      </c>
      <c r="AU51" s="201">
        <v>1116.962</v>
      </c>
      <c r="AV51" s="201">
        <v>1118.6859999999999</v>
      </c>
      <c r="AW51" s="201">
        <v>1119.617</v>
      </c>
      <c r="AX51" s="203">
        <f>AS51*(1+AX77)</f>
        <v>1113.843066414669</v>
      </c>
      <c r="AY51" s="202">
        <f>AVERAGE(AU51:AX51)</f>
        <v>1117.2770166036673</v>
      </c>
      <c r="AZ51" s="201">
        <v>1087.9000000000001</v>
      </c>
      <c r="BA51" s="201">
        <v>1080.2</v>
      </c>
      <c r="BB51" s="201">
        <v>1076.5999999999999</v>
      </c>
      <c r="BC51" s="203">
        <f>AX51*(1+BC77)</f>
        <v>1078.9402237474719</v>
      </c>
      <c r="BD51" s="1046">
        <f>AVERAGE(AZ51:BC51)</f>
        <v>1080.910055936868</v>
      </c>
      <c r="BE51" s="203">
        <f>AZ51*(1+BE77)</f>
        <v>1071.9184086837702</v>
      </c>
      <c r="BF51" s="203">
        <f>BA51*(1+BF77)</f>
        <v>1072.6079678092167</v>
      </c>
      <c r="BG51" s="203">
        <f>BB51*(1+BG77)</f>
        <v>1066.7987087932104</v>
      </c>
      <c r="BH51" s="203">
        <f>BC51*(1+BH77)</f>
        <v>1069.7515284326405</v>
      </c>
      <c r="BI51" s="202">
        <f>AVERAGE(BE51:BH51)</f>
        <v>1070.2691534297096</v>
      </c>
      <c r="BJ51" s="203">
        <f t="shared" ref="BJ51:BV51" si="36">BE51*(1+BJ77)</f>
        <v>1063.1504533481827</v>
      </c>
      <c r="BK51" s="203">
        <f t="shared" si="36"/>
        <v>1061.8123152623018</v>
      </c>
      <c r="BL51" s="203">
        <f t="shared" si="36"/>
        <v>1057.6368696720428</v>
      </c>
      <c r="BM51" s="203">
        <f t="shared" si="36"/>
        <v>1064.8576907059255</v>
      </c>
      <c r="BN51" s="202">
        <f t="shared" si="36"/>
        <v>1061.8605536154873</v>
      </c>
      <c r="BO51" s="203">
        <f t="shared" si="36"/>
        <v>1059.2038770886074</v>
      </c>
      <c r="BP51" s="203">
        <f t="shared" si="36"/>
        <v>1056.3307863107991</v>
      </c>
      <c r="BQ51" s="203">
        <f t="shared" si="36"/>
        <v>1053.2947517055459</v>
      </c>
      <c r="BR51" s="203">
        <f t="shared" si="36"/>
        <v>1061.4628032759711</v>
      </c>
      <c r="BS51" s="202">
        <f t="shared" si="36"/>
        <v>1057.5684435636713</v>
      </c>
      <c r="BT51" s="203">
        <f t="shared" si="36"/>
        <v>1052.4595259901309</v>
      </c>
      <c r="BU51" s="203">
        <f t="shared" si="36"/>
        <v>1053.3683093842733</v>
      </c>
      <c r="BV51" s="203">
        <f t="shared" si="36"/>
        <v>1048.5673737868422</v>
      </c>
      <c r="BW51" s="201">
        <v>1051.0909999999999</v>
      </c>
      <c r="BX51" s="202">
        <f t="shared" ref="BX51:CC51" si="37">BS51*(1+BX77)</f>
        <v>1052.8271939631943</v>
      </c>
      <c r="BY51" s="203">
        <f t="shared" si="37"/>
        <v>1046.016075177035</v>
      </c>
      <c r="BZ51" s="203">
        <f t="shared" si="37"/>
        <v>1045.9947312185834</v>
      </c>
      <c r="CA51" s="203">
        <f t="shared" si="37"/>
        <v>1041.2274021703342</v>
      </c>
      <c r="CB51" s="203">
        <f t="shared" si="37"/>
        <v>1042.6822719999998</v>
      </c>
      <c r="CC51" s="202">
        <f t="shared" si="37"/>
        <v>1045.4250630668801</v>
      </c>
      <c r="CD51" s="202">
        <f>CC51*(1+CD77)</f>
        <v>1042.2887878776794</v>
      </c>
      <c r="CE51" s="202">
        <f>CD51*(1+CE77)</f>
        <v>1039.1619215140463</v>
      </c>
      <c r="CF51" s="202">
        <f>CE51*(1+CF77)</f>
        <v>1036.0444357495041</v>
      </c>
      <c r="CG51" s="202">
        <f>CF51*(1+CG77)</f>
        <v>1032.9363024422557</v>
      </c>
      <c r="CH51" s="202">
        <f>CG51*(1+CH77)</f>
        <v>1029.8374935349291</v>
      </c>
    </row>
    <row r="52" spans="1:153" ht="12.75" customHeight="1">
      <c r="G52" s="9"/>
      <c r="H52" s="191" t="s">
        <v>505</v>
      </c>
      <c r="I52" s="191"/>
      <c r="J52" s="191"/>
      <c r="K52" s="191"/>
      <c r="L52" s="203">
        <f t="shared" ref="L52:AI52" si="38">L51</f>
        <v>1086.8409999999999</v>
      </c>
      <c r="M52" s="203">
        <f t="shared" si="38"/>
        <v>1087.5820000000001</v>
      </c>
      <c r="N52" s="203">
        <f t="shared" si="38"/>
        <v>1088.9359999999999</v>
      </c>
      <c r="O52" s="203">
        <f t="shared" si="38"/>
        <v>1091.655</v>
      </c>
      <c r="P52" s="202">
        <f t="shared" si="38"/>
        <v>1088.7534999999998</v>
      </c>
      <c r="Q52" s="203">
        <f t="shared" si="38"/>
        <v>1086.0350000000001</v>
      </c>
      <c r="R52" s="203">
        <f t="shared" si="38"/>
        <v>1084.6859999999999</v>
      </c>
      <c r="S52" s="203">
        <f t="shared" si="38"/>
        <v>1085.6030000000001</v>
      </c>
      <c r="T52" s="203">
        <f t="shared" si="38"/>
        <v>1088.6120000000001</v>
      </c>
      <c r="U52" s="202">
        <f t="shared" si="38"/>
        <v>1086.2339999999999</v>
      </c>
      <c r="V52" s="203">
        <f t="shared" si="38"/>
        <v>1089.732</v>
      </c>
      <c r="W52" s="203">
        <f t="shared" si="38"/>
        <v>1089</v>
      </c>
      <c r="X52" s="203">
        <f t="shared" si="38"/>
        <v>1090.067</v>
      </c>
      <c r="Y52" s="203">
        <f t="shared" si="38"/>
        <v>1092.472</v>
      </c>
      <c r="Z52" s="133">
        <f t="shared" si="38"/>
        <v>1090.3177499999999</v>
      </c>
      <c r="AA52" s="203">
        <f t="shared" si="38"/>
        <v>1093.866</v>
      </c>
      <c r="AB52" s="203">
        <f t="shared" si="38"/>
        <v>1092.0999999999999</v>
      </c>
      <c r="AC52" s="203">
        <f t="shared" si="38"/>
        <v>1093.9770000000001</v>
      </c>
      <c r="AD52" s="203">
        <f t="shared" si="38"/>
        <v>1096.491</v>
      </c>
      <c r="AE52" s="202">
        <f t="shared" si="38"/>
        <v>1094.1085</v>
      </c>
      <c r="AF52" s="203">
        <f t="shared" si="38"/>
        <v>1097.2239999999999</v>
      </c>
      <c r="AG52" s="203">
        <f t="shared" si="38"/>
        <v>1097.2</v>
      </c>
      <c r="AH52" s="203">
        <f t="shared" si="38"/>
        <v>1097.7</v>
      </c>
      <c r="AI52" s="203">
        <f t="shared" si="38"/>
        <v>1101.42</v>
      </c>
      <c r="AJ52" s="202">
        <f t="shared" ref="AJ52:AO52" si="39">AJ51</f>
        <v>1098.386</v>
      </c>
      <c r="AK52" s="203">
        <f t="shared" si="39"/>
        <v>1103.3800000000001</v>
      </c>
      <c r="AL52" s="203">
        <f t="shared" si="39"/>
        <v>1103.7819999999999</v>
      </c>
      <c r="AM52" s="203">
        <f t="shared" si="39"/>
        <v>1105.173</v>
      </c>
      <c r="AN52" s="203">
        <f t="shared" si="39"/>
        <v>1109.336</v>
      </c>
      <c r="AO52" s="202">
        <f t="shared" si="39"/>
        <v>1105.4177500000001</v>
      </c>
      <c r="AP52" s="203">
        <f t="shared" ref="AP52:AY52" si="40">AP51</f>
        <v>1112.0029999999999</v>
      </c>
      <c r="AQ52" s="203">
        <f t="shared" si="40"/>
        <v>1113.933</v>
      </c>
      <c r="AR52" s="203">
        <f t="shared" si="40"/>
        <v>1113.82</v>
      </c>
      <c r="AS52" s="203">
        <f t="shared" si="40"/>
        <v>1115.846</v>
      </c>
      <c r="AT52" s="202">
        <f t="shared" si="40"/>
        <v>1113.9004999999997</v>
      </c>
      <c r="AU52" s="201">
        <v>1116.9826619999999</v>
      </c>
      <c r="AV52" s="203">
        <f t="shared" si="40"/>
        <v>1118.6859999999999</v>
      </c>
      <c r="AW52" s="203">
        <f t="shared" si="40"/>
        <v>1119.617</v>
      </c>
      <c r="AX52" s="203">
        <f t="shared" si="40"/>
        <v>1113.843066414669</v>
      </c>
      <c r="AY52" s="202">
        <f t="shared" si="40"/>
        <v>1117.2770166036673</v>
      </c>
      <c r="AZ52" s="203">
        <f>AZ51</f>
        <v>1087.9000000000001</v>
      </c>
      <c r="BA52" s="203">
        <f>BA51</f>
        <v>1080.2</v>
      </c>
      <c r="BB52" s="203">
        <f>BB51</f>
        <v>1076.5999999999999</v>
      </c>
      <c r="BC52" s="203">
        <f>BC51</f>
        <v>1078.9402237474719</v>
      </c>
      <c r="BD52" s="1046">
        <f>BC52</f>
        <v>1078.9402237474719</v>
      </c>
      <c r="BE52" s="203">
        <f>BE51</f>
        <v>1071.9184086837702</v>
      </c>
      <c r="BF52" s="203">
        <f>BF51</f>
        <v>1072.6079678092167</v>
      </c>
      <c r="BG52" s="203">
        <f>BG51</f>
        <v>1066.7987087932104</v>
      </c>
      <c r="BH52" s="203">
        <f>BH51</f>
        <v>1069.7515284326405</v>
      </c>
      <c r="BI52" s="202">
        <f>BH52</f>
        <v>1069.7515284326405</v>
      </c>
      <c r="BJ52" s="203">
        <f t="shared" ref="BJ52:CH52" si="41">BJ51</f>
        <v>1063.1504533481827</v>
      </c>
      <c r="BK52" s="203">
        <f t="shared" si="41"/>
        <v>1061.8123152623018</v>
      </c>
      <c r="BL52" s="203">
        <f t="shared" si="41"/>
        <v>1057.6368696720428</v>
      </c>
      <c r="BM52" s="203">
        <f t="shared" si="41"/>
        <v>1064.8576907059255</v>
      </c>
      <c r="BN52" s="202">
        <f t="shared" si="41"/>
        <v>1061.8605536154873</v>
      </c>
      <c r="BO52" s="203">
        <f t="shared" si="41"/>
        <v>1059.2038770886074</v>
      </c>
      <c r="BP52" s="203">
        <f t="shared" si="41"/>
        <v>1056.3307863107991</v>
      </c>
      <c r="BQ52" s="203">
        <f t="shared" si="41"/>
        <v>1053.2947517055459</v>
      </c>
      <c r="BR52" s="203">
        <f t="shared" si="41"/>
        <v>1061.4628032759711</v>
      </c>
      <c r="BS52" s="202">
        <f t="shared" si="41"/>
        <v>1057.5684435636713</v>
      </c>
      <c r="BT52" s="203">
        <f t="shared" si="41"/>
        <v>1052.4595259901309</v>
      </c>
      <c r="BU52" s="203">
        <f t="shared" si="41"/>
        <v>1053.3683093842733</v>
      </c>
      <c r="BV52" s="203">
        <f t="shared" si="41"/>
        <v>1048.5673737868422</v>
      </c>
      <c r="BW52" s="203">
        <f t="shared" si="41"/>
        <v>1051.0909999999999</v>
      </c>
      <c r="BX52" s="202">
        <f t="shared" si="41"/>
        <v>1052.8271939631943</v>
      </c>
      <c r="BY52" s="203">
        <f t="shared" si="41"/>
        <v>1046.016075177035</v>
      </c>
      <c r="BZ52" s="203">
        <f t="shared" si="41"/>
        <v>1045.9947312185834</v>
      </c>
      <c r="CA52" s="203">
        <f t="shared" si="41"/>
        <v>1041.2274021703342</v>
      </c>
      <c r="CB52" s="203">
        <f t="shared" si="41"/>
        <v>1042.6822719999998</v>
      </c>
      <c r="CC52" s="202">
        <f t="shared" si="41"/>
        <v>1045.4250630668801</v>
      </c>
      <c r="CD52" s="202">
        <f t="shared" si="41"/>
        <v>1042.2887878776794</v>
      </c>
      <c r="CE52" s="202">
        <f t="shared" si="41"/>
        <v>1039.1619215140463</v>
      </c>
      <c r="CF52" s="202">
        <f t="shared" si="41"/>
        <v>1036.0444357495041</v>
      </c>
      <c r="CG52" s="202">
        <f t="shared" si="41"/>
        <v>1032.9363024422557</v>
      </c>
      <c r="CH52" s="202">
        <f t="shared" si="41"/>
        <v>1029.8374935349291</v>
      </c>
    </row>
    <row r="53" spans="1:153" ht="16.5" customHeight="1">
      <c r="G53" s="9"/>
      <c r="H53" s="774"/>
      <c r="I53" s="191"/>
      <c r="J53" s="191"/>
      <c r="K53" s="191"/>
      <c r="L53" s="201"/>
      <c r="M53" s="201"/>
      <c r="N53" s="201"/>
      <c r="O53" s="201"/>
      <c r="P53" s="202"/>
      <c r="Q53" s="201"/>
      <c r="R53" s="201"/>
      <c r="S53" s="201"/>
      <c r="T53" s="201"/>
      <c r="U53" s="202"/>
      <c r="V53" s="201"/>
      <c r="W53" s="201"/>
      <c r="X53" s="201"/>
      <c r="Y53" s="201"/>
      <c r="Z53" s="133"/>
      <c r="AA53" s="201"/>
      <c r="AB53" s="201"/>
      <c r="AC53" s="201"/>
      <c r="AD53" s="201"/>
      <c r="AE53" s="202"/>
      <c r="AF53" s="201"/>
      <c r="AG53" s="201"/>
      <c r="AH53" s="201"/>
      <c r="AI53" s="201"/>
      <c r="AJ53" s="752"/>
      <c r="AK53" s="751"/>
      <c r="AL53" s="203"/>
      <c r="AM53" s="203"/>
      <c r="AN53" s="203"/>
      <c r="AO53" s="202"/>
      <c r="AP53" s="203"/>
      <c r="AQ53" s="203"/>
      <c r="AR53" s="203"/>
      <c r="AS53" s="203"/>
      <c r="AT53" s="774"/>
      <c r="AU53" s="203"/>
      <c r="AV53" s="203"/>
      <c r="AW53" s="203"/>
      <c r="AX53" s="203"/>
      <c r="AY53" s="202"/>
      <c r="AZ53" s="203"/>
      <c r="BA53" s="203"/>
      <c r="BB53" s="203"/>
      <c r="BC53" s="203"/>
      <c r="BD53" s="1046"/>
      <c r="BE53" s="203"/>
      <c r="BF53" s="203"/>
      <c r="BG53" s="203"/>
      <c r="BH53" s="203"/>
      <c r="BI53" s="774"/>
      <c r="BJ53" s="203"/>
      <c r="BK53" s="203"/>
      <c r="BL53" s="203"/>
      <c r="BM53" s="203"/>
      <c r="BN53" s="774"/>
      <c r="BO53" s="203"/>
      <c r="BP53" s="203"/>
      <c r="BQ53" s="203"/>
      <c r="BR53" s="203"/>
      <c r="BS53" s="774"/>
      <c r="BT53" s="203"/>
      <c r="BU53" s="203"/>
      <c r="BV53" s="203"/>
      <c r="BW53" s="203"/>
      <c r="BX53" s="774"/>
      <c r="BY53" s="203"/>
      <c r="BZ53" s="203"/>
      <c r="CA53" s="203"/>
      <c r="CB53" s="203"/>
      <c r="CC53" s="774"/>
      <c r="CD53" s="774"/>
      <c r="CE53" s="774"/>
      <c r="CF53" s="774"/>
      <c r="CG53" s="774"/>
      <c r="CH53" s="774"/>
    </row>
    <row r="54" spans="1:153" ht="3.75" customHeight="1">
      <c r="G54" s="9"/>
      <c r="H54" s="15"/>
      <c r="I54" s="15"/>
      <c r="J54" s="15"/>
      <c r="K54" s="15"/>
      <c r="L54" s="205"/>
      <c r="M54" s="205"/>
      <c r="N54" s="205"/>
      <c r="O54" s="205"/>
      <c r="P54" s="206"/>
      <c r="Q54" s="205"/>
      <c r="R54" s="205"/>
      <c r="S54" s="205"/>
      <c r="T54" s="205"/>
      <c r="U54" s="206"/>
      <c r="V54" s="205"/>
      <c r="W54" s="205"/>
      <c r="X54" s="205"/>
      <c r="Y54" s="205"/>
      <c r="Z54" s="207"/>
      <c r="AA54" s="205"/>
      <c r="AB54" s="205"/>
      <c r="AC54" s="205"/>
      <c r="AD54" s="205"/>
      <c r="AE54" s="206"/>
      <c r="AF54" s="205"/>
      <c r="AG54" s="205"/>
      <c r="AH54" s="205"/>
      <c r="AI54" s="205"/>
      <c r="AJ54" s="206"/>
      <c r="AK54" s="208"/>
      <c r="AL54" s="208"/>
      <c r="AM54" s="208"/>
      <c r="AN54" s="208"/>
      <c r="AO54" s="209"/>
      <c r="AP54" s="208"/>
      <c r="AQ54" s="208"/>
      <c r="AR54" s="208"/>
      <c r="AS54" s="208"/>
      <c r="AT54" s="209"/>
      <c r="AU54" s="208"/>
      <c r="AV54" s="208"/>
      <c r="AW54" s="208"/>
      <c r="AX54" s="208"/>
      <c r="AY54" s="329"/>
      <c r="AZ54" s="328"/>
      <c r="BA54" s="328"/>
      <c r="BB54" s="328"/>
      <c r="BC54" s="328"/>
      <c r="BD54" s="1058"/>
      <c r="BE54" s="203"/>
      <c r="BF54" s="203"/>
      <c r="BG54" s="203"/>
      <c r="BH54" s="203"/>
      <c r="BI54" s="840"/>
      <c r="BJ54" s="203"/>
      <c r="BK54" s="203"/>
      <c r="BL54" s="203"/>
      <c r="BM54" s="203"/>
      <c r="BN54" s="840"/>
      <c r="BO54" s="328"/>
      <c r="BP54" s="328"/>
      <c r="BQ54" s="328"/>
      <c r="BR54" s="328"/>
      <c r="BS54" s="329"/>
      <c r="BT54" s="328"/>
      <c r="BU54" s="328"/>
      <c r="BV54" s="328"/>
      <c r="BW54" s="328"/>
      <c r="BX54" s="329"/>
      <c r="BY54" s="328"/>
      <c r="BZ54" s="328"/>
      <c r="CA54" s="328"/>
      <c r="CB54" s="328"/>
      <c r="CC54" s="329"/>
      <c r="CD54" s="329"/>
      <c r="CE54" s="329"/>
      <c r="CF54" s="329"/>
      <c r="CG54" s="329"/>
      <c r="CH54" s="329"/>
    </row>
    <row r="55" spans="1:153" ht="12.75" customHeight="1" thickBot="1">
      <c r="G55" s="9"/>
      <c r="H55" s="41" t="s">
        <v>506</v>
      </c>
      <c r="I55" s="41"/>
      <c r="J55" s="41"/>
      <c r="K55" s="41"/>
      <c r="L55" s="43" t="str">
        <f>"1Q:" &amp; RIGHT(YEAR(L$4),2) &amp; IF(L$4&lt;=LatestRpQ, "A", "E")</f>
        <v>1Q:05A</v>
      </c>
      <c r="M55" s="43" t="str">
        <f>"2Q:" &amp; RIGHT(YEAR(M$4),2) &amp; IF(M$4&lt;=LatestRpQ, "A", "E")</f>
        <v>2Q:05A</v>
      </c>
      <c r="N55" s="43" t="str">
        <f>"3Q:" &amp; RIGHT(YEAR(N$4),2) &amp; IF(N$4&lt;=LatestRpQ, "A", "E")</f>
        <v>3Q:05A</v>
      </c>
      <c r="O55" s="43" t="str">
        <f>"4Q:" &amp; RIGHT(YEAR(O$4),2) &amp; IF(O$4&lt;=LatestRpQ, "A", "E")</f>
        <v>4Q:05A</v>
      </c>
      <c r="P55" s="44" t="str">
        <f>YEAR(P$4) &amp; IF(P$4&lt;=LatestRpQ, "A", "E")</f>
        <v>2005A</v>
      </c>
      <c r="Q55" s="43" t="str">
        <f>"1Q:" &amp; RIGHT(YEAR(Q$4),2) &amp; IF(Q$4&lt;=LatestRpQ, "A", "E")</f>
        <v>1Q:06A</v>
      </c>
      <c r="R55" s="43" t="str">
        <f>"2Q:" &amp; RIGHT(YEAR(R$4),2) &amp; IF(R$4&lt;=LatestRpQ, "A", "E")</f>
        <v>2Q:06A</v>
      </c>
      <c r="S55" s="43" t="str">
        <f>"3Q:" &amp; RIGHT(YEAR(S$4),2) &amp; IF(S$4&lt;=LatestRpQ, "A", "E")</f>
        <v>3Q:06A</v>
      </c>
      <c r="T55" s="43" t="str">
        <f>"4Q:" &amp; RIGHT(YEAR(T$4),2) &amp; IF(T$4&lt;=LatestRpQ, "A", "E")</f>
        <v>4Q:06A</v>
      </c>
      <c r="U55" s="44" t="str">
        <f>YEAR(U$4) &amp; IF(U$4&lt;=LatestRpQ, "A", "E")</f>
        <v>2006A</v>
      </c>
      <c r="V55" s="43" t="str">
        <f>"1Q:" &amp; RIGHT(YEAR(V$4),2) &amp; IF(V$4&lt;=LatestRpQ, "A", "E")</f>
        <v>1Q:07A</v>
      </c>
      <c r="W55" s="43" t="str">
        <f>"2Q:" &amp; RIGHT(YEAR(W$4),2) &amp; IF(W$4&lt;=LatestRpQ, "A", "E")</f>
        <v>2Q:07A</v>
      </c>
      <c r="X55" s="43" t="str">
        <f>"3Q:" &amp; RIGHT(YEAR(X$4),2) &amp; IF(X$4&lt;=LatestRpQ, "A", "E")</f>
        <v>3Q:07A</v>
      </c>
      <c r="Y55" s="43" t="str">
        <f>"4Q:" &amp; RIGHT(YEAR(Y$4),2) &amp; IF(Y$4&lt;=LatestRpQ, "A", "E")</f>
        <v>4Q:07A</v>
      </c>
      <c r="Z55" s="123" t="str">
        <f>YEAR(Z$4) &amp; IF(Z$4&lt;=LatestRpQ, "A", "E")</f>
        <v>2007A</v>
      </c>
      <c r="AA55" s="43" t="str">
        <f>"1Q:" &amp; RIGHT(YEAR(AA$4),2) &amp; IF(AA$4&lt;=LatestRpQ, "A", "E")</f>
        <v>1Q:08A</v>
      </c>
      <c r="AB55" s="43" t="str">
        <f>"2Q:" &amp; RIGHT(YEAR(AB$4),2) &amp; IF(AB$4&lt;=LatestRpQ, "A", "E")</f>
        <v>2Q:08A</v>
      </c>
      <c r="AC55" s="43" t="str">
        <f>"3Q:" &amp; RIGHT(YEAR(AC$4),2) &amp; IF(AC$4&lt;=LatestRpQ, "A", "E")</f>
        <v>3Q:08A</v>
      </c>
      <c r="AD55" s="43" t="str">
        <f>"4Q:" &amp; RIGHT(YEAR(AD$4),2) &amp; IF(AD$4&lt;=LatestRpQ, "A", "E")</f>
        <v>4Q:08A</v>
      </c>
      <c r="AE55" s="44" t="str">
        <f>YEAR(AE$4) &amp; IF(AE$4&lt;=LatestRpQ, "A", "E")</f>
        <v>2008A</v>
      </c>
      <c r="AF55" s="43" t="str">
        <f>"1Q:" &amp; RIGHT(YEAR(AF$4),2) &amp; IF(AF$4&lt;=LatestRpQ, "A", "E")</f>
        <v>1Q:09A</v>
      </c>
      <c r="AG55" s="43" t="str">
        <f>"2Q:" &amp; RIGHT(YEAR(AG$4),2) &amp; IF(AG$4&lt;=LatestRpQ, "A", "E")</f>
        <v>2Q:09A</v>
      </c>
      <c r="AH55" s="43" t="str">
        <f>"3Q:" &amp; RIGHT(YEAR(AH$4),2) &amp; IF(AH$4&lt;=LatestRpQ, "A", "E")</f>
        <v>3Q:09A</v>
      </c>
      <c r="AI55" s="43" t="str">
        <f>"4Q:" &amp; RIGHT(YEAR(AI$4),2) &amp; IF(AI$4&lt;=LatestRpQ, "A", "E")</f>
        <v>4Q:09A</v>
      </c>
      <c r="AJ55" s="44" t="str">
        <f>YEAR(AJ$4) &amp; IF(AJ$4&lt;=LatestRpQ, "A", "E")</f>
        <v>2009A</v>
      </c>
      <c r="AK55" s="43" t="str">
        <f>"1Q:" &amp; RIGHT(YEAR(AK$4),2) &amp; IF(AK$4&lt;=LatestRpQ, "A", "E")</f>
        <v>1Q:10A</v>
      </c>
      <c r="AL55" s="43" t="str">
        <f>"2Q:" &amp; RIGHT(YEAR(AL$4),2) &amp; IF(AL$4&lt;=LatestRpQ, "A", "E")</f>
        <v>2Q:10A</v>
      </c>
      <c r="AM55" s="43" t="str">
        <f>"3Q:" &amp; RIGHT(YEAR(AM$4),2) &amp; IF(AM$4&lt;=LatestRpQ, "A", "E")</f>
        <v>3Q:10A</v>
      </c>
      <c r="AN55" s="43" t="str">
        <f>"4Q:" &amp; RIGHT(YEAR(AN$4),2) &amp; IF(AN$4&lt;=LatestRpQ, "A", "E")</f>
        <v>4Q:10A</v>
      </c>
      <c r="AO55" s="44" t="str">
        <f>YEAR(AO$4) &amp; IF(AO$4&lt;=LatestRpQ, "A", "E")</f>
        <v>2010A</v>
      </c>
      <c r="AP55" s="43" t="str">
        <f>"1Q:" &amp; RIGHT(YEAR(AP$4),2) &amp; IF(AP$4&lt;=LatestRpQ, "A", "E")</f>
        <v>1Q:11A</v>
      </c>
      <c r="AQ55" s="43" t="str">
        <f>"2Q:" &amp; RIGHT(YEAR(AQ$4),2) &amp; IF(AQ$4&lt;=LatestRpQ, "A", "E")</f>
        <v>2Q:11A</v>
      </c>
      <c r="AR55" s="43" t="str">
        <f>"3Q:" &amp; RIGHT(YEAR(AR$4),2) &amp; IF(AR$4&lt;=LatestRpQ, "A", "E")</f>
        <v>3Q:11A</v>
      </c>
      <c r="AS55" s="43" t="str">
        <f>"4Q:" &amp; RIGHT(YEAR(AS$4),2) &amp; IF(AS$4&lt;=LatestRpQ, "A", "E")</f>
        <v>4Q:11A</v>
      </c>
      <c r="AT55" s="44" t="str">
        <f>YEAR(AT$4) &amp; IF(AT$4&lt;=LatestRpQ, "A", "E")</f>
        <v>2011A</v>
      </c>
      <c r="AU55" s="43" t="str">
        <f>"1Q:" &amp; RIGHT(YEAR(AU$4),2) &amp; IF(AU$4&lt;=LatestRpQ, "A", "E")</f>
        <v>1Q:12A</v>
      </c>
      <c r="AV55" s="43" t="str">
        <f>"2Q:" &amp; RIGHT(YEAR(AV$4),2) &amp; IF(AV$4&lt;=LatestRpQ, "A", "E")</f>
        <v>2Q:12A</v>
      </c>
      <c r="AW55" s="43" t="str">
        <f>"3Q:" &amp; RIGHT(YEAR(AW$4),2) &amp; IF(AW$4&lt;=LatestRpQ, "A", "E")</f>
        <v>3Q:12A</v>
      </c>
      <c r="AX55" s="43" t="str">
        <f>"4Q:" &amp; RIGHT(YEAR(AX$4),2) &amp; IF(AX$4&lt;=LatestRpQ, "A", "E")</f>
        <v>4Q:12A</v>
      </c>
      <c r="AY55" s="44" t="str">
        <f>YEAR(AY$4) &amp; IF(AY$4&lt;=LatestRpQ, "A", "E")</f>
        <v>2012A</v>
      </c>
      <c r="AZ55" s="43" t="str">
        <f>"1Q:" &amp; RIGHT(YEAR(AZ$4),2) &amp; IF(AZ$4&lt;=LatestRpQ, "A", "E")</f>
        <v>1Q:13A</v>
      </c>
      <c r="BA55" s="43" t="str">
        <f>"2Q:" &amp; RIGHT(YEAR(BA$4),2) &amp; IF(BA$4&lt;=LatestRpQ, "A", "E")</f>
        <v>2Q:13A</v>
      </c>
      <c r="BB55" s="43" t="str">
        <f>"3Q:" &amp; RIGHT(YEAR(BB$4),2) &amp; IF(BB$4&lt;=LatestRpQ, "A", "E")</f>
        <v>3Q:13A</v>
      </c>
      <c r="BC55" s="43" t="str">
        <f>"4Q:" &amp; RIGHT(YEAR(BC$4),2) &amp; IF(BC$4&lt;=LatestRpQ, "A", "E")</f>
        <v>4Q:13A</v>
      </c>
      <c r="BD55" s="1043" t="str">
        <f>YEAR(BD$4) &amp; IF(BD$4&lt;=LatestRpQ, "A", "E")</f>
        <v>2013A</v>
      </c>
      <c r="BE55" s="43" t="str">
        <f>"1Q:" &amp; RIGHT(YEAR(BE$4),2) &amp; IF(BE$4&lt;=LatestRpQ, "A", "E")</f>
        <v>1Q:14A</v>
      </c>
      <c r="BF55" s="43" t="str">
        <f>"2Q:" &amp; RIGHT(YEAR(BF$4),2) &amp; IF(BF$4&lt;=LatestRpQ, "A", "E")</f>
        <v>2Q:14A</v>
      </c>
      <c r="BG55" s="43" t="str">
        <f>"3Q:" &amp; RIGHT(YEAR(BG$4),2) &amp; IF(BG$4&lt;=LatestRpQ, "A", "E")</f>
        <v>3Q:14A</v>
      </c>
      <c r="BH55" s="43" t="str">
        <f>"4Q:" &amp; RIGHT(YEAR(BH$4),2) &amp; IF(BH$4&lt;=LatestRpQ, "A", "E")</f>
        <v>4Q:14A</v>
      </c>
      <c r="BI55" s="44" t="str">
        <f>YEAR(BI$4) &amp; IF(BI$4&lt;=LatestRpQ, "A", "E")</f>
        <v>2014A</v>
      </c>
      <c r="BJ55" s="43" t="str">
        <f>"1Q:" &amp; RIGHT(YEAR(BJ$4),2) &amp; IF(BJ$4&lt;=LatestRpQ, "A", "E")</f>
        <v>1Q:15A</v>
      </c>
      <c r="BK55" s="43" t="str">
        <f>"2Q:" &amp; RIGHT(YEAR(BK$4),2) &amp; IF(BK$4&lt;=LatestRpQ, "A", "E")</f>
        <v>2Q:15A</v>
      </c>
      <c r="BL55" s="43" t="str">
        <f>"3Q:" &amp; RIGHT(YEAR(BL$4),2) &amp; IF(BL$4&lt;=LatestRpQ, "A", "E")</f>
        <v>3Q:15A</v>
      </c>
      <c r="BM55" s="43" t="str">
        <f>"4Q:" &amp; RIGHT(YEAR(BM$4),2) &amp; IF(BM$4&lt;=LatestRpQ, "A", "E")</f>
        <v>4Q:15A</v>
      </c>
      <c r="BN55" s="44" t="str">
        <f>YEAR(BN$4) &amp; IF(BN$4&lt;=LatestRpQ, "A", "E")</f>
        <v>2015A</v>
      </c>
      <c r="BO55" s="43" t="str">
        <f>"1Q:" &amp; RIGHT(YEAR(BO$4),2) &amp; IF(BO$4&lt;=LatestRpQ, "A", "E")</f>
        <v>1Q:16A</v>
      </c>
      <c r="BP55" s="43" t="str">
        <f>"2Q:" &amp; RIGHT(YEAR(BP$4),2) &amp; IF(BP$4&lt;=LatestRpQ, "A", "E")</f>
        <v>2Q:16A</v>
      </c>
      <c r="BQ55" s="43" t="str">
        <f>"3Q:" &amp; RIGHT(YEAR(BQ$4),2) &amp; IF(BQ$4&lt;=LatestRpQ, "A", "E")</f>
        <v>3Q:16A</v>
      </c>
      <c r="BR55" s="43" t="str">
        <f>"4Q:" &amp; RIGHT(YEAR(BR$4),2) &amp; IF(BR$4&lt;=LatestRpQ, "A", "E")</f>
        <v>4Q:16A</v>
      </c>
      <c r="BS55" s="44" t="str">
        <f>YEAR(BS$4) &amp; IF(BS$4&lt;=LatestRpQ, "A", "E")</f>
        <v>2016A</v>
      </c>
      <c r="BT55" s="43" t="str">
        <f>"1Q:" &amp; RIGHT(YEAR(BT$4),2) &amp; IF(BT$4&lt;=LatestRpQ, "A", "E")</f>
        <v>1Q:17A</v>
      </c>
      <c r="BU55" s="43" t="str">
        <f>"2Q:" &amp; RIGHT(YEAR(BU$4),2) &amp; IF(BU$4&lt;=LatestRpQ, "A", "E")</f>
        <v>2Q:17A</v>
      </c>
      <c r="BV55" s="43" t="str">
        <f>"3Q:" &amp; RIGHT(YEAR(BV$4),2) &amp; IF(BV$4&lt;=LatestRpQ, "A", "E")</f>
        <v>3Q:17A</v>
      </c>
      <c r="BW55" s="43" t="str">
        <f>"4Q:" &amp; RIGHT(YEAR(BW$4),2) &amp; IF(BW$4&lt;=LatestRpQ, "A", "E")</f>
        <v>4Q:17A</v>
      </c>
      <c r="BX55" s="44" t="str">
        <f>YEAR(BX$4) &amp; IF(BX$4&lt;=LatestRpQ, "A", "E")</f>
        <v>2017A</v>
      </c>
      <c r="BY55" s="43" t="str">
        <f>"1Q:" &amp; RIGHT(YEAR(BY$4),2) &amp; IF(BY$4&lt;=LatestRpQ, "A", "E")</f>
        <v>1Q:18A</v>
      </c>
      <c r="BZ55" s="43" t="str">
        <f>"2Q:" &amp; RIGHT(YEAR(BZ$4),2) &amp; IF(BZ$4&lt;=LatestRpQ, "A", "E")</f>
        <v>2Q:18E</v>
      </c>
      <c r="CA55" s="43" t="str">
        <f>"3Q:" &amp; RIGHT(YEAR(CA$4),2) &amp; IF(CA$4&lt;=LatestRpQ, "A", "E")</f>
        <v>3Q:18E</v>
      </c>
      <c r="CB55" s="43" t="str">
        <f>"4Q:" &amp; RIGHT(YEAR(CB$4),2) &amp; IF(CB$4&lt;=LatestRpQ, "A", "E")</f>
        <v>4Q:18E</v>
      </c>
      <c r="CC55" s="44" t="str">
        <f t="shared" ref="CC55:CH55" si="42">YEAR(CC$4) &amp; IF(CC$4&lt;=LatestRpQ, "A", "E")</f>
        <v>2018E</v>
      </c>
      <c r="CD55" s="44" t="str">
        <f t="shared" si="42"/>
        <v>2019E</v>
      </c>
      <c r="CE55" s="44" t="str">
        <f t="shared" si="42"/>
        <v>2020E</v>
      </c>
      <c r="CF55" s="44" t="str">
        <f t="shared" si="42"/>
        <v>2021E</v>
      </c>
      <c r="CG55" s="44" t="str">
        <f t="shared" si="42"/>
        <v>2022E</v>
      </c>
      <c r="CH55" s="44" t="str">
        <f t="shared" si="42"/>
        <v>2023E</v>
      </c>
    </row>
    <row r="56" spans="1:153" ht="12.75" customHeight="1">
      <c r="G56" s="9"/>
      <c r="H56" s="191" t="str">
        <f>H24</f>
        <v>COGS</v>
      </c>
      <c r="I56" s="191"/>
      <c r="J56" s="191"/>
      <c r="K56" s="191"/>
      <c r="L56" s="74">
        <v>0.24561102533310458</v>
      </c>
      <c r="M56" s="74">
        <v>0.23756032390871665</v>
      </c>
      <c r="N56" s="74">
        <v>0.23484490850018053</v>
      </c>
      <c r="O56" s="74">
        <v>0.23154855507720865</v>
      </c>
      <c r="P56" s="57">
        <v>0.2372228633076823</v>
      </c>
      <c r="Q56" s="74">
        <f t="shared" ref="Q56:AV56" si="43">Q24/Q11</f>
        <v>0.21710455475395712</v>
      </c>
      <c r="R56" s="74">
        <f t="shared" si="43"/>
        <v>0.22254402523855085</v>
      </c>
      <c r="S56" s="74">
        <f t="shared" si="43"/>
        <v>0.2226679261396721</v>
      </c>
      <c r="T56" s="74">
        <f t="shared" si="43"/>
        <v>0.24003015099050715</v>
      </c>
      <c r="U56" s="57">
        <f t="shared" si="43"/>
        <v>0.22601768501553413</v>
      </c>
      <c r="V56" s="74">
        <f t="shared" si="43"/>
        <v>0.21828119823955328</v>
      </c>
      <c r="W56" s="74">
        <f t="shared" si="43"/>
        <v>0.21570321103889095</v>
      </c>
      <c r="X56" s="74">
        <f t="shared" si="43"/>
        <v>0.22992064184180688</v>
      </c>
      <c r="Y56" s="74">
        <f t="shared" si="43"/>
        <v>0.2452502986627616</v>
      </c>
      <c r="Z56" s="212">
        <f t="shared" si="43"/>
        <v>0.22801697998787149</v>
      </c>
      <c r="AA56" s="74">
        <f t="shared" si="43"/>
        <v>0.23520667888413763</v>
      </c>
      <c r="AB56" s="74">
        <f t="shared" si="43"/>
        <v>0.22534755284707675</v>
      </c>
      <c r="AC56" s="74">
        <f t="shared" si="43"/>
        <v>0.22589334488669541</v>
      </c>
      <c r="AD56" s="74">
        <f t="shared" si="43"/>
        <v>0.17692000684189518</v>
      </c>
      <c r="AE56" s="57">
        <f t="shared" si="43"/>
        <v>0.21553221045320362</v>
      </c>
      <c r="AF56" s="74">
        <f t="shared" si="43"/>
        <v>0.16177548796195382</v>
      </c>
      <c r="AG56" s="74">
        <f t="shared" si="43"/>
        <v>0.17900430978288595</v>
      </c>
      <c r="AH56" s="74">
        <f t="shared" si="43"/>
        <v>0.18911581748229117</v>
      </c>
      <c r="AI56" s="74">
        <f t="shared" si="43"/>
        <v>0.24117478558309602</v>
      </c>
      <c r="AJ56" s="57">
        <f t="shared" si="43"/>
        <v>0.19449523974389094</v>
      </c>
      <c r="AK56" s="74">
        <f t="shared" si="43"/>
        <v>0.20463411966310571</v>
      </c>
      <c r="AL56" s="74">
        <f t="shared" si="43"/>
        <v>0.17810983352758011</v>
      </c>
      <c r="AM56" s="74">
        <f t="shared" si="43"/>
        <v>0.17464499814320322</v>
      </c>
      <c r="AN56" s="74">
        <f t="shared" si="43"/>
        <v>0.19915695287599322</v>
      </c>
      <c r="AO56" s="57">
        <f t="shared" si="43"/>
        <v>0.18920891243226751</v>
      </c>
      <c r="AP56" s="74">
        <f t="shared" si="43"/>
        <v>0.20209960268529931</v>
      </c>
      <c r="AQ56" s="74">
        <f t="shared" si="43"/>
        <v>0.19638573484727331</v>
      </c>
      <c r="AR56" s="74">
        <f t="shared" si="43"/>
        <v>0.21764801561483407</v>
      </c>
      <c r="AS56" s="74">
        <f t="shared" si="43"/>
        <v>0.21859288171473937</v>
      </c>
      <c r="AT56" s="57">
        <f t="shared" si="43"/>
        <v>0.20867062495367814</v>
      </c>
      <c r="AU56" s="74">
        <f t="shared" si="43"/>
        <v>0.21383434487682973</v>
      </c>
      <c r="AV56" s="74">
        <f t="shared" si="43"/>
        <v>0.20474226435981219</v>
      </c>
      <c r="AW56" s="74">
        <f t="shared" ref="AW56:BY56" si="44">AW24/AW11</f>
        <v>0.22111586721290394</v>
      </c>
      <c r="AX56" s="74">
        <f t="shared" si="44"/>
        <v>0.20954123512329417</v>
      </c>
      <c r="AY56" s="57">
        <f t="shared" si="44"/>
        <v>0.2122035278034623</v>
      </c>
      <c r="AZ56" s="74">
        <f t="shared" si="44"/>
        <v>0.206776514272453</v>
      </c>
      <c r="BA56" s="74">
        <f t="shared" si="44"/>
        <v>0.19650235256421067</v>
      </c>
      <c r="BB56" s="74">
        <f t="shared" si="44"/>
        <v>0.20754945778332118</v>
      </c>
      <c r="BC56" s="74">
        <f t="shared" si="44"/>
        <v>0.23868957443878255</v>
      </c>
      <c r="BD56" s="1059">
        <f t="shared" si="44"/>
        <v>0.21235419334740921</v>
      </c>
      <c r="BE56" s="74">
        <f t="shared" si="44"/>
        <v>0.2413572206444449</v>
      </c>
      <c r="BF56" s="74">
        <f t="shared" si="44"/>
        <v>0.22163465434800231</v>
      </c>
      <c r="BG56" s="74">
        <f t="shared" si="44"/>
        <v>0.23974485191566167</v>
      </c>
      <c r="BH56" s="74">
        <f t="shared" si="44"/>
        <v>0.22539199031495907</v>
      </c>
      <c r="BI56" s="57">
        <f t="shared" si="44"/>
        <v>0.23182568975713208</v>
      </c>
      <c r="BJ56" s="74">
        <f t="shared" si="44"/>
        <v>0.21794733782590911</v>
      </c>
      <c r="BK56" s="74">
        <f t="shared" si="44"/>
        <v>0.20766465141502805</v>
      </c>
      <c r="BL56" s="74">
        <f t="shared" si="44"/>
        <v>0.22158598302316673</v>
      </c>
      <c r="BM56" s="74">
        <f t="shared" si="44"/>
        <v>0.22737926929086988</v>
      </c>
      <c r="BN56" s="57">
        <f t="shared" si="44"/>
        <v>0.21882687750204174</v>
      </c>
      <c r="BO56" s="74">
        <f t="shared" si="44"/>
        <v>0.23687077346817126</v>
      </c>
      <c r="BP56" s="74">
        <f t="shared" si="44"/>
        <v>0.24023090586145646</v>
      </c>
      <c r="BQ56" s="74">
        <f t="shared" si="44"/>
        <v>0.23597280274283952</v>
      </c>
      <c r="BR56" s="74">
        <f t="shared" si="44"/>
        <v>0.22624772155194858</v>
      </c>
      <c r="BS56" s="57">
        <f t="shared" si="44"/>
        <v>0.23475497637928916</v>
      </c>
      <c r="BT56" s="74">
        <f t="shared" si="44"/>
        <v>0.21861372504016527</v>
      </c>
      <c r="BU56" s="74">
        <f t="shared" si="44"/>
        <v>0.23336709990900195</v>
      </c>
      <c r="BV56" s="74">
        <f t="shared" si="44"/>
        <v>0.2485109842526643</v>
      </c>
      <c r="BW56" s="74">
        <f t="shared" si="44"/>
        <v>0.23547266588754712</v>
      </c>
      <c r="BX56" s="57">
        <f t="shared" si="44"/>
        <v>0.23430805015827491</v>
      </c>
      <c r="BY56" s="74">
        <f t="shared" si="44"/>
        <v>0.24915789473684211</v>
      </c>
      <c r="BZ56" s="1248">
        <v>0.25</v>
      </c>
      <c r="CA56" s="1248">
        <v>0.252</v>
      </c>
      <c r="CB56" s="1248">
        <v>0.25</v>
      </c>
      <c r="CC56" s="57">
        <f>CC24/CC11</f>
        <v>0.2503057431668082</v>
      </c>
      <c r="CD56" s="189">
        <v>0.24299999999999999</v>
      </c>
      <c r="CE56" s="189">
        <v>0.23499999999999999</v>
      </c>
      <c r="CF56" s="189">
        <v>0.23</v>
      </c>
      <c r="CG56" s="189">
        <v>0.22500000000000001</v>
      </c>
      <c r="CH56" s="189">
        <v>0.22</v>
      </c>
    </row>
    <row r="57" spans="1:153" s="15" customFormat="1" ht="12.75" customHeight="1">
      <c r="A57"/>
      <c r="B57"/>
      <c r="C57"/>
      <c r="D57"/>
      <c r="E57"/>
      <c r="F57"/>
      <c r="G57" s="760"/>
      <c r="H57" s="628" t="s">
        <v>507</v>
      </c>
      <c r="I57" s="628"/>
      <c r="J57" s="628"/>
      <c r="K57" s="628"/>
      <c r="L57" s="824">
        <v>0.75438897466689536</v>
      </c>
      <c r="M57" s="824">
        <v>0.76243967609128327</v>
      </c>
      <c r="N57" s="824">
        <v>0.76515509149981942</v>
      </c>
      <c r="O57" s="824">
        <v>0.76845144492279127</v>
      </c>
      <c r="P57" s="825">
        <v>0.76277713669231773</v>
      </c>
      <c r="Q57" s="824">
        <f t="shared" ref="Q57:AV57" si="45">Q25/Q11</f>
        <v>0.78289544524604282</v>
      </c>
      <c r="R57" s="824">
        <f t="shared" si="45"/>
        <v>0.77745597476144912</v>
      </c>
      <c r="S57" s="824">
        <f t="shared" si="45"/>
        <v>0.77733207386032788</v>
      </c>
      <c r="T57" s="824">
        <f t="shared" si="45"/>
        <v>0.75996984900949283</v>
      </c>
      <c r="U57" s="825">
        <f t="shared" si="45"/>
        <v>0.7739823149844659</v>
      </c>
      <c r="V57" s="824">
        <f t="shared" si="45"/>
        <v>0.78171880176044672</v>
      </c>
      <c r="W57" s="824">
        <f t="shared" si="45"/>
        <v>0.78429678896110899</v>
      </c>
      <c r="X57" s="824">
        <f t="shared" si="45"/>
        <v>0.77007935815819306</v>
      </c>
      <c r="Y57" s="824">
        <f t="shared" si="45"/>
        <v>0.7547497013372384</v>
      </c>
      <c r="Z57" s="826">
        <f t="shared" si="45"/>
        <v>0.7719830200121286</v>
      </c>
      <c r="AA57" s="824">
        <f t="shared" si="45"/>
        <v>0.7647933211158624</v>
      </c>
      <c r="AB57" s="824">
        <f t="shared" si="45"/>
        <v>0.77465244715292325</v>
      </c>
      <c r="AC57" s="824">
        <f t="shared" si="45"/>
        <v>0.77410665511330468</v>
      </c>
      <c r="AD57" s="824">
        <f t="shared" si="45"/>
        <v>0.82307999315810487</v>
      </c>
      <c r="AE57" s="825">
        <f t="shared" si="45"/>
        <v>0.7844677895467963</v>
      </c>
      <c r="AF57" s="824">
        <f t="shared" si="45"/>
        <v>0.83822451203804627</v>
      </c>
      <c r="AG57" s="824">
        <f t="shared" si="45"/>
        <v>0.82099569021711416</v>
      </c>
      <c r="AH57" s="824">
        <f t="shared" si="45"/>
        <v>0.81088418251770888</v>
      </c>
      <c r="AI57" s="824">
        <f t="shared" si="45"/>
        <v>0.75882521441690398</v>
      </c>
      <c r="AJ57" s="825">
        <f t="shared" si="45"/>
        <v>0.80550476025610906</v>
      </c>
      <c r="AK57" s="824">
        <f t="shared" si="45"/>
        <v>0.79536588033689426</v>
      </c>
      <c r="AL57" s="824">
        <f t="shared" si="45"/>
        <v>0.82189016647241997</v>
      </c>
      <c r="AM57" s="824">
        <f t="shared" si="45"/>
        <v>0.82535500185679667</v>
      </c>
      <c r="AN57" s="824">
        <f t="shared" si="45"/>
        <v>0.80084304712400678</v>
      </c>
      <c r="AO57" s="825">
        <f t="shared" si="45"/>
        <v>0.81079108756773244</v>
      </c>
      <c r="AP57" s="824">
        <f t="shared" si="45"/>
        <v>0.79790039731470064</v>
      </c>
      <c r="AQ57" s="824">
        <f t="shared" si="45"/>
        <v>0.80361426515272671</v>
      </c>
      <c r="AR57" s="824">
        <f t="shared" si="45"/>
        <v>0.78235198438516584</v>
      </c>
      <c r="AS57" s="824">
        <f t="shared" si="45"/>
        <v>0.78140711828526066</v>
      </c>
      <c r="AT57" s="825">
        <f t="shared" si="45"/>
        <v>0.79132937504632195</v>
      </c>
      <c r="AU57" s="824">
        <f t="shared" si="45"/>
        <v>0.78616565512317038</v>
      </c>
      <c r="AV57" s="824">
        <f t="shared" si="45"/>
        <v>0.79525773564018787</v>
      </c>
      <c r="AW57" s="824">
        <f t="shared" ref="AW57:CB57" si="46">AW25/AW11</f>
        <v>0.77888413278709601</v>
      </c>
      <c r="AX57" s="824">
        <f t="shared" si="46"/>
        <v>0.79045876487670585</v>
      </c>
      <c r="AY57" s="825">
        <f t="shared" si="46"/>
        <v>0.7877964721965377</v>
      </c>
      <c r="AZ57" s="824">
        <f t="shared" si="46"/>
        <v>0.79322348572754697</v>
      </c>
      <c r="BA57" s="824">
        <f t="shared" si="46"/>
        <v>0.80349764743578933</v>
      </c>
      <c r="BB57" s="824">
        <f t="shared" si="46"/>
        <v>0.79245054221667877</v>
      </c>
      <c r="BC57" s="824">
        <f t="shared" si="46"/>
        <v>0.76131042556121742</v>
      </c>
      <c r="BD57" s="1060">
        <f t="shared" si="46"/>
        <v>0.78764580665259087</v>
      </c>
      <c r="BE57" s="824">
        <f t="shared" si="46"/>
        <v>0.75864277935555502</v>
      </c>
      <c r="BF57" s="824">
        <f t="shared" si="46"/>
        <v>0.77836534565199766</v>
      </c>
      <c r="BG57" s="824">
        <f t="shared" si="46"/>
        <v>0.76025514808433836</v>
      </c>
      <c r="BH57" s="824">
        <f t="shared" si="46"/>
        <v>0.77460800968504084</v>
      </c>
      <c r="BI57" s="825">
        <f t="shared" si="46"/>
        <v>0.76817431024286797</v>
      </c>
      <c r="BJ57" s="824">
        <f t="shared" si="46"/>
        <v>0.78205266217409086</v>
      </c>
      <c r="BK57" s="824">
        <f t="shared" si="46"/>
        <v>0.79233534858497201</v>
      </c>
      <c r="BL57" s="824">
        <f t="shared" si="46"/>
        <v>0.77841401697683332</v>
      </c>
      <c r="BM57" s="824">
        <f t="shared" si="46"/>
        <v>0.77262073070913007</v>
      </c>
      <c r="BN57" s="825">
        <f t="shared" si="46"/>
        <v>0.78117312249795823</v>
      </c>
      <c r="BO57" s="1091">
        <f t="shared" si="46"/>
        <v>0.76312922653182869</v>
      </c>
      <c r="BP57" s="1091">
        <f t="shared" si="46"/>
        <v>0.75976909413854365</v>
      </c>
      <c r="BQ57" s="1091">
        <f t="shared" si="46"/>
        <v>0.76402719725716051</v>
      </c>
      <c r="BR57" s="1091">
        <f t="shared" si="46"/>
        <v>0.77375227844805139</v>
      </c>
      <c r="BS57" s="825">
        <f t="shared" si="46"/>
        <v>0.76524502362071078</v>
      </c>
      <c r="BT57" s="824">
        <f t="shared" si="46"/>
        <v>0.7813862749598347</v>
      </c>
      <c r="BU57" s="824">
        <f t="shared" si="46"/>
        <v>0.76663290009099805</v>
      </c>
      <c r="BV57" s="824">
        <f t="shared" si="46"/>
        <v>0.75148901574733562</v>
      </c>
      <c r="BW57" s="824">
        <f t="shared" si="46"/>
        <v>0.76452733411245288</v>
      </c>
      <c r="BX57" s="825">
        <f t="shared" si="46"/>
        <v>0.76569194984172506</v>
      </c>
      <c r="BY57" s="1091">
        <f t="shared" si="46"/>
        <v>0.75084210526315798</v>
      </c>
      <c r="BZ57" s="1091">
        <f t="shared" si="46"/>
        <v>0.75</v>
      </c>
      <c r="CA57" s="1091">
        <f t="shared" si="46"/>
        <v>0.748</v>
      </c>
      <c r="CB57" s="1091">
        <f t="shared" si="46"/>
        <v>0.75000000000000011</v>
      </c>
      <c r="CC57" s="825">
        <f t="shared" ref="CC57:CH57" si="47">CC25/CC11</f>
        <v>0.7496942568331918</v>
      </c>
      <c r="CD57" s="825">
        <f t="shared" si="47"/>
        <v>0.75700000000000001</v>
      </c>
      <c r="CE57" s="825">
        <f t="shared" si="47"/>
        <v>0.76500000000000001</v>
      </c>
      <c r="CF57" s="825">
        <f t="shared" si="47"/>
        <v>0.77</v>
      </c>
      <c r="CG57" s="825">
        <f t="shared" si="47"/>
        <v>0.77499999999999991</v>
      </c>
      <c r="CH57" s="825">
        <f t="shared" si="47"/>
        <v>0.77999999999999992</v>
      </c>
    </row>
    <row r="58" spans="1:153" ht="12.75" customHeight="1">
      <c r="G58" s="9"/>
      <c r="H58" s="191" t="str">
        <f>H26</f>
        <v>SG&amp;A</v>
      </c>
      <c r="I58" s="191"/>
      <c r="J58" s="191"/>
      <c r="K58" s="191"/>
      <c r="L58" s="74">
        <v>0.3117744610281924</v>
      </c>
      <c r="M58" s="74">
        <v>0.31248466341303816</v>
      </c>
      <c r="N58" s="74">
        <v>0.29738135569687041</v>
      </c>
      <c r="O58" s="74">
        <v>0.30666907272305433</v>
      </c>
      <c r="P58" s="57">
        <v>0.30706096836527758</v>
      </c>
      <c r="Q58" s="74">
        <f t="shared" ref="Q58:AV58" si="48">Q26/Q11</f>
        <v>0.30766124690427482</v>
      </c>
      <c r="R58" s="74">
        <f t="shared" si="48"/>
        <v>0.32011067725168735</v>
      </c>
      <c r="S58" s="74">
        <f t="shared" si="48"/>
        <v>0.31008915516103569</v>
      </c>
      <c r="T58" s="74">
        <f t="shared" si="48"/>
        <v>0.30876498716227357</v>
      </c>
      <c r="U58" s="57">
        <f t="shared" si="48"/>
        <v>0.31162590615789054</v>
      </c>
      <c r="V58" s="74">
        <f t="shared" si="48"/>
        <v>0.31631252661965831</v>
      </c>
      <c r="W58" s="74">
        <f t="shared" si="48"/>
        <v>0.32924485521172991</v>
      </c>
      <c r="X58" s="74">
        <f t="shared" si="48"/>
        <v>0.32218540158716313</v>
      </c>
      <c r="Y58" s="74">
        <f t="shared" si="48"/>
        <v>0.33831746888126712</v>
      </c>
      <c r="Z58" s="212">
        <f t="shared" si="48"/>
        <v>0.32710089783564195</v>
      </c>
      <c r="AA58" s="74">
        <f t="shared" si="48"/>
        <v>0.32070861331704337</v>
      </c>
      <c r="AB58" s="74">
        <f t="shared" si="48"/>
        <v>0.33128927823271759</v>
      </c>
      <c r="AC58" s="74">
        <f t="shared" si="48"/>
        <v>0.3151807410477141</v>
      </c>
      <c r="AD58" s="74">
        <f t="shared" si="48"/>
        <v>0.33078662789592711</v>
      </c>
      <c r="AE58" s="57">
        <f t="shared" si="48"/>
        <v>0.32453068626883524</v>
      </c>
      <c r="AF58" s="74">
        <f t="shared" si="48"/>
        <v>0.30302189636381649</v>
      </c>
      <c r="AG58" s="74">
        <f t="shared" si="48"/>
        <v>0.32275191257243596</v>
      </c>
      <c r="AH58" s="74">
        <f t="shared" si="48"/>
        <v>0.30595807414332454</v>
      </c>
      <c r="AI58" s="74">
        <f t="shared" si="48"/>
        <v>0.32913205385276423</v>
      </c>
      <c r="AJ58" s="57">
        <f t="shared" si="48"/>
        <v>0.31564832586173019</v>
      </c>
      <c r="AK58" s="74">
        <f t="shared" si="48"/>
        <v>0.29430852809275537</v>
      </c>
      <c r="AL58" s="74">
        <f t="shared" si="48"/>
        <v>0.30535599352897175</v>
      </c>
      <c r="AM58" s="74">
        <f t="shared" si="48"/>
        <v>0.29972236467488372</v>
      </c>
      <c r="AN58" s="74">
        <f t="shared" si="48"/>
        <v>0.32142787874085998</v>
      </c>
      <c r="AO58" s="57">
        <f t="shared" si="48"/>
        <v>0.30565850005720208</v>
      </c>
      <c r="AP58" s="74">
        <f t="shared" si="48"/>
        <v>0.30581244006028219</v>
      </c>
      <c r="AQ58" s="74">
        <f t="shared" si="48"/>
        <v>0.32672317287701902</v>
      </c>
      <c r="AR58" s="74">
        <f t="shared" si="48"/>
        <v>0.31193884189980481</v>
      </c>
      <c r="AS58" s="74">
        <f t="shared" si="48"/>
        <v>0.35283805239481347</v>
      </c>
      <c r="AT58" s="57">
        <f t="shared" si="48"/>
        <v>0.32445463753674864</v>
      </c>
      <c r="AU58" s="74">
        <f t="shared" si="48"/>
        <v>0.32979293109603713</v>
      </c>
      <c r="AV58" s="74">
        <f t="shared" si="48"/>
        <v>0.34479618619101182</v>
      </c>
      <c r="AW58" s="74">
        <f t="shared" ref="AW58:CB58" si="49">AW26/AW11</f>
        <v>0.32285562067128404</v>
      </c>
      <c r="AX58" s="74">
        <f t="shared" si="49"/>
        <v>0.33194568008997372</v>
      </c>
      <c r="AY58" s="57">
        <f t="shared" si="49"/>
        <v>0.33240721487570396</v>
      </c>
      <c r="AZ58" s="74">
        <f t="shared" si="49"/>
        <v>0.29491047360622669</v>
      </c>
      <c r="BA58" s="74">
        <f t="shared" si="49"/>
        <v>0.3149569118167867</v>
      </c>
      <c r="BB58" s="74">
        <f t="shared" si="49"/>
        <v>0.28624883068288121</v>
      </c>
      <c r="BC58" s="74">
        <f t="shared" si="49"/>
        <v>0.33631731166505996</v>
      </c>
      <c r="BD58" s="1059">
        <f t="shared" si="49"/>
        <v>0.30829670139489807</v>
      </c>
      <c r="BE58" s="74">
        <f t="shared" si="49"/>
        <v>0.30945314001409324</v>
      </c>
      <c r="BF58" s="74">
        <f t="shared" si="49"/>
        <v>0.32982818704919364</v>
      </c>
      <c r="BG58" s="74">
        <f t="shared" si="49"/>
        <v>0.31110017228648779</v>
      </c>
      <c r="BH58" s="74">
        <f t="shared" si="49"/>
        <v>0.34448284615234415</v>
      </c>
      <c r="BI58" s="57">
        <f t="shared" si="49"/>
        <v>0.32413487224454013</v>
      </c>
      <c r="BJ58" s="74">
        <f t="shared" si="49"/>
        <v>0.32034361745645579</v>
      </c>
      <c r="BK58" s="74">
        <f t="shared" si="49"/>
        <v>0.3212886898186274</v>
      </c>
      <c r="BL58" s="74">
        <f t="shared" si="49"/>
        <v>0.31048248886021335</v>
      </c>
      <c r="BM58" s="74">
        <f t="shared" si="49"/>
        <v>0.33415804747377043</v>
      </c>
      <c r="BN58" s="57">
        <f t="shared" si="49"/>
        <v>0.3218496194641936</v>
      </c>
      <c r="BO58" s="1092">
        <f t="shared" si="49"/>
        <v>0.30260426301617643</v>
      </c>
      <c r="BP58" s="1092">
        <f t="shared" si="49"/>
        <v>0.29988158673771453</v>
      </c>
      <c r="BQ58" s="1092">
        <f t="shared" si="49"/>
        <v>0.3011922876899667</v>
      </c>
      <c r="BR58" s="1092">
        <f t="shared" si="49"/>
        <v>0.31045916153111708</v>
      </c>
      <c r="BS58" s="57">
        <f t="shared" si="49"/>
        <v>0.30386795032578662</v>
      </c>
      <c r="BT58" s="74">
        <f t="shared" si="49"/>
        <v>0.29509983933899475</v>
      </c>
      <c r="BU58" s="74">
        <f t="shared" si="49"/>
        <v>0.29287639716360764</v>
      </c>
      <c r="BV58" s="74">
        <f t="shared" si="49"/>
        <v>0.27470352238383905</v>
      </c>
      <c r="BW58" s="74">
        <f t="shared" si="49"/>
        <v>0.28880989481885472</v>
      </c>
      <c r="BX58" s="57">
        <f t="shared" si="49"/>
        <v>0.28779359555081413</v>
      </c>
      <c r="BY58" s="1092">
        <f t="shared" si="49"/>
        <v>0.26296491228070179</v>
      </c>
      <c r="BZ58" s="1092">
        <f t="shared" si="49"/>
        <v>0.27214512917839684</v>
      </c>
      <c r="CA58" s="1092">
        <f t="shared" si="49"/>
        <v>0.24879745035878051</v>
      </c>
      <c r="CB58" s="1092">
        <f t="shared" si="49"/>
        <v>0.27635314360485391</v>
      </c>
      <c r="CC58" s="57">
        <f t="shared" ref="CC58:CH58" si="50">CC26/CC11</f>
        <v>0.26517234645635468</v>
      </c>
      <c r="CD58" s="57">
        <f t="shared" si="50"/>
        <v>0.25643924444446187</v>
      </c>
      <c r="CE58" s="57">
        <f t="shared" si="50"/>
        <v>0.2496441212515412</v>
      </c>
      <c r="CF58" s="57">
        <f t="shared" si="50"/>
        <v>0.24572146699261951</v>
      </c>
      <c r="CG58" s="57">
        <f t="shared" si="50"/>
        <v>0.24347287513562108</v>
      </c>
      <c r="CH58" s="57">
        <f t="shared" si="50"/>
        <v>0.24036485778003669</v>
      </c>
    </row>
    <row r="59" spans="1:153" ht="12.75" customHeight="1">
      <c r="G59" s="9"/>
      <c r="H59" s="191" t="str">
        <f>H28</f>
        <v>R&amp;D</v>
      </c>
      <c r="I59" s="191"/>
      <c r="J59" s="191"/>
      <c r="K59" s="191"/>
      <c r="L59" s="74">
        <v>0.20077772059244012</v>
      </c>
      <c r="M59" s="74">
        <v>0.20786869155056303</v>
      </c>
      <c r="N59" s="74">
        <v>0.20854738829802005</v>
      </c>
      <c r="O59" s="74">
        <v>0.20878554303833363</v>
      </c>
      <c r="P59" s="57">
        <v>0.20658504776276346</v>
      </c>
      <c r="Q59" s="74">
        <f t="shared" ref="Q59:AV59" si="51">Q28/Q11</f>
        <v>0.19941854204802409</v>
      </c>
      <c r="R59" s="74">
        <f t="shared" si="51"/>
        <v>0.2003568565591787</v>
      </c>
      <c r="S59" s="74">
        <f t="shared" si="51"/>
        <v>0.19557200346786402</v>
      </c>
      <c r="T59" s="74">
        <f t="shared" si="51"/>
        <v>0.20210585824323368</v>
      </c>
      <c r="U59" s="57">
        <f t="shared" si="51"/>
        <v>0.19942961841790807</v>
      </c>
      <c r="V59" s="74">
        <f t="shared" si="51"/>
        <v>0.19738772419667788</v>
      </c>
      <c r="W59" s="74">
        <f t="shared" si="51"/>
        <v>0.18449977326221687</v>
      </c>
      <c r="X59" s="74">
        <f t="shared" si="51"/>
        <v>0.18411528734629806</v>
      </c>
      <c r="Y59" s="74">
        <f t="shared" si="51"/>
        <v>0.18374503834444492</v>
      </c>
      <c r="Z59" s="212">
        <f t="shared" si="51"/>
        <v>0.18711796368944442</v>
      </c>
      <c r="AA59" s="74">
        <f t="shared" si="51"/>
        <v>0.18592954591732846</v>
      </c>
      <c r="AB59" s="74">
        <f t="shared" si="51"/>
        <v>0.18935440868406017</v>
      </c>
      <c r="AC59" s="74">
        <f t="shared" si="51"/>
        <v>0.18769190197223423</v>
      </c>
      <c r="AD59" s="74">
        <f t="shared" si="51"/>
        <v>0.20934298800767809</v>
      </c>
      <c r="AE59" s="57">
        <f t="shared" si="51"/>
        <v>0.19319036869826936</v>
      </c>
      <c r="AF59" s="74">
        <f t="shared" si="51"/>
        <v>0.18771425740612305</v>
      </c>
      <c r="AG59" s="74">
        <f t="shared" si="51"/>
        <v>0.19657598047088301</v>
      </c>
      <c r="AH59" s="74">
        <f t="shared" si="51"/>
        <v>0.20173672287943614</v>
      </c>
      <c r="AI59" s="74">
        <f t="shared" si="51"/>
        <v>0.20501457529445466</v>
      </c>
      <c r="AJ59" s="57">
        <f t="shared" si="51"/>
        <v>0.19813601477559314</v>
      </c>
      <c r="AK59" s="74">
        <f t="shared" si="51"/>
        <v>0.18943012360083131</v>
      </c>
      <c r="AL59" s="74">
        <f t="shared" si="51"/>
        <v>0.20651625584914848</v>
      </c>
      <c r="AM59" s="74">
        <f t="shared" si="51"/>
        <v>0.21570673221453956</v>
      </c>
      <c r="AN59" s="74">
        <f t="shared" si="51"/>
        <v>0.23243597949274938</v>
      </c>
      <c r="AO59" s="57">
        <f t="shared" si="51"/>
        <v>0.21165639918045007</v>
      </c>
      <c r="AP59" s="74">
        <f t="shared" si="51"/>
        <v>0.19249212220852169</v>
      </c>
      <c r="AQ59" s="74">
        <f t="shared" si="51"/>
        <v>0.20159923236846311</v>
      </c>
      <c r="AR59" s="74">
        <f t="shared" si="51"/>
        <v>0.20834417696811972</v>
      </c>
      <c r="AS59" s="74">
        <f t="shared" si="51"/>
        <v>0.22414990738290555</v>
      </c>
      <c r="AT59" s="57">
        <f t="shared" si="51"/>
        <v>0.20673128391788062</v>
      </c>
      <c r="AU59" s="74">
        <f t="shared" si="51"/>
        <v>0.20555158871831489</v>
      </c>
      <c r="AV59" s="74">
        <f t="shared" si="51"/>
        <v>0.23580980948809971</v>
      </c>
      <c r="AW59" s="74">
        <f t="shared" ref="AW59:CB59" si="52">AW28/AW11</f>
        <v>0.24668858964231261</v>
      </c>
      <c r="AX59" s="74">
        <f t="shared" si="52"/>
        <v>0.24559638023937022</v>
      </c>
      <c r="AY59" s="57">
        <f t="shared" si="52"/>
        <v>0.23350976698092754</v>
      </c>
      <c r="AZ59" s="74">
        <f t="shared" si="52"/>
        <v>0.24065908563471802</v>
      </c>
      <c r="BA59" s="74">
        <f t="shared" si="52"/>
        <v>0.2243621093815876</v>
      </c>
      <c r="BB59" s="74">
        <f t="shared" si="52"/>
        <v>0.23860998510203374</v>
      </c>
      <c r="BC59" s="74">
        <f t="shared" si="52"/>
        <v>0.25399394022861871</v>
      </c>
      <c r="BD59" s="1059">
        <f t="shared" si="52"/>
        <v>0.23931760755944756</v>
      </c>
      <c r="BE59" s="74">
        <f t="shared" si="52"/>
        <v>0.23672353782750738</v>
      </c>
      <c r="BF59" s="74">
        <f t="shared" si="52"/>
        <v>0.24215900802334067</v>
      </c>
      <c r="BG59" s="74">
        <f t="shared" si="52"/>
        <v>0.25494298137665106</v>
      </c>
      <c r="BH59" s="74">
        <f t="shared" si="52"/>
        <v>0.23148419346650265</v>
      </c>
      <c r="BI59" s="57">
        <f t="shared" si="52"/>
        <v>0.24125186076388183</v>
      </c>
      <c r="BJ59" s="74">
        <f t="shared" si="52"/>
        <v>0.22371735526514092</v>
      </c>
      <c r="BK59" s="74">
        <f t="shared" si="52"/>
        <v>0.23490067688352381</v>
      </c>
      <c r="BL59" s="74">
        <f t="shared" si="52"/>
        <v>0.23580055245276932</v>
      </c>
      <c r="BM59" s="74">
        <f t="shared" si="52"/>
        <v>0.26865838232011313</v>
      </c>
      <c r="BN59" s="57">
        <f t="shared" si="52"/>
        <v>0.24161393277117252</v>
      </c>
      <c r="BO59" s="1092">
        <f t="shared" si="52"/>
        <v>0.25093009393434867</v>
      </c>
      <c r="BP59" s="1092">
        <f t="shared" si="52"/>
        <v>0.24713217880402602</v>
      </c>
      <c r="BQ59" s="1092">
        <f t="shared" si="52"/>
        <v>0.23811083074908029</v>
      </c>
      <c r="BR59" s="1092">
        <f t="shared" si="52"/>
        <v>0.25180105893585625</v>
      </c>
      <c r="BS59" s="57">
        <f t="shared" si="52"/>
        <v>0.2472018179932296</v>
      </c>
      <c r="BT59" s="74">
        <f t="shared" si="52"/>
        <v>0.23684109861525515</v>
      </c>
      <c r="BU59" s="74">
        <f t="shared" si="52"/>
        <v>0.21475542125233932</v>
      </c>
      <c r="BV59" s="74">
        <f t="shared" si="52"/>
        <v>0.23315247167777167</v>
      </c>
      <c r="BW59" s="74">
        <f t="shared" si="52"/>
        <v>0.23909232567199068</v>
      </c>
      <c r="BX59" s="57">
        <f t="shared" si="52"/>
        <v>0.23091082390388082</v>
      </c>
      <c r="BY59" s="1092">
        <f t="shared" si="52"/>
        <v>0.20643859649122809</v>
      </c>
      <c r="BZ59" s="1092">
        <f t="shared" si="52"/>
        <v>0.21410475864429993</v>
      </c>
      <c r="CA59" s="1092">
        <f t="shared" si="52"/>
        <v>0.21551881050187358</v>
      </c>
      <c r="CB59" s="1092">
        <f t="shared" si="52"/>
        <v>0.23821418380983217</v>
      </c>
      <c r="CC59" s="57">
        <f t="shared" ref="CC59:CH59" si="53">CC28/CC11</f>
        <v>0.2189113224986127</v>
      </c>
      <c r="CD59" s="57">
        <f t="shared" si="53"/>
        <v>0.21384016806800568</v>
      </c>
      <c r="CE59" s="57">
        <f t="shared" si="53"/>
        <v>0.2081738345519917</v>
      </c>
      <c r="CF59" s="57">
        <f t="shared" si="53"/>
        <v>0.20490280227369248</v>
      </c>
      <c r="CG59" s="57">
        <f t="shared" si="53"/>
        <v>0.20302774113919819</v>
      </c>
      <c r="CH59" s="57">
        <f t="shared" si="53"/>
        <v>0.20043602022254894</v>
      </c>
    </row>
    <row r="60" spans="1:153" s="292" customFormat="1" ht="12.75" customHeight="1">
      <c r="A60"/>
      <c r="B60"/>
      <c r="C60"/>
      <c r="D60"/>
      <c r="E60"/>
      <c r="F60"/>
      <c r="G60" s="285"/>
      <c r="H60" s="1237" t="s">
        <v>1049</v>
      </c>
      <c r="I60" s="1237"/>
      <c r="J60" s="1237"/>
      <c r="K60" s="1237"/>
      <c r="L60" s="1238"/>
      <c r="M60" s="1238"/>
      <c r="N60" s="1238"/>
      <c r="O60" s="1238"/>
      <c r="P60" s="1239"/>
      <c r="Q60" s="1238"/>
      <c r="R60" s="1238"/>
      <c r="S60" s="1238"/>
      <c r="T60" s="1238"/>
      <c r="U60" s="1239"/>
      <c r="V60" s="1238"/>
      <c r="W60" s="1238"/>
      <c r="X60" s="1238"/>
      <c r="Y60" s="1238"/>
      <c r="Z60" s="1240"/>
      <c r="AA60" s="1238"/>
      <c r="AB60" s="1238"/>
      <c r="AC60" s="1238"/>
      <c r="AD60" s="1238"/>
      <c r="AE60" s="1239"/>
      <c r="AF60" s="1238"/>
      <c r="AG60" s="1238"/>
      <c r="AH60" s="1238"/>
      <c r="AI60" s="1238"/>
      <c r="AJ60" s="1239"/>
      <c r="AK60" s="1238"/>
      <c r="AL60" s="1238"/>
      <c r="AM60" s="1238"/>
      <c r="AN60" s="1238"/>
      <c r="AO60" s="1239">
        <f>AO58+AO59</f>
        <v>0.51731489923765217</v>
      </c>
      <c r="AP60" s="1238">
        <f t="shared" ref="AP60:CB60" si="54">AP58+AP59</f>
        <v>0.49830456226880387</v>
      </c>
      <c r="AQ60" s="1238">
        <f t="shared" si="54"/>
        <v>0.52832240524548213</v>
      </c>
      <c r="AR60" s="1238">
        <f t="shared" si="54"/>
        <v>0.5202830188679245</v>
      </c>
      <c r="AS60" s="1238">
        <f t="shared" si="54"/>
        <v>0.576987959777719</v>
      </c>
      <c r="AT60" s="1239">
        <f t="shared" si="54"/>
        <v>0.53118592145462928</v>
      </c>
      <c r="AU60" s="1238">
        <f t="shared" si="54"/>
        <v>0.53534451981435205</v>
      </c>
      <c r="AV60" s="1238">
        <f t="shared" si="54"/>
        <v>0.58060599567911153</v>
      </c>
      <c r="AW60" s="1238">
        <f t="shared" si="54"/>
        <v>0.56954421031359659</v>
      </c>
      <c r="AX60" s="1238">
        <f t="shared" si="54"/>
        <v>0.57754206032934396</v>
      </c>
      <c r="AY60" s="1239">
        <f t="shared" si="54"/>
        <v>0.56591698185663153</v>
      </c>
      <c r="AZ60" s="1238">
        <f t="shared" si="54"/>
        <v>0.53556955924094474</v>
      </c>
      <c r="BA60" s="1238">
        <f t="shared" si="54"/>
        <v>0.53931902119837427</v>
      </c>
      <c r="BB60" s="1238">
        <f t="shared" si="54"/>
        <v>0.524858815784915</v>
      </c>
      <c r="BC60" s="1238">
        <f t="shared" si="54"/>
        <v>0.59031125189367861</v>
      </c>
      <c r="BD60" s="1241">
        <f t="shared" si="54"/>
        <v>0.5476143089543456</v>
      </c>
      <c r="BE60" s="1238">
        <f t="shared" si="54"/>
        <v>0.54617667784160062</v>
      </c>
      <c r="BF60" s="1238">
        <f t="shared" si="54"/>
        <v>0.57198719507253437</v>
      </c>
      <c r="BG60" s="1238">
        <f t="shared" si="54"/>
        <v>0.56604315366313884</v>
      </c>
      <c r="BH60" s="1238">
        <f t="shared" si="54"/>
        <v>0.57596703961884677</v>
      </c>
      <c r="BI60" s="1239">
        <f t="shared" si="54"/>
        <v>0.5653867330084219</v>
      </c>
      <c r="BJ60" s="1238">
        <f t="shared" si="54"/>
        <v>0.5440609727215967</v>
      </c>
      <c r="BK60" s="1238">
        <f t="shared" si="54"/>
        <v>0.55618936670215124</v>
      </c>
      <c r="BL60" s="1238">
        <f t="shared" si="54"/>
        <v>0.54628304131298266</v>
      </c>
      <c r="BM60" s="1238">
        <f t="shared" si="54"/>
        <v>0.60281642979388361</v>
      </c>
      <c r="BN60" s="1239">
        <f t="shared" si="54"/>
        <v>0.56346355223536615</v>
      </c>
      <c r="BO60" s="1242">
        <f t="shared" si="54"/>
        <v>0.55353435695052511</v>
      </c>
      <c r="BP60" s="1242">
        <f t="shared" si="54"/>
        <v>0.54701376554174053</v>
      </c>
      <c r="BQ60" s="1242">
        <f t="shared" si="54"/>
        <v>0.53930311843904699</v>
      </c>
      <c r="BR60" s="1242">
        <f t="shared" si="54"/>
        <v>0.56226022046697333</v>
      </c>
      <c r="BS60" s="1239">
        <f t="shared" si="54"/>
        <v>0.55106976831901622</v>
      </c>
      <c r="BT60" s="1238">
        <f t="shared" si="54"/>
        <v>0.5319409379542499</v>
      </c>
      <c r="BU60" s="1238">
        <f t="shared" si="54"/>
        <v>0.50763181841594696</v>
      </c>
      <c r="BV60" s="1238">
        <f t="shared" si="54"/>
        <v>0.50785599406161075</v>
      </c>
      <c r="BW60" s="1238">
        <f t="shared" si="54"/>
        <v>0.52790222049084545</v>
      </c>
      <c r="BX60" s="1239">
        <f t="shared" si="54"/>
        <v>0.51870441945469492</v>
      </c>
      <c r="BY60" s="1242">
        <f t="shared" si="54"/>
        <v>0.46940350877192988</v>
      </c>
      <c r="BZ60" s="1242">
        <f t="shared" si="54"/>
        <v>0.48624988782269674</v>
      </c>
      <c r="CA60" s="1242">
        <f t="shared" si="54"/>
        <v>0.46431626086065408</v>
      </c>
      <c r="CB60" s="1242">
        <f t="shared" si="54"/>
        <v>0.51456732741468603</v>
      </c>
      <c r="CC60" s="1239">
        <f t="shared" ref="CC60:CH60" si="55">CC58+CC59</f>
        <v>0.48408366895496735</v>
      </c>
      <c r="CD60" s="1239">
        <f t="shared" si="55"/>
        <v>0.47027941251246752</v>
      </c>
      <c r="CE60" s="1239">
        <f t="shared" si="55"/>
        <v>0.45781795580353291</v>
      </c>
      <c r="CF60" s="1239">
        <f t="shared" si="55"/>
        <v>0.45062426926631199</v>
      </c>
      <c r="CG60" s="1239">
        <f t="shared" si="55"/>
        <v>0.4465006162748193</v>
      </c>
      <c r="CH60" s="1239">
        <f t="shared" si="55"/>
        <v>0.44080087800258561</v>
      </c>
    </row>
    <row r="61" spans="1:153" s="15" customFormat="1" ht="12.75" customHeight="1">
      <c r="A61"/>
      <c r="B61"/>
      <c r="C61"/>
      <c r="D61"/>
      <c r="E61"/>
      <c r="F61"/>
      <c r="G61" s="760"/>
      <c r="H61" s="628" t="s">
        <v>789</v>
      </c>
      <c r="I61" s="628"/>
      <c r="J61" s="628"/>
      <c r="K61" s="628"/>
      <c r="L61" s="824">
        <v>0.24183679304626293</v>
      </c>
      <c r="M61" s="824">
        <v>0.24208632112768214</v>
      </c>
      <c r="N61" s="824">
        <v>0.25922634750492896</v>
      </c>
      <c r="O61" s="824">
        <v>0.25299682916140337</v>
      </c>
      <c r="P61" s="825">
        <v>0.24913112056427672</v>
      </c>
      <c r="Q61" s="824">
        <f t="shared" ref="Q61:AV61" si="56">Q29/Q11</f>
        <v>0.27581565629374399</v>
      </c>
      <c r="R61" s="824">
        <f t="shared" si="56"/>
        <v>0.2569884409505831</v>
      </c>
      <c r="S61" s="824">
        <f t="shared" si="56"/>
        <v>0.27167091523142817</v>
      </c>
      <c r="T61" s="824">
        <f t="shared" si="56"/>
        <v>0.24909900360398562</v>
      </c>
      <c r="U61" s="825">
        <f t="shared" si="56"/>
        <v>0.26292679040866723</v>
      </c>
      <c r="V61" s="824">
        <f t="shared" si="56"/>
        <v>0.26801855094411053</v>
      </c>
      <c r="W61" s="824">
        <f t="shared" si="56"/>
        <v>0.27055216048716219</v>
      </c>
      <c r="X61" s="824">
        <f t="shared" si="56"/>
        <v>0.26377866922473192</v>
      </c>
      <c r="Y61" s="824">
        <f t="shared" si="56"/>
        <v>0.2326871941115263</v>
      </c>
      <c r="Z61" s="826">
        <f t="shared" si="56"/>
        <v>0.25776415848704221</v>
      </c>
      <c r="AA61" s="824">
        <f t="shared" si="56"/>
        <v>0.25815516188149057</v>
      </c>
      <c r="AB61" s="824">
        <f t="shared" si="56"/>
        <v>0.25400876023614549</v>
      </c>
      <c r="AC61" s="824">
        <f t="shared" si="56"/>
        <v>0.27123401209335635</v>
      </c>
      <c r="AD61" s="824">
        <f t="shared" si="56"/>
        <v>0.28295037725449967</v>
      </c>
      <c r="AE61" s="825">
        <f t="shared" si="56"/>
        <v>0.26674673457969178</v>
      </c>
      <c r="AF61" s="824">
        <f t="shared" si="56"/>
        <v>0.3474883582681067</v>
      </c>
      <c r="AG61" s="824">
        <f t="shared" si="56"/>
        <v>0.30166779717379522</v>
      </c>
      <c r="AH61" s="824">
        <f t="shared" si="56"/>
        <v>0.30318938549494817</v>
      </c>
      <c r="AI61" s="824">
        <f t="shared" si="56"/>
        <v>0.22467858526968498</v>
      </c>
      <c r="AJ61" s="825">
        <f t="shared" si="56"/>
        <v>0.29172041961878575</v>
      </c>
      <c r="AK61" s="824">
        <f t="shared" si="56"/>
        <v>0.31162722864330766</v>
      </c>
      <c r="AL61" s="824">
        <f t="shared" si="56"/>
        <v>0.31001791709429971</v>
      </c>
      <c r="AM61" s="824">
        <f t="shared" si="56"/>
        <v>0.30992590496737343</v>
      </c>
      <c r="AN61" s="824">
        <f t="shared" si="56"/>
        <v>0.24697918889039747</v>
      </c>
      <c r="AO61" s="825">
        <f t="shared" si="56"/>
        <v>0.29347618833008027</v>
      </c>
      <c r="AP61" s="824">
        <f t="shared" si="56"/>
        <v>0.29959583504589676</v>
      </c>
      <c r="AQ61" s="824">
        <f t="shared" si="56"/>
        <v>0.27529185990724453</v>
      </c>
      <c r="AR61" s="824">
        <f t="shared" si="56"/>
        <v>0.26206896551724129</v>
      </c>
      <c r="AS61" s="824">
        <f t="shared" si="56"/>
        <v>0.20441915850754167</v>
      </c>
      <c r="AT61" s="825">
        <f t="shared" si="56"/>
        <v>0.26014345359169272</v>
      </c>
      <c r="AU61" s="824">
        <f t="shared" si="56"/>
        <v>0.25082113530881833</v>
      </c>
      <c r="AV61" s="824">
        <f t="shared" si="56"/>
        <v>0.21465173996107631</v>
      </c>
      <c r="AW61" s="824">
        <f t="shared" ref="AW61:CB61" si="57">AW29/AW11</f>
        <v>0.20933992247349936</v>
      </c>
      <c r="AX61" s="824">
        <f t="shared" si="57"/>
        <v>0.21291670454736195</v>
      </c>
      <c r="AY61" s="825">
        <f t="shared" si="57"/>
        <v>0.22187949033990623</v>
      </c>
      <c r="AZ61" s="824">
        <f t="shared" si="57"/>
        <v>0.25765392648660224</v>
      </c>
      <c r="BA61" s="824">
        <f t="shared" si="57"/>
        <v>0.26417862623741512</v>
      </c>
      <c r="BB61" s="824">
        <f t="shared" si="57"/>
        <v>0.26759172643176382</v>
      </c>
      <c r="BC61" s="824">
        <f t="shared" si="57"/>
        <v>0.17099917366753881</v>
      </c>
      <c r="BD61" s="1060">
        <f t="shared" si="57"/>
        <v>0.24003149769824525</v>
      </c>
      <c r="BE61" s="824">
        <f t="shared" si="57"/>
        <v>0.21246610151395451</v>
      </c>
      <c r="BF61" s="824">
        <f t="shared" si="57"/>
        <v>0.20637815057946335</v>
      </c>
      <c r="BG61" s="824">
        <f t="shared" si="57"/>
        <v>0.19421199442119955</v>
      </c>
      <c r="BH61" s="824">
        <f t="shared" si="57"/>
        <v>0.19864097006619416</v>
      </c>
      <c r="BI61" s="825">
        <f t="shared" si="57"/>
        <v>0.20278757723444599</v>
      </c>
      <c r="BJ61" s="824">
        <f t="shared" si="57"/>
        <v>0.23799168945249416</v>
      </c>
      <c r="BK61" s="824">
        <f t="shared" si="57"/>
        <v>0.23614598188282079</v>
      </c>
      <c r="BL61" s="824">
        <f t="shared" si="57"/>
        <v>0.2321309756638506</v>
      </c>
      <c r="BM61" s="824">
        <f t="shared" si="57"/>
        <v>0.16980430091524651</v>
      </c>
      <c r="BN61" s="825">
        <f t="shared" si="57"/>
        <v>0.21770957026259211</v>
      </c>
      <c r="BO61" s="1091">
        <f t="shared" si="57"/>
        <v>0.20959486958130358</v>
      </c>
      <c r="BP61" s="1091">
        <f t="shared" si="57"/>
        <v>0.21275532859680302</v>
      </c>
      <c r="BQ61" s="1091">
        <f t="shared" si="57"/>
        <v>0.22472407881811346</v>
      </c>
      <c r="BR61" s="1091">
        <f t="shared" si="57"/>
        <v>0.21149205798107812</v>
      </c>
      <c r="BS61" s="825">
        <f t="shared" si="57"/>
        <v>0.21417525530169459</v>
      </c>
      <c r="BT61" s="824">
        <f t="shared" si="57"/>
        <v>0.24944533700558483</v>
      </c>
      <c r="BU61" s="824">
        <f t="shared" si="57"/>
        <v>0.25900108167505109</v>
      </c>
      <c r="BV61" s="824">
        <f t="shared" si="57"/>
        <v>0.24363302168572484</v>
      </c>
      <c r="BW61" s="824">
        <f t="shared" si="57"/>
        <v>0.23662511362160749</v>
      </c>
      <c r="BX61" s="825">
        <f t="shared" si="57"/>
        <v>0.24698753038703017</v>
      </c>
      <c r="BY61" s="1091">
        <f t="shared" si="57"/>
        <v>0.2814385964912281</v>
      </c>
      <c r="BZ61" s="1091">
        <f t="shared" si="57"/>
        <v>0.26375011217730321</v>
      </c>
      <c r="CA61" s="1091">
        <f t="shared" si="57"/>
        <v>0.28368373913934586</v>
      </c>
      <c r="CB61" s="1091">
        <f t="shared" si="57"/>
        <v>0.235432672585314</v>
      </c>
      <c r="CC61" s="825">
        <f t="shared" ref="CC61:CH61" si="58">CC29/CC11</f>
        <v>0.26561058787822445</v>
      </c>
      <c r="CD61" s="825">
        <f t="shared" si="58"/>
        <v>0.28672058748753254</v>
      </c>
      <c r="CE61" s="825">
        <f t="shared" si="58"/>
        <v>0.30718204419646705</v>
      </c>
      <c r="CF61" s="825">
        <f t="shared" si="58"/>
        <v>0.31937573073368802</v>
      </c>
      <c r="CG61" s="825">
        <f t="shared" si="58"/>
        <v>0.32849938372518062</v>
      </c>
      <c r="CH61" s="825">
        <f t="shared" si="58"/>
        <v>0.33919912199741431</v>
      </c>
    </row>
    <row r="62" spans="1:153" s="832" customFormat="1" ht="12.75" customHeight="1">
      <c r="A62"/>
      <c r="B62"/>
      <c r="C62"/>
      <c r="D62"/>
      <c r="E62"/>
      <c r="F62"/>
      <c r="G62" s="827"/>
      <c r="H62" s="828" t="s">
        <v>527</v>
      </c>
      <c r="I62" s="828"/>
      <c r="J62" s="828"/>
      <c r="K62" s="828"/>
      <c r="L62" s="829">
        <f t="shared" ref="L62:AQ62" si="59">L33/L11</f>
        <v>0.2933750786298393</v>
      </c>
      <c r="M62" s="829">
        <f t="shared" si="59"/>
        <v>0.29123156201434131</v>
      </c>
      <c r="N62" s="829">
        <f t="shared" si="59"/>
        <v>0.30928049762572535</v>
      </c>
      <c r="O62" s="829">
        <f t="shared" si="59"/>
        <v>0.29946379314789506</v>
      </c>
      <c r="P62" s="830">
        <f t="shared" si="59"/>
        <v>0.29836193181430209</v>
      </c>
      <c r="Q62" s="829">
        <f t="shared" si="59"/>
        <v>0.32926402498115648</v>
      </c>
      <c r="R62" s="829">
        <f t="shared" si="59"/>
        <v>0.30833182488169425</v>
      </c>
      <c r="S62" s="829">
        <f t="shared" si="59"/>
        <v>0.32305482589511003</v>
      </c>
      <c r="T62" s="829">
        <f t="shared" si="59"/>
        <v>0.29586837208206723</v>
      </c>
      <c r="U62" s="830">
        <f t="shared" si="59"/>
        <v>0.31354098621843379</v>
      </c>
      <c r="V62" s="829">
        <f t="shared" si="59"/>
        <v>0.31978491316075908</v>
      </c>
      <c r="W62" s="829">
        <f t="shared" si="59"/>
        <v>0.31779459716253849</v>
      </c>
      <c r="X62" s="829">
        <f t="shared" si="59"/>
        <v>0.31147532048486976</v>
      </c>
      <c r="Y62" s="829">
        <f t="shared" si="59"/>
        <v>0.2748419977648463</v>
      </c>
      <c r="Z62" s="831">
        <f t="shared" si="59"/>
        <v>0.30472745616812541</v>
      </c>
      <c r="AA62" s="829">
        <f t="shared" si="59"/>
        <v>0.30545713703929955</v>
      </c>
      <c r="AB62" s="829">
        <f t="shared" si="59"/>
        <v>0.29824795277090077</v>
      </c>
      <c r="AC62" s="829">
        <f t="shared" si="59"/>
        <v>0.31499237101361927</v>
      </c>
      <c r="AD62" s="829">
        <f t="shared" si="59"/>
        <v>0.32709960659102588</v>
      </c>
      <c r="AE62" s="830">
        <f t="shared" si="59"/>
        <v>0.31156547240068694</v>
      </c>
      <c r="AF62" s="829">
        <f t="shared" si="59"/>
        <v>0.39805806004161315</v>
      </c>
      <c r="AG62" s="829">
        <f t="shared" si="59"/>
        <v>0.34988597308322367</v>
      </c>
      <c r="AH62" s="829">
        <f t="shared" si="59"/>
        <v>0.34907051166804515</v>
      </c>
      <c r="AI62" s="829">
        <f t="shared" si="59"/>
        <v>0.267679916423745</v>
      </c>
      <c r="AJ62" s="830">
        <f t="shared" si="59"/>
        <v>0.33846888694408922</v>
      </c>
      <c r="AK62" s="829">
        <f t="shared" si="59"/>
        <v>0</v>
      </c>
      <c r="AL62" s="829">
        <f t="shared" si="59"/>
        <v>0</v>
      </c>
      <c r="AM62" s="829">
        <f t="shared" si="59"/>
        <v>0</v>
      </c>
      <c r="AN62" s="829">
        <f t="shared" si="59"/>
        <v>0</v>
      </c>
      <c r="AO62" s="830">
        <f t="shared" si="59"/>
        <v>0.35103362442841235</v>
      </c>
      <c r="AP62" s="829">
        <f t="shared" si="59"/>
        <v>0</v>
      </c>
      <c r="AQ62" s="829">
        <f t="shared" si="59"/>
        <v>0</v>
      </c>
      <c r="AR62" s="829">
        <f t="shared" ref="AR62:BW62" si="60">AR33/AR11</f>
        <v>0</v>
      </c>
      <c r="AS62" s="829">
        <f t="shared" si="60"/>
        <v>0</v>
      </c>
      <c r="AT62" s="830">
        <f t="shared" si="60"/>
        <v>0.31670139089045007</v>
      </c>
      <c r="AU62" s="829">
        <f t="shared" si="60"/>
        <v>0.31970724741163881</v>
      </c>
      <c r="AV62" s="829">
        <f t="shared" si="60"/>
        <v>0.27928651775670899</v>
      </c>
      <c r="AW62" s="829">
        <f t="shared" si="60"/>
        <v>0.27725828082229514</v>
      </c>
      <c r="AX62" s="829">
        <f t="shared" si="60"/>
        <v>0.27076170144192829</v>
      </c>
      <c r="AY62" s="830">
        <f t="shared" si="60"/>
        <v>0.28656915954749979</v>
      </c>
      <c r="AZ62" s="829">
        <f t="shared" si="60"/>
        <v>0.32575825195922664</v>
      </c>
      <c r="BA62" s="829">
        <f t="shared" si="60"/>
        <v>0.32554766682968789</v>
      </c>
      <c r="BB62" s="829">
        <f t="shared" si="60"/>
        <v>0.32804975227800293</v>
      </c>
      <c r="BC62" s="829">
        <f t="shared" si="60"/>
        <v>0.23145916540421421</v>
      </c>
      <c r="BD62" s="1061">
        <f t="shared" si="60"/>
        <v>0.30257692707071421</v>
      </c>
      <c r="BE62" s="829">
        <f t="shared" si="60"/>
        <v>0.25876022292925632</v>
      </c>
      <c r="BF62" s="829">
        <f t="shared" si="60"/>
        <v>0.24979739038819987</v>
      </c>
      <c r="BG62" s="829">
        <f t="shared" si="60"/>
        <v>0.23695545163672169</v>
      </c>
      <c r="BH62" s="829">
        <f t="shared" si="60"/>
        <v>0.23839650088844636</v>
      </c>
      <c r="BI62" s="830">
        <f t="shared" si="60"/>
        <v>0.24576867391260007</v>
      </c>
      <c r="BJ62" s="829">
        <f t="shared" si="60"/>
        <v>0.28176200831054743</v>
      </c>
      <c r="BK62" s="829">
        <f t="shared" si="60"/>
        <v>0.27935003113262497</v>
      </c>
      <c r="BL62" s="829">
        <f t="shared" si="60"/>
        <v>0.27330282073512507</v>
      </c>
      <c r="BM62" s="829">
        <f t="shared" si="60"/>
        <v>0.20204256269067622</v>
      </c>
      <c r="BN62" s="830">
        <f t="shared" si="60"/>
        <v>0.25758691698357089</v>
      </c>
      <c r="BO62" s="1093">
        <f t="shared" si="60"/>
        <v>0.25337608682247026</v>
      </c>
      <c r="BP62" s="1093">
        <f t="shared" si="60"/>
        <v>0.25070307874481962</v>
      </c>
      <c r="BQ62" s="1093">
        <f t="shared" si="60"/>
        <v>0.26615559450661624</v>
      </c>
      <c r="BR62" s="1093">
        <f t="shared" si="60"/>
        <v>0.2419581633538756</v>
      </c>
      <c r="BS62" s="830">
        <f t="shared" si="60"/>
        <v>0.25230313716985237</v>
      </c>
      <c r="BT62" s="829">
        <f t="shared" si="60"/>
        <v>0.2897635988065182</v>
      </c>
      <c r="BU62" s="829">
        <f t="shared" si="60"/>
        <v>0.29634462510516291</v>
      </c>
      <c r="BV62" s="829">
        <f t="shared" si="60"/>
        <v>0.28200279245683174</v>
      </c>
      <c r="BW62" s="829">
        <f t="shared" si="60"/>
        <v>0.27533761849110494</v>
      </c>
      <c r="BX62" s="830">
        <f t="shared" ref="BX62:CH62" si="61">BX33/BX11</f>
        <v>0.28563371167736407</v>
      </c>
      <c r="BY62" s="1093">
        <f t="shared" si="61"/>
        <v>0.31928947368421051</v>
      </c>
      <c r="BZ62" s="1093">
        <f t="shared" si="61"/>
        <v>0.29960530208101355</v>
      </c>
      <c r="CA62" s="1093">
        <f t="shared" si="61"/>
        <v>0.31928703051717755</v>
      </c>
      <c r="CB62" s="1093">
        <f t="shared" si="61"/>
        <v>0.26997839671332868</v>
      </c>
      <c r="CC62" s="830">
        <f t="shared" si="61"/>
        <v>0.30153548261890728</v>
      </c>
      <c r="CD62" s="830">
        <f t="shared" si="61"/>
        <v>0.32181326995589465</v>
      </c>
      <c r="CE62" s="830">
        <f t="shared" si="61"/>
        <v>0.34100659578348325</v>
      </c>
      <c r="CF62" s="830">
        <f t="shared" si="61"/>
        <v>0.35201599242513459</v>
      </c>
      <c r="CG62" s="830">
        <f t="shared" si="61"/>
        <v>0.36020680662622323</v>
      </c>
      <c r="CH62" s="830">
        <f t="shared" si="61"/>
        <v>0.36988801065853411</v>
      </c>
    </row>
    <row r="63" spans="1:153" ht="12.75" customHeight="1">
      <c r="G63" s="9"/>
      <c r="H63" s="7" t="s">
        <v>508</v>
      </c>
      <c r="L63" s="74">
        <v>0.27002916452221648</v>
      </c>
      <c r="M63" s="74">
        <v>0.25456198707636934</v>
      </c>
      <c r="N63" s="74">
        <v>0.28274693843547793</v>
      </c>
      <c r="O63" s="74">
        <v>0.27480601170374569</v>
      </c>
      <c r="P63" s="57">
        <v>0.27054802564645308</v>
      </c>
      <c r="Q63" s="74">
        <f t="shared" ref="Q63:AV63" si="62">Q44/Q11</f>
        <v>0.28434909012598258</v>
      </c>
      <c r="R63" s="74">
        <f t="shared" si="62"/>
        <v>0.26914225129942332</v>
      </c>
      <c r="S63" s="74">
        <f t="shared" si="62"/>
        <v>0.28616348132141145</v>
      </c>
      <c r="T63" s="74">
        <f t="shared" si="62"/>
        <v>0.27329046239370602</v>
      </c>
      <c r="U63" s="57">
        <f t="shared" si="62"/>
        <v>0.27805624153588782</v>
      </c>
      <c r="V63" s="74">
        <f t="shared" si="62"/>
        <v>0.27701007997728455</v>
      </c>
      <c r="W63" s="74">
        <f t="shared" si="62"/>
        <v>0.27098404197888082</v>
      </c>
      <c r="X63" s="74">
        <f t="shared" si="62"/>
        <v>0.27472311851399678</v>
      </c>
      <c r="Y63" s="74">
        <f t="shared" si="62"/>
        <v>0.23877606073451754</v>
      </c>
      <c r="Z63" s="212">
        <f t="shared" si="62"/>
        <v>0.26430070249064858</v>
      </c>
      <c r="AA63" s="74">
        <f t="shared" si="62"/>
        <v>0.24893097128894323</v>
      </c>
      <c r="AB63" s="74">
        <f t="shared" si="62"/>
        <v>0.24696248333650733</v>
      </c>
      <c r="AC63" s="74">
        <f t="shared" si="62"/>
        <v>0.25686137849190965</v>
      </c>
      <c r="AD63" s="74">
        <f t="shared" si="62"/>
        <v>0.26217762320162702</v>
      </c>
      <c r="AE63" s="57">
        <f t="shared" si="62"/>
        <v>0.25382493102583403</v>
      </c>
      <c r="AF63" s="74">
        <f t="shared" si="62"/>
        <v>0.33347864856831477</v>
      </c>
      <c r="AG63" s="74">
        <f t="shared" si="62"/>
        <v>0.29711427821056158</v>
      </c>
      <c r="AH63" s="74">
        <f t="shared" si="62"/>
        <v>0.29116177052245529</v>
      </c>
      <c r="AI63" s="74">
        <f t="shared" si="62"/>
        <v>0.21325425042546373</v>
      </c>
      <c r="AJ63" s="57">
        <f t="shared" si="62"/>
        <v>0.28121025773481512</v>
      </c>
      <c r="AK63" s="74">
        <f t="shared" si="62"/>
        <v>0.32520873591716187</v>
      </c>
      <c r="AL63" s="74">
        <f t="shared" si="62"/>
        <v>0.30681719345243286</v>
      </c>
      <c r="AM63" s="74">
        <f t="shared" si="62"/>
        <v>0.30608852499602113</v>
      </c>
      <c r="AN63" s="74">
        <f t="shared" si="62"/>
        <v>0.24061107986319885</v>
      </c>
      <c r="AO63" s="57">
        <f t="shared" si="62"/>
        <v>0.29325951374756892</v>
      </c>
      <c r="AP63" s="74">
        <f t="shared" si="62"/>
        <v>0.29767776407727092</v>
      </c>
      <c r="AQ63" s="74">
        <f t="shared" si="62"/>
        <v>0.26608028146489687</v>
      </c>
      <c r="AR63" s="74">
        <f t="shared" si="62"/>
        <v>0.2485035783994794</v>
      </c>
      <c r="AS63" s="74">
        <f t="shared" si="62"/>
        <v>0.19998676898650436</v>
      </c>
      <c r="AT63" s="57">
        <f t="shared" si="62"/>
        <v>0.25277313415628389</v>
      </c>
      <c r="AU63" s="74">
        <f t="shared" si="62"/>
        <v>0.24260978222063556</v>
      </c>
      <c r="AV63" s="74">
        <f t="shared" si="62"/>
        <v>0.21170567964718698</v>
      </c>
      <c r="AW63" s="74">
        <f t="shared" ref="AW63:CB63" si="63">AW44/AW11</f>
        <v>0.20946852093399207</v>
      </c>
      <c r="AX63" s="74">
        <f t="shared" si="63"/>
        <v>0.20418791801655101</v>
      </c>
      <c r="AY63" s="57">
        <f t="shared" si="63"/>
        <v>0.2168448272597365</v>
      </c>
      <c r="AZ63" s="74">
        <f t="shared" si="63"/>
        <v>0.26368780905796452</v>
      </c>
      <c r="BA63" s="74">
        <f t="shared" si="63"/>
        <v>0.26618547312680241</v>
      </c>
      <c r="BB63" s="74">
        <f t="shared" si="63"/>
        <v>0.26216955964383465</v>
      </c>
      <c r="BC63" s="74">
        <f t="shared" si="63"/>
        <v>0.17256576229169526</v>
      </c>
      <c r="BD63" s="1059">
        <f t="shared" si="63"/>
        <v>0.24104825032016905</v>
      </c>
      <c r="BE63" s="74">
        <f t="shared" si="63"/>
        <v>0.22442399265443838</v>
      </c>
      <c r="BF63" s="74">
        <f t="shared" si="63"/>
        <v>0.21727854769430247</v>
      </c>
      <c r="BG63" s="74">
        <f t="shared" si="63"/>
        <v>0.21338912133891222</v>
      </c>
      <c r="BH63" s="74">
        <f t="shared" si="63"/>
        <v>0.20746685411907137</v>
      </c>
      <c r="BI63" s="57">
        <f t="shared" si="63"/>
        <v>0.2154560655804563</v>
      </c>
      <c r="BJ63" s="74">
        <f t="shared" si="63"/>
        <v>0.25794992141580719</v>
      </c>
      <c r="BK63" s="74">
        <f t="shared" si="63"/>
        <v>0.24205113784722918</v>
      </c>
      <c r="BL63" s="74">
        <f t="shared" si="63"/>
        <v>0.24957154666612896</v>
      </c>
      <c r="BM63" s="74">
        <f t="shared" si="63"/>
        <v>0.1781196517598034</v>
      </c>
      <c r="BN63" s="57">
        <f t="shared" si="63"/>
        <v>0.23040077760575572</v>
      </c>
      <c r="BO63" s="1092">
        <f t="shared" si="63"/>
        <v>0.22087932416599865</v>
      </c>
      <c r="BP63" s="1092">
        <f t="shared" si="63"/>
        <v>0.21667776791000612</v>
      </c>
      <c r="BQ63" s="1092">
        <f t="shared" si="63"/>
        <v>0.22996321050908175</v>
      </c>
      <c r="BR63" s="1092">
        <f t="shared" si="63"/>
        <v>0.21423487544483993</v>
      </c>
      <c r="BS63" s="57">
        <f t="shared" si="63"/>
        <v>0.21979047816616548</v>
      </c>
      <c r="BT63" s="74">
        <f t="shared" si="63"/>
        <v>0.25233340983857389</v>
      </c>
      <c r="BU63" s="74">
        <f t="shared" si="63"/>
        <v>0.25833147331009737</v>
      </c>
      <c r="BV63" s="74">
        <f t="shared" si="63"/>
        <v>0.24117636662483866</v>
      </c>
      <c r="BW63" s="74">
        <f t="shared" si="63"/>
        <v>0.2455687573042461</v>
      </c>
      <c r="BX63" s="57">
        <f t="shared" si="63"/>
        <v>0.24927858129732941</v>
      </c>
      <c r="BY63" s="1092">
        <f t="shared" si="63"/>
        <v>0.29328070175438598</v>
      </c>
      <c r="BZ63" s="1092">
        <f t="shared" si="63"/>
        <v>0.27046906039182833</v>
      </c>
      <c r="CA63" s="1092">
        <f t="shared" si="63"/>
        <v>0.29035548377873333</v>
      </c>
      <c r="CB63" s="1092">
        <f t="shared" si="63"/>
        <v>0.24190623839469161</v>
      </c>
      <c r="CC63" s="57">
        <f t="shared" ref="CC63:CH63" si="64">CC44/CC11</f>
        <v>0.27346948017842887</v>
      </c>
      <c r="CD63" s="57">
        <f t="shared" si="64"/>
        <v>0.29304606917134912</v>
      </c>
      <c r="CE63" s="57">
        <f t="shared" si="64"/>
        <v>0.31392903053907578</v>
      </c>
      <c r="CF63" s="57">
        <f t="shared" si="64"/>
        <v>0.32588648666447467</v>
      </c>
      <c r="CG63" s="57">
        <f t="shared" si="64"/>
        <v>0.33494426417234785</v>
      </c>
      <c r="CH63" s="57">
        <f t="shared" si="64"/>
        <v>0.3455533110692835</v>
      </c>
    </row>
    <row r="64" spans="1:153" s="15" customFormat="1" ht="12.75" customHeight="1">
      <c r="A64"/>
      <c r="B64"/>
      <c r="C64"/>
      <c r="D64"/>
      <c r="E64"/>
      <c r="F64"/>
      <c r="G64" s="760"/>
      <c r="H64" s="15" t="s">
        <v>509</v>
      </c>
      <c r="L64" s="824">
        <v>0.21062274832732886</v>
      </c>
      <c r="M64" s="824">
        <v>0.19855834991956806</v>
      </c>
      <c r="N64" s="824">
        <v>0.22051595345866529</v>
      </c>
      <c r="O64" s="824">
        <v>0.22453661931891414</v>
      </c>
      <c r="P64" s="825">
        <v>0.21371938164462315</v>
      </c>
      <c r="Q64" s="824">
        <f t="shared" ref="Q64:AV64" si="65">Q47/Q11</f>
        <v>0.22461505330031231</v>
      </c>
      <c r="R64" s="824">
        <f t="shared" si="65"/>
        <v>0.21263996276279382</v>
      </c>
      <c r="S64" s="824">
        <f t="shared" si="65"/>
        <v>0.22607109121258781</v>
      </c>
      <c r="T64" s="824">
        <f t="shared" si="65"/>
        <v>0.21897156855817027</v>
      </c>
      <c r="U64" s="825">
        <f t="shared" si="65"/>
        <v>0.2204954990838843</v>
      </c>
      <c r="V64" s="824">
        <f t="shared" si="65"/>
        <v>0.21605697789976808</v>
      </c>
      <c r="W64" s="824">
        <f t="shared" si="65"/>
        <v>0.2113628020471181</v>
      </c>
      <c r="X64" s="824">
        <f t="shared" si="65"/>
        <v>0.21731926397488457</v>
      </c>
      <c r="Y64" s="824">
        <f t="shared" si="65"/>
        <v>0.19000732205479962</v>
      </c>
      <c r="Z64" s="826">
        <f t="shared" si="65"/>
        <v>0.20794581859748726</v>
      </c>
      <c r="AA64" s="824">
        <f t="shared" si="65"/>
        <v>0.19596823457544293</v>
      </c>
      <c r="AB64" s="824">
        <f t="shared" si="65"/>
        <v>0.19485812226242619</v>
      </c>
      <c r="AC64" s="824">
        <f t="shared" si="65"/>
        <v>0.20257313466573754</v>
      </c>
      <c r="AD64" s="824">
        <f t="shared" si="65"/>
        <v>0.21211775661858356</v>
      </c>
      <c r="AE64" s="825">
        <f t="shared" si="65"/>
        <v>0.20147691535953396</v>
      </c>
      <c r="AF64" s="824">
        <f t="shared" si="65"/>
        <v>0.26010106014069168</v>
      </c>
      <c r="AG64" s="824">
        <f t="shared" si="65"/>
        <v>0.23174010554338981</v>
      </c>
      <c r="AH64" s="824">
        <f t="shared" si="65"/>
        <v>0.23587789004350809</v>
      </c>
      <c r="AI64" s="824">
        <f t="shared" si="65"/>
        <v>0.16848366387517472</v>
      </c>
      <c r="AJ64" s="825">
        <f t="shared" si="65"/>
        <v>0.22215642876148164</v>
      </c>
      <c r="AK64" s="824">
        <f t="shared" si="65"/>
        <v>0.23653698909833371</v>
      </c>
      <c r="AL64" s="824">
        <f t="shared" si="65"/>
        <v>0.23777549706890269</v>
      </c>
      <c r="AM64" s="824">
        <f t="shared" si="65"/>
        <v>0.23722789085571802</v>
      </c>
      <c r="AN64" s="824">
        <f t="shared" si="65"/>
        <v>0.19960627630481589</v>
      </c>
      <c r="AO64" s="825">
        <f t="shared" si="65"/>
        <v>0.22711309719848435</v>
      </c>
      <c r="AP64" s="824">
        <f t="shared" si="65"/>
        <v>0.23546033703247027</v>
      </c>
      <c r="AQ64" s="824">
        <f t="shared" si="65"/>
        <v>0.21047497201343357</v>
      </c>
      <c r="AR64" s="824">
        <f t="shared" si="65"/>
        <v>0.20395250487963551</v>
      </c>
      <c r="AS64" s="824">
        <f t="shared" si="65"/>
        <v>0.16021103466525533</v>
      </c>
      <c r="AT64" s="825">
        <f t="shared" si="65"/>
        <v>0.20231732725041807</v>
      </c>
      <c r="AU64" s="824">
        <f t="shared" si="65"/>
        <v>0.18330953230988939</v>
      </c>
      <c r="AV64" s="824">
        <f t="shared" si="65"/>
        <v>0.1649079579338297</v>
      </c>
      <c r="AW64" s="824">
        <f t="shared" ref="AW64:CB64" si="66">AW47/AW11</f>
        <v>0.1631914463652562</v>
      </c>
      <c r="AX64" s="824">
        <f t="shared" si="66"/>
        <v>0.15866393903278317</v>
      </c>
      <c r="AY64" s="825">
        <f t="shared" si="66"/>
        <v>0.16740956780647084</v>
      </c>
      <c r="AZ64" s="824">
        <f t="shared" si="66"/>
        <v>0.22268239998571857</v>
      </c>
      <c r="BA64" s="824">
        <f t="shared" si="66"/>
        <v>0.21162959340270171</v>
      </c>
      <c r="BB64" s="824">
        <f t="shared" si="66"/>
        <v>0.20841561861206387</v>
      </c>
      <c r="BC64" s="824">
        <f t="shared" si="66"/>
        <v>0.13718840380112921</v>
      </c>
      <c r="BD64" s="1060">
        <f t="shared" si="66"/>
        <v>0.19479682253989145</v>
      </c>
      <c r="BE64" s="824">
        <f t="shared" si="66"/>
        <v>0.17821528474728288</v>
      </c>
      <c r="BF64" s="824">
        <f t="shared" si="66"/>
        <v>0.16620066455952656</v>
      </c>
      <c r="BG64" s="824">
        <f t="shared" si="66"/>
        <v>0.16305685454097968</v>
      </c>
      <c r="BH64" s="824">
        <f t="shared" si="66"/>
        <v>0.17302247476226743</v>
      </c>
      <c r="BI64" s="825">
        <f t="shared" si="66"/>
        <v>0.17006872081404589</v>
      </c>
      <c r="BJ64" s="824">
        <f t="shared" si="66"/>
        <v>0.19887183241113521</v>
      </c>
      <c r="BK64" s="824">
        <f t="shared" si="66"/>
        <v>0.19177696989173881</v>
      </c>
      <c r="BL64" s="824">
        <f t="shared" si="66"/>
        <v>0.18620077827287937</v>
      </c>
      <c r="BM64" s="824">
        <f t="shared" si="66"/>
        <v>0.15406652280675631</v>
      </c>
      <c r="BN64" s="825">
        <f t="shared" si="66"/>
        <v>0.18188559375109584</v>
      </c>
      <c r="BO64" s="1091">
        <f t="shared" si="66"/>
        <v>0.18135290127643833</v>
      </c>
      <c r="BP64" s="1091">
        <f t="shared" si="66"/>
        <v>0.16814683244523407</v>
      </c>
      <c r="BQ64" s="1091">
        <f t="shared" si="66"/>
        <v>0.17932469133424497</v>
      </c>
      <c r="BR64" s="1091">
        <f t="shared" si="66"/>
        <v>0.17592222897317947</v>
      </c>
      <c r="BS64" s="825">
        <f t="shared" si="66"/>
        <v>0.17555704330935132</v>
      </c>
      <c r="BT64" s="824">
        <f t="shared" si="66"/>
        <v>0.19885624665289561</v>
      </c>
      <c r="BU64" s="824">
        <f t="shared" si="66"/>
        <v>0.20215304843500506</v>
      </c>
      <c r="BV64" s="824">
        <f t="shared" si="66"/>
        <v>0.19561336844523775</v>
      </c>
      <c r="BW64" s="824">
        <f t="shared" si="66"/>
        <v>0.19588365147383446</v>
      </c>
      <c r="BX64" s="825">
        <f t="shared" si="66"/>
        <v>0.19809283128421271</v>
      </c>
      <c r="BY64" s="1091">
        <f t="shared" si="66"/>
        <v>0.24668421052631578</v>
      </c>
      <c r="BZ64" s="1091">
        <f t="shared" si="66"/>
        <v>0.22313697482325837</v>
      </c>
      <c r="CA64" s="1091">
        <f t="shared" si="66"/>
        <v>0.23954327411745502</v>
      </c>
      <c r="CB64" s="1091">
        <f t="shared" si="66"/>
        <v>0.19957264667562058</v>
      </c>
      <c r="CC64" s="825">
        <f t="shared" ref="CC64:CH64" si="67">CC47/CC11</f>
        <v>0.22673336102595998</v>
      </c>
      <c r="CD64" s="825">
        <f t="shared" si="67"/>
        <v>0.24381432955056248</v>
      </c>
      <c r="CE64" s="825">
        <f t="shared" si="67"/>
        <v>0.2621307405001283</v>
      </c>
      <c r="CF64" s="825">
        <f t="shared" si="67"/>
        <v>0.27211521636483638</v>
      </c>
      <c r="CG64" s="825">
        <f t="shared" si="67"/>
        <v>0.27967846058391044</v>
      </c>
      <c r="CH64" s="825">
        <f t="shared" si="67"/>
        <v>0.28853701474285171</v>
      </c>
    </row>
    <row r="65" spans="1:86" ht="12.75" customHeight="1">
      <c r="G65" s="9"/>
      <c r="H65" s="15"/>
      <c r="I65" s="15"/>
      <c r="J65" s="15"/>
      <c r="K65" s="15"/>
      <c r="L65" s="205"/>
      <c r="M65" s="205"/>
      <c r="N65" s="205"/>
      <c r="O65" s="205"/>
      <c r="P65" s="206"/>
      <c r="Q65" s="205"/>
      <c r="R65" s="205"/>
      <c r="S65" s="205"/>
      <c r="T65" s="205"/>
      <c r="U65" s="206"/>
      <c r="V65" s="205"/>
      <c r="W65" s="205"/>
      <c r="X65" s="205"/>
      <c r="Y65" s="205"/>
      <c r="Z65" s="207"/>
      <c r="AA65" s="205"/>
      <c r="AB65" s="205"/>
      <c r="AC65" s="205"/>
      <c r="AD65" s="205"/>
      <c r="AE65" s="206"/>
      <c r="AF65" s="205"/>
      <c r="AG65" s="205"/>
      <c r="AH65" s="205"/>
      <c r="AI65" s="205"/>
      <c r="AJ65" s="206"/>
      <c r="AK65" s="208"/>
      <c r="AL65" s="208"/>
      <c r="AM65" s="208"/>
      <c r="AN65" s="208"/>
      <c r="AO65" s="210"/>
      <c r="AP65" s="208"/>
      <c r="AQ65" s="208"/>
      <c r="AR65" s="208"/>
      <c r="AS65" s="208"/>
      <c r="AT65" s="210"/>
      <c r="AU65" s="208"/>
      <c r="AV65" s="208"/>
      <c r="AW65" s="208"/>
      <c r="AX65" s="208"/>
      <c r="AY65" s="210"/>
      <c r="AZ65" s="208"/>
      <c r="BA65" s="208"/>
      <c r="BB65" s="208"/>
      <c r="BC65" s="208"/>
      <c r="BD65" s="1062"/>
      <c r="BE65" s="208"/>
      <c r="BF65" s="208"/>
      <c r="BG65" s="208"/>
      <c r="BH65" s="208"/>
      <c r="BI65" s="210"/>
      <c r="BJ65" s="208"/>
      <c r="BK65" s="208"/>
      <c r="BL65" s="208"/>
      <c r="BM65" s="208"/>
      <c r="BN65" s="210"/>
      <c r="BO65" s="208"/>
      <c r="BP65" s="208"/>
      <c r="BQ65" s="208"/>
      <c r="BR65" s="208"/>
      <c r="BS65" s="210"/>
      <c r="BT65" s="208"/>
      <c r="BU65" s="208"/>
      <c r="BV65" s="208"/>
      <c r="BW65" s="208"/>
      <c r="BX65" s="210"/>
      <c r="BY65" s="208"/>
      <c r="BZ65" s="208"/>
      <c r="CA65" s="208"/>
      <c r="CB65" s="208"/>
      <c r="CC65" s="210"/>
      <c r="CD65" s="210"/>
      <c r="CE65" s="210"/>
      <c r="CF65" s="210"/>
      <c r="CG65" s="210"/>
      <c r="CH65" s="210"/>
    </row>
    <row r="66" spans="1:86" ht="12.75" customHeight="1" thickBot="1">
      <c r="G66" s="9"/>
      <c r="H66" s="41" t="s">
        <v>510</v>
      </c>
      <c r="I66" s="41"/>
      <c r="J66" s="41"/>
      <c r="K66" s="41"/>
      <c r="L66" s="43" t="str">
        <f>"1Q:" &amp; RIGHT(YEAR(L$4),2) &amp; IF(L$4&lt;=LatestRpQ, "A", "E")</f>
        <v>1Q:05A</v>
      </c>
      <c r="M66" s="43" t="str">
        <f>"2Q:" &amp; RIGHT(YEAR(M$4),2) &amp; IF(M$4&lt;=LatestRpQ, "A", "E")</f>
        <v>2Q:05A</v>
      </c>
      <c r="N66" s="43" t="str">
        <f>"3Q:" &amp; RIGHT(YEAR(N$4),2) &amp; IF(N$4&lt;=LatestRpQ, "A", "E")</f>
        <v>3Q:05A</v>
      </c>
      <c r="O66" s="43" t="str">
        <f>"4Q:" &amp; RIGHT(YEAR(O$4),2) &amp; IF(O$4&lt;=LatestRpQ, "A", "E")</f>
        <v>4Q:05A</v>
      </c>
      <c r="P66" s="44" t="str">
        <f>YEAR(P$4) &amp; IF(P$4&lt;=LatestRpQ, "A", "E")</f>
        <v>2005A</v>
      </c>
      <c r="Q66" s="43" t="str">
        <f>"1Q:" &amp; RIGHT(YEAR(Q$4),2) &amp; IF(Q$4&lt;=LatestRpQ, "A", "E")</f>
        <v>1Q:06A</v>
      </c>
      <c r="R66" s="43" t="str">
        <f>"2Q:" &amp; RIGHT(YEAR(R$4),2) &amp; IF(R$4&lt;=LatestRpQ, "A", "E")</f>
        <v>2Q:06A</v>
      </c>
      <c r="S66" s="43" t="str">
        <f>"3Q:" &amp; RIGHT(YEAR(S$4),2) &amp; IF(S$4&lt;=LatestRpQ, "A", "E")</f>
        <v>3Q:06A</v>
      </c>
      <c r="T66" s="43" t="str">
        <f>"4Q:" &amp; RIGHT(YEAR(T$4),2) &amp; IF(T$4&lt;=LatestRpQ, "A", "E")</f>
        <v>4Q:06A</v>
      </c>
      <c r="U66" s="44" t="str">
        <f>YEAR(U$4) &amp; IF(U$4&lt;=LatestRpQ, "A", "E")</f>
        <v>2006A</v>
      </c>
      <c r="V66" s="43" t="str">
        <f>"1Q:" &amp; RIGHT(YEAR(V$4),2) &amp; IF(V$4&lt;=LatestRpQ, "A", "E")</f>
        <v>1Q:07A</v>
      </c>
      <c r="W66" s="43" t="str">
        <f>"2Q:" &amp; RIGHT(YEAR(W$4),2) &amp; IF(W$4&lt;=LatestRpQ, "A", "E")</f>
        <v>2Q:07A</v>
      </c>
      <c r="X66" s="43" t="str">
        <f>"3Q:" &amp; RIGHT(YEAR(X$4),2) &amp; IF(X$4&lt;=LatestRpQ, "A", "E")</f>
        <v>3Q:07A</v>
      </c>
      <c r="Y66" s="43" t="str">
        <f>"4Q:" &amp; RIGHT(YEAR(Y$4),2) &amp; IF(Y$4&lt;=LatestRpQ, "A", "E")</f>
        <v>4Q:07A</v>
      </c>
      <c r="Z66" s="123" t="str">
        <f>YEAR(Z$4) &amp; IF(Z$4&lt;=LatestRpQ, "A", "E")</f>
        <v>2007A</v>
      </c>
      <c r="AA66" s="43" t="str">
        <f>"1Q:" &amp; RIGHT(YEAR(AA$4),2) &amp; IF(AA$4&lt;=LatestRpQ, "A", "E")</f>
        <v>1Q:08A</v>
      </c>
      <c r="AB66" s="43" t="str">
        <f>"2Q:" &amp; RIGHT(YEAR(AB$4),2) &amp; IF(AB$4&lt;=LatestRpQ, "A", "E")</f>
        <v>2Q:08A</v>
      </c>
      <c r="AC66" s="43" t="str">
        <f>"3Q:" &amp; RIGHT(YEAR(AC$4),2) &amp; IF(AC$4&lt;=LatestRpQ, "A", "E")</f>
        <v>3Q:08A</v>
      </c>
      <c r="AD66" s="43" t="str">
        <f>"4Q:" &amp; RIGHT(YEAR(AD$4),2) &amp; IF(AD$4&lt;=LatestRpQ, "A", "E")</f>
        <v>4Q:08A</v>
      </c>
      <c r="AE66" s="44" t="str">
        <f>YEAR(AE$4) &amp; IF(AE$4&lt;=LatestRpQ, "A", "E")</f>
        <v>2008A</v>
      </c>
      <c r="AF66" s="43" t="str">
        <f>"1Q:" &amp; RIGHT(YEAR(AF$4),2) &amp; IF(AF$4&lt;=LatestRpQ, "A", "E")</f>
        <v>1Q:09A</v>
      </c>
      <c r="AG66" s="43" t="str">
        <f>"2Q:" &amp; RIGHT(YEAR(AG$4),2) &amp; IF(AG$4&lt;=LatestRpQ, "A", "E")</f>
        <v>2Q:09A</v>
      </c>
      <c r="AH66" s="43" t="str">
        <f>"3Q:" &amp; RIGHT(YEAR(AH$4),2) &amp; IF(AH$4&lt;=LatestRpQ, "A", "E")</f>
        <v>3Q:09A</v>
      </c>
      <c r="AI66" s="43" t="str">
        <f>"4Q:" &amp; RIGHT(YEAR(AI$4),2) &amp; IF(AI$4&lt;=LatestRpQ, "A", "E")</f>
        <v>4Q:09A</v>
      </c>
      <c r="AJ66" s="44" t="str">
        <f>YEAR(AJ$4) &amp; IF(AJ$4&lt;=LatestRpQ, "A", "E")</f>
        <v>2009A</v>
      </c>
      <c r="AK66" s="43" t="str">
        <f>"1Q:" &amp; RIGHT(YEAR(AK$4),2) &amp; IF(AK$4&lt;=LatestRpQ, "A", "E")</f>
        <v>1Q:10A</v>
      </c>
      <c r="AL66" s="43" t="str">
        <f>"2Q:" &amp; RIGHT(YEAR(AL$4),2) &amp; IF(AL$4&lt;=LatestRpQ, "A", "E")</f>
        <v>2Q:10A</v>
      </c>
      <c r="AM66" s="43" t="str">
        <f>"3Q:" &amp; RIGHT(YEAR(AM$4),2) &amp; IF(AM$4&lt;=LatestRpQ, "A", "E")</f>
        <v>3Q:10A</v>
      </c>
      <c r="AN66" s="43" t="str">
        <f>"4Q:" &amp; RIGHT(YEAR(AN$4),2) &amp; IF(AN$4&lt;=LatestRpQ, "A", "E")</f>
        <v>4Q:10A</v>
      </c>
      <c r="AO66" s="44" t="str">
        <f>YEAR(AO$4) &amp; IF(AO$4&lt;=LatestRpQ, "A", "E")</f>
        <v>2010A</v>
      </c>
      <c r="AP66" s="43" t="str">
        <f>"1Q:" &amp; RIGHT(YEAR(AP$4),2) &amp; IF(AP$4&lt;=LatestRpQ, "A", "E")</f>
        <v>1Q:11A</v>
      </c>
      <c r="AQ66" s="43" t="str">
        <f>"2Q:" &amp; RIGHT(YEAR(AQ$4),2) &amp; IF(AQ$4&lt;=LatestRpQ, "A", "E")</f>
        <v>2Q:11A</v>
      </c>
      <c r="AR66" s="43" t="str">
        <f>"3Q:" &amp; RIGHT(YEAR(AR$4),2) &amp; IF(AR$4&lt;=LatestRpQ, "A", "E")</f>
        <v>3Q:11A</v>
      </c>
      <c r="AS66" s="43" t="str">
        <f>"4Q:" &amp; RIGHT(YEAR(AS$4),2) &amp; IF(AS$4&lt;=LatestRpQ, "A", "E")</f>
        <v>4Q:11A</v>
      </c>
      <c r="AT66" s="44" t="str">
        <f>YEAR(AT$4) &amp; IF(AT$4&lt;=LatestRpQ, "A", "E")</f>
        <v>2011A</v>
      </c>
      <c r="AU66" s="43" t="str">
        <f>"1Q:" &amp; RIGHT(YEAR(AU$4),2) &amp; IF(AU$4&lt;=LatestRpQ, "A", "E")</f>
        <v>1Q:12A</v>
      </c>
      <c r="AV66" s="43" t="str">
        <f>"2Q:" &amp; RIGHT(YEAR(AV$4),2) &amp; IF(AV$4&lt;=LatestRpQ, "A", "E")</f>
        <v>2Q:12A</v>
      </c>
      <c r="AW66" s="43" t="str">
        <f>"3Q:" &amp; RIGHT(YEAR(AW$4),2) &amp; IF(AW$4&lt;=LatestRpQ, "A", "E")</f>
        <v>3Q:12A</v>
      </c>
      <c r="AX66" s="43" t="str">
        <f>"4Q:" &amp; RIGHT(YEAR(AX$4),2) &amp; IF(AX$4&lt;=LatestRpQ, "A", "E")</f>
        <v>4Q:12A</v>
      </c>
      <c r="AY66" s="44" t="str">
        <f>YEAR(AY$4) &amp; IF(AY$4&lt;=LatestRpQ, "A", "E")</f>
        <v>2012A</v>
      </c>
      <c r="AZ66" s="43" t="str">
        <f>"1Q:" &amp; RIGHT(YEAR(AZ$4),2) &amp; IF(AZ$4&lt;=LatestRpQ, "A", "E")</f>
        <v>1Q:13A</v>
      </c>
      <c r="BA66" s="43" t="str">
        <f>"2Q:" &amp; RIGHT(YEAR(BA$4),2) &amp; IF(BA$4&lt;=LatestRpQ, "A", "E")</f>
        <v>2Q:13A</v>
      </c>
      <c r="BB66" s="43" t="str">
        <f>"3Q:" &amp; RIGHT(YEAR(BB$4),2) &amp; IF(BB$4&lt;=LatestRpQ, "A", "E")</f>
        <v>3Q:13A</v>
      </c>
      <c r="BC66" s="43" t="str">
        <f>"4Q:" &amp; RIGHT(YEAR(BC$4),2) &amp; IF(BC$4&lt;=LatestRpQ, "A", "E")</f>
        <v>4Q:13A</v>
      </c>
      <c r="BD66" s="1043" t="str">
        <f>YEAR(BD$4) &amp; IF(BD$4&lt;=LatestRpQ, "A", "E")</f>
        <v>2013A</v>
      </c>
      <c r="BE66" s="43" t="str">
        <f>"1Q:" &amp; RIGHT(YEAR(BE$4),2) &amp; IF(BE$4&lt;=LatestRpQ, "A", "E")</f>
        <v>1Q:14A</v>
      </c>
      <c r="BF66" s="43" t="str">
        <f>"2Q:" &amp; RIGHT(YEAR(BF$4),2) &amp; IF(BF$4&lt;=LatestRpQ, "A", "E")</f>
        <v>2Q:14A</v>
      </c>
      <c r="BG66" s="43" t="str">
        <f>"3Q:" &amp; RIGHT(YEAR(BG$4),2) &amp; IF(BG$4&lt;=LatestRpQ, "A", "E")</f>
        <v>3Q:14A</v>
      </c>
      <c r="BH66" s="43" t="str">
        <f>"4Q:" &amp; RIGHT(YEAR(BH$4),2) &amp; IF(BH$4&lt;=LatestRpQ, "A", "E")</f>
        <v>4Q:14A</v>
      </c>
      <c r="BI66" s="44" t="str">
        <f>YEAR(BI$4) &amp; IF(BI$4&lt;=LatestRpQ, "A", "E")</f>
        <v>2014A</v>
      </c>
      <c r="BJ66" s="43" t="str">
        <f>"1Q:" &amp; RIGHT(YEAR(BJ$4),2) &amp; IF(BJ$4&lt;=LatestRpQ, "A", "E")</f>
        <v>1Q:15A</v>
      </c>
      <c r="BK66" s="43" t="str">
        <f>"2Q:" &amp; RIGHT(YEAR(BK$4),2) &amp; IF(BK$4&lt;=LatestRpQ, "A", "E")</f>
        <v>2Q:15A</v>
      </c>
      <c r="BL66" s="43" t="str">
        <f>"3Q:" &amp; RIGHT(YEAR(BL$4),2) &amp; IF(BL$4&lt;=LatestRpQ, "A", "E")</f>
        <v>3Q:15A</v>
      </c>
      <c r="BM66" s="43" t="str">
        <f>"4Q:" &amp; RIGHT(YEAR(BM$4),2) &amp; IF(BM$4&lt;=LatestRpQ, "A", "E")</f>
        <v>4Q:15A</v>
      </c>
      <c r="BN66" s="44" t="str">
        <f>YEAR(BN$4) &amp; IF(BN$4&lt;=LatestRpQ, "A", "E")</f>
        <v>2015A</v>
      </c>
      <c r="BO66" s="43" t="str">
        <f>"1Q:" &amp; RIGHT(YEAR(BO$4),2) &amp; IF(BO$4&lt;=LatestRpQ, "A", "E")</f>
        <v>1Q:16A</v>
      </c>
      <c r="BP66" s="43" t="str">
        <f>"2Q:" &amp; RIGHT(YEAR(BP$4),2) &amp; IF(BP$4&lt;=LatestRpQ, "A", "E")</f>
        <v>2Q:16A</v>
      </c>
      <c r="BQ66" s="43" t="str">
        <f>"3Q:" &amp; RIGHT(YEAR(BQ$4),2) &amp; IF(BQ$4&lt;=LatestRpQ, "A", "E")</f>
        <v>3Q:16A</v>
      </c>
      <c r="BR66" s="43" t="str">
        <f>"4Q:" &amp; RIGHT(YEAR(BR$4),2) &amp; IF(BR$4&lt;=LatestRpQ, "A", "E")</f>
        <v>4Q:16A</v>
      </c>
      <c r="BS66" s="44" t="str">
        <f>YEAR(BS$4) &amp; IF(BS$4&lt;=LatestRpQ, "A", "E")</f>
        <v>2016A</v>
      </c>
      <c r="BT66" s="43" t="str">
        <f>"1Q:" &amp; RIGHT(YEAR(BT$4),2) &amp; IF(BT$4&lt;=LatestRpQ, "A", "E")</f>
        <v>1Q:17A</v>
      </c>
      <c r="BU66" s="43" t="str">
        <f>"2Q:" &amp; RIGHT(YEAR(BU$4),2) &amp; IF(BU$4&lt;=LatestRpQ, "A", "E")</f>
        <v>2Q:17A</v>
      </c>
      <c r="BV66" s="43" t="str">
        <f>"3Q:" &amp; RIGHT(YEAR(BV$4),2) &amp; IF(BV$4&lt;=LatestRpQ, "A", "E")</f>
        <v>3Q:17A</v>
      </c>
      <c r="BW66" s="43" t="str">
        <f>"4Q:" &amp; RIGHT(YEAR(BW$4),2) &amp; IF(BW$4&lt;=LatestRpQ, "A", "E")</f>
        <v>4Q:17A</v>
      </c>
      <c r="BX66" s="44" t="str">
        <f>YEAR(BX$4) &amp; IF(BX$4&lt;=LatestRpQ, "A", "E")</f>
        <v>2017A</v>
      </c>
      <c r="BY66" s="43" t="str">
        <f>"1Q:" &amp; RIGHT(YEAR(BY$4),2) &amp; IF(BY$4&lt;=LatestRpQ, "A", "E")</f>
        <v>1Q:18A</v>
      </c>
      <c r="BZ66" s="43" t="str">
        <f>"2Q:" &amp; RIGHT(YEAR(BZ$4),2) &amp; IF(BZ$4&lt;=LatestRpQ, "A", "E")</f>
        <v>2Q:18E</v>
      </c>
      <c r="CA66" s="43" t="str">
        <f>"3Q:" &amp; RIGHT(YEAR(CA$4),2) &amp; IF(CA$4&lt;=LatestRpQ, "A", "E")</f>
        <v>3Q:18E</v>
      </c>
      <c r="CB66" s="43" t="str">
        <f>"4Q:" &amp; RIGHT(YEAR(CB$4),2) &amp; IF(CB$4&lt;=LatestRpQ, "A", "E")</f>
        <v>4Q:18E</v>
      </c>
      <c r="CC66" s="44" t="str">
        <f t="shared" ref="CC66:CH66" si="68">YEAR(CC$4) &amp; IF(CC$4&lt;=LatestRpQ, "A", "E")</f>
        <v>2018E</v>
      </c>
      <c r="CD66" s="44" t="str">
        <f t="shared" si="68"/>
        <v>2019E</v>
      </c>
      <c r="CE66" s="44" t="str">
        <f t="shared" si="68"/>
        <v>2020E</v>
      </c>
      <c r="CF66" s="44" t="str">
        <f t="shared" si="68"/>
        <v>2021E</v>
      </c>
      <c r="CG66" s="44" t="str">
        <f t="shared" si="68"/>
        <v>2022E</v>
      </c>
      <c r="CH66" s="44" t="str">
        <f t="shared" si="68"/>
        <v>2023E</v>
      </c>
    </row>
    <row r="67" spans="1:86" ht="12.75" customHeight="1">
      <c r="G67" s="9"/>
      <c r="H67" s="15" t="str">
        <f>H11</f>
        <v>Total revenues</v>
      </c>
      <c r="L67" s="215">
        <v>3.5806308307418933E-2</v>
      </c>
      <c r="M67" s="215">
        <v>3.1354852207245987E-2</v>
      </c>
      <c r="N67" s="215">
        <v>9.776246799170818E-2</v>
      </c>
      <c r="O67" s="215">
        <v>6.4370969954726354E-2</v>
      </c>
      <c r="P67" s="216">
        <v>5.6842759739856863E-2</v>
      </c>
      <c r="Q67" s="215">
        <f t="shared" ref="Q67:AV67" si="69">Q11/L11-1</f>
        <v>6.2160462057528454E-2</v>
      </c>
      <c r="R67" s="215">
        <f t="shared" si="69"/>
        <v>5.4366496714562285E-2</v>
      </c>
      <c r="S67" s="215">
        <f t="shared" si="69"/>
        <v>7.3019355197023295E-2</v>
      </c>
      <c r="T67" s="215">
        <f t="shared" si="69"/>
        <v>9.4403340981155548E-2</v>
      </c>
      <c r="U67" s="217">
        <f t="shared" si="69"/>
        <v>7.1418816958341624E-2</v>
      </c>
      <c r="V67" s="215">
        <f t="shared" si="69"/>
        <v>0.13766555400021518</v>
      </c>
      <c r="W67" s="215">
        <f t="shared" si="69"/>
        <v>0.19751234775413096</v>
      </c>
      <c r="X67" s="215">
        <f t="shared" si="69"/>
        <v>0.18704468109884709</v>
      </c>
      <c r="Y67" s="215">
        <f t="shared" si="69"/>
        <v>0.22248133229689282</v>
      </c>
      <c r="Z67" s="218">
        <f t="shared" si="69"/>
        <v>0.18752170795825673</v>
      </c>
      <c r="AA67" s="215">
        <f t="shared" si="69"/>
        <v>0.16203681794519897</v>
      </c>
      <c r="AB67" s="215">
        <f t="shared" si="69"/>
        <v>0.13390485650737438</v>
      </c>
      <c r="AC67" s="215">
        <f t="shared" si="69"/>
        <v>0.15738641318566327</v>
      </c>
      <c r="AD67" s="215">
        <f t="shared" si="69"/>
        <v>1.3854098423831562E-2</v>
      </c>
      <c r="AE67" s="217">
        <f t="shared" si="69"/>
        <v>0.11262926847593357</v>
      </c>
      <c r="AF67" s="215">
        <f t="shared" si="69"/>
        <v>2.7591121971085375E-2</v>
      </c>
      <c r="AG67" s="215">
        <f t="shared" si="69"/>
        <v>7.924204913349886E-3</v>
      </c>
      <c r="AH67" s="215">
        <f t="shared" si="69"/>
        <v>4.7751803643076407E-2</v>
      </c>
      <c r="AI67" s="215">
        <f t="shared" si="69"/>
        <v>0.12790542980405561</v>
      </c>
      <c r="AJ67" s="217">
        <f t="shared" si="69"/>
        <v>5.3231174393702618E-2</v>
      </c>
      <c r="AK67" s="215">
        <f t="shared" si="69"/>
        <v>8.69711681363321E-2</v>
      </c>
      <c r="AL67" s="215">
        <f t="shared" si="69"/>
        <v>8.6174874022457937E-2</v>
      </c>
      <c r="AM67" s="215">
        <f t="shared" si="69"/>
        <v>1.6666067383409366E-2</v>
      </c>
      <c r="AN67" s="215">
        <f t="shared" si="69"/>
        <v>4.2526159704787014E-2</v>
      </c>
      <c r="AO67" s="216">
        <f t="shared" si="69"/>
        <v>5.6790137025949372E-2</v>
      </c>
      <c r="AP67" s="215">
        <f t="shared" si="69"/>
        <v>6.4498486892478502E-2</v>
      </c>
      <c r="AQ67" s="215">
        <f t="shared" si="69"/>
        <v>8.7724181119209321E-2</v>
      </c>
      <c r="AR67" s="215">
        <f t="shared" si="69"/>
        <v>8.7198712620912833E-2</v>
      </c>
      <c r="AS67" s="215">
        <f t="shared" si="69"/>
        <v>-2.273770502401784E-2</v>
      </c>
      <c r="AT67" s="216">
        <f t="shared" si="69"/>
        <v>5.2457783124343571E-2</v>
      </c>
      <c r="AU67" s="215">
        <f t="shared" si="69"/>
        <v>-4.0622003014111674E-2</v>
      </c>
      <c r="AV67" s="215">
        <f t="shared" si="69"/>
        <v>-0.10431792739485046</v>
      </c>
      <c r="AW67" s="215">
        <f t="shared" ref="AW67:CB67" si="70">AW11/AR11-1</f>
        <v>-0.11462264150943413</v>
      </c>
      <c r="AX67" s="215">
        <f t="shared" si="70"/>
        <v>-1.4736041280762113E-2</v>
      </c>
      <c r="AY67" s="216">
        <f t="shared" si="70"/>
        <v>-6.9309825171081973E-2</v>
      </c>
      <c r="AZ67" s="215">
        <f t="shared" si="70"/>
        <v>-5.355230274906031E-5</v>
      </c>
      <c r="BA67" s="215">
        <f t="shared" si="70"/>
        <v>5.8742657167853984E-2</v>
      </c>
      <c r="BB67" s="215">
        <f t="shared" si="70"/>
        <v>6.0496390057502181E-2</v>
      </c>
      <c r="BC67" s="215">
        <f t="shared" si="70"/>
        <v>-2.492739999664273E-2</v>
      </c>
      <c r="BD67" s="1063">
        <f t="shared" si="70"/>
        <v>2.2540956409019985E-2</v>
      </c>
      <c r="BE67" s="215">
        <f t="shared" si="70"/>
        <v>-0.16398593284181584</v>
      </c>
      <c r="BF67" s="215">
        <f t="shared" si="70"/>
        <v>-0.1676476044319275</v>
      </c>
      <c r="BG67" s="215">
        <f t="shared" si="70"/>
        <v>-0.155389252676437</v>
      </c>
      <c r="BH67" s="215">
        <f t="shared" si="70"/>
        <v>-0.11835490979203955</v>
      </c>
      <c r="BI67" s="216">
        <f t="shared" si="70"/>
        <v>-0.15131009656986627</v>
      </c>
      <c r="BJ67" s="215">
        <f t="shared" si="70"/>
        <v>-8.1996967820462396E-3</v>
      </c>
      <c r="BK67" s="215">
        <f t="shared" si="70"/>
        <v>8.7324742685794821E-3</v>
      </c>
      <c r="BL67" s="215">
        <f t="shared" si="70"/>
        <v>1.7249159077856957E-2</v>
      </c>
      <c r="BM67" s="215">
        <f t="shared" si="70"/>
        <v>4.9655360943510196E-2</v>
      </c>
      <c r="BN67" s="216">
        <f t="shared" si="70"/>
        <v>1.7491180488998559E-2</v>
      </c>
      <c r="BO67" s="1094">
        <f t="shared" si="70"/>
        <v>4.7451934462936274E-2</v>
      </c>
      <c r="BP67" s="1094">
        <f t="shared" si="70"/>
        <v>8.5584590354912171E-2</v>
      </c>
      <c r="BQ67" s="1094">
        <f t="shared" si="70"/>
        <v>4.6777022803798696E-2</v>
      </c>
      <c r="BR67" s="1094">
        <f t="shared" si="70"/>
        <v>7.1601309621251774E-2</v>
      </c>
      <c r="BS67" s="216">
        <f t="shared" si="70"/>
        <v>6.2704484761031853E-2</v>
      </c>
      <c r="BT67" s="215">
        <f t="shared" si="70"/>
        <v>7.467472405500386E-2</v>
      </c>
      <c r="BU67" s="215">
        <f t="shared" si="70"/>
        <v>7.761619301361744E-2</v>
      </c>
      <c r="BV67" s="215">
        <f t="shared" si="70"/>
        <v>8.983569928925017E-2</v>
      </c>
      <c r="BW67" s="215">
        <f t="shared" si="70"/>
        <v>6.9490495616699732E-2</v>
      </c>
      <c r="BX67" s="216">
        <f t="shared" si="70"/>
        <v>7.8330237338638753E-2</v>
      </c>
      <c r="BY67" s="1094">
        <f t="shared" si="70"/>
        <v>9.0199678677989503E-2</v>
      </c>
      <c r="BZ67" s="1094">
        <f t="shared" si="70"/>
        <v>3.3130161564479677E-2</v>
      </c>
      <c r="CA67" s="1094">
        <f t="shared" si="70"/>
        <v>7.1001396228415725E-2</v>
      </c>
      <c r="CB67" s="1094">
        <f t="shared" si="70"/>
        <v>1.372321776392682E-2</v>
      </c>
      <c r="CC67" s="216">
        <f>CC11/BX11-1</f>
        <v>5.031300827226759E-2</v>
      </c>
      <c r="CD67" s="216">
        <f>CD11/CC11-1</f>
        <v>2.3714695309228873E-2</v>
      </c>
      <c r="CE67" s="216">
        <f>CE11/CD11-1</f>
        <v>3.7491432165288829E-2</v>
      </c>
      <c r="CF67" s="216">
        <f>CF11/CE11-1</f>
        <v>3.6283100508350596E-2</v>
      </c>
      <c r="CG67" s="216">
        <f>CG11/CF11-1</f>
        <v>2.9420202118452865E-2</v>
      </c>
      <c r="CH67" s="216">
        <f>CH11/CG11-1</f>
        <v>3.3189023270602913E-2</v>
      </c>
    </row>
    <row r="68" spans="1:86" ht="12.75" customHeight="1">
      <c r="G68" s="9"/>
      <c r="H68" s="7" t="str">
        <f>H24</f>
        <v>COGS</v>
      </c>
      <c r="L68" s="215">
        <v>0.14274311560462949</v>
      </c>
      <c r="M68" s="215">
        <v>9.404821697639365E-2</v>
      </c>
      <c r="N68" s="215">
        <v>4.3945191951610951E-2</v>
      </c>
      <c r="O68" s="215">
        <v>3.7541873628277767E-2</v>
      </c>
      <c r="P68" s="217">
        <v>7.7638884580787382E-2</v>
      </c>
      <c r="Q68" s="215">
        <f t="shared" ref="Q68:Z69" si="71">Q24/L24-1</f>
        <v>-6.111757857974387E-2</v>
      </c>
      <c r="R68" s="215">
        <f t="shared" si="71"/>
        <v>-1.228050040169848E-2</v>
      </c>
      <c r="S68" s="215">
        <f t="shared" si="71"/>
        <v>1.7382050372472424E-2</v>
      </c>
      <c r="T68" s="215">
        <f t="shared" si="71"/>
        <v>0.13449120463148523</v>
      </c>
      <c r="U68" s="217">
        <f t="shared" si="71"/>
        <v>2.0810546312820311E-2</v>
      </c>
      <c r="V68" s="215">
        <f t="shared" si="71"/>
        <v>0.1438313701177929</v>
      </c>
      <c r="W68" s="215">
        <f t="shared" si="71"/>
        <v>0.16070183592842202</v>
      </c>
      <c r="X68" s="215">
        <f t="shared" si="71"/>
        <v>0.22570897257089717</v>
      </c>
      <c r="Y68" s="215">
        <f t="shared" si="71"/>
        <v>0.24906771344455336</v>
      </c>
      <c r="Z68" s="218">
        <f t="shared" si="71"/>
        <v>0.19802622303679684</v>
      </c>
      <c r="AA68" s="215">
        <f t="shared" ref="AA68:AJ69" si="72">AA24/V24-1</f>
        <v>0.25214092140921407</v>
      </c>
      <c r="AB68" s="215">
        <f t="shared" si="72"/>
        <v>0.18460306336970667</v>
      </c>
      <c r="AC68" s="215">
        <f t="shared" si="72"/>
        <v>0.13711359757253949</v>
      </c>
      <c r="AD68" s="215">
        <f t="shared" si="72"/>
        <v>-0.26862036455059712</v>
      </c>
      <c r="AE68" s="217">
        <f t="shared" si="72"/>
        <v>5.1708717755601263E-2</v>
      </c>
      <c r="AF68" s="215">
        <f t="shared" si="72"/>
        <v>-0.29322136611548777</v>
      </c>
      <c r="AG68" s="215">
        <f t="shared" si="72"/>
        <v>-0.19935772838671506</v>
      </c>
      <c r="AH68" s="215">
        <f t="shared" si="72"/>
        <v>-0.12283188792528343</v>
      </c>
      <c r="AI68" s="215">
        <f t="shared" si="72"/>
        <v>0.53754431195617136</v>
      </c>
      <c r="AJ68" s="217">
        <f t="shared" si="72"/>
        <v>-4.9569206668904409E-2</v>
      </c>
      <c r="AK68" s="215">
        <f t="shared" ref="AK68:AT69" si="73">AK24/AF24-1</f>
        <v>0.37493875551200406</v>
      </c>
      <c r="AL68" s="215">
        <f t="shared" si="73"/>
        <v>8.0747308423052555E-2</v>
      </c>
      <c r="AM68" s="215">
        <f t="shared" si="73"/>
        <v>-6.1127483601102872E-2</v>
      </c>
      <c r="AN68" s="215">
        <f t="shared" si="73"/>
        <v>-0.13910431076643603</v>
      </c>
      <c r="AO68" s="216">
        <f t="shared" si="73"/>
        <v>2.8066870732281535E-2</v>
      </c>
      <c r="AP68" s="215">
        <f t="shared" si="73"/>
        <v>5.1314031180400788E-2</v>
      </c>
      <c r="AQ68" s="215">
        <f t="shared" si="73"/>
        <v>0.19933587264381281</v>
      </c>
      <c r="AR68" s="215">
        <f t="shared" si="73"/>
        <v>0.35490076954232475</v>
      </c>
      <c r="AS68" s="215">
        <f t="shared" si="73"/>
        <v>7.2634312611588925E-2</v>
      </c>
      <c r="AT68" s="216">
        <f t="shared" si="73"/>
        <v>0.16071183179881809</v>
      </c>
      <c r="AU68" s="215">
        <f t="shared" ref="AU68:BD69" si="74">AU24/AP24-1</f>
        <v>1.5083467502754244E-2</v>
      </c>
      <c r="AV68" s="215">
        <f t="shared" si="74"/>
        <v>-6.6205211726384383E-2</v>
      </c>
      <c r="AW68" s="215">
        <f t="shared" si="74"/>
        <v>-0.10051565652791272</v>
      </c>
      <c r="AX68" s="215">
        <f t="shared" si="74"/>
        <v>-5.5534538851479076E-2</v>
      </c>
      <c r="AY68" s="216">
        <f t="shared" si="74"/>
        <v>-5.3552753606030068E-2</v>
      </c>
      <c r="AZ68" s="215">
        <f t="shared" si="74"/>
        <v>-3.3057851239669533E-2</v>
      </c>
      <c r="BA68" s="215">
        <f t="shared" si="74"/>
        <v>1.6133251940350535E-2</v>
      </c>
      <c r="BB68" s="215">
        <f t="shared" si="74"/>
        <v>-4.5696244599534586E-3</v>
      </c>
      <c r="BC68" s="215">
        <f t="shared" si="74"/>
        <v>0.11071056637026344</v>
      </c>
      <c r="BD68" s="1063">
        <f t="shared" si="74"/>
        <v>2.3266965495674086E-2</v>
      </c>
      <c r="BE68" s="215">
        <f t="shared" ref="BE68:BN69" si="75">BE24/AZ24-1</f>
        <v>-2.4173357506690807E-2</v>
      </c>
      <c r="BF68" s="215">
        <f t="shared" si="75"/>
        <v>-6.1191211809131452E-2</v>
      </c>
      <c r="BG68" s="215">
        <f t="shared" si="75"/>
        <v>-2.4371922210165931E-2</v>
      </c>
      <c r="BH68" s="215">
        <f t="shared" si="75"/>
        <v>-0.16747205192931847</v>
      </c>
      <c r="BI68" s="216">
        <f t="shared" si="75"/>
        <v>-7.3490760171960767E-2</v>
      </c>
      <c r="BJ68" s="215">
        <f t="shared" si="75"/>
        <v>-0.10439706272670968</v>
      </c>
      <c r="BK68" s="215">
        <f t="shared" si="75"/>
        <v>-5.4849620623457329E-2</v>
      </c>
      <c r="BL68" s="215">
        <f t="shared" si="75"/>
        <v>-5.9799811788861401E-2</v>
      </c>
      <c r="BM68" s="215">
        <f t="shared" si="75"/>
        <v>5.8910162002945521E-2</v>
      </c>
      <c r="BN68" s="216">
        <f t="shared" si="75"/>
        <v>-3.9561067862954546E-2</v>
      </c>
      <c r="BO68" s="1094">
        <f t="shared" ref="BO68:BX69" si="76">BO24/BJ24-1</f>
        <v>0.138397708189272</v>
      </c>
      <c r="BP68" s="1094">
        <f t="shared" si="76"/>
        <v>0.25582744946319758</v>
      </c>
      <c r="BQ68" s="1094">
        <f t="shared" si="76"/>
        <v>0.11474067333939941</v>
      </c>
      <c r="BR68" s="1094">
        <f t="shared" si="76"/>
        <v>6.6268510185715446E-2</v>
      </c>
      <c r="BS68" s="216">
        <f t="shared" si="76"/>
        <v>0.14005724098454486</v>
      </c>
      <c r="BT68" s="215">
        <f t="shared" si="76"/>
        <v>-8.1568899687609608E-3</v>
      </c>
      <c r="BU68" s="215">
        <f t="shared" si="76"/>
        <v>4.6826863832408971E-2</v>
      </c>
      <c r="BV68" s="215">
        <f t="shared" si="76"/>
        <v>0.14774304138437677</v>
      </c>
      <c r="BW68" s="215">
        <f t="shared" si="76"/>
        <v>0.11309752167574616</v>
      </c>
      <c r="BX68" s="216">
        <f t="shared" si="76"/>
        <v>7.62773136246786E-2</v>
      </c>
      <c r="BY68" s="1094">
        <f t="shared" ref="BY68:CC69" si="77">BY24/BT24-1</f>
        <v>0.24251968503937005</v>
      </c>
      <c r="BZ68" s="1094">
        <f t="shared" si="77"/>
        <v>0.10676500882872264</v>
      </c>
      <c r="CA68" s="1094">
        <f t="shared" si="77"/>
        <v>8.6037917644548711E-2</v>
      </c>
      <c r="CB68" s="1094">
        <f t="shared" si="77"/>
        <v>7.6264217274419233E-2</v>
      </c>
      <c r="CC68" s="216">
        <f t="shared" si="77"/>
        <v>0.12202452248553808</v>
      </c>
      <c r="CD68" s="216">
        <f t="shared" ref="CD68:CH69" si="78">CD24/CC24-1</f>
        <v>-6.1647495065155766E-3</v>
      </c>
      <c r="CE68" s="216">
        <f t="shared" si="78"/>
        <v>3.3353356330980688E-3</v>
      </c>
      <c r="CF68" s="216">
        <f t="shared" si="78"/>
        <v>1.423452390179003E-2</v>
      </c>
      <c r="CG68" s="216">
        <f t="shared" si="78"/>
        <v>7.0415020723995081E-3</v>
      </c>
      <c r="CH68" s="216">
        <f t="shared" si="78"/>
        <v>1.0229267197922942E-2</v>
      </c>
    </row>
    <row r="69" spans="1:86" s="15" customFormat="1" ht="12.75" customHeight="1">
      <c r="A69"/>
      <c r="B69"/>
      <c r="C69"/>
      <c r="D69"/>
      <c r="E69"/>
      <c r="F69"/>
      <c r="G69" s="760"/>
      <c r="H69" s="15" t="str">
        <f>H25</f>
        <v>Gross profit</v>
      </c>
      <c r="L69" s="833">
        <v>5.1813471502590858E-3</v>
      </c>
      <c r="M69" s="833">
        <v>1.3263299171387688E-2</v>
      </c>
      <c r="N69" s="833">
        <v>0.1154110836740474</v>
      </c>
      <c r="O69" s="833">
        <v>7.2729235641283863E-2</v>
      </c>
      <c r="P69" s="834">
        <v>5.0537837455575385E-2</v>
      </c>
      <c r="Q69" s="833">
        <f t="shared" si="71"/>
        <v>0.1022968465736811</v>
      </c>
      <c r="R69" s="833">
        <f t="shared" si="71"/>
        <v>7.5132312973823723E-2</v>
      </c>
      <c r="S69" s="833">
        <f t="shared" si="71"/>
        <v>9.0095811860347208E-2</v>
      </c>
      <c r="T69" s="833">
        <f t="shared" si="71"/>
        <v>8.2324130296219433E-2</v>
      </c>
      <c r="U69" s="834">
        <f t="shared" si="71"/>
        <v>8.7157934312646068E-2</v>
      </c>
      <c r="V69" s="833">
        <f t="shared" si="71"/>
        <v>0.13595571295946063</v>
      </c>
      <c r="W69" s="833">
        <f t="shared" si="71"/>
        <v>0.20804922667553627</v>
      </c>
      <c r="X69" s="833">
        <f t="shared" si="71"/>
        <v>0.17596923742779613</v>
      </c>
      <c r="Y69" s="833">
        <f t="shared" si="71"/>
        <v>0.21408424511049784</v>
      </c>
      <c r="Z69" s="835">
        <f t="shared" si="71"/>
        <v>0.18445418802363145</v>
      </c>
      <c r="AA69" s="833">
        <f t="shared" si="72"/>
        <v>0.13687683506371662</v>
      </c>
      <c r="AB69" s="833">
        <f t="shared" si="72"/>
        <v>0.11996145374449352</v>
      </c>
      <c r="AC69" s="833">
        <f t="shared" si="72"/>
        <v>0.16343921635241498</v>
      </c>
      <c r="AD69" s="833">
        <f t="shared" si="72"/>
        <v>0.10564207301506312</v>
      </c>
      <c r="AE69" s="834">
        <f t="shared" si="72"/>
        <v>0.13062308392828625</v>
      </c>
      <c r="AF69" s="833">
        <f t="shared" si="72"/>
        <v>0.12625469261694944</v>
      </c>
      <c r="AG69" s="833">
        <f t="shared" si="72"/>
        <v>6.8222828625513321E-2</v>
      </c>
      <c r="AH69" s="833">
        <f t="shared" si="72"/>
        <v>9.7530113152451747E-2</v>
      </c>
      <c r="AI69" s="833">
        <f t="shared" si="72"/>
        <v>3.98540685323725E-2</v>
      </c>
      <c r="AJ69" s="834">
        <f t="shared" si="72"/>
        <v>8.1475537847625734E-2</v>
      </c>
      <c r="AK69" s="833">
        <f t="shared" si="73"/>
        <v>3.1394056878087717E-2</v>
      </c>
      <c r="AL69" s="833">
        <f t="shared" si="73"/>
        <v>8.7358263467128383E-2</v>
      </c>
      <c r="AM69" s="833">
        <f t="shared" si="73"/>
        <v>3.4809214464669447E-2</v>
      </c>
      <c r="AN69" s="833">
        <f t="shared" si="73"/>
        <v>0.10025314207043579</v>
      </c>
      <c r="AO69" s="209">
        <f t="shared" si="73"/>
        <v>6.3725587739162037E-2</v>
      </c>
      <c r="AP69" s="833">
        <f t="shared" si="73"/>
        <v>6.7890623209333478E-2</v>
      </c>
      <c r="AQ69" s="833">
        <f t="shared" si="73"/>
        <v>6.3537080934642498E-2</v>
      </c>
      <c r="AR69" s="833">
        <f t="shared" si="73"/>
        <v>3.0552996379062725E-2</v>
      </c>
      <c r="AS69" s="833">
        <f t="shared" si="73"/>
        <v>-4.6455211831568088E-2</v>
      </c>
      <c r="AT69" s="209">
        <f t="shared" si="73"/>
        <v>2.7195257265145711E-2</v>
      </c>
      <c r="AU69" s="833">
        <f t="shared" si="74"/>
        <v>-5.4731600523706292E-2</v>
      </c>
      <c r="AV69" s="833">
        <f t="shared" si="74"/>
        <v>-0.11363184079601985</v>
      </c>
      <c r="AW69" s="833">
        <f t="shared" si="74"/>
        <v>-0.11854716314268499</v>
      </c>
      <c r="AX69" s="833">
        <f t="shared" si="74"/>
        <v>-3.3229623044851442E-3</v>
      </c>
      <c r="AY69" s="209">
        <f t="shared" si="74"/>
        <v>-7.3464906575366751E-2</v>
      </c>
      <c r="AZ69" s="833">
        <f t="shared" si="74"/>
        <v>8.9235030993843889E-3</v>
      </c>
      <c r="BA69" s="833">
        <f t="shared" si="74"/>
        <v>6.9712617871576121E-2</v>
      </c>
      <c r="BB69" s="833">
        <f t="shared" si="74"/>
        <v>7.8967851498927155E-2</v>
      </c>
      <c r="BC69" s="833">
        <f t="shared" si="74"/>
        <v>-6.0883414737736175E-2</v>
      </c>
      <c r="BD69" s="1064">
        <f t="shared" si="74"/>
        <v>2.2345396140800222E-2</v>
      </c>
      <c r="BE69" s="833">
        <f t="shared" si="75"/>
        <v>-0.20043210154386271</v>
      </c>
      <c r="BF69" s="833">
        <f t="shared" si="75"/>
        <v>-0.19368244306852778</v>
      </c>
      <c r="BG69" s="833">
        <f t="shared" si="75"/>
        <v>-0.18970379276423643</v>
      </c>
      <c r="BH69" s="833">
        <f t="shared" si="75"/>
        <v>-0.10295547565746321</v>
      </c>
      <c r="BI69" s="209">
        <f t="shared" si="75"/>
        <v>-0.17229067218905036</v>
      </c>
      <c r="BJ69" s="833">
        <f t="shared" si="75"/>
        <v>2.2404863769421191E-2</v>
      </c>
      <c r="BK69" s="833">
        <f t="shared" si="75"/>
        <v>2.6837077335554627E-2</v>
      </c>
      <c r="BL69" s="833">
        <f t="shared" si="75"/>
        <v>4.1546388971322123E-2</v>
      </c>
      <c r="BM69" s="833">
        <f t="shared" si="75"/>
        <v>4.6962440131081307E-2</v>
      </c>
      <c r="BN69" s="209">
        <f t="shared" si="75"/>
        <v>3.4708857063219023E-2</v>
      </c>
      <c r="BO69" s="1095">
        <f t="shared" si="76"/>
        <v>2.2106596189847005E-2</v>
      </c>
      <c r="BP69" s="1095">
        <f t="shared" si="76"/>
        <v>4.0965321435814772E-2</v>
      </c>
      <c r="BQ69" s="1095">
        <f t="shared" si="76"/>
        <v>2.7430258761364623E-2</v>
      </c>
      <c r="BR69" s="1095">
        <f t="shared" si="76"/>
        <v>7.317073170731736E-2</v>
      </c>
      <c r="BS69" s="209">
        <f t="shared" si="76"/>
        <v>4.1035969008158979E-2</v>
      </c>
      <c r="BT69" s="833">
        <f t="shared" si="76"/>
        <v>0.10038516443558576</v>
      </c>
      <c r="BU69" s="833">
        <f t="shared" si="76"/>
        <v>8.7351451392947199E-2</v>
      </c>
      <c r="BV69" s="833">
        <f t="shared" si="76"/>
        <v>7.1950789088892186E-2</v>
      </c>
      <c r="BW69" s="833">
        <f t="shared" si="76"/>
        <v>5.6739657183881853E-2</v>
      </c>
      <c r="BX69" s="209">
        <f t="shared" si="76"/>
        <v>7.8960014786519261E-2</v>
      </c>
      <c r="BY69" s="1095">
        <f t="shared" si="77"/>
        <v>4.7584079894257725E-2</v>
      </c>
      <c r="BZ69" s="1095">
        <f t="shared" si="77"/>
        <v>1.0715325524624175E-2</v>
      </c>
      <c r="CA69" s="1095">
        <f t="shared" si="77"/>
        <v>6.6028947318908626E-2</v>
      </c>
      <c r="CB69" s="1095">
        <f t="shared" si="77"/>
        <v>-5.5392666822359216E-3</v>
      </c>
      <c r="CC69" s="209">
        <f t="shared" si="77"/>
        <v>2.8368693626303232E-2</v>
      </c>
      <c r="CD69" s="209">
        <f t="shared" si="78"/>
        <v>3.369075764643914E-2</v>
      </c>
      <c r="CE69" s="209">
        <f t="shared" si="78"/>
        <v>4.8455674513138369E-2</v>
      </c>
      <c r="CF69" s="209">
        <f t="shared" si="78"/>
        <v>4.3056192668535775E-2</v>
      </c>
      <c r="CG69" s="209">
        <f t="shared" si="78"/>
        <v>3.6104748885455784E-2</v>
      </c>
      <c r="CH69" s="209">
        <f t="shared" si="78"/>
        <v>3.9854758904606769E-2</v>
      </c>
    </row>
    <row r="70" spans="1:86" ht="12.75" customHeight="1">
      <c r="G70" s="9"/>
      <c r="H70" s="7" t="str">
        <f>H26</f>
        <v>SG&amp;A</v>
      </c>
      <c r="L70" s="215">
        <v>2.4908356048500835E-2</v>
      </c>
      <c r="M70" s="215">
        <v>-2.0594770124765072E-2</v>
      </c>
      <c r="N70" s="215">
        <v>0.12501313163147398</v>
      </c>
      <c r="O70" s="215">
        <v>8.3227098889091078E-2</v>
      </c>
      <c r="P70" s="216">
        <v>4.9670883712244818E-2</v>
      </c>
      <c r="Q70" s="215">
        <f t="shared" ref="Q70:AV70" si="79">Q26/L26-1</f>
        <v>4.814746881878218E-2</v>
      </c>
      <c r="R70" s="215">
        <f t="shared" si="79"/>
        <v>8.0097722711805375E-2</v>
      </c>
      <c r="S70" s="215">
        <f t="shared" si="79"/>
        <v>0.11887197684190864</v>
      </c>
      <c r="T70" s="215">
        <f t="shared" si="79"/>
        <v>0.10188298587760602</v>
      </c>
      <c r="U70" s="217">
        <f t="shared" si="79"/>
        <v>8.7347120302423864E-2</v>
      </c>
      <c r="V70" s="215">
        <f t="shared" si="79"/>
        <v>0.16965613789482892</v>
      </c>
      <c r="W70" s="215">
        <f t="shared" si="79"/>
        <v>0.23168268842394379</v>
      </c>
      <c r="X70" s="215">
        <f t="shared" si="79"/>
        <v>0.2333500250375562</v>
      </c>
      <c r="Y70" s="215">
        <f t="shared" si="79"/>
        <v>0.3394873359780286</v>
      </c>
      <c r="Z70" s="218">
        <f t="shared" si="79"/>
        <v>0.24649269908789728</v>
      </c>
      <c r="AA70" s="215">
        <f t="shared" si="79"/>
        <v>0.17818671454219026</v>
      </c>
      <c r="AB70" s="215">
        <f t="shared" si="79"/>
        <v>0.14094575982160418</v>
      </c>
      <c r="AC70" s="215">
        <f t="shared" si="79"/>
        <v>0.1322235755853296</v>
      </c>
      <c r="AD70" s="215">
        <f t="shared" si="79"/>
        <v>-8.7139765349127929E-3</v>
      </c>
      <c r="AE70" s="217">
        <f t="shared" si="79"/>
        <v>0.10388672868369664</v>
      </c>
      <c r="AF70" s="215">
        <f t="shared" si="79"/>
        <v>-2.9079365079365038E-2</v>
      </c>
      <c r="AG70" s="215">
        <f t="shared" si="79"/>
        <v>-1.8050126465854133E-2</v>
      </c>
      <c r="AH70" s="215">
        <f t="shared" si="79"/>
        <v>1.7092995457805404E-2</v>
      </c>
      <c r="AI70" s="215">
        <f t="shared" si="79"/>
        <v>0.12226371732260843</v>
      </c>
      <c r="AJ70" s="217">
        <f t="shared" si="79"/>
        <v>2.4404381493096317E-2</v>
      </c>
      <c r="AK70" s="215">
        <f t="shared" si="79"/>
        <v>5.5715406748626739E-2</v>
      </c>
      <c r="AL70" s="215">
        <f t="shared" si="79"/>
        <v>2.7631424891698897E-2</v>
      </c>
      <c r="AM70" s="215">
        <f t="shared" si="79"/>
        <v>-4.0545304971205676E-3</v>
      </c>
      <c r="AN70" s="215">
        <f t="shared" si="79"/>
        <v>1.8123176163415744E-2</v>
      </c>
      <c r="AO70" s="217">
        <f t="shared" si="79"/>
        <v>2.334421472615178E-2</v>
      </c>
      <c r="AP70" s="215">
        <f t="shared" si="79"/>
        <v>0.10610753221010905</v>
      </c>
      <c r="AQ70" s="215">
        <f t="shared" si="79"/>
        <v>0.16383730203942126</v>
      </c>
      <c r="AR70" s="215">
        <f t="shared" si="79"/>
        <v>0.13151218360965244</v>
      </c>
      <c r="AS70" s="215">
        <f t="shared" si="79"/>
        <v>7.2761100216221619E-2</v>
      </c>
      <c r="AT70" s="217">
        <f t="shared" si="79"/>
        <v>0.11717753140329479</v>
      </c>
      <c r="AU70" s="215">
        <f t="shared" si="79"/>
        <v>3.4608276866214815E-2</v>
      </c>
      <c r="AV70" s="215">
        <f t="shared" si="79"/>
        <v>-5.4772393538913389E-2</v>
      </c>
      <c r="AW70" s="215">
        <f t="shared" ref="AW70:BY70" si="80">AW26/AR26-1</f>
        <v>-8.3637501303576944E-2</v>
      </c>
      <c r="AX70" s="215">
        <f t="shared" si="80"/>
        <v>-7.3075841379956818E-2</v>
      </c>
      <c r="AY70" s="217">
        <f t="shared" si="80"/>
        <v>-4.649805200573609E-2</v>
      </c>
      <c r="AZ70" s="215">
        <f t="shared" si="80"/>
        <v>-0.10581867388362654</v>
      </c>
      <c r="BA70" s="215">
        <f t="shared" si="80"/>
        <v>-3.2882812904562186E-2</v>
      </c>
      <c r="BB70" s="215">
        <f t="shared" si="80"/>
        <v>-5.9747354045749379E-2</v>
      </c>
      <c r="BC70" s="215">
        <f t="shared" si="80"/>
        <v>-1.2085967130215036E-2</v>
      </c>
      <c r="BD70" s="1063">
        <f t="shared" si="80"/>
        <v>-5.1627071271710845E-2</v>
      </c>
      <c r="BE70" s="215">
        <f t="shared" si="80"/>
        <v>-0.12276029055690074</v>
      </c>
      <c r="BF70" s="215">
        <f t="shared" si="80"/>
        <v>-0.12834654101520659</v>
      </c>
      <c r="BG70" s="215">
        <f t="shared" si="80"/>
        <v>-8.2062454611474323E-2</v>
      </c>
      <c r="BH70" s="215">
        <f t="shared" si="80"/>
        <v>-9.6949221949221842E-2</v>
      </c>
      <c r="BI70" s="216">
        <f t="shared" si="80"/>
        <v>-0.10771022791063212</v>
      </c>
      <c r="BJ70" s="215">
        <f t="shared" si="80"/>
        <v>2.6704388628208786E-2</v>
      </c>
      <c r="BK70" s="215">
        <f t="shared" si="80"/>
        <v>-1.7384360218686612E-2</v>
      </c>
      <c r="BL70" s="215">
        <f t="shared" si="80"/>
        <v>1.5229430379746889E-2</v>
      </c>
      <c r="BM70" s="215">
        <f t="shared" si="80"/>
        <v>1.8195215961909206E-2</v>
      </c>
      <c r="BN70" s="216">
        <f t="shared" si="80"/>
        <v>1.0317547695066098E-2</v>
      </c>
      <c r="BO70" s="215">
        <f t="shared" si="80"/>
        <v>-1.0551784394112529E-2</v>
      </c>
      <c r="BP70" s="215">
        <f t="shared" si="80"/>
        <v>1.3253313328331906E-2</v>
      </c>
      <c r="BQ70" s="215">
        <f t="shared" si="80"/>
        <v>1.5455549061627272E-2</v>
      </c>
      <c r="BR70" s="215">
        <f t="shared" si="80"/>
        <v>-4.3979290764349921E-3</v>
      </c>
      <c r="BS70" s="216">
        <f t="shared" si="80"/>
        <v>3.3314133599016138E-3</v>
      </c>
      <c r="BT70" s="215">
        <f t="shared" si="80"/>
        <v>4.802336639043614E-2</v>
      </c>
      <c r="BU70" s="215">
        <f t="shared" si="80"/>
        <v>5.2443237907206397E-2</v>
      </c>
      <c r="BV70" s="215">
        <f t="shared" si="80"/>
        <v>-6.0113832576581538E-3</v>
      </c>
      <c r="BW70" s="215">
        <f t="shared" si="80"/>
        <v>-5.0883471259226543E-3</v>
      </c>
      <c r="BX70" s="216">
        <f t="shared" si="80"/>
        <v>2.1287489720873243E-2</v>
      </c>
      <c r="BY70" s="215">
        <f t="shared" si="80"/>
        <v>-2.8517726359452933E-2</v>
      </c>
      <c r="BZ70" s="1246">
        <v>-0.04</v>
      </c>
      <c r="CA70" s="1246">
        <v>-0.03</v>
      </c>
      <c r="CB70" s="1246">
        <v>-0.03</v>
      </c>
      <c r="CC70" s="216">
        <f>CC26/BX26-1</f>
        <v>-3.2244048432918726E-2</v>
      </c>
      <c r="CD70" s="221">
        <v>-0.01</v>
      </c>
      <c r="CE70" s="221">
        <v>0.01</v>
      </c>
      <c r="CF70" s="221">
        <v>0.02</v>
      </c>
      <c r="CG70" s="221">
        <v>0.02</v>
      </c>
      <c r="CH70" s="221">
        <v>0.02</v>
      </c>
    </row>
    <row r="71" spans="1:86" ht="12.75" customHeight="1">
      <c r="G71" s="9"/>
      <c r="H71" s="7" t="str">
        <f>H28</f>
        <v>R&amp;D</v>
      </c>
      <c r="L71" s="215">
        <v>8.6660476632621553E-2</v>
      </c>
      <c r="M71" s="215">
        <v>0.11429406606255466</v>
      </c>
      <c r="N71" s="215">
        <v>0.1469150885766648</v>
      </c>
      <c r="O71" s="215">
        <v>0.14798015591778868</v>
      </c>
      <c r="P71" s="216">
        <v>0.12442858735645013</v>
      </c>
      <c r="Q71" s="215">
        <f t="shared" ref="Q71:Z72" si="81">Q28/L28-1</f>
        <v>5.4970093990315938E-2</v>
      </c>
      <c r="R71" s="215">
        <f t="shared" si="81"/>
        <v>1.6264428121720798E-2</v>
      </c>
      <c r="S71" s="215">
        <f t="shared" si="81"/>
        <v>6.2583222370173885E-3</v>
      </c>
      <c r="T71" s="215">
        <f t="shared" si="81"/>
        <v>5.9390048154093211E-2</v>
      </c>
      <c r="U71" s="217">
        <f t="shared" si="81"/>
        <v>3.4308378780366855E-2</v>
      </c>
      <c r="V71" s="215">
        <f t="shared" si="81"/>
        <v>0.12607991360691151</v>
      </c>
      <c r="W71" s="215">
        <f t="shared" si="81"/>
        <v>0.10273618998451206</v>
      </c>
      <c r="X71" s="215">
        <f t="shared" si="81"/>
        <v>0.1175069472012702</v>
      </c>
      <c r="Y71" s="215">
        <f t="shared" si="81"/>
        <v>0.11142191142191149</v>
      </c>
      <c r="Z71" s="218">
        <f t="shared" si="81"/>
        <v>0.11421084587607444</v>
      </c>
      <c r="AA71" s="215">
        <f t="shared" ref="AA71:AJ72" si="82">AA28/V28-1</f>
        <v>9.4581635099496575E-2</v>
      </c>
      <c r="AB71" s="215">
        <f t="shared" si="82"/>
        <v>0.16374063670411987</v>
      </c>
      <c r="AC71" s="215">
        <f t="shared" si="82"/>
        <v>0.17986974541148615</v>
      </c>
      <c r="AD71" s="215">
        <f t="shared" si="82"/>
        <v>0.15509647651006708</v>
      </c>
      <c r="AE71" s="217">
        <f t="shared" si="82"/>
        <v>0.14873662775690488</v>
      </c>
      <c r="AF71" s="215">
        <f t="shared" si="82"/>
        <v>3.7454824225166883E-2</v>
      </c>
      <c r="AG71" s="215">
        <f t="shared" si="82"/>
        <v>4.6364276375339575E-2</v>
      </c>
      <c r="AH71" s="215">
        <f t="shared" si="82"/>
        <v>0.12615415495784821</v>
      </c>
      <c r="AI71" s="215">
        <f t="shared" si="82"/>
        <v>0.1045846572855198</v>
      </c>
      <c r="AJ71" s="217">
        <f t="shared" si="82"/>
        <v>8.0193743290140507E-2</v>
      </c>
      <c r="AK71" s="215">
        <f t="shared" ref="AK71:AT72" si="83">AK28/AF28-1</f>
        <v>9.6906998838804936E-2</v>
      </c>
      <c r="AL71" s="215">
        <f t="shared" si="83"/>
        <v>0.14109957708573617</v>
      </c>
      <c r="AM71" s="215">
        <f t="shared" si="83"/>
        <v>8.7068888690847501E-2</v>
      </c>
      <c r="AN71" s="215">
        <f t="shared" si="83"/>
        <v>0.18196761732555267</v>
      </c>
      <c r="AO71" s="217">
        <f t="shared" si="83"/>
        <v>0.12890327054200879</v>
      </c>
      <c r="AP71" s="215">
        <f t="shared" si="83"/>
        <v>8.170532191319424E-2</v>
      </c>
      <c r="AQ71" s="215">
        <f t="shared" si="83"/>
        <v>6.1826145552560607E-2</v>
      </c>
      <c r="AR71" s="215">
        <f t="shared" si="83"/>
        <v>5.0090178717822731E-2</v>
      </c>
      <c r="AS71" s="215">
        <f t="shared" si="83"/>
        <v>-5.7575968291495694E-2</v>
      </c>
      <c r="AT71" s="217">
        <f t="shared" si="83"/>
        <v>2.7967732689079039E-2</v>
      </c>
      <c r="AU71" s="215">
        <f t="shared" ref="AU71:BD72" si="84">AU28/AP28-1</f>
        <v>2.4466192170818468E-2</v>
      </c>
      <c r="AV71" s="215">
        <f t="shared" si="84"/>
        <v>4.7675709979374981E-2</v>
      </c>
      <c r="AW71" s="215">
        <f t="shared" si="84"/>
        <v>4.8325396205792792E-2</v>
      </c>
      <c r="AX71" s="215">
        <f t="shared" si="84"/>
        <v>7.953317789419323E-2</v>
      </c>
      <c r="AY71" s="217">
        <f t="shared" si="84"/>
        <v>5.1245083652007528E-2</v>
      </c>
      <c r="AZ71" s="215">
        <f t="shared" si="84"/>
        <v>0.17073382544507165</v>
      </c>
      <c r="BA71" s="215">
        <f t="shared" si="84"/>
        <v>7.3445899901565248E-3</v>
      </c>
      <c r="BB71" s="215">
        <f t="shared" si="84"/>
        <v>2.5767053917188143E-2</v>
      </c>
      <c r="BC71" s="215">
        <f t="shared" si="84"/>
        <v>8.4127927391786095E-3</v>
      </c>
      <c r="BD71" s="1063">
        <f t="shared" si="84"/>
        <v>4.7973532256333495E-2</v>
      </c>
      <c r="BE71" s="215">
        <f t="shared" ref="BE71:BN72" si="85">BE28/AZ28-1</f>
        <v>-0.17765744380980641</v>
      </c>
      <c r="BF71" s="215">
        <f t="shared" si="85"/>
        <v>-0.10162357185808768</v>
      </c>
      <c r="BG71" s="215">
        <f t="shared" si="85"/>
        <v>-9.7575141571076052E-2</v>
      </c>
      <c r="BH71" s="215">
        <f t="shared" si="85"/>
        <v>-0.19648908770502915</v>
      </c>
      <c r="BI71" s="216">
        <f t="shared" si="85"/>
        <v>-0.14445067163234682</v>
      </c>
      <c r="BJ71" s="215">
        <f t="shared" si="85"/>
        <v>-6.2691683204041171E-2</v>
      </c>
      <c r="BK71" s="215">
        <f t="shared" si="85"/>
        <v>-2.1502677376171397E-2</v>
      </c>
      <c r="BL71" s="215">
        <f t="shared" si="85"/>
        <v>-5.9131134352373271E-2</v>
      </c>
      <c r="BM71" s="215">
        <f t="shared" si="85"/>
        <v>0.2182201602699283</v>
      </c>
      <c r="BN71" s="216">
        <f t="shared" si="85"/>
        <v>1.9018236375546671E-2</v>
      </c>
      <c r="BO71" s="215">
        <f t="shared" ref="BO71:BX72" si="86">BO28/BJ28-1</f>
        <v>0.17486286209219526</v>
      </c>
      <c r="BP71" s="215">
        <f t="shared" si="86"/>
        <v>0.1421120136810603</v>
      </c>
      <c r="BQ71" s="215">
        <f t="shared" si="86"/>
        <v>5.7032920051304004E-2</v>
      </c>
      <c r="BR71" s="215">
        <f t="shared" si="86"/>
        <v>4.3622766929787282E-3</v>
      </c>
      <c r="BS71" s="216">
        <f t="shared" si="86"/>
        <v>8.7282002364017064E-2</v>
      </c>
      <c r="BT71" s="215">
        <f t="shared" si="86"/>
        <v>1.4334862385321001E-2</v>
      </c>
      <c r="BU71" s="215">
        <f t="shared" si="86"/>
        <v>-6.356217713558443E-2</v>
      </c>
      <c r="BV71" s="215">
        <f t="shared" si="86"/>
        <v>6.7141239281669707E-2</v>
      </c>
      <c r="BW71" s="215">
        <f t="shared" si="86"/>
        <v>1.5511892450879028E-2</v>
      </c>
      <c r="BX71" s="216">
        <f t="shared" si="86"/>
        <v>7.2665547757095883E-3</v>
      </c>
      <c r="BY71" s="215">
        <f>BY28/BT28-1</f>
        <v>-4.9745618993781715E-2</v>
      </c>
      <c r="BZ71" s="1246">
        <v>0.03</v>
      </c>
      <c r="CA71" s="1246">
        <v>-0.01</v>
      </c>
      <c r="CB71" s="1246">
        <v>0.01</v>
      </c>
      <c r="CC71" s="216">
        <f>CC28/BX28-1</f>
        <v>-4.2675098933974143E-3</v>
      </c>
      <c r="CD71" s="221">
        <v>0</v>
      </c>
      <c r="CE71" s="221">
        <v>0.01</v>
      </c>
      <c r="CF71" s="221">
        <v>0.02</v>
      </c>
      <c r="CG71" s="221">
        <v>0.02</v>
      </c>
      <c r="CH71" s="221">
        <v>0.02</v>
      </c>
    </row>
    <row r="72" spans="1:86" s="15" customFormat="1" ht="12.75" customHeight="1">
      <c r="A72"/>
      <c r="B72"/>
      <c r="C72"/>
      <c r="D72"/>
      <c r="E72"/>
      <c r="F72"/>
      <c r="G72" s="760"/>
      <c r="H72" s="15" t="str">
        <f>H29</f>
        <v>Operating income, EBITA</v>
      </c>
      <c r="L72" s="833">
        <v>-7.5325243249152796E-2</v>
      </c>
      <c r="M72" s="833">
        <v>-1.9324141038838727E-2</v>
      </c>
      <c r="N72" s="833">
        <v>8.0940250115793644E-2</v>
      </c>
      <c r="O72" s="833">
        <v>6.4608758076090123E-3</v>
      </c>
      <c r="P72" s="834">
        <v>-2.7867090704147834E-3</v>
      </c>
      <c r="Q72" s="833">
        <f t="shared" si="81"/>
        <v>0.21139749349728088</v>
      </c>
      <c r="R72" s="833">
        <f t="shared" si="81"/>
        <v>0.11927018808424394</v>
      </c>
      <c r="S72" s="833">
        <f t="shared" si="81"/>
        <v>0.12453133369041303</v>
      </c>
      <c r="T72" s="833">
        <f t="shared" si="81"/>
        <v>7.7542286529448168E-2</v>
      </c>
      <c r="U72" s="834">
        <f t="shared" si="81"/>
        <v>0.13074878035410875</v>
      </c>
      <c r="V72" s="833">
        <f t="shared" si="81"/>
        <v>0.105504587155963</v>
      </c>
      <c r="W72" s="833">
        <f t="shared" si="81"/>
        <v>0.26071644194002741</v>
      </c>
      <c r="X72" s="833">
        <f t="shared" si="81"/>
        <v>0.15256013336508745</v>
      </c>
      <c r="Y72" s="833">
        <f t="shared" si="81"/>
        <v>0.14193853427895853</v>
      </c>
      <c r="Z72" s="835">
        <f t="shared" si="81"/>
        <v>0.16420442839310123</v>
      </c>
      <c r="AA72" s="833">
        <f t="shared" si="82"/>
        <v>0.11927253465171739</v>
      </c>
      <c r="AB72" s="833">
        <f t="shared" si="82"/>
        <v>6.4570197142629793E-2</v>
      </c>
      <c r="AC72" s="833">
        <f t="shared" si="82"/>
        <v>0.1900983552359703</v>
      </c>
      <c r="AD72" s="833">
        <f t="shared" si="82"/>
        <v>0.23285856243789538</v>
      </c>
      <c r="AE72" s="834">
        <f t="shared" si="82"/>
        <v>0.15140221939997178</v>
      </c>
      <c r="AF72" s="833">
        <f t="shared" si="82"/>
        <v>0.38318346742388409</v>
      </c>
      <c r="AG72" s="833">
        <f t="shared" si="82"/>
        <v>0.19703853651222092</v>
      </c>
      <c r="AH72" s="833">
        <f t="shared" si="82"/>
        <v>0.17119244391971655</v>
      </c>
      <c r="AI72" s="833">
        <f t="shared" si="82"/>
        <v>-0.10437936593229546</v>
      </c>
      <c r="AJ72" s="834">
        <f t="shared" si="82"/>
        <v>0.15183805580167431</v>
      </c>
      <c r="AK72" s="833">
        <f t="shared" si="83"/>
        <v>-2.5205291970803456E-2</v>
      </c>
      <c r="AL72" s="833">
        <f t="shared" si="83"/>
        <v>0.11624003357112933</v>
      </c>
      <c r="AM72" s="833">
        <f t="shared" si="83"/>
        <v>3.9255218216318166E-2</v>
      </c>
      <c r="AN72" s="833">
        <f t="shared" si="83"/>
        <v>0.14600269986500747</v>
      </c>
      <c r="AO72" s="209">
        <f t="shared" si="83"/>
        <v>6.3150607298889216E-2</v>
      </c>
      <c r="AP72" s="833">
        <f t="shared" si="83"/>
        <v>2.3400023400024006E-2</v>
      </c>
      <c r="AQ72" s="833">
        <f t="shared" si="83"/>
        <v>-3.4115138592750949E-2</v>
      </c>
      <c r="AR72" s="833">
        <f t="shared" si="83"/>
        <v>-8.0680132374757907E-2</v>
      </c>
      <c r="AS72" s="833">
        <f t="shared" si="83"/>
        <v>-0.19114182503533883</v>
      </c>
      <c r="AT72" s="209">
        <f t="shared" si="83"/>
        <v>-6.707932926577076E-2</v>
      </c>
      <c r="AU72" s="833">
        <f t="shared" si="84"/>
        <v>-0.19681033497199041</v>
      </c>
      <c r="AV72" s="833">
        <f t="shared" si="84"/>
        <v>-0.30161496456372716</v>
      </c>
      <c r="AW72" s="833">
        <f t="shared" si="84"/>
        <v>-0.29276315789473728</v>
      </c>
      <c r="AX72" s="833">
        <f t="shared" si="84"/>
        <v>2.6220618122976713E-2</v>
      </c>
      <c r="AY72" s="209">
        <f t="shared" si="84"/>
        <v>-0.20620312060778734</v>
      </c>
      <c r="AZ72" s="833">
        <f t="shared" si="84"/>
        <v>2.7186677104831913E-2</v>
      </c>
      <c r="BA72" s="833">
        <f t="shared" si="84"/>
        <v>0.30302778239893535</v>
      </c>
      <c r="BB72" s="833">
        <f t="shared" si="84"/>
        <v>0.3555945590171139</v>
      </c>
      <c r="BC72" s="833">
        <f t="shared" si="84"/>
        <v>-0.21689277870002344</v>
      </c>
      <c r="BD72" s="1064">
        <f t="shared" si="84"/>
        <v>0.10619524521464574</v>
      </c>
      <c r="BE72" s="833">
        <f t="shared" si="85"/>
        <v>-0.31060763528026003</v>
      </c>
      <c r="BF72" s="833">
        <f t="shared" si="85"/>
        <v>-0.34976061283115278</v>
      </c>
      <c r="BG72" s="833">
        <f t="shared" si="85"/>
        <v>-0.38700071211238385</v>
      </c>
      <c r="BH72" s="833">
        <f t="shared" si="85"/>
        <v>2.4161884627001751E-2</v>
      </c>
      <c r="BI72" s="209">
        <f t="shared" si="85"/>
        <v>-0.28299506110530381</v>
      </c>
      <c r="BJ72" s="833">
        <f t="shared" si="85"/>
        <v>0.11095477386934594</v>
      </c>
      <c r="BK72" s="833">
        <f t="shared" si="85"/>
        <v>0.15423129785980838</v>
      </c>
      <c r="BL72" s="833">
        <f t="shared" si="85"/>
        <v>0.21586228746435632</v>
      </c>
      <c r="BM72" s="833">
        <f t="shared" si="85"/>
        <v>-0.10272289393492684</v>
      </c>
      <c r="BN72" s="209">
        <f t="shared" si="85"/>
        <v>9.2362612499371055E-2</v>
      </c>
      <c r="BO72" s="1095">
        <f t="shared" si="86"/>
        <v>-7.7528496471864994E-2</v>
      </c>
      <c r="BP72" s="1095">
        <f t="shared" si="86"/>
        <v>-2.1944373564683706E-2</v>
      </c>
      <c r="BQ72" s="1095">
        <f t="shared" si="86"/>
        <v>1.3376183444801404E-2</v>
      </c>
      <c r="BR72" s="1095">
        <f t="shared" si="86"/>
        <v>0.3346844872918513</v>
      </c>
      <c r="BS72" s="209">
        <f t="shared" si="86"/>
        <v>4.5452453281783933E-2</v>
      </c>
      <c r="BT72" s="833">
        <f t="shared" si="86"/>
        <v>0.27900362851819116</v>
      </c>
      <c r="BU72" s="833">
        <f t="shared" si="86"/>
        <v>0.31185320462648813</v>
      </c>
      <c r="BV72" s="833">
        <f t="shared" si="86"/>
        <v>0.18153767035227597</v>
      </c>
      <c r="BW72" s="833">
        <f t="shared" si="86"/>
        <v>0.19658540589345685</v>
      </c>
      <c r="BX72" s="209">
        <f t="shared" si="86"/>
        <v>0.24353358135029723</v>
      </c>
      <c r="BY72" s="1095">
        <f>BY29/BT29-1</f>
        <v>0.23002606962122418</v>
      </c>
      <c r="BZ72" s="1095">
        <f>BZ29/BU29-1</f>
        <v>5.2073583029498938E-2</v>
      </c>
      <c r="CA72" s="1095">
        <f>CA29/BV29-1</f>
        <v>0.24706281030105171</v>
      </c>
      <c r="CB72" s="1095">
        <f>CB29/BW29-1</f>
        <v>8.6146933735773423E-3</v>
      </c>
      <c r="CC72" s="209">
        <f>CC29/BX29-1</f>
        <v>0.12950744981412599</v>
      </c>
      <c r="CD72" s="209">
        <f>CD29/CC29-1</f>
        <v>0.10507672605752361</v>
      </c>
      <c r="CE72" s="209">
        <f>CE29/CD29-1</f>
        <v>0.111530712745598</v>
      </c>
      <c r="CF72" s="209">
        <f>CF29/CE29-1</f>
        <v>7.7418679654820632E-2</v>
      </c>
      <c r="CG72" s="209">
        <f>CG29/CF29-1</f>
        <v>5.8827798885386251E-2</v>
      </c>
      <c r="CH72" s="209">
        <f>CH29/CG29-1</f>
        <v>6.684160431772157E-2</v>
      </c>
    </row>
    <row r="73" spans="1:86" s="832" customFormat="1" ht="12.75" customHeight="1">
      <c r="A73"/>
      <c r="B73"/>
      <c r="C73"/>
      <c r="D73"/>
      <c r="E73"/>
      <c r="F73"/>
      <c r="G73" s="827"/>
      <c r="H73" s="832" t="s">
        <v>332</v>
      </c>
      <c r="L73" s="836"/>
      <c r="M73" s="836"/>
      <c r="N73" s="836"/>
      <c r="O73" s="836"/>
      <c r="P73" s="837"/>
      <c r="Q73" s="836">
        <f t="shared" ref="Q73:AJ73" si="87">Q33/L33-1</f>
        <v>0.19209590175917368</v>
      </c>
      <c r="R73" s="836">
        <f t="shared" si="87"/>
        <v>0.11627580396011816</v>
      </c>
      <c r="S73" s="836">
        <f t="shared" si="87"/>
        <v>0.12080808080808114</v>
      </c>
      <c r="T73" s="836">
        <f t="shared" si="87"/>
        <v>8.126371970903512E-2</v>
      </c>
      <c r="U73" s="837">
        <f t="shared" si="87"/>
        <v>0.12592685829366568</v>
      </c>
      <c r="V73" s="836">
        <f t="shared" si="87"/>
        <v>0.10491354290152466</v>
      </c>
      <c r="W73" s="836">
        <f t="shared" si="87"/>
        <v>0.23426426804210121</v>
      </c>
      <c r="X73" s="836">
        <f t="shared" si="87"/>
        <v>0.14449651526075513</v>
      </c>
      <c r="Y73" s="836">
        <f t="shared" si="87"/>
        <v>0.13560367819752317</v>
      </c>
      <c r="Z73" s="838">
        <f t="shared" si="87"/>
        <v>0.15414087827880896</v>
      </c>
      <c r="AA73" s="836">
        <f t="shared" si="87"/>
        <v>0.10997243752196684</v>
      </c>
      <c r="AB73" s="836">
        <f t="shared" si="87"/>
        <v>6.4161584588989129E-2</v>
      </c>
      <c r="AC73" s="836">
        <f t="shared" si="87"/>
        <v>0.17045514200220491</v>
      </c>
      <c r="AD73" s="836">
        <f t="shared" si="87"/>
        <v>0.20662518622382064</v>
      </c>
      <c r="AE73" s="839">
        <f t="shared" si="87"/>
        <v>0.13759642140114892</v>
      </c>
      <c r="AF73" s="836">
        <f t="shared" si="87"/>
        <v>0.33911072595160352</v>
      </c>
      <c r="AG73" s="836">
        <f t="shared" si="87"/>
        <v>0.18243407189834637</v>
      </c>
      <c r="AH73" s="836">
        <f t="shared" si="87"/>
        <v>0.16110513096519541</v>
      </c>
      <c r="AI73" s="836">
        <f t="shared" si="87"/>
        <v>-7.6985648713033261E-2</v>
      </c>
      <c r="AJ73" s="839">
        <f t="shared" si="87"/>
        <v>0.14417679386949467</v>
      </c>
      <c r="AK73" s="836"/>
      <c r="AL73" s="836"/>
      <c r="AM73" s="836"/>
      <c r="AN73" s="836"/>
      <c r="AO73" s="839">
        <f>AO33/AJ33-1</f>
        <v>9.6020598554149794E-2</v>
      </c>
      <c r="AP73" s="836"/>
      <c r="AQ73" s="836"/>
      <c r="AR73" s="836"/>
      <c r="AS73" s="836"/>
      <c r="AT73" s="839">
        <f>AT33/AO33-1</f>
        <v>-5.0476021174053143E-2</v>
      </c>
      <c r="AU73" s="836"/>
      <c r="AV73" s="836"/>
      <c r="AW73" s="836"/>
      <c r="AX73" s="836"/>
      <c r="AY73" s="839">
        <f t="shared" ref="AY73:CC73" si="88">AY33/AT33-1</f>
        <v>-0.15785939414426142</v>
      </c>
      <c r="AZ73" s="836">
        <f t="shared" si="88"/>
        <v>1.887213847012803E-2</v>
      </c>
      <c r="BA73" s="836">
        <f t="shared" si="88"/>
        <v>0.23411328474619642</v>
      </c>
      <c r="BB73" s="836">
        <f t="shared" si="88"/>
        <v>0.2547707394646177</v>
      </c>
      <c r="BC73" s="836">
        <f t="shared" si="88"/>
        <v>-0.166464499951818</v>
      </c>
      <c r="BD73" s="1065">
        <f t="shared" si="88"/>
        <v>7.9660145155664441E-2</v>
      </c>
      <c r="BE73" s="836">
        <f t="shared" si="88"/>
        <v>-0.33592722490135873</v>
      </c>
      <c r="BF73" s="836">
        <f t="shared" si="88"/>
        <v>-0.36132407791131427</v>
      </c>
      <c r="BG73" s="836">
        <f t="shared" si="88"/>
        <v>-0.38992448645508759</v>
      </c>
      <c r="BH73" s="836">
        <f t="shared" si="88"/>
        <v>-9.1930085533654893E-2</v>
      </c>
      <c r="BI73" s="839">
        <f t="shared" si="88"/>
        <v>-0.31065004146767028</v>
      </c>
      <c r="BJ73" s="836">
        <f t="shared" si="88"/>
        <v>7.9963690377949481E-2</v>
      </c>
      <c r="BK73" s="836">
        <f t="shared" si="88"/>
        <v>0.12807202530618911</v>
      </c>
      <c r="BL73" s="836">
        <f t="shared" si="88"/>
        <v>0.17328832337920819</v>
      </c>
      <c r="BM73" s="836">
        <f t="shared" si="88"/>
        <v>-0.11041035301826629</v>
      </c>
      <c r="BN73" s="839">
        <f t="shared" si="88"/>
        <v>6.6419133356841797E-2</v>
      </c>
      <c r="BO73" s="1096">
        <f t="shared" si="88"/>
        <v>-5.8072896767784488E-2</v>
      </c>
      <c r="BP73" s="1096">
        <f t="shared" si="88"/>
        <v>-2.5740580960597059E-2</v>
      </c>
      <c r="BQ73" s="1096">
        <f t="shared" si="88"/>
        <v>1.9402434526004875E-2</v>
      </c>
      <c r="BR73" s="1096">
        <f t="shared" si="88"/>
        <v>0.28330724610993641</v>
      </c>
      <c r="BS73" s="839">
        <f t="shared" si="88"/>
        <v>4.0905642761278171E-2</v>
      </c>
      <c r="BT73" s="836">
        <f t="shared" si="88"/>
        <v>0.22900949136042792</v>
      </c>
      <c r="BU73" s="836">
        <f t="shared" si="88"/>
        <v>0.27380073800737903</v>
      </c>
      <c r="BV73" s="836">
        <f t="shared" si="88"/>
        <v>0.15472572007526453</v>
      </c>
      <c r="BW73" s="836">
        <f t="shared" si="88"/>
        <v>0.21703257282249866</v>
      </c>
      <c r="BX73" s="839">
        <f t="shared" si="88"/>
        <v>0.22078334641402164</v>
      </c>
      <c r="BY73" s="1096">
        <f t="shared" si="88"/>
        <v>0.20128712871287169</v>
      </c>
      <c r="BZ73" s="1096">
        <f t="shared" si="88"/>
        <v>4.449768250289643E-2</v>
      </c>
      <c r="CA73" s="1096">
        <f t="shared" si="88"/>
        <v>0.21260095512659793</v>
      </c>
      <c r="CB73" s="1096">
        <f t="shared" si="88"/>
        <v>-6.0080764015792987E-3</v>
      </c>
      <c r="CC73" s="839">
        <f t="shared" si="88"/>
        <v>0.10878592722986702</v>
      </c>
      <c r="CD73" s="839">
        <f>CD33/CC33-1</f>
        <v>9.2557899780342456E-2</v>
      </c>
      <c r="CE73" s="839">
        <f>CE33/CD33-1</f>
        <v>9.9368654020089986E-2</v>
      </c>
      <c r="CF73" s="839">
        <f>CF33/CE33-1</f>
        <v>6.9739496447919214E-2</v>
      </c>
      <c r="CG73" s="839">
        <f>CG33/CF33-1</f>
        <v>5.3373061624381934E-2</v>
      </c>
      <c r="CH73" s="839">
        <f>CH33/CG33-1</f>
        <v>6.0957831505828786E-2</v>
      </c>
    </row>
    <row r="74" spans="1:86" ht="12.75" customHeight="1">
      <c r="G74" s="9"/>
      <c r="H74" s="7" t="str">
        <f>H44</f>
        <v>Pretax income</v>
      </c>
      <c r="L74" s="215">
        <v>-3.4097913598820861E-2</v>
      </c>
      <c r="M74" s="215">
        <v>-1.4357140074673036E-2</v>
      </c>
      <c r="N74" s="215">
        <v>5.1425030978933695E-2</v>
      </c>
      <c r="O74" s="215">
        <v>2.0877226584945063E-2</v>
      </c>
      <c r="P74" s="217">
        <v>6.2630210246148454E-3</v>
      </c>
      <c r="Q74" s="215">
        <f t="shared" ref="Q74:AV74" si="89">Q44/L44-1</f>
        <v>0.11848792884371062</v>
      </c>
      <c r="R74" s="215">
        <f t="shared" si="89"/>
        <v>0.11475627559157187</v>
      </c>
      <c r="S74" s="215">
        <f t="shared" si="89"/>
        <v>8.5985071695148241E-2</v>
      </c>
      <c r="T74" s="215">
        <f t="shared" si="89"/>
        <v>8.8367729831144715E-2</v>
      </c>
      <c r="U74" s="217">
        <f t="shared" si="89"/>
        <v>0.10115270160416157</v>
      </c>
      <c r="V74" s="215">
        <f t="shared" si="89"/>
        <v>0.1083025655590264</v>
      </c>
      <c r="W74" s="215">
        <f t="shared" si="89"/>
        <v>0.20570714834742443</v>
      </c>
      <c r="X74" s="215">
        <f t="shared" si="89"/>
        <v>0.13958851458286281</v>
      </c>
      <c r="Y74" s="215">
        <f t="shared" si="89"/>
        <v>6.8091708326149414E-2</v>
      </c>
      <c r="Z74" s="218">
        <f t="shared" si="89"/>
        <v>0.12877459575297068</v>
      </c>
      <c r="AA74" s="215">
        <f t="shared" si="89"/>
        <v>4.4247031690441974E-2</v>
      </c>
      <c r="AB74" s="215">
        <f t="shared" si="89"/>
        <v>3.3389114670492326E-2</v>
      </c>
      <c r="AC74" s="215">
        <f t="shared" si="89"/>
        <v>8.2136338385842667E-2</v>
      </c>
      <c r="AD74" s="215">
        <f t="shared" si="89"/>
        <v>0.11321820529373983</v>
      </c>
      <c r="AE74" s="217">
        <f t="shared" si="89"/>
        <v>6.8529310239802799E-2</v>
      </c>
      <c r="AF74" s="215">
        <f t="shared" si="89"/>
        <v>0.37660531697341537</v>
      </c>
      <c r="AG74" s="215">
        <f t="shared" si="89"/>
        <v>0.21260795805058619</v>
      </c>
      <c r="AH74" s="215">
        <f t="shared" si="89"/>
        <v>0.18766500440011713</v>
      </c>
      <c r="AI74" s="215">
        <f t="shared" si="89"/>
        <v>-8.25661471547674E-2</v>
      </c>
      <c r="AJ74" s="217">
        <f t="shared" si="89"/>
        <v>0.1668649285497108</v>
      </c>
      <c r="AK74" s="215">
        <f t="shared" si="89"/>
        <v>6.0015449521658493E-2</v>
      </c>
      <c r="AL74" s="215">
        <f t="shared" si="89"/>
        <v>0.12164628523825005</v>
      </c>
      <c r="AM74" s="215">
        <f t="shared" si="89"/>
        <v>6.8786662550169186E-2</v>
      </c>
      <c r="AN74" s="215">
        <f t="shared" si="89"/>
        <v>0.17626422250316121</v>
      </c>
      <c r="AO74" s="216">
        <f t="shared" si="89"/>
        <v>0.10207132632305771</v>
      </c>
      <c r="AP74" s="215">
        <f t="shared" si="89"/>
        <v>-2.5618027916362585E-2</v>
      </c>
      <c r="AQ74" s="215">
        <f t="shared" si="89"/>
        <v>-5.6695770495521436E-2</v>
      </c>
      <c r="AR74" s="215">
        <f t="shared" si="89"/>
        <v>-0.11733780114391401</v>
      </c>
      <c r="AS74" s="215">
        <f t="shared" si="89"/>
        <v>-0.18773678695219953</v>
      </c>
      <c r="AT74" s="216">
        <f t="shared" si="89"/>
        <v>-9.2840845952878559E-2</v>
      </c>
      <c r="AU74" s="215">
        <f t="shared" si="89"/>
        <v>-0.21809918306293874</v>
      </c>
      <c r="AV74" s="215">
        <f t="shared" si="89"/>
        <v>-0.28735424930881126</v>
      </c>
      <c r="AW74" s="215">
        <f t="shared" ref="AW74:CB74" si="90">AW44/AR44-1</f>
        <v>-0.25369812802722902</v>
      </c>
      <c r="AX74" s="215">
        <f t="shared" si="90"/>
        <v>5.961531591134106E-3</v>
      </c>
      <c r="AY74" s="216">
        <f t="shared" si="90"/>
        <v>-0.20159493663463124</v>
      </c>
      <c r="AZ74" s="215">
        <f t="shared" si="90"/>
        <v>8.6822161724670277E-2</v>
      </c>
      <c r="BA74" s="215">
        <f t="shared" si="90"/>
        <v>0.33119676140676413</v>
      </c>
      <c r="BB74" s="215">
        <f t="shared" si="90"/>
        <v>0.32731099807051511</v>
      </c>
      <c r="BC74" s="215">
        <f t="shared" si="90"/>
        <v>-0.17593485381595642</v>
      </c>
      <c r="BD74" s="1063">
        <f t="shared" si="90"/>
        <v>0.13667322175903673</v>
      </c>
      <c r="BE74" s="215">
        <f t="shared" si="90"/>
        <v>-0.28847065195315102</v>
      </c>
      <c r="BF74" s="215">
        <f t="shared" si="90"/>
        <v>-0.3205778003041061</v>
      </c>
      <c r="BG74" s="215">
        <f t="shared" si="90"/>
        <v>-0.31254129774018724</v>
      </c>
      <c r="BH74" s="215">
        <f t="shared" si="90"/>
        <v>5.9956105347167776E-2</v>
      </c>
      <c r="BI74" s="216">
        <f t="shared" si="90"/>
        <v>-0.241415827544739</v>
      </c>
      <c r="BJ74" s="215">
        <f t="shared" si="90"/>
        <v>0.13996194100856241</v>
      </c>
      <c r="BK74" s="215">
        <f t="shared" si="90"/>
        <v>0.12374114136516301</v>
      </c>
      <c r="BL74" s="215">
        <f t="shared" si="90"/>
        <v>0.18973471741637749</v>
      </c>
      <c r="BM74" s="215">
        <f t="shared" si="90"/>
        <v>-9.8823529411765754E-2</v>
      </c>
      <c r="BN74" s="216">
        <f t="shared" si="90"/>
        <v>8.8067576840261674E-2</v>
      </c>
      <c r="BO74" s="1094">
        <f t="shared" si="90"/>
        <v>-0.10307987647107886</v>
      </c>
      <c r="BP74" s="1094">
        <f t="shared" si="90"/>
        <v>-2.8213426271677555E-2</v>
      </c>
      <c r="BQ74" s="1094">
        <f t="shared" si="90"/>
        <v>-3.5466149620294152E-2</v>
      </c>
      <c r="BR74" s="1094">
        <f t="shared" si="90"/>
        <v>0.28887728459530204</v>
      </c>
      <c r="BS74" s="216">
        <f t="shared" si="90"/>
        <v>1.3765358269002492E-2</v>
      </c>
      <c r="BT74" s="215">
        <f t="shared" si="90"/>
        <v>0.22771263726037527</v>
      </c>
      <c r="BU74" s="215">
        <f t="shared" si="90"/>
        <v>0.28477499786525362</v>
      </c>
      <c r="BV74" s="215">
        <f t="shared" si="90"/>
        <v>0.14297679872686153</v>
      </c>
      <c r="BW74" s="215">
        <f t="shared" si="90"/>
        <v>0.22591362126245729</v>
      </c>
      <c r="BX74" s="216">
        <f t="shared" si="90"/>
        <v>0.22300398987515435</v>
      </c>
      <c r="BY74" s="1094">
        <f t="shared" si="90"/>
        <v>0.26711134692640082</v>
      </c>
      <c r="BZ74" s="1094">
        <f t="shared" si="90"/>
        <v>8.167131352740431E-2</v>
      </c>
      <c r="CA74" s="1094">
        <f t="shared" si="90"/>
        <v>0.28939303996287058</v>
      </c>
      <c r="CB74" s="1094">
        <f t="shared" si="90"/>
        <v>-1.3958897922305979E-3</v>
      </c>
      <c r="CC74" s="216">
        <f>CC44/BX44-1</f>
        <v>0.15223919721471901</v>
      </c>
      <c r="CD74" s="216">
        <f>CD44/CC44-1</f>
        <v>9.6998345912599371E-2</v>
      </c>
      <c r="CE74" s="216">
        <f>CE44/CD44-1</f>
        <v>0.11142483641984868</v>
      </c>
      <c r="CF74" s="216">
        <f>CF44/CE44-1</f>
        <v>7.5754791567131274E-2</v>
      </c>
      <c r="CG74" s="216">
        <f>CG44/CF44-1</f>
        <v>5.8032186764808591E-2</v>
      </c>
      <c r="CH74" s="216">
        <f>CH44/CG44-1</f>
        <v>6.59143210999662E-2</v>
      </c>
    </row>
    <row r="75" spans="1:86" s="15" customFormat="1" ht="12.75" customHeight="1">
      <c r="A75"/>
      <c r="B75"/>
      <c r="C75"/>
      <c r="D75"/>
      <c r="E75"/>
      <c r="F75"/>
      <c r="G75" s="760"/>
      <c r="H75" s="15" t="str">
        <f>H47</f>
        <v>Net income</v>
      </c>
      <c r="L75" s="833">
        <v>-3.4101140834215782E-2</v>
      </c>
      <c r="M75" s="833">
        <v>-1.4352495050124703E-2</v>
      </c>
      <c r="N75" s="833">
        <v>5.1231135822080276E-2</v>
      </c>
      <c r="O75" s="833">
        <v>6.9367710251687864E-2</v>
      </c>
      <c r="P75" s="834">
        <v>1.9075596137235307E-2</v>
      </c>
      <c r="Q75" s="833">
        <f t="shared" ref="Q75:AV75" si="91">Q47/L47-1</f>
        <v>0.13272298786911274</v>
      </c>
      <c r="R75" s="833">
        <f t="shared" si="91"/>
        <v>0.12914139692710447</v>
      </c>
      <c r="S75" s="833">
        <f t="shared" si="91"/>
        <v>0.10005037148973672</v>
      </c>
      <c r="T75" s="833">
        <f t="shared" si="91"/>
        <v>6.7278989667049593E-2</v>
      </c>
      <c r="U75" s="834">
        <f t="shared" si="91"/>
        <v>0.10538887467831093</v>
      </c>
      <c r="V75" s="833">
        <f t="shared" si="91"/>
        <v>9.4319271332693688E-2</v>
      </c>
      <c r="W75" s="833">
        <f t="shared" si="91"/>
        <v>0.1903198346102386</v>
      </c>
      <c r="X75" s="833">
        <f t="shared" si="91"/>
        <v>0.141090950718334</v>
      </c>
      <c r="Y75" s="833">
        <f t="shared" si="91"/>
        <v>6.0778829604129392E-2</v>
      </c>
      <c r="Z75" s="835">
        <f t="shared" si="91"/>
        <v>0.11993294506987251</v>
      </c>
      <c r="AA75" s="833">
        <f t="shared" si="91"/>
        <v>5.3991895739788021E-2</v>
      </c>
      <c r="AB75" s="833">
        <f t="shared" si="91"/>
        <v>4.5361667347773693E-2</v>
      </c>
      <c r="AC75" s="833">
        <f t="shared" si="91"/>
        <v>7.8852327447833437E-2</v>
      </c>
      <c r="AD75" s="833">
        <f t="shared" si="91"/>
        <v>0.13183247135179244</v>
      </c>
      <c r="AE75" s="834">
        <f t="shared" si="91"/>
        <v>7.8016929906060906E-2</v>
      </c>
      <c r="AF75" s="833">
        <f t="shared" si="91"/>
        <v>0.36388196176226129</v>
      </c>
      <c r="AG75" s="833">
        <f t="shared" si="91"/>
        <v>0.19870015637216598</v>
      </c>
      <c r="AH75" s="833">
        <f t="shared" si="91"/>
        <v>0.22001115863864573</v>
      </c>
      <c r="AI75" s="833">
        <f t="shared" si="91"/>
        <v>-0.10411253471911275</v>
      </c>
      <c r="AJ75" s="834">
        <f t="shared" si="91"/>
        <v>0.16133441861578568</v>
      </c>
      <c r="AK75" s="833">
        <f t="shared" si="91"/>
        <v>-1.1503885418254645E-2</v>
      </c>
      <c r="AL75" s="833">
        <f t="shared" si="91"/>
        <v>0.11446298847950742</v>
      </c>
      <c r="AM75" s="833">
        <f t="shared" si="91"/>
        <v>2.2484756097560288E-2</v>
      </c>
      <c r="AN75" s="833">
        <f t="shared" si="91"/>
        <v>0.23510351035103616</v>
      </c>
      <c r="AO75" s="209">
        <f t="shared" si="91"/>
        <v>8.0368830408512837E-2</v>
      </c>
      <c r="AP75" s="833">
        <f t="shared" si="91"/>
        <v>5.9653179190752192E-2</v>
      </c>
      <c r="AQ75" s="833">
        <f t="shared" si="91"/>
        <v>-3.7164386568147467E-2</v>
      </c>
      <c r="AR75" s="833">
        <f t="shared" si="91"/>
        <v>-6.5300037271711409E-2</v>
      </c>
      <c r="AS75" s="833">
        <f t="shared" si="91"/>
        <v>-0.21561482777049057</v>
      </c>
      <c r="AT75" s="209">
        <f t="shared" si="91"/>
        <v>-6.2447527896077992E-2</v>
      </c>
      <c r="AU75" s="833">
        <f t="shared" si="91"/>
        <v>-0.2531093170412394</v>
      </c>
      <c r="AV75" s="833">
        <f t="shared" si="91"/>
        <v>-0.29822961781019686</v>
      </c>
      <c r="AW75" s="833">
        <f t="shared" ref="AW75:CB75" si="92">AW47/AR47-1</f>
        <v>-0.29157030066193512</v>
      </c>
      <c r="AX75" s="833">
        <f t="shared" si="92"/>
        <v>-2.4250352018169496E-2</v>
      </c>
      <c r="AY75" s="209">
        <f t="shared" si="92"/>
        <v>-0.22989077580592654</v>
      </c>
      <c r="AZ75" s="833">
        <f t="shared" si="92"/>
        <v>0.2147239263803673</v>
      </c>
      <c r="BA75" s="833">
        <f t="shared" si="92"/>
        <v>0.35870506712862738</v>
      </c>
      <c r="BB75" s="833">
        <f t="shared" si="92"/>
        <v>0.35438477991669637</v>
      </c>
      <c r="BC75" s="833">
        <f t="shared" si="92"/>
        <v>-0.15690575690902131</v>
      </c>
      <c r="BD75" s="1064">
        <f t="shared" si="92"/>
        <v>0.18982285083994821</v>
      </c>
      <c r="BE75" s="833">
        <f t="shared" si="92"/>
        <v>-0.33092833092833041</v>
      </c>
      <c r="BF75" s="833">
        <f t="shared" si="92"/>
        <v>-0.34632241612877601</v>
      </c>
      <c r="BG75" s="833">
        <f t="shared" si="92"/>
        <v>-0.33920704845814931</v>
      </c>
      <c r="BH75" s="833">
        <f t="shared" si="92"/>
        <v>0.11193374325511485</v>
      </c>
      <c r="BI75" s="209">
        <f t="shared" si="92"/>
        <v>-0.25904537680741058</v>
      </c>
      <c r="BJ75" s="833">
        <f t="shared" si="92"/>
        <v>0.1067577282530543</v>
      </c>
      <c r="BK75" s="833">
        <f t="shared" si="92"/>
        <v>0.1639644032670986</v>
      </c>
      <c r="BL75" s="833">
        <f t="shared" si="92"/>
        <v>0.16163522012578513</v>
      </c>
      <c r="BM75" s="833">
        <f t="shared" si="92"/>
        <v>-6.5342512131814856E-2</v>
      </c>
      <c r="BN75" s="209">
        <f t="shared" si="92"/>
        <v>8.8189448441246432E-2</v>
      </c>
      <c r="BO75" s="1095">
        <f t="shared" si="92"/>
        <v>-4.481974667099653E-2</v>
      </c>
      <c r="BP75" s="1095">
        <f t="shared" si="92"/>
        <v>-4.8177628822788643E-2</v>
      </c>
      <c r="BQ75" s="1095">
        <f t="shared" si="92"/>
        <v>8.1212777476988851E-3</v>
      </c>
      <c r="BR75" s="1095">
        <f t="shared" si="92"/>
        <v>0.22361748369959145</v>
      </c>
      <c r="BS75" s="209">
        <f t="shared" si="92"/>
        <v>2.5728609993941998E-2</v>
      </c>
      <c r="BT75" s="833">
        <f t="shared" si="92"/>
        <v>0.17839737050889615</v>
      </c>
      <c r="BU75" s="833">
        <f t="shared" si="92"/>
        <v>0.29555457746478697</v>
      </c>
      <c r="BV75" s="833">
        <f t="shared" si="92"/>
        <v>0.18882921589688517</v>
      </c>
      <c r="BW75" s="833">
        <f t="shared" si="92"/>
        <v>0.19084270771659617</v>
      </c>
      <c r="BX75" s="209">
        <f t="shared" si="92"/>
        <v>0.21675260500590676</v>
      </c>
      <c r="BY75" s="1095">
        <f t="shared" si="92"/>
        <v>0.3524093488506308</v>
      </c>
      <c r="BZ75" s="1095">
        <f t="shared" si="92"/>
        <v>0.14037132081280723</v>
      </c>
      <c r="CA75" s="1095">
        <f t="shared" si="92"/>
        <v>0.31152171794813888</v>
      </c>
      <c r="CB75" s="1095">
        <f t="shared" si="92"/>
        <v>3.2814244800299042E-2</v>
      </c>
      <c r="CC75" s="209">
        <f>CC47/BX47-1</f>
        <v>0.20216868501004237</v>
      </c>
      <c r="CD75" s="209">
        <f>CD47/CC47-1</f>
        <v>0.10083629051527288</v>
      </c>
      <c r="CE75" s="209">
        <f>CE47/CD47-1</f>
        <v>0.1154323778973243</v>
      </c>
      <c r="CF75" s="209">
        <f>CF47/CE47-1</f>
        <v>7.5754791567131274E-2</v>
      </c>
      <c r="CG75" s="209">
        <f>CG47/CF47-1</f>
        <v>5.8032186764808591E-2</v>
      </c>
      <c r="CH75" s="209">
        <f>CH47/CG47-1</f>
        <v>6.59143210999662E-2</v>
      </c>
    </row>
    <row r="76" spans="1:86" ht="12.75" customHeight="1">
      <c r="G76" s="9"/>
      <c r="H76" s="70" t="str">
        <f>H49</f>
        <v>Adj. Dil. EPS</v>
      </c>
      <c r="I76" s="70"/>
      <c r="J76" s="70"/>
      <c r="K76" s="70"/>
      <c r="L76" s="222">
        <v>-3.6097318153169855E-2</v>
      </c>
      <c r="M76" s="222">
        <v>-1.3921247878812326E-2</v>
      </c>
      <c r="N76" s="222">
        <v>4.9148635500786853E-2</v>
      </c>
      <c r="O76" s="222">
        <v>6.5178295357171123E-2</v>
      </c>
      <c r="P76" s="223">
        <v>1.7156201311945729E-2</v>
      </c>
      <c r="Q76" s="222">
        <f t="shared" ref="Q76:AV76" si="93">Q49/L49-1</f>
        <v>0.13502283463388531</v>
      </c>
      <c r="R76" s="222">
        <f t="shared" si="93"/>
        <v>0.13424865210536252</v>
      </c>
      <c r="S76" s="222">
        <f t="shared" si="93"/>
        <v>0.10506251176329329</v>
      </c>
      <c r="T76" s="222">
        <f t="shared" si="93"/>
        <v>7.1604563477638328E-2</v>
      </c>
      <c r="U76" s="223">
        <f t="shared" si="93"/>
        <v>0.10957875328042621</v>
      </c>
      <c r="V76" s="222">
        <f t="shared" si="93"/>
        <v>9.1422517566638106E-2</v>
      </c>
      <c r="W76" s="222">
        <f t="shared" si="93"/>
        <v>0.18525690236106929</v>
      </c>
      <c r="X76" s="222">
        <f t="shared" si="93"/>
        <v>0.13709692096681292</v>
      </c>
      <c r="Y76" s="222">
        <f t="shared" si="93"/>
        <v>5.734301357942484E-2</v>
      </c>
      <c r="Z76" s="218">
        <f t="shared" si="93"/>
        <v>0.11611417126067836</v>
      </c>
      <c r="AA76" s="222">
        <f t="shared" si="93"/>
        <v>4.9967856615186435E-2</v>
      </c>
      <c r="AB76" s="222">
        <f t="shared" si="93"/>
        <v>4.1647865375154636E-2</v>
      </c>
      <c r="AC76" s="222">
        <f t="shared" si="93"/>
        <v>7.5108969500483402E-2</v>
      </c>
      <c r="AD76" s="222">
        <f t="shared" si="93"/>
        <v>0.12781824779912632</v>
      </c>
      <c r="AE76" s="223">
        <f t="shared" si="93"/>
        <v>7.4139607790392636E-2</v>
      </c>
      <c r="AF76" s="222">
        <f t="shared" si="93"/>
        <v>0.3599043828949422</v>
      </c>
      <c r="AG76" s="222">
        <f t="shared" si="93"/>
        <v>0.1950064294215248</v>
      </c>
      <c r="AH76" s="222">
        <f t="shared" si="93"/>
        <v>0.21592556055250589</v>
      </c>
      <c r="AI76" s="222">
        <f t="shared" si="93"/>
        <v>-0.1081159575838645</v>
      </c>
      <c r="AJ76" s="223">
        <f t="shared" si="93"/>
        <v>0.15732225753020868</v>
      </c>
      <c r="AK76" s="222">
        <f t="shared" si="93"/>
        <v>-1.7013417815828769E-2</v>
      </c>
      <c r="AL76" s="222">
        <f t="shared" si="93"/>
        <v>0.10780533098500533</v>
      </c>
      <c r="AM76" s="222">
        <f t="shared" si="93"/>
        <v>1.5547907947980111E-2</v>
      </c>
      <c r="AN76" s="222">
        <f t="shared" si="93"/>
        <v>0.22629248384035239</v>
      </c>
      <c r="AO76" s="223">
        <f t="shared" si="93"/>
        <v>7.3489492263311806E-2</v>
      </c>
      <c r="AP76" s="222">
        <f t="shared" si="93"/>
        <v>5.1439153255545378E-2</v>
      </c>
      <c r="AQ76" s="222">
        <f t="shared" si="93"/>
        <v>-4.5937419527528722E-2</v>
      </c>
      <c r="AR76" s="222">
        <f t="shared" si="93"/>
        <v>-7.2552968145921048E-2</v>
      </c>
      <c r="AS76" s="222">
        <f t="shared" si="93"/>
        <v>-0.22019932282353882</v>
      </c>
      <c r="AT76" s="223">
        <f t="shared" si="93"/>
        <v>-6.9587998115696714E-2</v>
      </c>
      <c r="AU76" s="222">
        <f t="shared" si="93"/>
        <v>-0.25642390384822444</v>
      </c>
      <c r="AV76" s="222">
        <f t="shared" si="93"/>
        <v>-0.30120931608275747</v>
      </c>
      <c r="AW76" s="222">
        <f t="shared" ref="AW76:CB76" si="94">AW49/AR49-1</f>
        <v>-0.29524013077369493</v>
      </c>
      <c r="AX76" s="222">
        <f t="shared" si="94"/>
        <v>-2.2495740619358551E-2</v>
      </c>
      <c r="AY76" s="223">
        <f t="shared" si="94"/>
        <v>-0.23221770889624527</v>
      </c>
      <c r="AZ76" s="222">
        <f t="shared" si="94"/>
        <v>0.24265573697024378</v>
      </c>
      <c r="BA76" s="222">
        <f t="shared" si="94"/>
        <v>0.40215958452734135</v>
      </c>
      <c r="BB76" s="222">
        <f t="shared" si="94"/>
        <v>0.39858421884360418</v>
      </c>
      <c r="BC76" s="222">
        <f t="shared" si="94"/>
        <v>-0.12963234076181562</v>
      </c>
      <c r="BD76" s="1066">
        <f t="shared" si="94"/>
        <v>0.22548754363767798</v>
      </c>
      <c r="BE76" s="222">
        <f t="shared" si="94"/>
        <v>-0.32095291685786831</v>
      </c>
      <c r="BF76" s="222">
        <f t="shared" si="94"/>
        <v>-0.34169561732801756</v>
      </c>
      <c r="BG76" s="222">
        <f t="shared" si="94"/>
        <v>-0.33313596485814922</v>
      </c>
      <c r="BH76" s="222">
        <f t="shared" si="94"/>
        <v>0.12148476524993379</v>
      </c>
      <c r="BI76" s="223">
        <f t="shared" si="94"/>
        <v>-0.25167812942995837</v>
      </c>
      <c r="BJ76" s="222">
        <f t="shared" si="94"/>
        <v>0.1158853190828173</v>
      </c>
      <c r="BK76" s="222">
        <f t="shared" si="94"/>
        <v>0.17579865598203748</v>
      </c>
      <c r="BL76" s="222">
        <f t="shared" si="94"/>
        <v>0.1716979508318115</v>
      </c>
      <c r="BM76" s="222">
        <f t="shared" si="94"/>
        <v>-6.1047044187498511E-2</v>
      </c>
      <c r="BN76" s="223">
        <f t="shared" si="94"/>
        <v>9.6806539981982853E-2</v>
      </c>
      <c r="BO76" s="1097">
        <f t="shared" si="94"/>
        <v>-4.1260760726038681E-2</v>
      </c>
      <c r="BP76" s="1097">
        <f t="shared" si="94"/>
        <v>-4.3238416644265087E-2</v>
      </c>
      <c r="BQ76" s="1097">
        <f t="shared" si="94"/>
        <v>1.2277171912582929E-2</v>
      </c>
      <c r="BR76" s="1097">
        <f t="shared" si="94"/>
        <v>0.22753099211615013</v>
      </c>
      <c r="BS76" s="223">
        <f t="shared" si="94"/>
        <v>2.9891499028863455E-2</v>
      </c>
      <c r="BT76" s="222">
        <f t="shared" si="94"/>
        <v>0.18594875410510303</v>
      </c>
      <c r="BU76" s="222">
        <f t="shared" si="94"/>
        <v>0.29919817534845383</v>
      </c>
      <c r="BV76" s="222">
        <f t="shared" si="94"/>
        <v>0.19418895254789725</v>
      </c>
      <c r="BW76" s="222">
        <f t="shared" si="94"/>
        <v>0.19594647383435571</v>
      </c>
      <c r="BX76" s="223">
        <f t="shared" si="94"/>
        <v>0.22223206814614671</v>
      </c>
      <c r="BY76" s="1097">
        <f t="shared" si="94"/>
        <v>0.36074017982472961</v>
      </c>
      <c r="BZ76" s="1097">
        <f t="shared" si="94"/>
        <v>0.14841019215791262</v>
      </c>
      <c r="CA76" s="1097">
        <f t="shared" si="94"/>
        <v>0.32076708756106642</v>
      </c>
      <c r="CB76" s="1097">
        <f t="shared" si="94"/>
        <v>4.1143391935785534E-2</v>
      </c>
      <c r="CC76" s="223">
        <f>CC49/BX49-1</f>
        <v>0.21068063893220002</v>
      </c>
      <c r="CD76" s="223">
        <f>CD49/CC49-1</f>
        <v>0.10414873672544944</v>
      </c>
      <c r="CE76" s="223">
        <f>CE49/CD49-1</f>
        <v>0.1187887441297133</v>
      </c>
      <c r="CF76" s="223">
        <f>CF49/CE49-1</f>
        <v>7.8991766867734459E-2</v>
      </c>
      <c r="CG76" s="223">
        <f>CG49/CF49-1</f>
        <v>6.1215834267611235E-2</v>
      </c>
      <c r="CH76" s="223">
        <f>CH49/CG49-1</f>
        <v>6.9121686158441387E-2</v>
      </c>
    </row>
    <row r="77" spans="1:86" ht="12.75" customHeight="1">
      <c r="G77" s="9"/>
      <c r="H77" s="70" t="str">
        <f>H50</f>
        <v>Dil. shares outstanding</v>
      </c>
      <c r="I77" s="70"/>
      <c r="J77" s="70"/>
      <c r="K77" s="70"/>
      <c r="L77" s="222">
        <v>2.0709324255945294E-3</v>
      </c>
      <c r="M77" s="222">
        <v>-4.3733542618640264E-4</v>
      </c>
      <c r="N77" s="222">
        <v>1.9849430774880883E-3</v>
      </c>
      <c r="O77" s="222">
        <v>3.9330644576383023E-3</v>
      </c>
      <c r="P77" s="223">
        <v>1.8870207179724208E-3</v>
      </c>
      <c r="Q77" s="222">
        <f t="shared" ref="Q77:AV77" si="95">Q50/L50-1</f>
        <v>-2.0262559435770822E-3</v>
      </c>
      <c r="R77" s="222">
        <f t="shared" si="95"/>
        <v>-4.5027650407855058E-3</v>
      </c>
      <c r="S77" s="222">
        <f t="shared" si="95"/>
        <v>-4.5356169630241805E-3</v>
      </c>
      <c r="T77" s="222">
        <f t="shared" si="95"/>
        <v>-4.0365391843337761E-3</v>
      </c>
      <c r="U77" s="223">
        <f t="shared" si="95"/>
        <v>-3.7760984425196931E-3</v>
      </c>
      <c r="V77" s="222">
        <f t="shared" si="95"/>
        <v>2.6541084863394016E-3</v>
      </c>
      <c r="W77" s="222">
        <f t="shared" si="95"/>
        <v>4.2715906054491271E-3</v>
      </c>
      <c r="X77" s="222">
        <f t="shared" si="95"/>
        <v>3.5124796117862456E-3</v>
      </c>
      <c r="Y77" s="222">
        <f t="shared" si="95"/>
        <v>3.2494809920511347E-3</v>
      </c>
      <c r="Z77" s="218">
        <f t="shared" si="95"/>
        <v>3.4214902986857698E-3</v>
      </c>
      <c r="AA77" s="222">
        <f t="shared" si="95"/>
        <v>3.8325355383488358E-3</v>
      </c>
      <c r="AB77" s="222">
        <f t="shared" si="95"/>
        <v>3.565314244926121E-3</v>
      </c>
      <c r="AC77" s="222">
        <f t="shared" si="95"/>
        <v>3.4818404957492888E-3</v>
      </c>
      <c r="AD77" s="222">
        <f t="shared" si="95"/>
        <v>3.5592823227499348E-3</v>
      </c>
      <c r="AE77" s="223">
        <f t="shared" si="95"/>
        <v>3.6097003476525114E-3</v>
      </c>
      <c r="AF77" s="222">
        <f t="shared" si="95"/>
        <v>2.9248959833865218E-3</v>
      </c>
      <c r="AG77" s="222">
        <f t="shared" si="95"/>
        <v>3.0909682656932169E-3</v>
      </c>
      <c r="AH77" s="222">
        <f t="shared" si="95"/>
        <v>3.3600725395421804E-3</v>
      </c>
      <c r="AI77" s="222">
        <f t="shared" si="95"/>
        <v>4.4887257472467912E-3</v>
      </c>
      <c r="AJ77" s="223">
        <f t="shared" si="95"/>
        <v>3.4667622258810482E-3</v>
      </c>
      <c r="AK77" s="222">
        <f t="shared" si="95"/>
        <v>5.604890745641633E-3</v>
      </c>
      <c r="AL77" s="222">
        <f t="shared" si="95"/>
        <v>6.00977203150177E-3</v>
      </c>
      <c r="AM77" s="222">
        <f t="shared" si="95"/>
        <v>6.8306458959643823E-3</v>
      </c>
      <c r="AN77" s="222">
        <f t="shared" si="95"/>
        <v>7.1850937902597778E-3</v>
      </c>
      <c r="AO77" s="223">
        <f t="shared" si="95"/>
        <v>6.4083888988022419E-3</v>
      </c>
      <c r="AP77" s="222">
        <f t="shared" si="95"/>
        <v>7.81217430392811E-3</v>
      </c>
      <c r="AQ77" s="222">
        <f t="shared" si="95"/>
        <v>9.1954481172886737E-3</v>
      </c>
      <c r="AR77" s="222">
        <f t="shared" si="95"/>
        <v>7.8203181692328982E-3</v>
      </c>
      <c r="AS77" s="222">
        <f t="shared" si="95"/>
        <v>5.879060107575329E-3</v>
      </c>
      <c r="AT77" s="223">
        <f t="shared" si="95"/>
        <v>7.6745250546614852E-3</v>
      </c>
      <c r="AU77" s="222">
        <f t="shared" si="95"/>
        <v>4.4576295877973848E-3</v>
      </c>
      <c r="AV77" s="222">
        <f t="shared" si="95"/>
        <v>4.2640784159531098E-3</v>
      </c>
      <c r="AW77" s="222">
        <f t="shared" ref="AW77:BY77" si="96">AW50/AR50-1</f>
        <v>5.2072064145602948E-3</v>
      </c>
      <c r="AX77" s="222">
        <f t="shared" si="96"/>
        <v>-1.7949910519292622E-3</v>
      </c>
      <c r="AY77" s="223">
        <f t="shared" si="96"/>
        <v>3.0307199283974295E-3</v>
      </c>
      <c r="AZ77" s="222">
        <f t="shared" si="96"/>
        <v>-2.2477513086591294E-2</v>
      </c>
      <c r="BA77" s="222">
        <f t="shared" si="96"/>
        <v>-3.0991135301736805E-2</v>
      </c>
      <c r="BB77" s="222">
        <f t="shared" si="96"/>
        <v>-3.1602987028877982E-2</v>
      </c>
      <c r="BC77" s="222">
        <f t="shared" si="96"/>
        <v>-3.1335511904334368E-2</v>
      </c>
      <c r="BD77" s="1066">
        <f t="shared" si="96"/>
        <v>-2.9102452312052329E-2</v>
      </c>
      <c r="BE77" s="222">
        <f t="shared" si="96"/>
        <v>-1.4690312819404361E-2</v>
      </c>
      <c r="BF77" s="222">
        <f t="shared" si="96"/>
        <v>-7.0283578881533693E-3</v>
      </c>
      <c r="BG77" s="222">
        <f t="shared" si="96"/>
        <v>-9.1039301567802378E-3</v>
      </c>
      <c r="BH77" s="222">
        <f t="shared" si="96"/>
        <v>-8.5164081499496946E-3</v>
      </c>
      <c r="BI77" s="223">
        <f t="shared" si="96"/>
        <v>-9.8450248044202882E-3</v>
      </c>
      <c r="BJ77" s="222">
        <f t="shared" si="96"/>
        <v>-8.1796853795559343E-3</v>
      </c>
      <c r="BK77" s="222">
        <f t="shared" si="96"/>
        <v>-1.0064863278020142E-2</v>
      </c>
      <c r="BL77" s="222">
        <f t="shared" si="96"/>
        <v>-8.5881610519867868E-3</v>
      </c>
      <c r="BM77" s="222">
        <f t="shared" si="96"/>
        <v>-4.5747424487304622E-3</v>
      </c>
      <c r="BN77" s="223">
        <f t="shared" si="96"/>
        <v>-7.8565282268264758E-3</v>
      </c>
      <c r="BO77" s="222">
        <f t="shared" si="96"/>
        <v>-3.7121521673121327E-3</v>
      </c>
      <c r="BP77" s="222">
        <f t="shared" si="96"/>
        <v>-5.1624273637742579E-3</v>
      </c>
      <c r="BQ77" s="222">
        <f t="shared" si="96"/>
        <v>-4.1054903540223009E-3</v>
      </c>
      <c r="BR77" s="222">
        <f t="shared" si="96"/>
        <v>-3.1881137353705347E-3</v>
      </c>
      <c r="BS77" s="223">
        <f t="shared" si="96"/>
        <v>-4.0420656339497096E-3</v>
      </c>
      <c r="BT77" s="222">
        <f t="shared" si="96"/>
        <v>-6.3673776544458383E-3</v>
      </c>
      <c r="BU77" s="222">
        <f t="shared" si="96"/>
        <v>-2.8044973836955922E-3</v>
      </c>
      <c r="BV77" s="222">
        <f t="shared" si="96"/>
        <v>-4.4881814051089819E-3</v>
      </c>
      <c r="BW77" s="222">
        <f t="shared" si="96"/>
        <v>-4.2675539661873874E-3</v>
      </c>
      <c r="BX77" s="223">
        <f t="shared" si="96"/>
        <v>-4.483160999490865E-3</v>
      </c>
      <c r="BY77" s="222">
        <f t="shared" si="96"/>
        <v>-6.1222789608315065E-3</v>
      </c>
      <c r="BZ77" s="1247">
        <v>-7.0000000000000001E-3</v>
      </c>
      <c r="CA77" s="1247">
        <v>-7.0000000000000001E-3</v>
      </c>
      <c r="CB77" s="1247">
        <v>-8.0000000000000002E-3</v>
      </c>
      <c r="CC77" s="223">
        <f>CC50/BX50-1</f>
        <v>-7.0307178032228412E-3</v>
      </c>
      <c r="CD77" s="224">
        <v>-3.0000000000000001E-3</v>
      </c>
      <c r="CE77" s="224">
        <v>-3.0000000000000001E-3</v>
      </c>
      <c r="CF77" s="224">
        <v>-3.0000000000000001E-3</v>
      </c>
      <c r="CG77" s="224">
        <v>-3.0000000000000001E-3</v>
      </c>
      <c r="CH77" s="224">
        <v>-3.0000000000000001E-3</v>
      </c>
    </row>
    <row r="78" spans="1:86" ht="12.75" customHeight="1">
      <c r="G78" s="9"/>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225"/>
      <c r="AP78" s="225"/>
      <c r="AQ78" s="225"/>
      <c r="AR78" s="225"/>
      <c r="AS78" s="225"/>
      <c r="AT78" s="225"/>
      <c r="AU78" s="225"/>
      <c r="AV78" s="225"/>
      <c r="AW78" s="225"/>
      <c r="AX78" s="225"/>
      <c r="AY78" s="225"/>
      <c r="AZ78" s="225"/>
      <c r="BA78" s="225"/>
      <c r="BB78" s="225"/>
      <c r="BC78" s="225"/>
      <c r="BD78" s="225"/>
      <c r="BE78" s="225"/>
      <c r="BF78" s="225"/>
      <c r="BG78" s="225"/>
      <c r="BH78" s="225"/>
      <c r="BI78" s="225"/>
      <c r="BJ78" s="225"/>
      <c r="BK78" s="225"/>
      <c r="BL78" s="225"/>
      <c r="BM78" s="225"/>
      <c r="BN78" s="225"/>
      <c r="BO78" s="225"/>
      <c r="BP78" s="225"/>
      <c r="BQ78" s="225"/>
      <c r="BR78" s="225"/>
      <c r="BS78" s="225"/>
      <c r="BT78" s="225"/>
      <c r="BU78" s="225"/>
      <c r="BV78" s="225"/>
      <c r="BW78" s="225"/>
      <c r="BX78" s="225"/>
      <c r="BY78" s="225"/>
      <c r="BZ78" s="225"/>
      <c r="CA78" s="225"/>
      <c r="CB78" s="225"/>
      <c r="CC78" s="225"/>
      <c r="CD78" s="225"/>
      <c r="CE78" s="225"/>
      <c r="CF78" s="225"/>
      <c r="CG78" s="225"/>
      <c r="CH78" s="225"/>
    </row>
    <row r="79" spans="1:86" ht="12.75" customHeight="1">
      <c r="G79" s="9"/>
      <c r="H79" s="1001"/>
      <c r="I79" s="70"/>
      <c r="J79" s="70"/>
      <c r="K79" s="70"/>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7"/>
      <c r="BO79" s="226"/>
      <c r="BP79" s="226"/>
      <c r="BQ79" s="226"/>
      <c r="BR79" s="226"/>
      <c r="BS79" s="227"/>
      <c r="BT79" s="226"/>
      <c r="BU79" s="226"/>
      <c r="BV79" s="226"/>
      <c r="BW79" s="226"/>
      <c r="BX79" s="227"/>
      <c r="BY79" s="226"/>
      <c r="BZ79" s="226"/>
      <c r="CA79" s="226"/>
      <c r="CB79" s="226"/>
      <c r="CC79" s="227"/>
      <c r="CD79" s="227"/>
      <c r="CE79" s="227"/>
      <c r="CF79" s="227"/>
      <c r="CG79" s="227"/>
      <c r="CH79" s="227"/>
    </row>
    <row r="80" spans="1:86">
      <c r="G80" s="9"/>
      <c r="H80" s="228"/>
      <c r="I80" s="228"/>
      <c r="J80" s="228"/>
      <c r="K80" s="228"/>
      <c r="L80" s="227"/>
      <c r="M80" s="227"/>
      <c r="N80" s="227"/>
      <c r="O80" s="227"/>
      <c r="P80" s="229"/>
      <c r="Q80" s="227"/>
      <c r="R80" s="227"/>
      <c r="S80" s="227"/>
      <c r="T80" s="227"/>
      <c r="U80" s="229"/>
      <c r="V80" s="227"/>
      <c r="W80" s="227"/>
      <c r="X80" s="227"/>
      <c r="Y80" s="227"/>
      <c r="Z80" s="229"/>
      <c r="AA80" s="227"/>
      <c r="AB80" s="227"/>
      <c r="AC80" s="227"/>
      <c r="AD80" s="227"/>
      <c r="AE80" s="229"/>
      <c r="AF80" s="227"/>
      <c r="AG80" s="227"/>
      <c r="AH80" s="227"/>
      <c r="AI80" s="227"/>
      <c r="AO80" s="227"/>
      <c r="AP80" s="227"/>
      <c r="AQ80" s="227"/>
      <c r="AR80" s="227"/>
      <c r="AS80" s="227"/>
      <c r="AY80" s="229"/>
      <c r="AZ80" s="229"/>
      <c r="BA80" s="229"/>
      <c r="BB80" s="229"/>
      <c r="BC80" s="229"/>
      <c r="BD80" s="227"/>
      <c r="BE80" s="227"/>
      <c r="BF80" s="227"/>
      <c r="BG80" s="227"/>
      <c r="BH80" s="227"/>
      <c r="BI80" s="227"/>
      <c r="BJ80" s="227"/>
      <c r="BK80" s="227"/>
      <c r="BL80" s="227"/>
      <c r="BM80" s="227"/>
      <c r="BN80" s="276"/>
      <c r="BO80" s="227"/>
      <c r="BP80" s="227"/>
      <c r="BQ80" s="227"/>
      <c r="BR80" s="227"/>
      <c r="BS80" s="276"/>
      <c r="BT80" s="227"/>
      <c r="BU80" s="227"/>
      <c r="BV80" s="227"/>
      <c r="BW80" s="227"/>
      <c r="BX80" s="276"/>
      <c r="BY80" s="227"/>
      <c r="BZ80" s="227"/>
      <c r="CA80" s="227"/>
      <c r="CB80" s="227"/>
      <c r="CC80" s="276"/>
      <c r="CD80" s="276"/>
      <c r="CE80" s="276"/>
      <c r="CF80" s="276"/>
      <c r="CG80" s="276"/>
      <c r="CH80" s="276"/>
    </row>
    <row r="81" spans="1:86">
      <c r="G81" s="9"/>
    </row>
    <row r="82" spans="1:86">
      <c r="G82" s="9"/>
    </row>
    <row r="83" spans="1:86">
      <c r="G83" s="9"/>
    </row>
    <row r="84" spans="1:86">
      <c r="G84" s="9"/>
    </row>
    <row r="85" spans="1:86">
      <c r="G85" s="9"/>
    </row>
    <row r="86" spans="1:86" s="14" customFormat="1">
      <c r="A86"/>
      <c r="B86"/>
      <c r="C86"/>
      <c r="D86"/>
      <c r="E86"/>
      <c r="F86"/>
      <c r="G86" s="9"/>
      <c r="H86" s="230" t="str">
        <f>CFBS!H66</f>
        <v>Cash and short-term investments</v>
      </c>
      <c r="I86" s="9"/>
      <c r="J86" s="9"/>
      <c r="K86" s="231"/>
      <c r="L86" s="231"/>
      <c r="M86" s="231"/>
      <c r="N86" s="231"/>
      <c r="O86" s="231"/>
      <c r="P86" s="231">
        <v>5037.7</v>
      </c>
      <c r="Q86" s="231"/>
      <c r="R86" s="231"/>
      <c r="S86" s="231"/>
      <c r="T86" s="231"/>
      <c r="U86" s="231">
        <v>3891</v>
      </c>
      <c r="V86" s="231"/>
      <c r="W86" s="231"/>
      <c r="X86" s="231"/>
      <c r="Y86" s="231"/>
      <c r="Z86" s="231">
        <v>4831.2</v>
      </c>
      <c r="AA86" s="231"/>
      <c r="AB86" s="231"/>
      <c r="AC86" s="231"/>
      <c r="AD86" s="231"/>
      <c r="AE86" s="231">
        <v>5926.1</v>
      </c>
      <c r="AF86" s="230"/>
      <c r="AG86" s="230"/>
      <c r="AH86" s="230"/>
      <c r="AI86" s="230"/>
      <c r="AJ86" s="231">
        <v>4497.6000000000004</v>
      </c>
      <c r="AK86" s="230"/>
      <c r="AL86" s="230"/>
      <c r="AM86" s="230"/>
      <c r="AN86" s="230"/>
      <c r="AO86" s="230"/>
      <c r="AP86" s="230"/>
      <c r="AQ86" s="230"/>
      <c r="AR86" s="230"/>
      <c r="AS86" s="230"/>
      <c r="AT86" s="230"/>
      <c r="AU86" s="230"/>
      <c r="AV86" s="230"/>
      <c r="AW86" s="230"/>
      <c r="AX86" s="230"/>
      <c r="AY86" s="230"/>
      <c r="AZ86" s="230"/>
      <c r="BA86" s="230"/>
      <c r="BB86" s="230"/>
      <c r="BC86" s="230"/>
      <c r="BD86" s="230"/>
      <c r="BE86" s="230"/>
      <c r="BF86" s="230"/>
      <c r="BG86" s="230"/>
      <c r="BH86" s="230"/>
      <c r="BI86" s="230"/>
      <c r="BJ86" s="230"/>
      <c r="BK86" s="230"/>
      <c r="BL86" s="230"/>
      <c r="BM86" s="230"/>
      <c r="BN86" s="230"/>
      <c r="BO86" s="230"/>
      <c r="BP86" s="230"/>
      <c r="BQ86" s="230"/>
      <c r="BR86" s="230"/>
      <c r="BS86" s="230"/>
      <c r="BT86" s="230"/>
      <c r="BU86" s="230"/>
      <c r="BV86" s="230"/>
      <c r="BW86" s="230"/>
      <c r="BX86" s="230"/>
      <c r="BY86" s="230"/>
      <c r="BZ86" s="230"/>
      <c r="CA86" s="230"/>
      <c r="CB86" s="230"/>
      <c r="CC86" s="230"/>
      <c r="CD86" s="230"/>
      <c r="CE86" s="230"/>
      <c r="CF86" s="230"/>
      <c r="CG86" s="230"/>
      <c r="CH86" s="230"/>
    </row>
    <row r="87" spans="1:86" s="14" customFormat="1">
      <c r="A87"/>
      <c r="B87"/>
      <c r="C87"/>
      <c r="D87"/>
      <c r="E87"/>
      <c r="F87"/>
      <c r="G87" s="9"/>
      <c r="H87" s="230" t="str">
        <f>CFBS!H66 &amp; " (from BS)"</f>
        <v>Cash and short-term investments (from BS)</v>
      </c>
      <c r="I87" s="9"/>
      <c r="J87" s="9"/>
      <c r="K87" s="231"/>
      <c r="L87" s="231"/>
      <c r="M87" s="231"/>
      <c r="N87" s="231"/>
      <c r="O87" s="231"/>
      <c r="P87" s="231">
        <f>CFBS!P66</f>
        <v>5037.7</v>
      </c>
      <c r="Q87" s="231"/>
      <c r="R87" s="231"/>
      <c r="S87" s="231"/>
      <c r="T87" s="231"/>
      <c r="U87" s="231">
        <f>CFBS!U66</f>
        <v>3891</v>
      </c>
      <c r="V87" s="231"/>
      <c r="W87" s="231"/>
      <c r="X87" s="231"/>
      <c r="Y87" s="231"/>
      <c r="Z87" s="231">
        <f>CFBS!Z66</f>
        <v>4831.2</v>
      </c>
      <c r="AA87" s="231"/>
      <c r="AB87" s="231"/>
      <c r="AC87" s="231"/>
      <c r="AD87" s="231"/>
      <c r="AE87" s="231">
        <f>CFBS!AE66</f>
        <v>5926.0999999999985</v>
      </c>
      <c r="AF87" s="231"/>
      <c r="AG87" s="230"/>
      <c r="AH87" s="230"/>
      <c r="AI87" s="230"/>
      <c r="AJ87" s="231">
        <f>CFBS!AJ66</f>
        <v>4497.6000000000013</v>
      </c>
      <c r="AK87" s="230"/>
      <c r="AL87" s="230"/>
      <c r="AM87" s="230"/>
      <c r="AN87" s="230"/>
      <c r="AO87" s="230"/>
      <c r="AP87" s="230"/>
      <c r="AQ87" s="230"/>
      <c r="AR87" s="230"/>
      <c r="AS87" s="230"/>
      <c r="AT87" s="230"/>
      <c r="AU87" s="230"/>
      <c r="AV87" s="230"/>
      <c r="AW87" s="230"/>
      <c r="AX87" s="230"/>
      <c r="AY87" s="230"/>
      <c r="AZ87" s="230"/>
      <c r="BA87" s="230"/>
      <c r="BB87" s="230"/>
      <c r="BC87" s="230"/>
      <c r="BD87" s="230"/>
      <c r="BE87" s="230"/>
      <c r="BF87" s="230"/>
      <c r="BG87" s="230"/>
      <c r="BH87" s="230"/>
      <c r="BI87" s="230"/>
      <c r="BJ87" s="230"/>
      <c r="BK87" s="230"/>
      <c r="BL87" s="230"/>
      <c r="BM87" s="230"/>
      <c r="BN87" s="230"/>
      <c r="BO87" s="230"/>
      <c r="BP87" s="230"/>
      <c r="BQ87" s="230"/>
      <c r="BR87" s="230"/>
      <c r="BS87" s="230"/>
      <c r="BT87" s="230"/>
      <c r="BU87" s="230"/>
      <c r="BV87" s="230"/>
      <c r="BW87" s="230"/>
      <c r="BX87" s="230"/>
      <c r="BY87" s="230"/>
      <c r="BZ87" s="230"/>
      <c r="CA87" s="230"/>
      <c r="CB87" s="230"/>
      <c r="CC87" s="230"/>
      <c r="CD87" s="230"/>
      <c r="CE87" s="230"/>
      <c r="CF87" s="230"/>
      <c r="CG87" s="230"/>
      <c r="CH87" s="230"/>
    </row>
    <row r="88" spans="1:86" s="14" customFormat="1">
      <c r="A88"/>
      <c r="B88"/>
      <c r="C88"/>
      <c r="D88"/>
      <c r="E88"/>
      <c r="F88"/>
      <c r="G88" s="9"/>
      <c r="H88" s="9" t="str">
        <f>H36</f>
        <v>Interest income</v>
      </c>
      <c r="I88" s="9"/>
      <c r="J88" s="232">
        <f>J36</f>
        <v>0</v>
      </c>
      <c r="K88" s="232"/>
      <c r="L88" s="233"/>
      <c r="M88" s="233"/>
      <c r="N88" s="233"/>
      <c r="O88" s="233"/>
      <c r="P88" s="233">
        <v>212.2</v>
      </c>
      <c r="Q88" s="233"/>
      <c r="R88" s="233"/>
      <c r="S88" s="233"/>
      <c r="T88" s="233"/>
      <c r="U88" s="233">
        <v>261.5</v>
      </c>
      <c r="V88" s="233"/>
      <c r="W88" s="233"/>
      <c r="X88" s="233"/>
      <c r="Y88" s="233"/>
      <c r="Z88" s="233">
        <v>215</v>
      </c>
      <c r="AA88" s="233"/>
      <c r="AB88" s="233"/>
      <c r="AC88" s="233"/>
      <c r="AD88" s="233"/>
      <c r="AE88" s="233">
        <v>26.8</v>
      </c>
      <c r="AF88" s="233"/>
      <c r="AG88" s="232"/>
      <c r="AH88" s="232"/>
      <c r="AI88" s="232"/>
      <c r="AJ88" s="233">
        <f>AJ36</f>
        <v>75.2</v>
      </c>
      <c r="AK88" s="232"/>
      <c r="AL88" s="232"/>
      <c r="AM88" s="232"/>
      <c r="AN88" s="232"/>
      <c r="AO88" s="232"/>
      <c r="AP88" s="232"/>
      <c r="AQ88" s="232"/>
      <c r="AR88" s="232"/>
      <c r="AS88" s="232"/>
      <c r="AT88" s="232"/>
      <c r="AU88" s="232"/>
      <c r="AV88" s="232"/>
      <c r="AW88" s="232"/>
      <c r="AX88" s="232"/>
      <c r="AY88" s="232"/>
      <c r="AZ88" s="232"/>
      <c r="BA88" s="232"/>
      <c r="BB88" s="232"/>
      <c r="BC88" s="232"/>
      <c r="BD88" s="232"/>
      <c r="BE88" s="232"/>
      <c r="BF88" s="232"/>
      <c r="BG88" s="232"/>
      <c r="BH88" s="232"/>
      <c r="BI88" s="232"/>
      <c r="BJ88" s="232"/>
      <c r="BK88" s="232"/>
      <c r="BL88" s="232"/>
      <c r="BM88" s="232"/>
      <c r="BN88" s="232"/>
      <c r="BO88" s="232"/>
      <c r="BP88" s="232"/>
      <c r="BQ88" s="232"/>
      <c r="BR88" s="232"/>
      <c r="BS88" s="232"/>
      <c r="BT88" s="232"/>
      <c r="BU88" s="232"/>
      <c r="BV88" s="232"/>
      <c r="BW88" s="232"/>
      <c r="BX88" s="232"/>
      <c r="BY88" s="232"/>
      <c r="BZ88" s="232"/>
      <c r="CA88" s="232"/>
      <c r="CB88" s="232"/>
      <c r="CC88" s="232"/>
      <c r="CD88" s="232"/>
      <c r="CE88" s="232"/>
      <c r="CF88" s="232"/>
      <c r="CG88" s="232"/>
      <c r="CH88" s="232"/>
    </row>
    <row r="89" spans="1:86" s="14" customFormat="1">
      <c r="A89"/>
      <c r="B89"/>
      <c r="C89"/>
      <c r="D89"/>
      <c r="E89"/>
      <c r="F89"/>
      <c r="G89" s="9"/>
      <c r="H89" s="9" t="s">
        <v>247</v>
      </c>
      <c r="I89" s="9"/>
      <c r="J89" s="9"/>
      <c r="K89" s="9"/>
      <c r="L89" s="234"/>
      <c r="M89" s="234"/>
      <c r="N89" s="234"/>
      <c r="O89" s="234"/>
      <c r="P89" s="234"/>
      <c r="Q89" s="234"/>
      <c r="R89" s="234"/>
      <c r="S89" s="234"/>
      <c r="T89" s="234"/>
      <c r="U89" s="235">
        <f>U88/AVERAGE(U87,P87)</f>
        <v>5.8575156517746141E-2</v>
      </c>
      <c r="V89" s="235"/>
      <c r="W89" s="235"/>
      <c r="X89" s="235"/>
      <c r="Y89" s="235"/>
      <c r="Z89" s="235">
        <f>Z88/AVERAGE(Z87,U87)</f>
        <v>4.9299488661117601E-2</v>
      </c>
      <c r="AA89" s="235"/>
      <c r="AB89" s="235"/>
      <c r="AC89" s="235"/>
      <c r="AD89" s="235"/>
      <c r="AE89" s="235">
        <f>AE88/AVERAGE(AE87,Z87)</f>
        <v>4.9826629358668073E-3</v>
      </c>
      <c r="AF89" s="235"/>
      <c r="AG89" s="236"/>
      <c r="AH89" s="236"/>
      <c r="AI89" s="236"/>
      <c r="AJ89" s="235">
        <f>AJ88/AVERAGE(AJ87,AE87)</f>
        <v>1.4428657770273511E-2</v>
      </c>
      <c r="AK89" s="237"/>
      <c r="AL89" s="237"/>
      <c r="AM89" s="237"/>
      <c r="AN89" s="237"/>
      <c r="AO89" s="238"/>
      <c r="AP89" s="237"/>
      <c r="AQ89" s="237"/>
      <c r="AR89" s="237"/>
      <c r="AS89" s="237"/>
      <c r="AT89" s="238"/>
      <c r="AU89" s="237"/>
      <c r="AV89" s="237"/>
      <c r="AW89" s="237"/>
      <c r="AX89" s="237"/>
      <c r="AY89" s="238"/>
      <c r="AZ89" s="237"/>
      <c r="BA89" s="237"/>
      <c r="BB89" s="237"/>
      <c r="BC89" s="237"/>
      <c r="BD89" s="238"/>
      <c r="BE89" s="237"/>
      <c r="BF89" s="237"/>
      <c r="BG89" s="237"/>
      <c r="BH89" s="237"/>
      <c r="BI89" s="238"/>
      <c r="BJ89" s="237"/>
      <c r="BK89" s="237"/>
      <c r="BL89" s="237"/>
      <c r="BM89" s="237"/>
      <c r="BN89" s="238"/>
      <c r="BO89" s="237"/>
      <c r="BP89" s="237"/>
      <c r="BQ89" s="237"/>
      <c r="BR89" s="237"/>
      <c r="BS89" s="238"/>
      <c r="BT89" s="237"/>
      <c r="BU89" s="237"/>
      <c r="BV89" s="237"/>
      <c r="BW89" s="237"/>
      <c r="BX89" s="238"/>
      <c r="BY89" s="237"/>
      <c r="BZ89" s="237"/>
      <c r="CA89" s="237"/>
      <c r="CB89" s="237"/>
      <c r="CC89" s="238"/>
      <c r="CD89" s="238"/>
      <c r="CE89" s="238"/>
      <c r="CF89" s="238"/>
      <c r="CG89" s="238"/>
      <c r="CH89" s="238"/>
    </row>
    <row r="90" spans="1:86" s="14" customFormat="1">
      <c r="A90"/>
      <c r="B90"/>
      <c r="C90"/>
      <c r="D90"/>
      <c r="E90"/>
      <c r="F90"/>
      <c r="G90" s="9"/>
      <c r="H90" s="9"/>
      <c r="I90" s="9"/>
      <c r="J90" s="9"/>
      <c r="K90" s="9"/>
      <c r="L90" s="234"/>
      <c r="M90" s="234"/>
      <c r="N90" s="234"/>
      <c r="O90" s="234"/>
      <c r="P90" s="234"/>
      <c r="Q90" s="234"/>
      <c r="R90" s="234"/>
      <c r="S90" s="234"/>
      <c r="T90" s="234"/>
      <c r="U90" s="235"/>
      <c r="V90" s="235"/>
      <c r="W90" s="235"/>
      <c r="X90" s="235"/>
      <c r="Y90" s="235"/>
      <c r="Z90" s="235"/>
      <c r="AA90" s="235"/>
      <c r="AB90" s="235"/>
      <c r="AC90" s="235"/>
      <c r="AD90" s="235"/>
      <c r="AE90" s="235"/>
      <c r="AF90" s="235"/>
      <c r="AG90" s="236"/>
      <c r="AH90" s="236"/>
      <c r="AI90" s="236"/>
      <c r="AJ90" s="235"/>
      <c r="AK90" s="237"/>
      <c r="AL90" s="237"/>
      <c r="AM90" s="237"/>
      <c r="AN90" s="237"/>
      <c r="AO90" s="238"/>
      <c r="AP90" s="237"/>
      <c r="AQ90" s="237"/>
      <c r="AR90" s="237"/>
      <c r="AS90" s="237"/>
      <c r="AT90" s="238"/>
      <c r="AU90" s="237"/>
      <c r="AV90" s="237"/>
      <c r="AW90" s="237"/>
      <c r="AX90" s="237"/>
      <c r="AY90" s="238"/>
      <c r="AZ90" s="237"/>
      <c r="BA90" s="237"/>
      <c r="BB90" s="237"/>
      <c r="BC90" s="237"/>
      <c r="BD90" s="238"/>
      <c r="BE90" s="237"/>
      <c r="BF90" s="237"/>
      <c r="BG90" s="237"/>
      <c r="BH90" s="237"/>
      <c r="BI90" s="1029">
        <v>0</v>
      </c>
      <c r="BJ90" s="1029">
        <v>0</v>
      </c>
      <c r="BK90" s="1029">
        <v>0</v>
      </c>
      <c r="BL90" s="1029">
        <v>0</v>
      </c>
      <c r="BM90" s="1029">
        <v>0</v>
      </c>
      <c r="BN90" s="1029">
        <v>0</v>
      </c>
      <c r="BO90" s="1029">
        <v>0</v>
      </c>
      <c r="BP90" s="1029">
        <v>0</v>
      </c>
      <c r="BQ90" s="1029">
        <v>0</v>
      </c>
      <c r="BR90" s="1029">
        <v>0</v>
      </c>
      <c r="BS90" s="1029">
        <v>0</v>
      </c>
      <c r="BT90" s="1029">
        <v>0</v>
      </c>
      <c r="BU90" s="1029">
        <v>0</v>
      </c>
      <c r="BV90" s="1029">
        <v>0</v>
      </c>
      <c r="BW90" s="1029">
        <v>0</v>
      </c>
      <c r="BX90" s="1029">
        <v>0</v>
      </c>
      <c r="BY90" s="1029">
        <v>0</v>
      </c>
      <c r="BZ90" s="1029">
        <v>0</v>
      </c>
      <c r="CA90" s="1029">
        <v>0</v>
      </c>
      <c r="CB90" s="1029">
        <v>0</v>
      </c>
      <c r="CC90" s="1029">
        <v>0</v>
      </c>
      <c r="CD90" s="1029">
        <v>0</v>
      </c>
      <c r="CE90" s="1029">
        <v>0</v>
      </c>
      <c r="CF90" s="1029">
        <v>0</v>
      </c>
      <c r="CG90" s="1029">
        <v>0</v>
      </c>
      <c r="CH90" s="1029">
        <v>0</v>
      </c>
    </row>
    <row r="91" spans="1:86" s="14" customFormat="1">
      <c r="A91"/>
      <c r="B91"/>
      <c r="C91"/>
      <c r="D91"/>
      <c r="E91"/>
      <c r="F91"/>
      <c r="G91" s="9"/>
      <c r="H91" s="9"/>
      <c r="I91" s="9"/>
      <c r="J91" s="9"/>
      <c r="K91" s="1029"/>
      <c r="L91" s="1029"/>
      <c r="M91" s="1029"/>
      <c r="N91" s="1029"/>
      <c r="O91" s="1029"/>
      <c r="P91" s="1029"/>
      <c r="Q91" s="1029"/>
      <c r="R91" s="1029"/>
      <c r="S91" s="1029"/>
      <c r="T91" s="1029"/>
      <c r="U91" s="1029"/>
      <c r="V91" s="1029"/>
      <c r="W91" s="1029"/>
      <c r="X91" s="1029"/>
      <c r="Y91" s="1029"/>
      <c r="Z91" s="1029"/>
      <c r="AA91" s="1029"/>
      <c r="AB91" s="1029"/>
      <c r="AC91" s="1029"/>
      <c r="AD91" s="1029"/>
      <c r="AE91" s="1029"/>
      <c r="AF91" s="1029"/>
      <c r="AG91" s="1029"/>
      <c r="AH91" s="1029"/>
      <c r="AI91" s="1029"/>
      <c r="AJ91" s="1029"/>
      <c r="AK91" s="1029"/>
      <c r="AL91" s="1029"/>
      <c r="AM91" s="1029"/>
      <c r="AN91" s="1029"/>
      <c r="AO91" s="1029"/>
      <c r="AP91" s="1029"/>
      <c r="AQ91" s="1029"/>
      <c r="AR91" s="1029"/>
      <c r="AS91" s="1029"/>
      <c r="AT91" s="1029"/>
      <c r="AU91" s="1029"/>
      <c r="AV91" s="1029"/>
      <c r="AW91" s="1029"/>
      <c r="AX91" s="1029"/>
      <c r="AY91" s="1029"/>
      <c r="AZ91" s="1029"/>
      <c r="BA91" s="1029"/>
      <c r="BB91" s="1029"/>
      <c r="BC91" s="1029"/>
      <c r="BD91" s="1029"/>
      <c r="BE91" s="1029"/>
      <c r="BF91" s="1029"/>
      <c r="BG91" s="1029"/>
      <c r="BH91" s="1029"/>
      <c r="BI91" s="1029">
        <f t="shared" ref="BI91:CH91" si="97">BI30</f>
        <v>0</v>
      </c>
      <c r="BJ91" s="1029">
        <f t="shared" si="97"/>
        <v>0</v>
      </c>
      <c r="BK91" s="1029">
        <f t="shared" si="97"/>
        <v>0</v>
      </c>
      <c r="BL91" s="1029">
        <f t="shared" si="97"/>
        <v>0</v>
      </c>
      <c r="BM91" s="1029">
        <f t="shared" si="97"/>
        <v>0</v>
      </c>
      <c r="BN91" s="1029">
        <f t="shared" si="97"/>
        <v>0</v>
      </c>
      <c r="BO91" s="1029">
        <f t="shared" si="97"/>
        <v>0</v>
      </c>
      <c r="BP91" s="1029">
        <f t="shared" si="97"/>
        <v>0</v>
      </c>
      <c r="BQ91" s="1029">
        <f t="shared" si="97"/>
        <v>0</v>
      </c>
      <c r="BR91" s="1029">
        <f t="shared" si="97"/>
        <v>0</v>
      </c>
      <c r="BS91" s="1029">
        <f t="shared" si="97"/>
        <v>0</v>
      </c>
      <c r="BT91" s="1029">
        <f t="shared" si="97"/>
        <v>0</v>
      </c>
      <c r="BU91" s="1029">
        <f t="shared" si="97"/>
        <v>0</v>
      </c>
      <c r="BV91" s="1029">
        <f t="shared" si="97"/>
        <v>0</v>
      </c>
      <c r="BW91" s="1029">
        <f t="shared" si="97"/>
        <v>0</v>
      </c>
      <c r="BX91" s="1029">
        <f t="shared" si="97"/>
        <v>0</v>
      </c>
      <c r="BY91" s="1029">
        <f t="shared" si="97"/>
        <v>0</v>
      </c>
      <c r="BZ91" s="1029">
        <f t="shared" si="97"/>
        <v>0</v>
      </c>
      <c r="CA91" s="1029">
        <f t="shared" si="97"/>
        <v>0</v>
      </c>
      <c r="CB91" s="1029">
        <f t="shared" si="97"/>
        <v>0</v>
      </c>
      <c r="CC91" s="1029">
        <f t="shared" si="97"/>
        <v>0</v>
      </c>
      <c r="CD91" s="1029">
        <f t="shared" si="97"/>
        <v>0</v>
      </c>
      <c r="CE91" s="1029">
        <f t="shared" si="97"/>
        <v>0</v>
      </c>
      <c r="CF91" s="1029">
        <f t="shared" si="97"/>
        <v>0</v>
      </c>
      <c r="CG91" s="1029">
        <f t="shared" si="97"/>
        <v>0</v>
      </c>
      <c r="CH91" s="1029">
        <f t="shared" si="97"/>
        <v>0</v>
      </c>
    </row>
    <row r="92" spans="1:86" s="14" customFormat="1">
      <c r="A92"/>
      <c r="B92"/>
      <c r="C92"/>
      <c r="D92"/>
      <c r="E92"/>
      <c r="F92"/>
      <c r="G92" s="9"/>
      <c r="H92" s="9"/>
      <c r="I92" s="9"/>
      <c r="J92" s="9"/>
      <c r="K92" s="485"/>
      <c r="L92" s="485">
        <f>35%-4.8%</f>
        <v>0.30199999999999999</v>
      </c>
      <c r="M92" s="485">
        <f>35%-4.8%</f>
        <v>0.30199999999999999</v>
      </c>
      <c r="N92" s="485">
        <f>35%-4.8%</f>
        <v>0.30199999999999999</v>
      </c>
      <c r="O92" s="485">
        <f>35%-4.8%</f>
        <v>0.30199999999999999</v>
      </c>
      <c r="P92" s="485">
        <f>35%-4.8%</f>
        <v>0.30199999999999999</v>
      </c>
      <c r="Q92" s="485">
        <f>35%-6.72%</f>
        <v>0.2828</v>
      </c>
      <c r="R92" s="485">
        <f>35%-6.72%</f>
        <v>0.2828</v>
      </c>
      <c r="S92" s="485">
        <f>35%-6.72%</f>
        <v>0.2828</v>
      </c>
      <c r="T92" s="485">
        <f>35%-6.72%</f>
        <v>0.2828</v>
      </c>
      <c r="U92" s="485">
        <f>35%-6.72%</f>
        <v>0.2828</v>
      </c>
      <c r="V92" s="485">
        <f>35%-11.6%</f>
        <v>0.23399999999999999</v>
      </c>
      <c r="W92" s="485">
        <f>35%-11.6%</f>
        <v>0.23399999999999999</v>
      </c>
      <c r="X92" s="485">
        <f>35%-11.6%</f>
        <v>0.23399999999999999</v>
      </c>
      <c r="Y92" s="485">
        <f>35%-11.6%</f>
        <v>0.23399999999999999</v>
      </c>
      <c r="Z92" s="485">
        <f>35%-11.6%</f>
        <v>0.23399999999999999</v>
      </c>
      <c r="AA92" s="485">
        <f>35%+49%</f>
        <v>0.84</v>
      </c>
      <c r="AB92" s="485">
        <f>35%+49%</f>
        <v>0.84</v>
      </c>
      <c r="AC92" s="485">
        <f>35%+49%</f>
        <v>0.84</v>
      </c>
      <c r="AD92" s="485">
        <f>35%+49%</f>
        <v>0.84</v>
      </c>
      <c r="AE92" s="485">
        <f>35%+49%</f>
        <v>0.84</v>
      </c>
      <c r="AF92" s="485">
        <f>35%-17.12%</f>
        <v>0.17879999999999996</v>
      </c>
      <c r="AG92" s="485">
        <f>35%-17.12%</f>
        <v>0.17879999999999996</v>
      </c>
      <c r="AH92" s="485">
        <f>35%-17.12%</f>
        <v>0.17879999999999996</v>
      </c>
      <c r="AI92" s="485">
        <f>35%-17.12%</f>
        <v>0.17879999999999996</v>
      </c>
      <c r="AJ92" s="485">
        <f>35%-17.12%</f>
        <v>0.17879999999999996</v>
      </c>
      <c r="AK92" s="485">
        <f>35%-16.24%</f>
        <v>0.18759999999999999</v>
      </c>
      <c r="AL92" s="485">
        <f>35%-16.24%</f>
        <v>0.18759999999999999</v>
      </c>
      <c r="AM92" s="485">
        <f>35%-16.24%</f>
        <v>0.18759999999999999</v>
      </c>
      <c r="AN92" s="485">
        <f>35%-16.24%</f>
        <v>0.18759999999999999</v>
      </c>
      <c r="AO92" s="485">
        <f t="shared" ref="AO92:AX92" si="98">AJ92</f>
        <v>0.17879999999999996</v>
      </c>
      <c r="AP92" s="485">
        <f t="shared" si="98"/>
        <v>0.18759999999999999</v>
      </c>
      <c r="AQ92" s="485">
        <f t="shared" si="98"/>
        <v>0.18759999999999999</v>
      </c>
      <c r="AR92" s="485">
        <f t="shared" si="98"/>
        <v>0.18759999999999999</v>
      </c>
      <c r="AS92" s="485">
        <f t="shared" si="98"/>
        <v>0.18759999999999999</v>
      </c>
      <c r="AT92" s="485">
        <f t="shared" si="98"/>
        <v>0.17879999999999996</v>
      </c>
      <c r="AU92" s="485">
        <f t="shared" si="98"/>
        <v>0.18759999999999999</v>
      </c>
      <c r="AV92" s="485">
        <f t="shared" si="98"/>
        <v>0.18759999999999999</v>
      </c>
      <c r="AW92" s="485">
        <f t="shared" si="98"/>
        <v>0.18759999999999999</v>
      </c>
      <c r="AX92" s="485">
        <f t="shared" si="98"/>
        <v>0.18759999999999999</v>
      </c>
      <c r="AY92" s="485">
        <f>AT92</f>
        <v>0.17879999999999996</v>
      </c>
      <c r="AZ92" s="485">
        <f t="shared" ref="AZ92:CC92" si="99">AU92</f>
        <v>0.18759999999999999</v>
      </c>
      <c r="BA92" s="485">
        <f t="shared" si="99"/>
        <v>0.18759999999999999</v>
      </c>
      <c r="BB92" s="485">
        <f t="shared" si="99"/>
        <v>0.18759999999999999</v>
      </c>
      <c r="BC92" s="485">
        <f t="shared" si="99"/>
        <v>0.18759999999999999</v>
      </c>
      <c r="BD92" s="485">
        <f t="shared" si="99"/>
        <v>0.17879999999999996</v>
      </c>
      <c r="BE92" s="485">
        <f t="shared" si="99"/>
        <v>0.18759999999999999</v>
      </c>
      <c r="BF92" s="485">
        <f t="shared" si="99"/>
        <v>0.18759999999999999</v>
      </c>
      <c r="BG92" s="485">
        <f t="shared" si="99"/>
        <v>0.18759999999999999</v>
      </c>
      <c r="BH92" s="485">
        <f t="shared" si="99"/>
        <v>0.18759999999999999</v>
      </c>
      <c r="BI92" s="485">
        <f t="shared" si="99"/>
        <v>0.17879999999999996</v>
      </c>
      <c r="BJ92" s="485">
        <f t="shared" si="99"/>
        <v>0.18759999999999999</v>
      </c>
      <c r="BK92" s="485">
        <f t="shared" si="99"/>
        <v>0.18759999999999999</v>
      </c>
      <c r="BL92" s="485">
        <f t="shared" si="99"/>
        <v>0.18759999999999999</v>
      </c>
      <c r="BM92" s="485">
        <f t="shared" si="99"/>
        <v>0.18759999999999999</v>
      </c>
      <c r="BN92" s="485">
        <f t="shared" si="99"/>
        <v>0.17879999999999996</v>
      </c>
      <c r="BO92" s="485">
        <f t="shared" si="99"/>
        <v>0.18759999999999999</v>
      </c>
      <c r="BP92" s="485">
        <f t="shared" si="99"/>
        <v>0.18759999999999999</v>
      </c>
      <c r="BQ92" s="485">
        <f t="shared" si="99"/>
        <v>0.18759999999999999</v>
      </c>
      <c r="BR92" s="485">
        <f t="shared" si="99"/>
        <v>0.18759999999999999</v>
      </c>
      <c r="BS92" s="485">
        <f t="shared" si="99"/>
        <v>0.17879999999999996</v>
      </c>
      <c r="BT92" s="485">
        <f t="shared" si="99"/>
        <v>0.18759999999999999</v>
      </c>
      <c r="BU92" s="485">
        <f t="shared" si="99"/>
        <v>0.18759999999999999</v>
      </c>
      <c r="BV92" s="485">
        <f t="shared" si="99"/>
        <v>0.18759999999999999</v>
      </c>
      <c r="BW92" s="485">
        <f t="shared" si="99"/>
        <v>0.18759999999999999</v>
      </c>
      <c r="BX92" s="485">
        <f t="shared" si="99"/>
        <v>0.17879999999999996</v>
      </c>
      <c r="BY92" s="485">
        <f t="shared" si="99"/>
        <v>0.18759999999999999</v>
      </c>
      <c r="BZ92" s="485">
        <f t="shared" si="99"/>
        <v>0.18759999999999999</v>
      </c>
      <c r="CA92" s="485">
        <f t="shared" si="99"/>
        <v>0.18759999999999999</v>
      </c>
      <c r="CB92" s="485">
        <f t="shared" si="99"/>
        <v>0.18759999999999999</v>
      </c>
      <c r="CC92" s="485">
        <f t="shared" si="99"/>
        <v>0.17879999999999996</v>
      </c>
      <c r="CD92" s="485">
        <f>CC92</f>
        <v>0.17879999999999996</v>
      </c>
      <c r="CE92" s="485">
        <f>CD92</f>
        <v>0.17879999999999996</v>
      </c>
      <c r="CF92" s="485">
        <f>CE92</f>
        <v>0.17879999999999996</v>
      </c>
      <c r="CG92" s="485">
        <f>CF92</f>
        <v>0.17879999999999996</v>
      </c>
      <c r="CH92" s="485">
        <f>CG92</f>
        <v>0.17879999999999996</v>
      </c>
    </row>
    <row r="93" spans="1:86">
      <c r="G93" s="9"/>
      <c r="H93" s="9" t="s">
        <v>222</v>
      </c>
      <c r="I93" s="9"/>
      <c r="J93" s="9"/>
      <c r="K93" s="230"/>
      <c r="L93" s="230">
        <f t="shared" ref="L93:AQ93" si="100">L94-L47</f>
        <v>-3.1999999999925421E-2</v>
      </c>
      <c r="M93" s="230">
        <f t="shared" si="100"/>
        <v>-980.2524599999997</v>
      </c>
      <c r="N93" s="230">
        <f t="shared" si="100"/>
        <v>0.29999999999995453</v>
      </c>
      <c r="O93" s="230">
        <f t="shared" si="100"/>
        <v>-170.40000000000009</v>
      </c>
      <c r="P93" s="230">
        <f t="shared" si="100"/>
        <v>-1150.3844599999989</v>
      </c>
      <c r="Q93" s="230">
        <f t="shared" si="100"/>
        <v>0.39999999999974989</v>
      </c>
      <c r="R93" s="230">
        <f t="shared" si="100"/>
        <v>-0.29999999999995453</v>
      </c>
      <c r="S93" s="230">
        <f t="shared" si="100"/>
        <v>5.0000000000181899E-2</v>
      </c>
      <c r="T93" s="230">
        <f t="shared" si="100"/>
        <v>-797.30000000000052</v>
      </c>
      <c r="U93" s="230">
        <f t="shared" si="100"/>
        <v>-797.14999999999964</v>
      </c>
      <c r="V93" s="230">
        <f t="shared" si="100"/>
        <v>-404.39999999999981</v>
      </c>
      <c r="W93" s="230">
        <f t="shared" si="100"/>
        <v>-315.19999999999925</v>
      </c>
      <c r="X93" s="230">
        <f t="shared" si="100"/>
        <v>-70.500000000000682</v>
      </c>
      <c r="Y93" s="230">
        <f t="shared" si="100"/>
        <v>-131.69999999999879</v>
      </c>
      <c r="Z93" s="230">
        <f t="shared" si="100"/>
        <v>-921.79999999999791</v>
      </c>
      <c r="AA93" s="230">
        <f t="shared" si="100"/>
        <v>101.89999999999975</v>
      </c>
      <c r="AB93" s="230">
        <f t="shared" si="100"/>
        <v>-64.399999999999977</v>
      </c>
      <c r="AC93" s="230">
        <f t="shared" si="100"/>
        <v>-1541.0000000000009</v>
      </c>
      <c r="AD93" s="230">
        <f t="shared" si="100"/>
        <v>-4745.5000000000018</v>
      </c>
      <c r="AE93" s="230">
        <f t="shared" si="100"/>
        <v>-6249.0000000000018</v>
      </c>
      <c r="AF93" s="239">
        <f t="shared" si="100"/>
        <v>0.49999999999931788</v>
      </c>
      <c r="AG93" s="239">
        <f t="shared" si="100"/>
        <v>-68.010000000000218</v>
      </c>
      <c r="AH93" s="239">
        <f t="shared" si="100"/>
        <v>-370.20000000000073</v>
      </c>
      <c r="AI93" s="239">
        <f t="shared" si="100"/>
        <v>-84.499999999999318</v>
      </c>
      <c r="AJ93" s="239">
        <f t="shared" si="100"/>
        <v>-522.21000000000095</v>
      </c>
      <c r="AK93" s="239">
        <f t="shared" si="100"/>
        <v>-49.399999999999636</v>
      </c>
      <c r="AL93" s="239">
        <f t="shared" si="100"/>
        <v>-18.000000000000909</v>
      </c>
      <c r="AM93" s="239">
        <f t="shared" si="100"/>
        <v>-38.599999999999909</v>
      </c>
      <c r="AN93" s="239">
        <f t="shared" si="100"/>
        <v>-65.380000000000337</v>
      </c>
      <c r="AO93" s="239">
        <f t="shared" si="100"/>
        <v>-171.38000000000102</v>
      </c>
      <c r="AP93" s="239">
        <f t="shared" si="100"/>
        <v>-319.00000000000045</v>
      </c>
      <c r="AQ93" s="239">
        <f t="shared" si="100"/>
        <v>-118.80000000000041</v>
      </c>
      <c r="AR93" s="239">
        <f t="shared" ref="AR93:BW93" si="101">AR94-AR47</f>
        <v>-17.599999999999</v>
      </c>
      <c r="AS93" s="239">
        <f t="shared" si="101"/>
        <v>-110.5</v>
      </c>
      <c r="AT93" s="239">
        <f t="shared" si="101"/>
        <v>-565.90000000000418</v>
      </c>
      <c r="AU93" s="239">
        <f t="shared" si="101"/>
        <v>-15.800000000000296</v>
      </c>
      <c r="AV93" s="239">
        <f t="shared" si="101"/>
        <v>0</v>
      </c>
      <c r="AW93" s="239">
        <f t="shared" si="101"/>
        <v>438.30000000000143</v>
      </c>
      <c r="AX93" s="239">
        <f t="shared" si="101"/>
        <v>-117.90868399999943</v>
      </c>
      <c r="AY93" s="239">
        <f t="shared" si="101"/>
        <v>304.59131599999728</v>
      </c>
      <c r="AZ93" s="239">
        <f t="shared" si="101"/>
        <v>300.60000000000036</v>
      </c>
      <c r="BA93" s="239">
        <f t="shared" si="101"/>
        <v>-48.7000000000005</v>
      </c>
      <c r="BB93" s="239">
        <f t="shared" si="101"/>
        <v>0</v>
      </c>
      <c r="BC93" s="239">
        <f t="shared" si="101"/>
        <v>-69.399999999999295</v>
      </c>
      <c r="BD93" s="239">
        <f t="shared" si="101"/>
        <v>182.49999999999636</v>
      </c>
      <c r="BE93" s="239">
        <f t="shared" si="101"/>
        <v>-106.7000000000005</v>
      </c>
      <c r="BF93" s="239">
        <f t="shared" si="101"/>
        <v>-86.799999999999045</v>
      </c>
      <c r="BG93" s="239">
        <f t="shared" si="101"/>
        <v>-294.40000000000055</v>
      </c>
      <c r="BH93" s="239">
        <f t="shared" si="101"/>
        <v>-457.60000000000014</v>
      </c>
      <c r="BI93" s="239">
        <f t="shared" si="101"/>
        <v>-945.49999999999818</v>
      </c>
      <c r="BJ93" s="239">
        <f t="shared" si="101"/>
        <v>-394.1999999999997</v>
      </c>
      <c r="BK93" s="239">
        <f t="shared" si="101"/>
        <v>-354</v>
      </c>
      <c r="BL93" s="239">
        <f t="shared" si="101"/>
        <v>-123.79999999999973</v>
      </c>
      <c r="BM93" s="239">
        <f t="shared" si="101"/>
        <v>-349.79999999999905</v>
      </c>
      <c r="BN93" s="239">
        <f t="shared" si="101"/>
        <v>-1221.7999999999961</v>
      </c>
      <c r="BO93" s="239">
        <f t="shared" si="101"/>
        <v>-442.20000000000016</v>
      </c>
      <c r="BP93" s="239">
        <f t="shared" si="101"/>
        <v>-161.10000000000139</v>
      </c>
      <c r="BQ93" s="239">
        <f t="shared" si="101"/>
        <v>-152.99999999999977</v>
      </c>
      <c r="BR93" s="239">
        <f t="shared" si="101"/>
        <v>-241.60000000000048</v>
      </c>
      <c r="BS93" s="239">
        <f t="shared" si="101"/>
        <v>-986.00000000000409</v>
      </c>
      <c r="BT93" s="239">
        <f t="shared" si="101"/>
        <v>-1150.4999999999993</v>
      </c>
      <c r="BU93" s="239">
        <f t="shared" si="101"/>
        <v>-169.40000000000009</v>
      </c>
      <c r="BV93" s="239">
        <f t="shared" si="101"/>
        <v>-551.19999999999982</v>
      </c>
      <c r="BW93" s="239">
        <f t="shared" si="101"/>
        <v>-2863.6999999999989</v>
      </c>
      <c r="BX93" s="239">
        <f t="shared" ref="BX93:CH93" si="102">BX94-BX47</f>
        <v>-4734.7999999999993</v>
      </c>
      <c r="BY93" s="239">
        <f t="shared" si="102"/>
        <v>-1406.1</v>
      </c>
      <c r="BZ93" s="239">
        <f t="shared" si="102"/>
        <v>-1342.6731931249994</v>
      </c>
      <c r="CA93" s="239">
        <f t="shared" si="102"/>
        <v>-1451.5922374249997</v>
      </c>
      <c r="CB93" s="239">
        <f t="shared" si="102"/>
        <v>-1246.4002306250002</v>
      </c>
      <c r="CC93" s="239">
        <f t="shared" si="102"/>
        <v>-1000</v>
      </c>
      <c r="CD93" s="239">
        <f t="shared" si="102"/>
        <v>-1000</v>
      </c>
      <c r="CE93" s="239">
        <f t="shared" si="102"/>
        <v>-1000</v>
      </c>
      <c r="CF93" s="239">
        <f t="shared" si="102"/>
        <v>-1000</v>
      </c>
      <c r="CG93" s="239">
        <f t="shared" si="102"/>
        <v>-1000</v>
      </c>
      <c r="CH93" s="239">
        <f t="shared" si="102"/>
        <v>-1000</v>
      </c>
    </row>
    <row r="94" spans="1:86">
      <c r="G94" s="9"/>
      <c r="H94" s="9" t="s">
        <v>223</v>
      </c>
      <c r="I94" s="9"/>
      <c r="J94" s="9"/>
      <c r="K94" s="230"/>
      <c r="L94" s="230">
        <f>CFBS!L15</f>
        <v>736.6</v>
      </c>
      <c r="M94" s="230">
        <f>CFBS!M15</f>
        <v>-252</v>
      </c>
      <c r="N94" s="230">
        <f>CFBS!N15</f>
        <v>794.4</v>
      </c>
      <c r="O94" s="230">
        <f>CFBS!O15</f>
        <v>700.59999999999991</v>
      </c>
      <c r="P94" s="230">
        <f>CFBS!P15</f>
        <v>1979.6</v>
      </c>
      <c r="Q94" s="230">
        <f>CFBS!Q15</f>
        <v>834.8</v>
      </c>
      <c r="R94" s="230">
        <f>CFBS!R15</f>
        <v>822</v>
      </c>
      <c r="S94" s="230">
        <f>CFBS!S15</f>
        <v>873.60000000000014</v>
      </c>
      <c r="T94" s="230">
        <f>CFBS!T15</f>
        <v>132.29999999999973</v>
      </c>
      <c r="U94" s="230">
        <f>CFBS!U15</f>
        <v>2662.7</v>
      </c>
      <c r="V94" s="230">
        <f>CFBS!V15</f>
        <v>508.7</v>
      </c>
      <c r="W94" s="230">
        <f>CFBS!W15</f>
        <v>663.59999999999991</v>
      </c>
      <c r="X94" s="230">
        <f>CFBS!X15</f>
        <v>926.3</v>
      </c>
      <c r="Y94" s="230">
        <f>CFBS!Y15</f>
        <v>854.40000000000009</v>
      </c>
      <c r="Z94" s="230">
        <f>CFBS!Z15</f>
        <v>2953</v>
      </c>
      <c r="AA94" s="230">
        <f>CFBS!AA15</f>
        <v>1064.3</v>
      </c>
      <c r="AB94" s="230">
        <f>CFBS!AB15</f>
        <v>958.8</v>
      </c>
      <c r="AC94" s="230">
        <f>CFBS!AC15</f>
        <v>-465.59999999999991</v>
      </c>
      <c r="AD94" s="230">
        <f>CFBS!AD15</f>
        <v>-3629.4000000000005</v>
      </c>
      <c r="AE94" s="230">
        <f>CFBS!AE15</f>
        <v>-2071.9</v>
      </c>
      <c r="AF94" s="230">
        <f>CFBS!AF15</f>
        <v>1313.1</v>
      </c>
      <c r="AG94" s="230">
        <f>CFBS!AG15</f>
        <v>1158.5</v>
      </c>
      <c r="AH94" s="230">
        <f>CFBS!AH15</f>
        <v>941.80000000000018</v>
      </c>
      <c r="AI94" s="230">
        <f>CFBS!AI15</f>
        <v>915.40000000000009</v>
      </c>
      <c r="AJ94" s="230">
        <f>CFBS!AJ15</f>
        <v>4328.8</v>
      </c>
      <c r="AK94" s="230">
        <f>CFBS!AK15</f>
        <v>1248.0999999999999</v>
      </c>
      <c r="AL94" s="230">
        <f>CFBS!AL15</f>
        <v>1348.9</v>
      </c>
      <c r="AM94" s="230">
        <f>CFBS!AM15</f>
        <v>1302.9000000000001</v>
      </c>
      <c r="AN94" s="230">
        <f>CFBS!AN15</f>
        <v>1169.5999999999999</v>
      </c>
      <c r="AO94" s="230">
        <f>CFBS!AO15</f>
        <v>5069.5</v>
      </c>
      <c r="AP94" s="230">
        <f>CFBS!AP15</f>
        <v>1055.9000000000001</v>
      </c>
      <c r="AQ94" s="230">
        <f>CFBS!AQ15</f>
        <v>1197.2999999999997</v>
      </c>
      <c r="AR94" s="230">
        <f>CFBS!AR15</f>
        <v>1236.3000000000002</v>
      </c>
      <c r="AS94" s="230">
        <f>CFBS!AS15</f>
        <v>858.19999999999982</v>
      </c>
      <c r="AT94" s="230">
        <f>CFBS!AT15</f>
        <v>4347.7</v>
      </c>
      <c r="AU94" s="230">
        <f>CFBS!AU15</f>
        <v>1011.1</v>
      </c>
      <c r="AV94" s="230">
        <f>CFBS!AV15</f>
        <v>923.6</v>
      </c>
      <c r="AW94" s="230">
        <f>CFBS!AW15</f>
        <v>1326.6000000000004</v>
      </c>
      <c r="AX94" s="230">
        <f>CFBS!AX15</f>
        <v>827.29999999999961</v>
      </c>
      <c r="AY94" s="230">
        <f>CFBS!AY15</f>
        <v>4088.6</v>
      </c>
      <c r="AZ94" s="230">
        <f>CFBS!AZ15</f>
        <v>1548</v>
      </c>
      <c r="BA94" s="230">
        <f>CFBS!BA15</f>
        <v>1206.1999999999998</v>
      </c>
      <c r="BB94" s="230">
        <f>CFBS!BB15</f>
        <v>1203.1000000000004</v>
      </c>
      <c r="BC94" s="230">
        <f>CFBS!BC15</f>
        <v>727.5</v>
      </c>
      <c r="BD94" s="230">
        <f>CFBS!BD15</f>
        <v>4684.8</v>
      </c>
      <c r="BE94" s="230">
        <f>CFBS!BE15</f>
        <v>727.9</v>
      </c>
      <c r="BF94" s="230">
        <f>CFBS!BF15</f>
        <v>733.50000000000011</v>
      </c>
      <c r="BG94" s="230">
        <f>CFBS!BG15</f>
        <v>500.6</v>
      </c>
      <c r="BH94" s="230">
        <f>CFBS!BH15</f>
        <v>428.50000000000011</v>
      </c>
      <c r="BI94" s="230">
        <f>CFBS!BI15</f>
        <v>2390.5</v>
      </c>
      <c r="BJ94" s="230">
        <f>CFBS!BJ15</f>
        <v>529.5</v>
      </c>
      <c r="BK94" s="230">
        <f>CFBS!BK15</f>
        <v>600.79999999999995</v>
      </c>
      <c r="BL94" s="230">
        <f>CFBS!BL15</f>
        <v>799.7</v>
      </c>
      <c r="BM94" s="230">
        <f>CFBS!BM15</f>
        <v>478.40000000000009</v>
      </c>
      <c r="BN94" s="230">
        <f>CFBS!BN15</f>
        <v>2408.4</v>
      </c>
      <c r="BO94" s="230">
        <f>CFBS!BO15</f>
        <v>440.1</v>
      </c>
      <c r="BP94" s="230">
        <f>CFBS!BP15</f>
        <v>747.69999999999993</v>
      </c>
      <c r="BQ94" s="230">
        <f>CFBS!BQ15</f>
        <v>777.99999999999989</v>
      </c>
      <c r="BR94" s="230">
        <f>CFBS!BR15</f>
        <v>771.80000000000007</v>
      </c>
      <c r="BS94" s="230">
        <f>CFBS!BS15</f>
        <v>2737.6</v>
      </c>
      <c r="BT94" s="230">
        <f>CFBS!BT15</f>
        <v>-110.8</v>
      </c>
      <c r="BU94" s="230">
        <f>CFBS!BU15</f>
        <v>1008</v>
      </c>
      <c r="BV94" s="230">
        <f>CFBS!BV15</f>
        <v>555.59999999999991</v>
      </c>
      <c r="BW94" s="230">
        <f>CFBS!BW15</f>
        <v>-1656.8999999999999</v>
      </c>
      <c r="BX94" s="230">
        <f>CFBS!BX15</f>
        <v>-204.1</v>
      </c>
      <c r="BY94" s="230">
        <f>CFBS!BY15</f>
        <v>0</v>
      </c>
      <c r="BZ94" s="230">
        <f>CFBS!BZ15</f>
        <v>0</v>
      </c>
      <c r="CA94" s="230">
        <f>CFBS!CA15</f>
        <v>0</v>
      </c>
      <c r="CB94" s="230">
        <f>CFBS!CB15</f>
        <v>0</v>
      </c>
      <c r="CC94" s="230">
        <f>CFBS!CC15</f>
        <v>4446.6656611749977</v>
      </c>
      <c r="CD94" s="230">
        <f>CFBS!CD15</f>
        <v>4995.8872221248012</v>
      </c>
      <c r="CE94" s="230">
        <f>CFBS!CE15</f>
        <v>5688.0067417788487</v>
      </c>
      <c r="CF94" s="230">
        <f>CFBS!CF15</f>
        <v>6194.6552985018743</v>
      </c>
      <c r="CG94" s="230">
        <f>CFBS!CG15</f>
        <v>6612.1768784929545</v>
      </c>
      <c r="CH94" s="230">
        <f>CFBS!CH15</f>
        <v>7113.9283495316768</v>
      </c>
    </row>
    <row r="97" spans="8:56">
      <c r="H97" s="7" t="s">
        <v>708</v>
      </c>
      <c r="P97" s="217">
        <f>(P76+U76+Z76)/3</f>
        <v>8.0949708617683427E-2</v>
      </c>
      <c r="U97" s="217">
        <f>(U76+Z76+AE76)/3</f>
        <v>9.9944177443832397E-2</v>
      </c>
      <c r="Z97" s="217">
        <f>(Z76+AE76+AJ76)/3</f>
        <v>0.11585867886042656</v>
      </c>
      <c r="AE97" s="217">
        <f>(AE76+AJ76+AO76)/3</f>
        <v>0.10165045252797104</v>
      </c>
      <c r="AJ97" s="217">
        <f>(AJ76+AO76+AT76)/3</f>
        <v>5.3741250559274589E-2</v>
      </c>
      <c r="AO97" s="217">
        <f>(AO76+AT76+AY76)/3</f>
        <v>-7.6105404916210054E-2</v>
      </c>
      <c r="AT97" s="217">
        <f>(AT76+AY76+BD76)/3</f>
        <v>-2.5439387791421336E-2</v>
      </c>
      <c r="AY97" s="217">
        <f>(AY76+BD76+BI76)/3</f>
        <v>-8.6136098229508559E-2</v>
      </c>
      <c r="BD97" s="217">
        <f>(BD76+BI76+BN76)/3</f>
        <v>2.3538651396567484E-2</v>
      </c>
    </row>
  </sheetData>
  <phoneticPr fontId="3" type="noConversion"/>
  <conditionalFormatting sqref="L55:CH55 L9:CH9 L66:CH66">
    <cfRule type="expression" dxfId="64" priority="12" stopIfTrue="1">
      <formula>L$4&lt;=$J$5</formula>
    </cfRule>
  </conditionalFormatting>
  <pageMargins left="0.5" right="0.5" top="0.5" bottom="0.5" header="0.5" footer="0.5"/>
  <pageSetup scale="75" orientation="portrait" horizontalDpi="1200" verticalDpi="1200" r:id="rId1"/>
  <headerFooter alignWithMargins="0"/>
  <ignoredErrors>
    <ignoredError sqref="U24 U45 U50 BD34 BD50 AY32:BD32 AY30:BD30 BD45:BD47 BD48:BD49 BD36:BD44" formulaRange="1"/>
    <ignoredError sqref="U29 U35 U38:U44 BD51:BD53 AY31:BD31 U25 U26:U27" formula="1" formulaRange="1"/>
    <ignoredError sqref="AB40 AH42:AI44 AJ50:AJ51 AH25:AJ25 V29:AJ29 AT50:AT51 V38:V44 AT38:AT40 AP25 AR48:AR49 AP38:AP40 AB38 AA38:AA41 AP48:AP49 V35:AD35 AT45:AT47 AJ45:AJ47 AR38:AR44 AA43:AC44 X38:Z44 W38:W41 W43:W44 AR29 AC38:AD41 AE38:AG44 AD44 AO45:AO47 AR25 AO50:AO51 AE34:AO37 AO29:AP29 AT29 BC25 AY29:BD29 BC27 AR27 AP27 AH27:AI27 AJ26:AJ27 AY25:BB27 BD25:BD27 AT24:AT27 AO24:AO27 V25:AG27 AP47 AR47 AO49 AT49 AJ49 AO42:AP43 AJ38:AJ44 AT42:AT44 AP44 BI36:BI37 BI25:BI27 BI34 BI29:BK31 BI35:BJ35 BJ34:BK34 BJ25:BK25 BI32 BI38:BK43 BJ36:BJ37 BI49:BN49 BI48:BM48 BI47:BK47 BI46:BJ46 BN46 BI28:BJ28 BN28 BJ26:BJ27 BN26 BN32 BI45:BJ45 BN45 BI51:BN52 BI50:BJ50 BN29:BN31 BN34 BN25 BN38:BN43 BN47 BS49 BS51:BS52 BS30:BU31 BS34 BS25 BS38:BS43 BS47 CD44 BX38:BX43 BX25 BS29 BX34 BX47 BX49 BX52 BI44 CG44 BW30:BX31 CC25" 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enableFormatConditionsCalculation="0">
    <tabColor indexed="56"/>
  </sheetPr>
  <dimension ref="A1:XEB479"/>
  <sheetViews>
    <sheetView topLeftCell="H5" zoomScaleNormal="100" zoomScaleSheetLayoutView="75" workbookViewId="0"/>
  </sheetViews>
  <sheetFormatPr defaultRowHeight="12.75" outlineLevelRow="1" outlineLevelCol="1"/>
  <cols>
    <col min="1" max="6" width="9.140625" style="7" hidden="1" customWidth="1" outlineLevel="1"/>
    <col min="7" max="7" width="2.85546875" style="7" hidden="1" customWidth="1" outlineLevel="1"/>
    <col min="8" max="8" width="3.140625" style="7" customWidth="1" collapsed="1"/>
    <col min="9" max="9" width="24" style="7" customWidth="1"/>
    <col min="10" max="11" width="1.28515625" style="7" customWidth="1"/>
    <col min="12" max="15" width="7.140625" style="7" hidden="1" customWidth="1" outlineLevel="1"/>
    <col min="16" max="16" width="7.140625" style="7" hidden="1" customWidth="1" collapsed="1"/>
    <col min="17" max="20" width="7.140625" style="7" hidden="1" customWidth="1" outlineLevel="1"/>
    <col min="21" max="21" width="7.140625" style="7" hidden="1" customWidth="1" collapsed="1"/>
    <col min="22" max="25" width="7.140625" style="7" hidden="1" customWidth="1" outlineLevel="1"/>
    <col min="26" max="26" width="7.140625" style="7" hidden="1" customWidth="1" collapsed="1"/>
    <col min="27" max="30" width="7.140625" style="7" hidden="1" customWidth="1" outlineLevel="1"/>
    <col min="31" max="31" width="7.140625" style="7" hidden="1" customWidth="1" collapsed="1"/>
    <col min="32" max="35" width="7.140625" style="7" hidden="1" customWidth="1" outlineLevel="1"/>
    <col min="36" max="36" width="7.140625" style="7" hidden="1" customWidth="1" collapsed="1"/>
    <col min="37" max="40" width="7.140625" style="7" hidden="1" customWidth="1" outlineLevel="1"/>
    <col min="41" max="41" width="7.7109375" style="757" customWidth="1" collapsed="1"/>
    <col min="42" max="45" width="7.140625" style="757" hidden="1" customWidth="1" outlineLevel="1"/>
    <col min="46" max="46" width="7.140625" style="757" customWidth="1" collapsed="1"/>
    <col min="47" max="50" width="7.140625" style="757" hidden="1" customWidth="1" outlineLevel="1"/>
    <col min="51" max="51" width="7.140625" style="757" customWidth="1" collapsed="1"/>
    <col min="52" max="55" width="7.140625" style="757" hidden="1" customWidth="1" outlineLevel="1"/>
    <col min="56" max="56" width="7.140625" style="757" customWidth="1" collapsed="1"/>
    <col min="57" max="60" width="7.140625" style="757" hidden="1" customWidth="1" outlineLevel="1"/>
    <col min="61" max="61" width="7.140625" style="757" customWidth="1" collapsed="1"/>
    <col min="62" max="65" width="7.140625" style="757" hidden="1" customWidth="1" outlineLevel="1"/>
    <col min="66" max="66" width="7.140625" style="757" customWidth="1" collapsed="1"/>
    <col min="67" max="70" width="7.140625" style="757" hidden="1" customWidth="1" outlineLevel="1"/>
    <col min="71" max="71" width="7.140625" style="757" customWidth="1" collapsed="1"/>
    <col min="72" max="75" width="7.140625" style="757" hidden="1" customWidth="1" outlineLevel="1"/>
    <col min="76" max="76" width="7.140625" style="757" customWidth="1" collapsed="1"/>
    <col min="77" max="80" width="7.140625" style="757" hidden="1" customWidth="1" outlineLevel="1"/>
    <col min="81" max="86" width="7.140625" style="757" customWidth="1" collapsed="1"/>
    <col min="87" max="16384" width="9.140625" style="7"/>
  </cols>
  <sheetData>
    <row r="1" spans="1:154" s="14" customFormat="1" ht="15.75" hidden="1" outlineLevel="1">
      <c r="A1" s="121"/>
      <c r="B1" s="122"/>
      <c r="C1" s="122"/>
      <c r="D1" s="122"/>
      <c r="E1" s="122"/>
      <c r="F1" s="122"/>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EX1" s="14" t="s">
        <v>1120</v>
      </c>
    </row>
    <row r="2" spans="1:154" s="14" customFormat="1" ht="15.75" hidden="1" outlineLevel="1">
      <c r="A2" s="121"/>
      <c r="B2" s="122"/>
      <c r="C2" s="122"/>
      <c r="D2" s="122"/>
      <c r="E2" s="122"/>
      <c r="F2" s="122"/>
      <c r="G2" s="8"/>
      <c r="H2" s="8"/>
      <c r="I2" s="8"/>
      <c r="J2" s="8"/>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row>
    <row r="3" spans="1:154" hidden="1" outlineLevel="1">
      <c r="A3" s="121" t="s">
        <v>229</v>
      </c>
      <c r="B3" s="122"/>
      <c r="C3" s="122"/>
      <c r="D3" s="122"/>
      <c r="E3" s="122"/>
      <c r="F3" s="122"/>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row>
    <row r="4" spans="1:154" hidden="1" collapsed="1">
      <c r="A4" s="121"/>
      <c r="B4" s="122"/>
      <c r="C4" s="122"/>
      <c r="D4" s="122"/>
      <c r="E4" s="122"/>
      <c r="F4" s="122"/>
      <c r="G4" s="9"/>
      <c r="H4" s="9"/>
      <c r="I4" s="9"/>
      <c r="J4" s="9"/>
      <c r="K4" s="9"/>
      <c r="L4" s="12">
        <v>38442</v>
      </c>
      <c r="M4" s="12">
        <v>38533</v>
      </c>
      <c r="N4" s="12">
        <v>38625</v>
      </c>
      <c r="O4" s="12">
        <v>38717</v>
      </c>
      <c r="P4" s="12">
        <v>38717</v>
      </c>
      <c r="Q4" s="12">
        <v>38807</v>
      </c>
      <c r="R4" s="12">
        <v>38898</v>
      </c>
      <c r="S4" s="12">
        <v>38990</v>
      </c>
      <c r="T4" s="12">
        <v>39082</v>
      </c>
      <c r="U4" s="12">
        <v>39082</v>
      </c>
      <c r="V4" s="12">
        <v>39172</v>
      </c>
      <c r="W4" s="12">
        <v>39263</v>
      </c>
      <c r="X4" s="12">
        <v>39355</v>
      </c>
      <c r="Y4" s="12">
        <v>39447</v>
      </c>
      <c r="Z4" s="12">
        <v>39447</v>
      </c>
      <c r="AA4" s="12">
        <v>39538</v>
      </c>
      <c r="AB4" s="12">
        <v>39629</v>
      </c>
      <c r="AC4" s="12">
        <v>39721</v>
      </c>
      <c r="AD4" s="12">
        <v>39813</v>
      </c>
      <c r="AE4" s="12">
        <v>39813</v>
      </c>
      <c r="AF4" s="12">
        <v>39903</v>
      </c>
      <c r="AG4" s="12">
        <v>39994</v>
      </c>
      <c r="AH4" s="12">
        <v>40086</v>
      </c>
      <c r="AI4" s="12">
        <v>40178</v>
      </c>
      <c r="AJ4" s="12">
        <v>40178</v>
      </c>
      <c r="AK4" s="12">
        <v>40268</v>
      </c>
      <c r="AL4" s="12">
        <v>40359</v>
      </c>
      <c r="AM4" s="12">
        <v>40451</v>
      </c>
      <c r="AN4" s="12">
        <v>40543</v>
      </c>
      <c r="AO4" s="843">
        <v>40543</v>
      </c>
      <c r="AP4" s="843">
        <v>40633</v>
      </c>
      <c r="AQ4" s="843">
        <v>40724</v>
      </c>
      <c r="AR4" s="843">
        <v>40816</v>
      </c>
      <c r="AS4" s="843">
        <v>40908</v>
      </c>
      <c r="AT4" s="843">
        <v>40908</v>
      </c>
      <c r="AU4" s="843">
        <v>40999</v>
      </c>
      <c r="AV4" s="843">
        <v>41090</v>
      </c>
      <c r="AW4" s="843">
        <v>41182</v>
      </c>
      <c r="AX4" s="843">
        <v>41274</v>
      </c>
      <c r="AY4" s="843">
        <v>41274</v>
      </c>
      <c r="AZ4" s="843">
        <v>41364</v>
      </c>
      <c r="BA4" s="843">
        <v>41455</v>
      </c>
      <c r="BB4" s="843">
        <v>41547</v>
      </c>
      <c r="BC4" s="843">
        <v>41639</v>
      </c>
      <c r="BD4" s="843">
        <v>41639</v>
      </c>
      <c r="BE4" s="843">
        <v>41729</v>
      </c>
      <c r="BF4" s="843">
        <v>41820</v>
      </c>
      <c r="BG4" s="843">
        <v>41912</v>
      </c>
      <c r="BH4" s="843">
        <v>42004</v>
      </c>
      <c r="BI4" s="843">
        <v>42004</v>
      </c>
      <c r="BJ4" s="843">
        <v>42094</v>
      </c>
      <c r="BK4" s="843">
        <v>42185</v>
      </c>
      <c r="BL4" s="843">
        <v>42277</v>
      </c>
      <c r="BM4" s="843">
        <v>42369</v>
      </c>
      <c r="BN4" s="843">
        <v>42369</v>
      </c>
      <c r="BO4" s="843">
        <v>42460</v>
      </c>
      <c r="BP4" s="843">
        <v>42551</v>
      </c>
      <c r="BQ4" s="843">
        <v>42643</v>
      </c>
      <c r="BR4" s="843">
        <v>42735</v>
      </c>
      <c r="BS4" s="843">
        <v>42735</v>
      </c>
      <c r="BT4" s="843">
        <v>42825</v>
      </c>
      <c r="BU4" s="843">
        <v>42916</v>
      </c>
      <c r="BV4" s="843">
        <v>43008</v>
      </c>
      <c r="BW4" s="843">
        <v>43100</v>
      </c>
      <c r="BX4" s="843">
        <v>43100</v>
      </c>
      <c r="BY4" s="843">
        <v>43190</v>
      </c>
      <c r="BZ4" s="843">
        <v>43281</v>
      </c>
      <c r="CA4" s="843">
        <v>43373</v>
      </c>
      <c r="CB4" s="843">
        <v>43465</v>
      </c>
      <c r="CC4" s="843">
        <v>43465</v>
      </c>
      <c r="CD4" s="843">
        <v>43830</v>
      </c>
      <c r="CE4" s="843">
        <v>44196</v>
      </c>
      <c r="CF4" s="843">
        <v>44561</v>
      </c>
      <c r="CG4" s="843">
        <v>44926</v>
      </c>
      <c r="CH4" s="843">
        <v>45291</v>
      </c>
    </row>
    <row r="5" spans="1:154" ht="15.75">
      <c r="A5" s="8"/>
      <c r="B5" s="8"/>
      <c r="C5" s="8"/>
      <c r="D5" s="8"/>
      <c r="E5" s="8"/>
      <c r="F5" s="8"/>
      <c r="G5" s="9"/>
      <c r="H5" s="10" t="s">
        <v>376</v>
      </c>
      <c r="I5" s="241"/>
      <c r="J5" s="11">
        <f>LatestRpQ</f>
        <v>43190</v>
      </c>
      <c r="K5" s="241"/>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843"/>
      <c r="AP5" s="843"/>
      <c r="AQ5" s="843"/>
      <c r="AR5" s="843"/>
      <c r="AS5" s="843"/>
      <c r="AT5" s="843"/>
      <c r="AU5" s="843"/>
      <c r="AV5" s="843"/>
      <c r="AW5" s="843"/>
      <c r="AX5" s="843"/>
      <c r="AY5" s="843"/>
      <c r="AZ5" s="843"/>
      <c r="BA5" s="843"/>
      <c r="BB5" s="843"/>
      <c r="BC5" s="843"/>
      <c r="BD5" s="843"/>
      <c r="BE5" s="843"/>
      <c r="BF5" s="843"/>
      <c r="BG5" s="843"/>
      <c r="BH5" s="843"/>
      <c r="BI5" s="843"/>
      <c r="BJ5" s="843"/>
      <c r="BK5" s="843"/>
      <c r="BL5" s="843"/>
      <c r="BM5" s="843"/>
      <c r="BN5" s="843"/>
      <c r="BO5" s="843"/>
      <c r="BP5" s="843"/>
      <c r="BQ5" s="843"/>
      <c r="BR5" s="843"/>
      <c r="BS5" s="843"/>
      <c r="BT5" s="843"/>
      <c r="BU5" s="843"/>
      <c r="BV5" s="843"/>
      <c r="BW5" s="843"/>
      <c r="BX5" s="843"/>
      <c r="BY5" s="843"/>
      <c r="BZ5" s="843"/>
      <c r="CA5" s="843"/>
      <c r="CB5" s="843"/>
      <c r="CC5" s="843"/>
      <c r="CD5" s="843"/>
      <c r="CE5" s="843"/>
      <c r="CF5" s="843"/>
      <c r="CG5" s="843"/>
      <c r="CH5" s="843"/>
    </row>
    <row r="6" spans="1:154" ht="15.75">
      <c r="A6" s="8"/>
      <c r="B6" s="8"/>
      <c r="C6" s="8"/>
      <c r="D6" s="8"/>
      <c r="E6" s="8"/>
      <c r="F6" s="8"/>
      <c r="G6" s="9"/>
      <c r="H6" s="10" t="s">
        <v>230</v>
      </c>
      <c r="I6" s="241"/>
      <c r="J6" s="11">
        <f>LatestFiledQ</f>
        <v>43100</v>
      </c>
      <c r="K6" s="241"/>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844"/>
      <c r="AP6" s="844"/>
      <c r="AQ6" s="844"/>
      <c r="AR6" s="844"/>
      <c r="AS6" s="844"/>
      <c r="AT6" s="844"/>
      <c r="AU6" s="844"/>
      <c r="AV6" s="844"/>
      <c r="AW6" s="844"/>
      <c r="AX6" s="844"/>
      <c r="AY6" s="844"/>
      <c r="AZ6" s="844"/>
      <c r="BA6" s="844"/>
      <c r="BB6" s="844"/>
      <c r="BC6" s="844"/>
      <c r="BD6" s="844"/>
      <c r="BE6" s="844"/>
      <c r="BF6" s="844"/>
      <c r="BG6" s="844"/>
      <c r="BH6" s="844"/>
      <c r="BI6" s="844"/>
      <c r="BJ6" s="844"/>
      <c r="BK6" s="844"/>
      <c r="BL6" s="844"/>
      <c r="BM6" s="844"/>
      <c r="BN6" s="844"/>
      <c r="BO6" s="844"/>
      <c r="BP6" s="844"/>
      <c r="BQ6" s="844"/>
      <c r="BR6" s="844"/>
      <c r="BS6" s="844"/>
      <c r="BT6" s="844"/>
      <c r="BU6" s="844"/>
      <c r="BV6" s="844"/>
      <c r="BW6" s="844"/>
      <c r="BX6" s="844"/>
      <c r="BY6" s="844"/>
      <c r="BZ6" s="844"/>
      <c r="CA6" s="844"/>
      <c r="CB6" s="844"/>
      <c r="CC6" s="844"/>
      <c r="CD6" s="844"/>
      <c r="CE6" s="844"/>
      <c r="CF6" s="844"/>
      <c r="CG6" s="844"/>
      <c r="CH6" s="844"/>
    </row>
    <row r="7" spans="1:154" s="14" customFormat="1" ht="4.5" customHeight="1">
      <c r="A7" s="122"/>
      <c r="B7" s="122"/>
      <c r="C7" s="122"/>
      <c r="D7" s="122"/>
      <c r="E7" s="122"/>
      <c r="F7" s="122"/>
      <c r="G7" s="9"/>
      <c r="H7" s="248"/>
      <c r="I7" s="248"/>
      <c r="J7" s="248"/>
      <c r="K7" s="248"/>
      <c r="L7" s="249"/>
      <c r="M7" s="249"/>
      <c r="N7" s="249"/>
      <c r="O7" s="249"/>
      <c r="P7" s="249"/>
      <c r="Q7" s="249"/>
      <c r="R7" s="249"/>
      <c r="S7" s="249"/>
      <c r="T7" s="249"/>
      <c r="U7" s="249"/>
      <c r="V7" s="249"/>
      <c r="W7" s="249"/>
      <c r="X7" s="249"/>
      <c r="Y7" s="249"/>
      <c r="Z7" s="249"/>
      <c r="AA7" s="249"/>
      <c r="AB7" s="249"/>
      <c r="AC7" s="249"/>
      <c r="AD7" s="249"/>
      <c r="AE7" s="249"/>
      <c r="AF7" s="249"/>
      <c r="AG7" s="249"/>
      <c r="AH7" s="249"/>
      <c r="AI7" s="249"/>
      <c r="AJ7" s="249"/>
      <c r="AK7" s="249"/>
      <c r="AL7" s="249"/>
      <c r="AM7" s="249"/>
      <c r="AN7" s="249"/>
      <c r="AO7" s="845"/>
      <c r="AP7" s="845"/>
      <c r="AQ7" s="845"/>
      <c r="AR7" s="845"/>
      <c r="AS7" s="845"/>
      <c r="AT7" s="845"/>
      <c r="AU7" s="845"/>
      <c r="AV7" s="845"/>
      <c r="AW7" s="845"/>
      <c r="AX7" s="845"/>
      <c r="AY7" s="845"/>
      <c r="AZ7" s="845"/>
      <c r="BA7" s="845"/>
      <c r="BB7" s="845"/>
      <c r="BC7" s="845"/>
      <c r="BD7" s="845"/>
      <c r="BE7" s="845"/>
      <c r="BF7" s="845"/>
      <c r="BG7" s="845"/>
      <c r="BH7" s="845"/>
      <c r="BI7" s="845"/>
      <c r="BJ7" s="845"/>
      <c r="BK7" s="845"/>
      <c r="BL7" s="845"/>
      <c r="BM7" s="845"/>
      <c r="BN7" s="845"/>
      <c r="BO7" s="845"/>
      <c r="BP7" s="845"/>
      <c r="BQ7" s="845"/>
      <c r="BR7" s="845"/>
      <c r="BS7" s="845"/>
      <c r="BT7" s="845"/>
      <c r="BU7" s="845"/>
      <c r="BV7" s="845"/>
      <c r="BW7" s="845"/>
      <c r="BX7" s="845"/>
      <c r="BY7" s="845"/>
      <c r="BZ7" s="845"/>
      <c r="CA7" s="845"/>
      <c r="CB7" s="845"/>
      <c r="CC7" s="845"/>
      <c r="CD7" s="845"/>
      <c r="CE7" s="845"/>
      <c r="CF7" s="845"/>
      <c r="CG7" s="845"/>
      <c r="CH7" s="845"/>
    </row>
    <row r="8" spans="1:154" ht="4.5" customHeight="1">
      <c r="A8" s="40"/>
      <c r="B8" s="40"/>
      <c r="C8" s="40"/>
      <c r="D8" s="40"/>
      <c r="E8" s="40"/>
      <c r="F8" s="40"/>
      <c r="G8" s="9"/>
      <c r="H8" s="250"/>
      <c r="I8" s="250"/>
      <c r="J8" s="250"/>
      <c r="K8" s="250"/>
      <c r="P8" s="14"/>
      <c r="U8" s="14"/>
      <c r="Z8" s="14"/>
      <c r="AE8" s="14"/>
      <c r="AJ8" s="14"/>
      <c r="AK8" s="14"/>
      <c r="AL8" s="14"/>
      <c r="AM8" s="14"/>
      <c r="AN8" s="14"/>
    </row>
    <row r="9" spans="1:154" ht="12.75" customHeight="1" thickBot="1">
      <c r="A9" s="40"/>
      <c r="B9" s="40"/>
      <c r="C9" s="40"/>
      <c r="D9" s="40"/>
      <c r="E9" s="40"/>
      <c r="F9" s="40"/>
      <c r="G9" s="9"/>
      <c r="H9" s="41" t="s">
        <v>150</v>
      </c>
      <c r="I9" s="42"/>
      <c r="J9" s="42"/>
      <c r="K9" s="42"/>
      <c r="L9" s="43" t="str">
        <f>"1Q:" &amp; RIGHT(YEAR(L$4),2) &amp; IF(L$4&lt;=LatestRpQ, "A", "E")</f>
        <v>1Q:05A</v>
      </c>
      <c r="M9" s="43" t="str">
        <f>"2Q:" &amp; RIGHT(YEAR(M$4),2) &amp; IF(M$4&lt;=LatestRpQ, "A", "E")</f>
        <v>2Q:05A</v>
      </c>
      <c r="N9" s="43" t="str">
        <f>"3Q:" &amp; RIGHT(YEAR(N$4),2) &amp; IF(N$4&lt;=LatestRpQ, "A", "E")</f>
        <v>3Q:05A</v>
      </c>
      <c r="O9" s="43" t="str">
        <f>"4Q:" &amp; RIGHT(YEAR(O$4),2) &amp; IF(O$4&lt;=LatestRpQ, "A", "E")</f>
        <v>4Q:05A</v>
      </c>
      <c r="P9" s="44" t="str">
        <f>YEAR(P$4) &amp; IF(P$4&lt;=LatestRpQ, "A", "E")</f>
        <v>2005A</v>
      </c>
      <c r="Q9" s="43" t="str">
        <f>"1Q:" &amp; RIGHT(YEAR(Q$4),2) &amp; IF(Q$4&lt;=LatestRpQ, "A", "E")</f>
        <v>1Q:06A</v>
      </c>
      <c r="R9" s="43" t="str">
        <f>"2Q:" &amp; RIGHT(YEAR(R$4),2) &amp; IF(R$4&lt;=LatestRpQ, "A", "E")</f>
        <v>2Q:06A</v>
      </c>
      <c r="S9" s="43" t="str">
        <f>"3Q:" &amp; RIGHT(YEAR(S$4),2) &amp; IF(S$4&lt;=LatestRpQ, "A", "E")</f>
        <v>3Q:06A</v>
      </c>
      <c r="T9" s="43" t="str">
        <f>"4Q:" &amp; RIGHT(YEAR(T$4),2) &amp; IF(T$4&lt;=LatestRpQ, "A", "E")</f>
        <v>4Q:06A</v>
      </c>
      <c r="U9" s="44" t="str">
        <f>YEAR(U$4) &amp; IF(U$4&lt;=LatestRpQ, "A", "E")</f>
        <v>2006A</v>
      </c>
      <c r="V9" s="43" t="str">
        <f>"1Q:" &amp; RIGHT(YEAR(V$4),2) &amp; IF(V$4&lt;=LatestRpQ, "A", "E")</f>
        <v>1Q:07A</v>
      </c>
      <c r="W9" s="43" t="str">
        <f>"2Q:" &amp; RIGHT(YEAR(W$4),2) &amp; IF(W$4&lt;=LatestRpQ, "A", "E")</f>
        <v>2Q:07A</v>
      </c>
      <c r="X9" s="43" t="str">
        <f>"3Q:" &amp; RIGHT(YEAR(X$4),2) &amp; IF(X$4&lt;=LatestRpQ, "A", "E")</f>
        <v>3Q:07A</v>
      </c>
      <c r="Y9" s="43" t="str">
        <f>"4Q:" &amp; RIGHT(YEAR(Y$4),2) &amp; IF(Y$4&lt;=LatestRpQ, "A", "E")</f>
        <v>4Q:07A</v>
      </c>
      <c r="Z9" s="44" t="str">
        <f>YEAR(Z$4) &amp; IF(Z$4&lt;=LatestRpQ, "A", "E")</f>
        <v>2007A</v>
      </c>
      <c r="AA9" s="43" t="str">
        <f>"1Q:" &amp; RIGHT(YEAR(AA$4),2) &amp; IF(AA$4&lt;=LatestRpQ, "A", "E")</f>
        <v>1Q:08A</v>
      </c>
      <c r="AB9" s="43" t="str">
        <f>"2Q:" &amp; RIGHT(YEAR(AB$4),2) &amp; IF(AB$4&lt;=LatestRpQ, "A", "E")</f>
        <v>2Q:08A</v>
      </c>
      <c r="AC9" s="43" t="str">
        <f>"3Q:" &amp; RIGHT(YEAR(AC$4),2) &amp; IF(AC$4&lt;=LatestRpQ, "A", "E")</f>
        <v>3Q:08A</v>
      </c>
      <c r="AD9" s="43" t="str">
        <f>"4Q:" &amp; RIGHT(YEAR(AD$4),2) &amp; IF(AD$4&lt;=LatestRpQ, "A", "E")</f>
        <v>4Q:08A</v>
      </c>
      <c r="AE9" s="44" t="str">
        <f>YEAR(AE$4) &amp; IF(AE$4&lt;=LatestRpQ, "A", "E")</f>
        <v>2008A</v>
      </c>
      <c r="AF9" s="43" t="str">
        <f>"1Q:" &amp; RIGHT(YEAR(AF$4),2) &amp; IF(AF$4&lt;=LatestRpQ, "A", "E")</f>
        <v>1Q:09A</v>
      </c>
      <c r="AG9" s="43" t="str">
        <f>"2Q:" &amp; RIGHT(YEAR(AG$4),2) &amp; IF(AG$4&lt;=LatestRpQ, "A", "E")</f>
        <v>2Q:09A</v>
      </c>
      <c r="AH9" s="43" t="str">
        <f>"3Q:" &amp; RIGHT(YEAR(AH$4),2) &amp; IF(AH$4&lt;=LatestRpQ, "A", "E")</f>
        <v>3Q:09A</v>
      </c>
      <c r="AI9" s="43" t="str">
        <f>"4Q:" &amp; RIGHT(YEAR(AI$4),2) &amp; IF(AI$4&lt;=LatestRpQ, "A", "E")</f>
        <v>4Q:09A</v>
      </c>
      <c r="AJ9" s="44" t="str">
        <f>YEAR(AJ$4) &amp; IF(AJ$4&lt;=LatestRpQ, "A", "E")</f>
        <v>2009A</v>
      </c>
      <c r="AK9" s="43" t="str">
        <f>"1Q:" &amp; RIGHT(YEAR(AK$4),2) &amp; IF(AK$4&lt;=LatestRpQ, "A", "E")</f>
        <v>1Q:10A</v>
      </c>
      <c r="AL9" s="43" t="str">
        <f>"2Q:" &amp; RIGHT(YEAR(AL$4),2) &amp; IF(AL$4&lt;=LatestRpQ, "A", "E")</f>
        <v>2Q:10A</v>
      </c>
      <c r="AM9" s="43" t="str">
        <f>"3Q:" &amp; RIGHT(YEAR(AM$4),2) &amp; IF(AM$4&lt;=LatestRpQ, "A", "E")</f>
        <v>3Q:10A</v>
      </c>
      <c r="AN9" s="43" t="str">
        <f>"4Q:" &amp; RIGHT(YEAR(AN$4),2) &amp; IF(AN$4&lt;=LatestRpQ, "A", "E")</f>
        <v>4Q:10A</v>
      </c>
      <c r="AO9" s="44" t="str">
        <f>YEAR(AO$4) &amp; IF(AO$4&lt;=LatestRpQ, "A", "E")</f>
        <v>2010A</v>
      </c>
      <c r="AP9" s="43" t="str">
        <f>"1Q:" &amp; RIGHT(YEAR(AP$4),2) &amp; IF(AP$4&lt;=LatestRpQ, "A", "E")</f>
        <v>1Q:11A</v>
      </c>
      <c r="AQ9" s="43" t="str">
        <f>"2Q:" &amp; RIGHT(YEAR(AQ$4),2) &amp; IF(AQ$4&lt;=LatestRpQ, "A", "E")</f>
        <v>2Q:11A</v>
      </c>
      <c r="AR9" s="43" t="str">
        <f>"3Q:" &amp; RIGHT(YEAR(AR$4),2) &amp; IF(AR$4&lt;=LatestRpQ, "A", "E")</f>
        <v>3Q:11A</v>
      </c>
      <c r="AS9" s="43" t="str">
        <f>"4Q:" &amp; RIGHT(YEAR(AS$4),2) &amp; IF(AS$4&lt;=LatestRpQ, "A", "E")</f>
        <v>4Q:11A</v>
      </c>
      <c r="AT9" s="44" t="str">
        <f>YEAR(AT$4) &amp; IF(AT$4&lt;=LatestRpQ, "A", "E")</f>
        <v>2011A</v>
      </c>
      <c r="AU9" s="43" t="str">
        <f>"1Q:" &amp; RIGHT(YEAR(AU$4),2) &amp; IF(AU$4&lt;=LatestRpQ, "A", "E")</f>
        <v>1Q:12A</v>
      </c>
      <c r="AV9" s="43" t="str">
        <f>"2Q:" &amp; RIGHT(YEAR(AV$4),2) &amp; IF(AV$4&lt;=LatestRpQ, "A", "E")</f>
        <v>2Q:12A</v>
      </c>
      <c r="AW9" s="43" t="str">
        <f>"3Q:" &amp; RIGHT(YEAR(AW$4),2) &amp; IF(AW$4&lt;=LatestRpQ, "A", "E")</f>
        <v>3Q:12A</v>
      </c>
      <c r="AX9" s="43" t="str">
        <f>"4Q:" &amp; RIGHT(YEAR(AX$4),2) &amp; IF(AX$4&lt;=LatestRpQ, "A", "E")</f>
        <v>4Q:12A</v>
      </c>
      <c r="AY9" s="44" t="str">
        <f>YEAR(AY$4) &amp; IF(AY$4&lt;=LatestRpQ, "A", "E")</f>
        <v>2012A</v>
      </c>
      <c r="AZ9" s="43" t="str">
        <f>"1Q:" &amp; RIGHT(YEAR(AZ$4),2) &amp; IF(AZ$4&lt;=LatestRpQ, "A", "E")</f>
        <v>1Q:13A</v>
      </c>
      <c r="BA9" s="43" t="str">
        <f>"2Q:" &amp; RIGHT(YEAR(BA$4),2) &amp; IF(BA$4&lt;=LatestRpQ, "A", "E")</f>
        <v>2Q:13A</v>
      </c>
      <c r="BB9" s="43" t="str">
        <f>"3Q:" &amp; RIGHT(YEAR(BB$4),2) &amp; IF(BB$4&lt;=LatestRpQ, "A", "E")</f>
        <v>3Q:13A</v>
      </c>
      <c r="BC9" s="43" t="str">
        <f>"4Q:" &amp; RIGHT(YEAR(BC$4),2) &amp; IF(BC$4&lt;=LatestRpQ, "A", "E")</f>
        <v>4Q:13A</v>
      </c>
      <c r="BD9" s="44" t="str">
        <f>YEAR(BD$4) &amp; IF(BD$4&lt;=LatestRpQ, "A", "E")</f>
        <v>2013A</v>
      </c>
      <c r="BE9" s="43" t="str">
        <f>"1Q:" &amp; RIGHT(YEAR(BE$4),2) &amp; IF(BE$4&lt;=LatestRpQ, "A", "E")</f>
        <v>1Q:14A</v>
      </c>
      <c r="BF9" s="43" t="str">
        <f>"2Q:" &amp; RIGHT(YEAR(BF$4),2) &amp; IF(BF$4&lt;=LatestRpQ, "A", "E")</f>
        <v>2Q:14A</v>
      </c>
      <c r="BG9" s="43" t="str">
        <f>"3Q:" &amp; RIGHT(YEAR(BG$4),2) &amp; IF(BG$4&lt;=LatestRpQ, "A", "E")</f>
        <v>3Q:14A</v>
      </c>
      <c r="BH9" s="43" t="str">
        <f>"4Q:" &amp; RIGHT(YEAR(BH$4),2) &amp; IF(BH$4&lt;=LatestRpQ, "A", "E")</f>
        <v>4Q:14A</v>
      </c>
      <c r="BI9" s="44" t="str">
        <f>YEAR(BI$4) &amp; IF(BI$4&lt;=LatestRpQ, "A", "E")</f>
        <v>2014A</v>
      </c>
      <c r="BJ9" s="43" t="str">
        <f>"1Q:" &amp; RIGHT(YEAR(BJ$4),2) &amp; IF(BJ$4&lt;=LatestRpQ, "A", "E")</f>
        <v>1Q:15A</v>
      </c>
      <c r="BK9" s="43" t="str">
        <f>"2Q:" &amp; RIGHT(YEAR(BK$4),2) &amp; IF(BK$4&lt;=LatestRpQ, "A", "E")</f>
        <v>2Q:15A</v>
      </c>
      <c r="BL9" s="43" t="str">
        <f>"3Q:" &amp; RIGHT(YEAR(BL$4),2) &amp; IF(BL$4&lt;=LatestRpQ, "A", "E")</f>
        <v>3Q:15A</v>
      </c>
      <c r="BM9" s="43" t="str">
        <f>"4Q:" &amp; RIGHT(YEAR(BM$4),2) &amp; IF(BM$4&lt;=LatestRpQ, "A", "E")</f>
        <v>4Q:15A</v>
      </c>
      <c r="BN9" s="44" t="str">
        <f>YEAR(BN$4) &amp; IF(BN$4&lt;=LatestRpQ, "A", "E")</f>
        <v>2015A</v>
      </c>
      <c r="BO9" s="43" t="str">
        <f>"1Q:" &amp; RIGHT(YEAR(BO$4),2) &amp; IF(BO$4&lt;=LatestRpQ, "A", "E")</f>
        <v>1Q:16A</v>
      </c>
      <c r="BP9" s="43" t="str">
        <f>"2Q:" &amp; RIGHT(YEAR(BP$4),2) &amp; IF(BP$4&lt;=LatestRpQ, "A", "E")</f>
        <v>2Q:16A</v>
      </c>
      <c r="BQ9" s="43" t="str">
        <f>"3Q:" &amp; RIGHT(YEAR(BQ$4),2) &amp; IF(BQ$4&lt;=LatestRpQ, "A", "E")</f>
        <v>3Q:16A</v>
      </c>
      <c r="BR9" s="43" t="str">
        <f>"4Q:" &amp; RIGHT(YEAR(BR$4),2) &amp; IF(BR$4&lt;=LatestRpQ, "A", "E")</f>
        <v>4Q:16A</v>
      </c>
      <c r="BS9" s="44" t="str">
        <f>YEAR(BS$4) &amp; IF(BS$4&lt;=LatestRpQ, "A", "E")</f>
        <v>2016A</v>
      </c>
      <c r="BT9" s="43" t="str">
        <f>"1Q:" &amp; RIGHT(YEAR(BT$4),2) &amp; IF(BT$4&lt;=LatestRpQ, "A", "E")</f>
        <v>1Q:17A</v>
      </c>
      <c r="BU9" s="43" t="str">
        <f>"2Q:" &amp; RIGHT(YEAR(BU$4),2) &amp; IF(BU$4&lt;=LatestRpQ, "A", "E")</f>
        <v>2Q:17A</v>
      </c>
      <c r="BV9" s="43" t="str">
        <f>"3Q:" &amp; RIGHT(YEAR(BV$4),2) &amp; IF(BV$4&lt;=LatestRpQ, "A", "E")</f>
        <v>3Q:17A</v>
      </c>
      <c r="BW9" s="43" t="str">
        <f>"4Q:" &amp; RIGHT(YEAR(BW$4),2) &amp; IF(BW$4&lt;=LatestRpQ, "A", "E")</f>
        <v>4Q:17A</v>
      </c>
      <c r="BX9" s="44" t="str">
        <f>YEAR(BX$4) &amp; IF(BX$4&lt;=LatestRpQ, "A", "E")</f>
        <v>2017A</v>
      </c>
      <c r="BY9" s="43" t="str">
        <f>"1Q:" &amp; RIGHT(YEAR(BY$4),2) &amp; IF(BY$4&lt;=LatestRpQ, "A", "E")</f>
        <v>1Q:18A</v>
      </c>
      <c r="BZ9" s="43" t="str">
        <f>"2Q:" &amp; RIGHT(YEAR(BZ$4),2) &amp; IF(BZ$4&lt;=LatestRpQ, "A", "E")</f>
        <v>2Q:18E</v>
      </c>
      <c r="CA9" s="43" t="str">
        <f>"3Q:" &amp; RIGHT(YEAR(CA$4),2) &amp; IF(CA$4&lt;=LatestRpQ, "A", "E")</f>
        <v>3Q:18E</v>
      </c>
      <c r="CB9" s="43" t="str">
        <f>"4Q:" &amp; RIGHT(YEAR(CB$4),2) &amp; IF(CB$4&lt;=LatestRpQ, "A", "E")</f>
        <v>4Q:18E</v>
      </c>
      <c r="CC9" s="44" t="str">
        <f t="shared" ref="CC9:CH9" si="0">YEAR(CC$4) &amp; IF(CC$4&lt;=LatestRpQ, "A", "E")</f>
        <v>2018E</v>
      </c>
      <c r="CD9" s="44" t="str">
        <f t="shared" si="0"/>
        <v>2019E</v>
      </c>
      <c r="CE9" s="44" t="str">
        <f t="shared" si="0"/>
        <v>2020E</v>
      </c>
      <c r="CF9" s="44" t="str">
        <f t="shared" si="0"/>
        <v>2021E</v>
      </c>
      <c r="CG9" s="44" t="str">
        <f t="shared" si="0"/>
        <v>2022E</v>
      </c>
      <c r="CH9" s="44" t="str">
        <f t="shared" si="0"/>
        <v>2023E</v>
      </c>
    </row>
    <row r="10" spans="1:154" ht="5.25" customHeight="1">
      <c r="A10" s="129"/>
      <c r="B10" s="129"/>
      <c r="C10" s="129"/>
      <c r="D10" s="129"/>
      <c r="E10" s="124"/>
      <c r="F10" s="124"/>
      <c r="G10" s="9"/>
      <c r="H10" s="37"/>
      <c r="I10" s="37"/>
      <c r="J10" s="37"/>
      <c r="K10" s="37"/>
      <c r="L10" s="251"/>
      <c r="M10" s="251"/>
      <c r="N10" s="251"/>
      <c r="O10" s="251"/>
      <c r="P10" s="252"/>
      <c r="Q10" s="251"/>
      <c r="R10" s="251"/>
      <c r="S10" s="251"/>
      <c r="T10" s="251"/>
      <c r="U10" s="252"/>
      <c r="V10" s="251"/>
      <c r="W10" s="251"/>
      <c r="X10" s="251"/>
      <c r="Y10" s="251"/>
      <c r="Z10" s="252"/>
      <c r="AA10" s="251"/>
      <c r="AB10" s="251"/>
      <c r="AC10" s="251"/>
      <c r="AD10" s="251"/>
      <c r="AE10" s="252"/>
      <c r="AF10" s="253"/>
      <c r="AG10" s="253"/>
      <c r="AH10" s="253"/>
      <c r="AI10" s="253"/>
      <c r="AJ10" s="254"/>
      <c r="AK10" s="253"/>
      <c r="AL10" s="253"/>
      <c r="AM10" s="253"/>
      <c r="AN10" s="253"/>
      <c r="AO10" s="254"/>
      <c r="AP10" s="253"/>
      <c r="AQ10" s="253"/>
      <c r="AR10" s="253"/>
      <c r="AS10" s="253"/>
      <c r="AT10" s="254"/>
      <c r="AU10" s="253"/>
      <c r="AV10" s="253"/>
      <c r="AW10" s="253"/>
      <c r="AX10" s="253"/>
      <c r="AY10" s="254"/>
      <c r="AZ10" s="253"/>
      <c r="BA10" s="253"/>
      <c r="BB10" s="253"/>
      <c r="BC10" s="253"/>
      <c r="BD10" s="254"/>
      <c r="BE10" s="253"/>
      <c r="BF10" s="253"/>
      <c r="BG10" s="253"/>
      <c r="BH10" s="253"/>
      <c r="BI10" s="254"/>
      <c r="BJ10" s="253"/>
      <c r="BK10" s="253"/>
      <c r="BL10" s="253"/>
      <c r="BM10" s="253"/>
      <c r="BN10" s="254"/>
      <c r="BO10" s="253"/>
      <c r="BP10" s="253"/>
      <c r="BQ10" s="253"/>
      <c r="BR10" s="253"/>
      <c r="BS10" s="254"/>
      <c r="BT10" s="253"/>
      <c r="BU10" s="253"/>
      <c r="BV10" s="253"/>
      <c r="BW10" s="253"/>
      <c r="BX10" s="254"/>
      <c r="BY10" s="253"/>
      <c r="BZ10" s="253"/>
      <c r="CA10" s="253"/>
      <c r="CB10" s="253"/>
      <c r="CC10" s="254"/>
      <c r="CD10" s="254"/>
      <c r="CE10" s="254"/>
      <c r="CF10" s="254"/>
      <c r="CG10" s="254"/>
      <c r="CH10" s="254"/>
    </row>
    <row r="11" spans="1:154" s="37" customFormat="1" collapsed="1">
      <c r="A11" s="130"/>
      <c r="B11" s="130"/>
      <c r="C11" s="130"/>
      <c r="D11" s="130"/>
      <c r="E11" s="130"/>
      <c r="F11" s="130"/>
      <c r="G11" s="9"/>
      <c r="H11" s="255" t="s">
        <v>197</v>
      </c>
      <c r="I11" s="255"/>
      <c r="J11" s="255"/>
      <c r="K11" s="990"/>
      <c r="L11" s="991">
        <v>3301.9</v>
      </c>
      <c r="M11" s="991">
        <v>3466.8</v>
      </c>
      <c r="N11" s="991">
        <v>3385.5</v>
      </c>
      <c r="O11" s="991">
        <v>3627.7</v>
      </c>
      <c r="P11" s="992">
        <v>13785.1</v>
      </c>
      <c r="Q11" s="991">
        <v>3516.4</v>
      </c>
      <c r="R11" s="991">
        <v>3666.1</v>
      </c>
      <c r="S11" s="991">
        <v>3647.85</v>
      </c>
      <c r="T11" s="991">
        <v>3985.4</v>
      </c>
      <c r="U11" s="992">
        <v>14815.55</v>
      </c>
      <c r="V11" s="991">
        <v>4011.1</v>
      </c>
      <c r="W11" s="991">
        <v>4416.2</v>
      </c>
      <c r="X11" s="991">
        <v>4350.2</v>
      </c>
      <c r="Y11" s="991">
        <v>4860.3999999999996</v>
      </c>
      <c r="Z11" s="992">
        <v>17638</v>
      </c>
      <c r="AA11" s="991">
        <v>4500</v>
      </c>
      <c r="AB11" s="991">
        <v>4800.5</v>
      </c>
      <c r="AC11" s="991">
        <v>4841.3</v>
      </c>
      <c r="AD11" s="991">
        <v>4775.2</v>
      </c>
      <c r="AE11" s="992">
        <v>18916.900000000001</v>
      </c>
      <c r="AF11" s="991">
        <v>4627.3</v>
      </c>
      <c r="AG11" s="991">
        <v>4837.75</v>
      </c>
      <c r="AH11" s="991">
        <v>5071.1000000000004</v>
      </c>
      <c r="AI11" s="991">
        <v>5428.1</v>
      </c>
      <c r="AJ11" s="992">
        <v>19964.25</v>
      </c>
      <c r="AK11" s="991">
        <v>5042.8999999999996</v>
      </c>
      <c r="AL11" s="991">
        <v>5265.2</v>
      </c>
      <c r="AM11" s="991">
        <v>5133.7</v>
      </c>
      <c r="AN11" s="991">
        <v>5609.48</v>
      </c>
      <c r="AO11" s="993">
        <v>21051.279999999999</v>
      </c>
      <c r="AP11" s="994">
        <v>5320.2</v>
      </c>
      <c r="AQ11" s="994">
        <v>5697.2</v>
      </c>
      <c r="AR11" s="994">
        <v>5520.7</v>
      </c>
      <c r="AS11" s="994">
        <v>5388.2</v>
      </c>
      <c r="AT11" s="993">
        <v>21926.3</v>
      </c>
      <c r="AU11" s="994">
        <v>5111.3</v>
      </c>
      <c r="AV11" s="994">
        <v>5088.5</v>
      </c>
      <c r="AW11" s="994">
        <v>4963.8999999999996</v>
      </c>
      <c r="AX11" s="994">
        <v>5403.2</v>
      </c>
      <c r="AY11" s="993">
        <v>20566.900000000001</v>
      </c>
      <c r="AZ11" s="994">
        <v>5102.8999999999996</v>
      </c>
      <c r="BA11" s="994">
        <v>5386.2</v>
      </c>
      <c r="BB11" s="994">
        <v>5242.3</v>
      </c>
      <c r="BC11" s="994">
        <v>5230.3999999999996</v>
      </c>
      <c r="BD11" s="702">
        <f>BD15+BD47+BD106+BD137+BD178+BD201</f>
        <v>20961.800000000003</v>
      </c>
      <c r="BE11" s="994">
        <v>4155.7</v>
      </c>
      <c r="BF11" s="994">
        <v>4334.3999999999996</v>
      </c>
      <c r="BG11" s="994">
        <v>4290.9000000000005</v>
      </c>
      <c r="BH11" s="994">
        <v>4488</v>
      </c>
      <c r="BI11" s="702">
        <f>BI15+BI47+BI106+BI137+BI178+BI201</f>
        <v>17268.999999999996</v>
      </c>
      <c r="BJ11" s="994">
        <v>3894.9</v>
      </c>
      <c r="BK11" s="994">
        <v>4137.8999999999996</v>
      </c>
      <c r="BL11" s="994">
        <v>4180.8999999999996</v>
      </c>
      <c r="BM11" s="994">
        <v>4563.8999999999996</v>
      </c>
      <c r="BN11" s="702">
        <f>BN15+BN47+BN106+BN137+BN178+BN201</f>
        <v>16777.599999999999</v>
      </c>
      <c r="BO11" s="701">
        <f>BO15+BO47+BO106+BO137+BO178+BO201</f>
        <v>4110.5</v>
      </c>
      <c r="BP11" s="701">
        <f t="shared" ref="BP11:BX11" si="1">BP15+BP47+BP106+BP137+BP168+BP178+BP201</f>
        <v>4545.0000000000009</v>
      </c>
      <c r="BQ11" s="701">
        <f t="shared" si="1"/>
        <v>4485.5</v>
      </c>
      <c r="BR11" s="701">
        <f t="shared" si="1"/>
        <v>4922.9000000000005</v>
      </c>
      <c r="BS11" s="702">
        <f t="shared" si="1"/>
        <v>18052.000000000004</v>
      </c>
      <c r="BT11" s="701">
        <f t="shared" si="1"/>
        <v>4459</v>
      </c>
      <c r="BU11" s="701">
        <f t="shared" si="1"/>
        <v>5039.5</v>
      </c>
      <c r="BV11" s="701">
        <f t="shared" si="1"/>
        <v>4917.5</v>
      </c>
      <c r="BW11" s="701">
        <f t="shared" si="1"/>
        <v>5369.9</v>
      </c>
      <c r="BX11" s="702">
        <f t="shared" si="1"/>
        <v>19785.899999999998</v>
      </c>
      <c r="BY11" s="701">
        <f t="shared" ref="BY11:CH11" si="2">BY15+BY47+BY106+BY137+BY168+BY178+BY201</f>
        <v>4938.7</v>
      </c>
      <c r="BZ11" s="701">
        <f t="shared" si="2"/>
        <v>5220.3819999999996</v>
      </c>
      <c r="CA11" s="701">
        <f t="shared" si="2"/>
        <v>5297.1269999999995</v>
      </c>
      <c r="CB11" s="701">
        <f t="shared" si="2"/>
        <v>5404.6289999999999</v>
      </c>
      <c r="CC11" s="702">
        <f t="shared" si="2"/>
        <v>20860.837999999996</v>
      </c>
      <c r="CD11" s="702">
        <f t="shared" si="2"/>
        <v>21222.308249999998</v>
      </c>
      <c r="CE11" s="702">
        <f t="shared" si="2"/>
        <v>21911.522824</v>
      </c>
      <c r="CF11" s="702">
        <f t="shared" si="2"/>
        <v>22599.663017368999</v>
      </c>
      <c r="CG11" s="702">
        <f t="shared" si="2"/>
        <v>23123.75458670417</v>
      </c>
      <c r="CH11" s="702">
        <f t="shared" si="2"/>
        <v>23755.989695289161</v>
      </c>
      <c r="EX11" s="1261" t="s">
        <v>197</v>
      </c>
    </row>
    <row r="12" spans="1:154" ht="12.75" customHeight="1">
      <c r="A12" s="130"/>
      <c r="B12" s="130"/>
      <c r="C12" s="130"/>
      <c r="D12" s="130"/>
      <c r="E12" s="130"/>
      <c r="F12" s="130"/>
      <c r="G12" s="9"/>
      <c r="H12" s="257" t="s">
        <v>231</v>
      </c>
      <c r="I12" s="257"/>
      <c r="J12" s="257"/>
      <c r="K12" s="989"/>
      <c r="L12" s="263">
        <v>1770.1</v>
      </c>
      <c r="M12" s="263">
        <v>1858.9</v>
      </c>
      <c r="N12" s="263">
        <v>1834.2</v>
      </c>
      <c r="O12" s="263">
        <v>1964.6</v>
      </c>
      <c r="P12" s="666">
        <v>7431</v>
      </c>
      <c r="Q12" s="263">
        <v>1951.5</v>
      </c>
      <c r="R12" s="263">
        <v>2004.9</v>
      </c>
      <c r="S12" s="263">
        <v>2008.55</v>
      </c>
      <c r="T12" s="263">
        <v>2228.3000000000002</v>
      </c>
      <c r="U12" s="666">
        <v>8193.0499999999993</v>
      </c>
      <c r="V12" s="263">
        <v>2218.3000000000002</v>
      </c>
      <c r="W12" s="263">
        <v>2407.6</v>
      </c>
      <c r="X12" s="263">
        <v>2364.9</v>
      </c>
      <c r="Y12" s="263">
        <v>2674.2</v>
      </c>
      <c r="Z12" s="666">
        <v>9665.1</v>
      </c>
      <c r="AA12" s="263">
        <v>2366.5</v>
      </c>
      <c r="AB12" s="263">
        <v>2475.4</v>
      </c>
      <c r="AC12" s="263">
        <v>2551.9</v>
      </c>
      <c r="AD12" s="263">
        <v>2653.8</v>
      </c>
      <c r="AE12" s="666">
        <v>10047.5</v>
      </c>
      <c r="AF12" s="263">
        <v>2583</v>
      </c>
      <c r="AG12" s="263">
        <v>2712.89</v>
      </c>
      <c r="AH12" s="263">
        <v>2820.8</v>
      </c>
      <c r="AI12" s="263">
        <v>2949.6</v>
      </c>
      <c r="AJ12" s="666">
        <v>11066.29</v>
      </c>
      <c r="AK12" s="263">
        <v>2748.8</v>
      </c>
      <c r="AL12" s="263">
        <v>2956.9</v>
      </c>
      <c r="AM12" s="263">
        <v>2837.3</v>
      </c>
      <c r="AN12" s="263">
        <v>3064.88</v>
      </c>
      <c r="AO12" s="411">
        <v>11607.88</v>
      </c>
      <c r="AP12" s="391">
        <v>2757.3</v>
      </c>
      <c r="AQ12" s="391">
        <v>3003.4</v>
      </c>
      <c r="AR12" s="391">
        <v>2887.1</v>
      </c>
      <c r="AS12" s="391">
        <v>2879.8</v>
      </c>
      <c r="AT12" s="411">
        <v>11527.6</v>
      </c>
      <c r="AU12" s="391">
        <v>2815.3</v>
      </c>
      <c r="AV12" s="391">
        <v>2707.7</v>
      </c>
      <c r="AW12" s="391">
        <v>2710.9</v>
      </c>
      <c r="AX12" s="391">
        <v>2917.5</v>
      </c>
      <c r="AY12" s="411">
        <v>11151.4</v>
      </c>
      <c r="AZ12" s="391">
        <v>2841.9</v>
      </c>
      <c r="BA12" s="391">
        <v>3076</v>
      </c>
      <c r="BB12" s="391">
        <v>3006.9</v>
      </c>
      <c r="BC12" s="391">
        <v>2738</v>
      </c>
      <c r="BD12" s="410">
        <f>BD16+BD48+BD107+BD138+BD179+BD202</f>
        <v>11663</v>
      </c>
      <c r="BE12" s="391">
        <v>1776.7</v>
      </c>
      <c r="BF12" s="391">
        <v>2047.7</v>
      </c>
      <c r="BG12" s="391">
        <v>1904.8999999999999</v>
      </c>
      <c r="BH12" s="391">
        <v>2130.5</v>
      </c>
      <c r="BI12" s="410">
        <f>BI16+BI48+BI107+BI138+BI179+BI202</f>
        <v>7859.7999999999993</v>
      </c>
      <c r="BJ12" s="391">
        <v>1840.7</v>
      </c>
      <c r="BK12" s="391">
        <v>2117.8000000000002</v>
      </c>
      <c r="BL12" s="391">
        <v>2145.1</v>
      </c>
      <c r="BM12" s="391">
        <v>2438.8000000000002</v>
      </c>
      <c r="BN12" s="410">
        <f>BN16+BN48+BN107+BN138+BN179+BN202</f>
        <v>8542.4</v>
      </c>
      <c r="BO12" s="391">
        <v>2163.1999999999998</v>
      </c>
      <c r="BP12" s="391">
        <v>2445.4</v>
      </c>
      <c r="BQ12" s="391">
        <v>2499</v>
      </c>
      <c r="BR12" s="391">
        <v>2834.1</v>
      </c>
      <c r="BS12" s="410">
        <f>BS16+BS48+BS107+BS138+BS169+BS179+BS202</f>
        <v>9930.1999999999989</v>
      </c>
      <c r="BT12" s="391">
        <v>2519.6999999999998</v>
      </c>
      <c r="BU12" s="391">
        <v>2917.4</v>
      </c>
      <c r="BV12" s="391">
        <v>2751.3</v>
      </c>
      <c r="BW12" s="391">
        <v>3085.5</v>
      </c>
      <c r="BX12" s="410">
        <f>BX16+BX48+BX107+BX138+BX169+BX179+BX202</f>
        <v>11274.1</v>
      </c>
      <c r="BY12" s="391">
        <f>2779</f>
        <v>2779</v>
      </c>
      <c r="BZ12" s="383">
        <f t="shared" ref="BZ12:CH12" si="3">BZ16+BZ48+BZ107+BZ138+BZ169+BZ179+BZ202</f>
        <v>3008.0269999999996</v>
      </c>
      <c r="CA12" s="383">
        <f t="shared" si="3"/>
        <v>3059.2310000000002</v>
      </c>
      <c r="CB12" s="383">
        <f t="shared" si="3"/>
        <v>3088.0730000000003</v>
      </c>
      <c r="CC12" s="410">
        <f t="shared" si="3"/>
        <v>11934.331</v>
      </c>
      <c r="CD12" s="410">
        <f t="shared" si="3"/>
        <v>12121.981429999998</v>
      </c>
      <c r="CE12" s="410">
        <f t="shared" si="3"/>
        <v>12827.781117799999</v>
      </c>
      <c r="CF12" s="410">
        <f t="shared" si="3"/>
        <v>13472.529135824003</v>
      </c>
      <c r="CG12" s="410">
        <f t="shared" si="3"/>
        <v>13708.295069315502</v>
      </c>
      <c r="CH12" s="410">
        <f t="shared" si="3"/>
        <v>14028.194917160872</v>
      </c>
    </row>
    <row r="13" spans="1:154" ht="12.75" customHeight="1">
      <c r="A13" s="130"/>
      <c r="B13" s="130"/>
      <c r="C13" s="130"/>
      <c r="D13" s="130"/>
      <c r="E13" s="130"/>
      <c r="F13" s="130"/>
      <c r="G13" s="9"/>
      <c r="H13" s="257" t="s">
        <v>232</v>
      </c>
      <c r="I13" s="257"/>
      <c r="J13" s="257"/>
      <c r="K13" s="989"/>
      <c r="L13" s="263">
        <v>1531.8</v>
      </c>
      <c r="M13" s="263">
        <v>1607.9</v>
      </c>
      <c r="N13" s="263">
        <v>1551.3</v>
      </c>
      <c r="O13" s="263">
        <v>1663.1</v>
      </c>
      <c r="P13" s="666">
        <v>6354.1</v>
      </c>
      <c r="Q13" s="263">
        <v>1564.9</v>
      </c>
      <c r="R13" s="263">
        <v>1661.2</v>
      </c>
      <c r="S13" s="263">
        <v>1639.3</v>
      </c>
      <c r="T13" s="263">
        <v>1757.1</v>
      </c>
      <c r="U13" s="666">
        <v>6622.5</v>
      </c>
      <c r="V13" s="263">
        <v>1792.8</v>
      </c>
      <c r="W13" s="263">
        <v>2008.6</v>
      </c>
      <c r="X13" s="263">
        <v>1985.3</v>
      </c>
      <c r="Y13" s="263">
        <v>2186.1999999999998</v>
      </c>
      <c r="Z13" s="666">
        <v>7972.9</v>
      </c>
      <c r="AA13" s="263">
        <v>2133.5</v>
      </c>
      <c r="AB13" s="263">
        <v>2325.1</v>
      </c>
      <c r="AC13" s="263">
        <v>2289.4</v>
      </c>
      <c r="AD13" s="263">
        <v>2121.4</v>
      </c>
      <c r="AE13" s="666">
        <v>8869.4</v>
      </c>
      <c r="AF13" s="263">
        <v>2044.3</v>
      </c>
      <c r="AG13" s="263">
        <v>2124.86</v>
      </c>
      <c r="AH13" s="263">
        <v>2250.3000000000002</v>
      </c>
      <c r="AI13" s="263">
        <v>2478.5</v>
      </c>
      <c r="AJ13" s="666">
        <v>8897.9599999999991</v>
      </c>
      <c r="AK13" s="263">
        <v>2294.1</v>
      </c>
      <c r="AL13" s="263">
        <v>2308.3000000000002</v>
      </c>
      <c r="AM13" s="263">
        <v>2296.4</v>
      </c>
      <c r="AN13" s="263">
        <v>2544.6</v>
      </c>
      <c r="AO13" s="411">
        <v>9443.4</v>
      </c>
      <c r="AP13" s="391">
        <v>2562.9</v>
      </c>
      <c r="AQ13" s="391">
        <v>2693.8</v>
      </c>
      <c r="AR13" s="391">
        <v>2633.6</v>
      </c>
      <c r="AS13" s="391">
        <v>2508.4</v>
      </c>
      <c r="AT13" s="411">
        <v>10398.700000000001</v>
      </c>
      <c r="AU13" s="391">
        <v>2296</v>
      </c>
      <c r="AV13" s="391">
        <v>2380.8000000000002</v>
      </c>
      <c r="AW13" s="391">
        <v>2253</v>
      </c>
      <c r="AX13" s="391">
        <v>2485.6999999999998</v>
      </c>
      <c r="AY13" s="411">
        <v>9415.5</v>
      </c>
      <c r="AZ13" s="391">
        <v>2261</v>
      </c>
      <c r="BA13" s="391">
        <v>2310.1999999999998</v>
      </c>
      <c r="BB13" s="391">
        <v>2235.4</v>
      </c>
      <c r="BC13" s="391">
        <v>2235.4</v>
      </c>
      <c r="BD13" s="410">
        <f>BD17+BD49+BD108+BD139+BD180+BD203</f>
        <v>9298.8000000000011</v>
      </c>
      <c r="BE13" s="391">
        <v>2379</v>
      </c>
      <c r="BF13" s="391">
        <v>2286.6999999999998</v>
      </c>
      <c r="BG13" s="391">
        <v>2386</v>
      </c>
      <c r="BH13" s="391">
        <v>2357.5</v>
      </c>
      <c r="BI13" s="410">
        <f>BI17+BI49+BI108+BI139+BI180+BI203</f>
        <v>9409.1999999999989</v>
      </c>
      <c r="BJ13" s="391">
        <v>2054.1999999999998</v>
      </c>
      <c r="BK13" s="391">
        <v>2020.1</v>
      </c>
      <c r="BL13" s="391">
        <v>2035.8</v>
      </c>
      <c r="BM13" s="391">
        <v>2125.1</v>
      </c>
      <c r="BN13" s="410">
        <f>BN17+BN49+BN108+BN139+BN180+BN203</f>
        <v>8235.1999999999989</v>
      </c>
      <c r="BO13" s="391">
        <v>1947.3</v>
      </c>
      <c r="BP13" s="391">
        <v>2099.6</v>
      </c>
      <c r="BQ13" s="391">
        <v>1986.5</v>
      </c>
      <c r="BR13" s="391">
        <v>2088.8000000000002</v>
      </c>
      <c r="BS13" s="410">
        <f>BS17+BS49+BS108+BS139+BS170+BS180+BS203</f>
        <v>8121.8000000000011</v>
      </c>
      <c r="BT13" s="391">
        <v>1939.2</v>
      </c>
      <c r="BU13" s="391">
        <v>2122</v>
      </c>
      <c r="BV13" s="391">
        <v>2166.1</v>
      </c>
      <c r="BW13" s="391">
        <v>2284.4</v>
      </c>
      <c r="BX13" s="410">
        <f>BX17+BX49+BX108+BX139+BX170+BX180+BX203</f>
        <v>8511.7999999999993</v>
      </c>
      <c r="BY13" s="391">
        <f>2159.7</f>
        <v>2159.6999999999998</v>
      </c>
      <c r="BZ13" s="383">
        <f t="shared" ref="BZ13:CH13" si="4">BZ17+BZ49+BZ108+BZ139+BZ170+BZ180+BZ203</f>
        <v>2212.3549999999996</v>
      </c>
      <c r="CA13" s="383">
        <f t="shared" si="4"/>
        <v>2237.8959999999997</v>
      </c>
      <c r="CB13" s="383">
        <f t="shared" si="4"/>
        <v>2316.556</v>
      </c>
      <c r="CC13" s="410">
        <f t="shared" si="4"/>
        <v>8926.5069999999978</v>
      </c>
      <c r="CD13" s="410">
        <f t="shared" si="4"/>
        <v>9100.3268199999984</v>
      </c>
      <c r="CE13" s="410">
        <f t="shared" si="4"/>
        <v>9083.7417062000004</v>
      </c>
      <c r="CF13" s="410">
        <f t="shared" si="4"/>
        <v>9127.1338815449999</v>
      </c>
      <c r="CG13" s="410">
        <f t="shared" si="4"/>
        <v>9415.4595173886701</v>
      </c>
      <c r="CH13" s="410">
        <f t="shared" si="4"/>
        <v>9727.7947781282892</v>
      </c>
    </row>
    <row r="14" spans="1:154" ht="12.75" customHeight="1">
      <c r="A14" s="130"/>
      <c r="B14" s="130"/>
      <c r="C14" s="130"/>
      <c r="D14" s="130"/>
      <c r="E14" s="130"/>
      <c r="F14" s="130"/>
      <c r="G14" s="9"/>
      <c r="H14" s="259"/>
      <c r="I14" s="259"/>
      <c r="J14" s="259"/>
      <c r="K14" s="259"/>
      <c r="L14" s="258"/>
      <c r="M14" s="258"/>
      <c r="N14" s="258"/>
      <c r="O14" s="258"/>
      <c r="P14" s="79"/>
      <c r="Q14" s="258"/>
      <c r="R14" s="258"/>
      <c r="S14" s="258"/>
      <c r="T14" s="258"/>
      <c r="U14" s="79"/>
      <c r="V14" s="258"/>
      <c r="W14" s="258"/>
      <c r="X14" s="258"/>
      <c r="Y14" s="258"/>
      <c r="Z14" s="79"/>
      <c r="AA14" s="258"/>
      <c r="AB14" s="258"/>
      <c r="AC14" s="258"/>
      <c r="AD14" s="258"/>
      <c r="AE14" s="55"/>
      <c r="AF14" s="265"/>
      <c r="AG14" s="258"/>
      <c r="AH14" s="258"/>
      <c r="AI14" s="258"/>
      <c r="AJ14" s="79"/>
      <c r="AK14" s="258"/>
      <c r="AL14" s="258"/>
      <c r="AM14" s="258"/>
      <c r="AN14" s="258"/>
      <c r="AO14" s="410"/>
      <c r="AP14" s="383"/>
      <c r="AQ14" s="383"/>
      <c r="AR14" s="383"/>
      <c r="AS14" s="383"/>
      <c r="AT14" s="410"/>
      <c r="AU14" s="383"/>
      <c r="AV14" s="383"/>
      <c r="AW14" s="383"/>
      <c r="AX14" s="864"/>
      <c r="AY14" s="410"/>
      <c r="AZ14" s="383"/>
      <c r="BA14" s="383"/>
      <c r="BB14" s="383"/>
      <c r="BC14" s="383"/>
      <c r="BD14" s="410"/>
      <c r="BE14" s="383"/>
      <c r="BF14" s="383"/>
      <c r="BG14" s="383"/>
      <c r="BH14" s="383"/>
      <c r="BI14" s="410"/>
      <c r="BJ14" s="383"/>
      <c r="BK14" s="383"/>
      <c r="BL14" s="383"/>
      <c r="BM14" s="383"/>
      <c r="BN14" s="410"/>
      <c r="BO14" s="383"/>
      <c r="BP14" s="383"/>
      <c r="BQ14" s="383"/>
      <c r="BR14" s="383"/>
      <c r="BS14" s="410"/>
      <c r="BT14" s="383"/>
      <c r="BU14" s="383"/>
      <c r="BV14" s="383"/>
      <c r="BW14" s="383"/>
      <c r="BX14" s="410"/>
      <c r="BY14" s="383"/>
      <c r="BZ14" s="383"/>
      <c r="CA14" s="383"/>
      <c r="CB14" s="383"/>
      <c r="CC14" s="410"/>
      <c r="CD14" s="410"/>
      <c r="CE14" s="410"/>
      <c r="CF14" s="410"/>
      <c r="CG14" s="410"/>
      <c r="CH14" s="410"/>
    </row>
    <row r="15" spans="1:154" s="37" customFormat="1" ht="12.75" customHeight="1">
      <c r="A15" s="130"/>
      <c r="B15" s="130"/>
      <c r="C15" s="130"/>
      <c r="D15" s="130"/>
      <c r="E15" s="130"/>
      <c r="F15" s="130"/>
      <c r="G15" s="9"/>
      <c r="H15" s="260" t="s">
        <v>233</v>
      </c>
      <c r="I15" s="260"/>
      <c r="J15" s="260"/>
      <c r="K15" s="260"/>
      <c r="L15" s="261">
        <v>1427.8</v>
      </c>
      <c r="M15" s="261">
        <v>1547.4</v>
      </c>
      <c r="N15" s="261">
        <v>1515</v>
      </c>
      <c r="O15" s="261">
        <v>1589.8</v>
      </c>
      <c r="P15" s="262">
        <v>6080</v>
      </c>
      <c r="Q15" s="261">
        <f t="shared" ref="Q15:AO15" si="5">Q28+Q19+Q43+Q22+Q25+Q31+Q37+Q40</f>
        <v>1507</v>
      </c>
      <c r="R15" s="261">
        <f t="shared" si="5"/>
        <v>1686.3</v>
      </c>
      <c r="S15" s="261">
        <f t="shared" si="5"/>
        <v>1676.15</v>
      </c>
      <c r="T15" s="261">
        <f t="shared" si="5"/>
        <v>1859.2999999999997</v>
      </c>
      <c r="U15" s="262">
        <f t="shared" si="5"/>
        <v>6728.75</v>
      </c>
      <c r="V15" s="261">
        <f t="shared" si="5"/>
        <v>1797.5</v>
      </c>
      <c r="W15" s="261">
        <f t="shared" si="5"/>
        <v>1981.2</v>
      </c>
      <c r="X15" s="261">
        <f t="shared" si="5"/>
        <v>1903.7000000000003</v>
      </c>
      <c r="Y15" s="261">
        <f t="shared" si="5"/>
        <v>2168.7999999999997</v>
      </c>
      <c r="Z15" s="262">
        <f t="shared" si="5"/>
        <v>7851.2</v>
      </c>
      <c r="AA15" s="261">
        <f t="shared" si="5"/>
        <v>1971.2</v>
      </c>
      <c r="AB15" s="261">
        <f t="shared" si="5"/>
        <v>2126.6000000000004</v>
      </c>
      <c r="AC15" s="261">
        <f t="shared" si="5"/>
        <v>2160.4</v>
      </c>
      <c r="AD15" s="261">
        <f t="shared" si="5"/>
        <v>2113</v>
      </c>
      <c r="AE15" s="262">
        <f t="shared" si="5"/>
        <v>8371.1999999999989</v>
      </c>
      <c r="AF15" s="261">
        <f t="shared" si="5"/>
        <v>2077.6</v>
      </c>
      <c r="AG15" s="261">
        <f t="shared" si="5"/>
        <v>2185.7299999999996</v>
      </c>
      <c r="AH15" s="261">
        <f t="shared" si="5"/>
        <v>2252.3000000000006</v>
      </c>
      <c r="AI15" s="261">
        <f t="shared" si="5"/>
        <v>2461</v>
      </c>
      <c r="AJ15" s="262">
        <f t="shared" si="5"/>
        <v>8976.6299999999992</v>
      </c>
      <c r="AK15" s="261">
        <f t="shared" si="5"/>
        <v>2244.2000000000003</v>
      </c>
      <c r="AL15" s="261">
        <f t="shared" si="5"/>
        <v>2363.6999999999998</v>
      </c>
      <c r="AM15" s="261">
        <f t="shared" si="5"/>
        <v>2227.3000000000002</v>
      </c>
      <c r="AN15" s="261">
        <f t="shared" si="5"/>
        <v>2562.5</v>
      </c>
      <c r="AO15" s="709">
        <f t="shared" si="5"/>
        <v>9397.6999999999989</v>
      </c>
      <c r="AP15" s="708">
        <f t="shared" ref="AP15:AT17" si="6">AP28+AP19+AP22+AP25+AP31+AP37</f>
        <v>2405.2000000000003</v>
      </c>
      <c r="AQ15" s="708">
        <f t="shared" si="6"/>
        <v>2653.9000000000005</v>
      </c>
      <c r="AR15" s="708">
        <f t="shared" si="6"/>
        <v>2488.0000000000005</v>
      </c>
      <c r="AS15" s="708">
        <f t="shared" si="6"/>
        <v>2176.8000000000002</v>
      </c>
      <c r="AT15" s="709">
        <f t="shared" si="6"/>
        <v>9723.9</v>
      </c>
      <c r="AU15" s="708">
        <f t="shared" ref="AU15:BH15" si="7">AU16+AU17</f>
        <v>1905.3000000000002</v>
      </c>
      <c r="AV15" s="708">
        <f t="shared" si="7"/>
        <v>1827</v>
      </c>
      <c r="AW15" s="708">
        <f t="shared" si="7"/>
        <v>1818.8000000000002</v>
      </c>
      <c r="AX15" s="708">
        <f t="shared" si="7"/>
        <v>2033</v>
      </c>
      <c r="AY15" s="709">
        <f t="shared" si="7"/>
        <v>7584.1</v>
      </c>
      <c r="AZ15" s="708">
        <f t="shared" si="7"/>
        <v>1848.8</v>
      </c>
      <c r="BA15" s="708">
        <f t="shared" si="7"/>
        <v>2004.5</v>
      </c>
      <c r="BB15" s="708">
        <f t="shared" si="7"/>
        <v>1878.1</v>
      </c>
      <c r="BC15" s="708">
        <f>BC16+BC17</f>
        <v>1484.8000000000002</v>
      </c>
      <c r="BD15" s="709">
        <f t="shared" si="7"/>
        <v>7216.2</v>
      </c>
      <c r="BE15" s="708">
        <f>BE16+BE17</f>
        <v>964.4</v>
      </c>
      <c r="BF15" s="708">
        <f t="shared" si="7"/>
        <v>893.7</v>
      </c>
      <c r="BG15" s="708">
        <f>BG16+BG17</f>
        <v>869.90000000000009</v>
      </c>
      <c r="BH15" s="708">
        <f t="shared" si="7"/>
        <v>868.5</v>
      </c>
      <c r="BI15" s="709">
        <f t="shared" ref="BI15:CH15" si="8">BI16+BI17</f>
        <v>3596.5</v>
      </c>
      <c r="BJ15" s="708">
        <f t="shared" si="8"/>
        <v>725.30000000000007</v>
      </c>
      <c r="BK15" s="708">
        <f t="shared" si="8"/>
        <v>763.90000000000009</v>
      </c>
      <c r="BL15" s="708">
        <f t="shared" si="8"/>
        <v>724.5</v>
      </c>
      <c r="BM15" s="708">
        <f t="shared" si="8"/>
        <v>721.8</v>
      </c>
      <c r="BN15" s="709">
        <f t="shared" si="8"/>
        <v>2935.5</v>
      </c>
      <c r="BO15" s="708">
        <f t="shared" si="8"/>
        <v>643.70000000000005</v>
      </c>
      <c r="BP15" s="708">
        <f t="shared" si="8"/>
        <v>717.7</v>
      </c>
      <c r="BQ15" s="708">
        <f t="shared" si="8"/>
        <v>708.5</v>
      </c>
      <c r="BR15" s="708">
        <f t="shared" si="8"/>
        <v>650.4</v>
      </c>
      <c r="BS15" s="709">
        <f t="shared" si="8"/>
        <v>2720.3</v>
      </c>
      <c r="BT15" s="708">
        <f t="shared" si="8"/>
        <v>579.40000000000009</v>
      </c>
      <c r="BU15" s="708">
        <f t="shared" si="8"/>
        <v>586.70000000000005</v>
      </c>
      <c r="BV15" s="708">
        <f t="shared" si="8"/>
        <v>507.70000000000005</v>
      </c>
      <c r="BW15" s="708">
        <f t="shared" si="8"/>
        <v>497.29999999999995</v>
      </c>
      <c r="BX15" s="709">
        <f t="shared" si="8"/>
        <v>2171.1</v>
      </c>
      <c r="BY15" s="708">
        <f t="shared" si="8"/>
        <v>472.7</v>
      </c>
      <c r="BZ15" s="708">
        <f t="shared" si="8"/>
        <v>452.11899999999997</v>
      </c>
      <c r="CA15" s="708">
        <f t="shared" si="8"/>
        <v>437.447</v>
      </c>
      <c r="CB15" s="708">
        <f t="shared" si="8"/>
        <v>434.67999999999995</v>
      </c>
      <c r="CC15" s="709">
        <f t="shared" si="8"/>
        <v>1796.9459999999999</v>
      </c>
      <c r="CD15" s="709">
        <f t="shared" si="8"/>
        <v>1480.1420499999999</v>
      </c>
      <c r="CE15" s="709">
        <f t="shared" si="8"/>
        <v>1112.9458175</v>
      </c>
      <c r="CF15" s="709">
        <f t="shared" si="8"/>
        <v>875.32930187499994</v>
      </c>
      <c r="CG15" s="709">
        <f t="shared" si="8"/>
        <v>762.58190575625008</v>
      </c>
      <c r="CH15" s="709">
        <f t="shared" si="8"/>
        <v>668.03912234593747</v>
      </c>
      <c r="EX15" s="1261" t="s">
        <v>233</v>
      </c>
    </row>
    <row r="16" spans="1:154" ht="12.75" customHeight="1">
      <c r="A16" s="130"/>
      <c r="B16" s="130"/>
      <c r="C16" s="130"/>
      <c r="D16" s="130"/>
      <c r="E16" s="130"/>
      <c r="F16" s="130"/>
      <c r="G16" s="9"/>
      <c r="H16" s="257" t="s">
        <v>231</v>
      </c>
      <c r="I16" s="257"/>
      <c r="J16" s="257"/>
      <c r="K16" s="257"/>
      <c r="L16" s="263">
        <v>803.2</v>
      </c>
      <c r="M16" s="263">
        <v>885.4</v>
      </c>
      <c r="N16" s="263">
        <v>877.6</v>
      </c>
      <c r="O16" s="263">
        <v>907.3</v>
      </c>
      <c r="P16" s="79">
        <v>3473.5</v>
      </c>
      <c r="Q16" s="258">
        <f t="shared" ref="Q16:AO16" si="9">Q29+Q20+Q44+Q23+Q26+Q32+Q38+Q41</f>
        <v>884.1</v>
      </c>
      <c r="R16" s="258">
        <f t="shared" si="9"/>
        <v>988.59999999999991</v>
      </c>
      <c r="S16" s="258">
        <f t="shared" si="9"/>
        <v>989.15</v>
      </c>
      <c r="T16" s="258">
        <f t="shared" si="9"/>
        <v>1116.8</v>
      </c>
      <c r="U16" s="79">
        <f t="shared" si="9"/>
        <v>3978.6500000000005</v>
      </c>
      <c r="V16" s="258">
        <f t="shared" si="9"/>
        <v>1076.2</v>
      </c>
      <c r="W16" s="258">
        <f t="shared" si="9"/>
        <v>1187.3</v>
      </c>
      <c r="X16" s="258">
        <f t="shared" si="9"/>
        <v>1135.4000000000001</v>
      </c>
      <c r="Y16" s="258">
        <f t="shared" si="9"/>
        <v>1337.6000000000001</v>
      </c>
      <c r="Z16" s="79">
        <f t="shared" si="9"/>
        <v>4736.5</v>
      </c>
      <c r="AA16" s="258">
        <f t="shared" si="9"/>
        <v>1174.6999999999998</v>
      </c>
      <c r="AB16" s="258">
        <f t="shared" si="9"/>
        <v>1252.5</v>
      </c>
      <c r="AC16" s="258">
        <f t="shared" si="9"/>
        <v>1317.5000000000002</v>
      </c>
      <c r="AD16" s="258">
        <f t="shared" si="9"/>
        <v>1350.3000000000002</v>
      </c>
      <c r="AE16" s="79">
        <f t="shared" si="9"/>
        <v>5095</v>
      </c>
      <c r="AF16" s="258">
        <f t="shared" si="9"/>
        <v>1294.0999999999999</v>
      </c>
      <c r="AG16" s="258">
        <f t="shared" si="9"/>
        <v>1361.5</v>
      </c>
      <c r="AH16" s="258">
        <f t="shared" si="9"/>
        <v>1379.6000000000001</v>
      </c>
      <c r="AI16" s="258">
        <f t="shared" si="9"/>
        <v>1498.8000000000002</v>
      </c>
      <c r="AJ16" s="79">
        <f t="shared" si="9"/>
        <v>5533.9999999999991</v>
      </c>
      <c r="AK16" s="258">
        <f t="shared" si="9"/>
        <v>1377.3</v>
      </c>
      <c r="AL16" s="258">
        <f t="shared" si="9"/>
        <v>1491.2</v>
      </c>
      <c r="AM16" s="258">
        <f t="shared" si="9"/>
        <v>1374.8000000000002</v>
      </c>
      <c r="AN16" s="258">
        <f t="shared" si="9"/>
        <v>1586.6</v>
      </c>
      <c r="AO16" s="410">
        <f t="shared" si="9"/>
        <v>5829.9000000000005</v>
      </c>
      <c r="AP16" s="383">
        <f t="shared" si="6"/>
        <v>1412.1000000000001</v>
      </c>
      <c r="AQ16" s="383">
        <f t="shared" si="6"/>
        <v>1608.6</v>
      </c>
      <c r="AR16" s="383">
        <f t="shared" si="6"/>
        <v>1511.1999999999998</v>
      </c>
      <c r="AS16" s="383">
        <f t="shared" si="6"/>
        <v>1355.1</v>
      </c>
      <c r="AT16" s="410">
        <f t="shared" si="6"/>
        <v>5887</v>
      </c>
      <c r="AU16" s="391">
        <v>1195.9000000000001</v>
      </c>
      <c r="AV16" s="391">
        <v>1109.2</v>
      </c>
      <c r="AW16" s="391">
        <v>1147.4000000000001</v>
      </c>
      <c r="AX16" s="391">
        <v>1320.8</v>
      </c>
      <c r="AY16" s="410">
        <f>AY29+AY20+AY23+AY26+AY32</f>
        <v>4773.3</v>
      </c>
      <c r="AZ16" s="391">
        <v>1215.5999999999999</v>
      </c>
      <c r="BA16" s="391">
        <v>1361.4</v>
      </c>
      <c r="BB16" s="391">
        <v>1274.3</v>
      </c>
      <c r="BC16" s="391">
        <v>763.2</v>
      </c>
      <c r="BD16" s="410">
        <f>BD29+BD20+BD23+BD26+BD32</f>
        <v>4614.5</v>
      </c>
      <c r="BE16" s="391">
        <v>303.89999999999998</v>
      </c>
      <c r="BF16" s="391">
        <v>300.10000000000002</v>
      </c>
      <c r="BG16" s="391">
        <v>229.3</v>
      </c>
      <c r="BH16" s="391">
        <v>236.8</v>
      </c>
      <c r="BI16" s="410">
        <f>BI29+BI20+BI23+BI26+BI32</f>
        <v>1070.1000000000001</v>
      </c>
      <c r="BJ16" s="391">
        <v>205.6</v>
      </c>
      <c r="BK16" s="391">
        <v>236.7</v>
      </c>
      <c r="BL16" s="391">
        <v>222.6</v>
      </c>
      <c r="BM16" s="391">
        <v>217.7</v>
      </c>
      <c r="BN16" s="410">
        <f>BN29+BN20+BN23+BN26+BN32</f>
        <v>882.59999999999991</v>
      </c>
      <c r="BO16" s="391">
        <v>198.1</v>
      </c>
      <c r="BP16" s="391">
        <v>240.4</v>
      </c>
      <c r="BQ16" s="391">
        <v>312.2</v>
      </c>
      <c r="BR16" s="391">
        <v>239.1</v>
      </c>
      <c r="BS16" s="410">
        <f>BS29+BS20+BS23+BS26+BS32</f>
        <v>989.8</v>
      </c>
      <c r="BT16" s="391">
        <v>214.8</v>
      </c>
      <c r="BU16" s="391">
        <v>192.2</v>
      </c>
      <c r="BV16" s="391">
        <v>108.4</v>
      </c>
      <c r="BW16" s="391">
        <v>75.599999999999994</v>
      </c>
      <c r="BX16" s="410">
        <f>BX29+BX20+BX23+BX26+BX32</f>
        <v>591.00000000000011</v>
      </c>
      <c r="BY16" s="391">
        <f>91.2</f>
        <v>91.2</v>
      </c>
      <c r="BZ16" s="383">
        <f t="shared" ref="BZ16:CH16" si="10">BZ29+BZ20+BZ23+BZ26+BZ32</f>
        <v>76.201999999999984</v>
      </c>
      <c r="CA16" s="383">
        <f t="shared" si="10"/>
        <v>63.38</v>
      </c>
      <c r="CB16" s="383">
        <f t="shared" si="10"/>
        <v>58.319999999999993</v>
      </c>
      <c r="CC16" s="410">
        <f t="shared" si="10"/>
        <v>289.10200000000003</v>
      </c>
      <c r="CD16" s="410">
        <f t="shared" si="10"/>
        <v>222.4743</v>
      </c>
      <c r="CE16" s="410">
        <f t="shared" si="10"/>
        <v>193.86889500000001</v>
      </c>
      <c r="CF16" s="410">
        <f t="shared" si="10"/>
        <v>176.35100550000001</v>
      </c>
      <c r="CG16" s="410">
        <f t="shared" si="10"/>
        <v>160.58490495000001</v>
      </c>
      <c r="CH16" s="410">
        <f t="shared" si="10"/>
        <v>146.39541445500001</v>
      </c>
    </row>
    <row r="17" spans="1:154" ht="12.75" customHeight="1">
      <c r="A17" s="130"/>
      <c r="B17" s="130"/>
      <c r="C17" s="130"/>
      <c r="D17" s="130"/>
      <c r="E17" s="130"/>
      <c r="F17" s="130"/>
      <c r="G17" s="9"/>
      <c r="H17" s="257" t="s">
        <v>232</v>
      </c>
      <c r="I17" s="257"/>
      <c r="J17" s="257"/>
      <c r="K17" s="257"/>
      <c r="L17" s="263">
        <v>624.6</v>
      </c>
      <c r="M17" s="263">
        <v>662</v>
      </c>
      <c r="N17" s="263">
        <v>637.4</v>
      </c>
      <c r="O17" s="263">
        <v>682.5</v>
      </c>
      <c r="P17" s="79">
        <v>2606.5</v>
      </c>
      <c r="Q17" s="258">
        <f t="shared" ref="Q17:AO17" si="11">Q30+Q21+Q45+Q24+Q27+Q33+Q39+Q42</f>
        <v>622.89999999999986</v>
      </c>
      <c r="R17" s="258">
        <f t="shared" si="11"/>
        <v>697.7</v>
      </c>
      <c r="S17" s="258">
        <f t="shared" si="11"/>
        <v>687</v>
      </c>
      <c r="T17" s="258">
        <f t="shared" si="11"/>
        <v>742.50000000000011</v>
      </c>
      <c r="U17" s="79">
        <f t="shared" si="11"/>
        <v>2750.1000000000004</v>
      </c>
      <c r="V17" s="258">
        <f t="shared" si="11"/>
        <v>721.30000000000007</v>
      </c>
      <c r="W17" s="258">
        <f t="shared" si="11"/>
        <v>793.90000000000009</v>
      </c>
      <c r="X17" s="258">
        <f t="shared" si="11"/>
        <v>768.3</v>
      </c>
      <c r="Y17" s="258">
        <f t="shared" si="11"/>
        <v>831.2</v>
      </c>
      <c r="Z17" s="79">
        <f t="shared" si="11"/>
        <v>3114.7000000000007</v>
      </c>
      <c r="AA17" s="258">
        <f t="shared" si="11"/>
        <v>796.5</v>
      </c>
      <c r="AB17" s="258">
        <f t="shared" si="11"/>
        <v>874.09999999999991</v>
      </c>
      <c r="AC17" s="258">
        <f t="shared" si="11"/>
        <v>842.89999999999986</v>
      </c>
      <c r="AD17" s="258">
        <f t="shared" si="11"/>
        <v>762.7</v>
      </c>
      <c r="AE17" s="79">
        <f t="shared" si="11"/>
        <v>3276.2</v>
      </c>
      <c r="AF17" s="258">
        <f t="shared" si="11"/>
        <v>783.50000000000011</v>
      </c>
      <c r="AG17" s="258">
        <f t="shared" si="11"/>
        <v>824.2299999999999</v>
      </c>
      <c r="AH17" s="258">
        <f t="shared" si="11"/>
        <v>872.7</v>
      </c>
      <c r="AI17" s="258">
        <f t="shared" si="11"/>
        <v>962.20000000000016</v>
      </c>
      <c r="AJ17" s="79">
        <f t="shared" si="11"/>
        <v>3442.6300000000006</v>
      </c>
      <c r="AK17" s="258">
        <f t="shared" si="11"/>
        <v>866.9</v>
      </c>
      <c r="AL17" s="258">
        <f t="shared" si="11"/>
        <v>872.5</v>
      </c>
      <c r="AM17" s="258">
        <f t="shared" si="11"/>
        <v>852.5</v>
      </c>
      <c r="AN17" s="258">
        <f t="shared" si="11"/>
        <v>975.9</v>
      </c>
      <c r="AO17" s="410">
        <f t="shared" si="11"/>
        <v>3567.8</v>
      </c>
      <c r="AP17" s="383">
        <f t="shared" si="6"/>
        <v>993.1</v>
      </c>
      <c r="AQ17" s="383">
        <f t="shared" si="6"/>
        <v>1045.3</v>
      </c>
      <c r="AR17" s="383">
        <f t="shared" si="6"/>
        <v>976.8</v>
      </c>
      <c r="AS17" s="383">
        <f t="shared" si="6"/>
        <v>821.69999999999993</v>
      </c>
      <c r="AT17" s="410">
        <f t="shared" si="6"/>
        <v>3836.9</v>
      </c>
      <c r="AU17" s="391">
        <v>709.4</v>
      </c>
      <c r="AV17" s="391">
        <v>717.8</v>
      </c>
      <c r="AW17" s="391">
        <v>671.4</v>
      </c>
      <c r="AX17" s="391">
        <v>712.2</v>
      </c>
      <c r="AY17" s="410">
        <f>AY30+AY21+AY24+AY27+AY33</f>
        <v>2810.7999999999997</v>
      </c>
      <c r="AZ17" s="391">
        <v>633.20000000000005</v>
      </c>
      <c r="BA17" s="391">
        <v>643.1</v>
      </c>
      <c r="BB17" s="391">
        <v>603.79999999999995</v>
      </c>
      <c r="BC17" s="391">
        <v>721.6</v>
      </c>
      <c r="BD17" s="410">
        <f>BD30+BD21+BD24+BD27+BD33</f>
        <v>2601.6999999999998</v>
      </c>
      <c r="BE17" s="391">
        <v>660.5</v>
      </c>
      <c r="BF17" s="391">
        <v>593.6</v>
      </c>
      <c r="BG17" s="391">
        <v>640.6</v>
      </c>
      <c r="BH17" s="391">
        <v>631.70000000000005</v>
      </c>
      <c r="BI17" s="410">
        <f>BI30+BI21+BI24+BI27+BI33</f>
        <v>2526.4</v>
      </c>
      <c r="BJ17" s="391">
        <v>519.70000000000005</v>
      </c>
      <c r="BK17" s="391">
        <v>527.20000000000005</v>
      </c>
      <c r="BL17" s="391">
        <v>501.9</v>
      </c>
      <c r="BM17" s="391">
        <v>504.1</v>
      </c>
      <c r="BN17" s="410">
        <f>BN30+BN21+BN24+BN27+BN33</f>
        <v>2052.9</v>
      </c>
      <c r="BO17" s="391">
        <v>445.6</v>
      </c>
      <c r="BP17" s="391">
        <v>477.3</v>
      </c>
      <c r="BQ17" s="391">
        <v>396.3</v>
      </c>
      <c r="BR17" s="391">
        <v>411.3</v>
      </c>
      <c r="BS17" s="410">
        <f>BS30+BS21+BS24+BS27+BS33</f>
        <v>1730.5000000000002</v>
      </c>
      <c r="BT17" s="391">
        <v>364.6</v>
      </c>
      <c r="BU17" s="391">
        <v>394.5</v>
      </c>
      <c r="BV17" s="391">
        <v>399.3</v>
      </c>
      <c r="BW17" s="391">
        <v>421.7</v>
      </c>
      <c r="BX17" s="410">
        <f>BX30+BX21+BX24+BX27+BX33</f>
        <v>1580.1</v>
      </c>
      <c r="BY17" s="391">
        <f>381.5</f>
        <v>381.5</v>
      </c>
      <c r="BZ17" s="383">
        <f t="shared" ref="BZ17:CH17" si="12">BZ30+BZ21+BZ24+BZ27+BZ33</f>
        <v>375.91699999999997</v>
      </c>
      <c r="CA17" s="383">
        <f t="shared" si="12"/>
        <v>374.06700000000001</v>
      </c>
      <c r="CB17" s="383">
        <f t="shared" si="12"/>
        <v>376.35999999999996</v>
      </c>
      <c r="CC17" s="410">
        <f t="shared" si="12"/>
        <v>1507.8439999999998</v>
      </c>
      <c r="CD17" s="410">
        <f t="shared" si="12"/>
        <v>1257.6677499999998</v>
      </c>
      <c r="CE17" s="410">
        <f t="shared" si="12"/>
        <v>919.07692249999991</v>
      </c>
      <c r="CF17" s="410">
        <f t="shared" si="12"/>
        <v>698.9782963749999</v>
      </c>
      <c r="CG17" s="410">
        <f t="shared" si="12"/>
        <v>601.99700080625007</v>
      </c>
      <c r="CH17" s="410">
        <f t="shared" si="12"/>
        <v>521.64370789093743</v>
      </c>
    </row>
    <row r="18" spans="1:154" ht="12.75" customHeight="1">
      <c r="A18" s="130"/>
      <c r="B18" s="130"/>
      <c r="C18" s="130"/>
      <c r="D18" s="130"/>
      <c r="E18" s="130"/>
      <c r="F18" s="130"/>
      <c r="G18" s="9"/>
      <c r="H18" s="264" t="s">
        <v>234</v>
      </c>
      <c r="I18" s="264"/>
      <c r="J18" s="264"/>
      <c r="K18" s="264"/>
      <c r="L18" s="265">
        <v>1050.8</v>
      </c>
      <c r="M18" s="265">
        <v>1111.5999999999999</v>
      </c>
      <c r="N18" s="265">
        <v>1048.0999999999999</v>
      </c>
      <c r="O18" s="265">
        <v>1045.5999999999999</v>
      </c>
      <c r="P18" s="266">
        <v>4256.1000000000004</v>
      </c>
      <c r="Q18" s="265">
        <f t="shared" ref="Q18:AV18" si="13">Q19+Q37</f>
        <v>1020.9</v>
      </c>
      <c r="R18" s="265">
        <f t="shared" si="13"/>
        <v>1126.0999999999999</v>
      </c>
      <c r="S18" s="265">
        <f t="shared" si="13"/>
        <v>1098.7</v>
      </c>
      <c r="T18" s="265">
        <f t="shared" si="13"/>
        <v>1171.8999999999999</v>
      </c>
      <c r="U18" s="266">
        <f t="shared" si="13"/>
        <v>4417.6000000000004</v>
      </c>
      <c r="V18" s="265">
        <f t="shared" si="13"/>
        <v>1122.4000000000001</v>
      </c>
      <c r="W18" s="265">
        <f t="shared" si="13"/>
        <v>1225.3000000000002</v>
      </c>
      <c r="X18" s="265">
        <f t="shared" si="13"/>
        <v>1179.7</v>
      </c>
      <c r="Y18" s="265">
        <f t="shared" si="13"/>
        <v>1292.5</v>
      </c>
      <c r="Z18" s="266">
        <f t="shared" si="13"/>
        <v>4819.8999999999996</v>
      </c>
      <c r="AA18" s="265">
        <f t="shared" si="13"/>
        <v>1137</v>
      </c>
      <c r="AB18" s="265">
        <f t="shared" si="13"/>
        <v>1254.1000000000001</v>
      </c>
      <c r="AC18" s="265">
        <f t="shared" si="13"/>
        <v>1213.0999999999999</v>
      </c>
      <c r="AD18" s="265">
        <f t="shared" si="13"/>
        <v>1165.9000000000001</v>
      </c>
      <c r="AE18" s="266">
        <f t="shared" si="13"/>
        <v>4770.0999999999995</v>
      </c>
      <c r="AF18" s="265">
        <f t="shared" si="13"/>
        <v>1141.2</v>
      </c>
      <c r="AG18" s="265">
        <f t="shared" si="13"/>
        <v>1224.3800000000001</v>
      </c>
      <c r="AH18" s="265">
        <f t="shared" si="13"/>
        <v>1244.4000000000001</v>
      </c>
      <c r="AI18" s="265">
        <f t="shared" si="13"/>
        <v>1390.8</v>
      </c>
      <c r="AJ18" s="266">
        <f t="shared" si="13"/>
        <v>5000.78</v>
      </c>
      <c r="AK18" s="265">
        <f t="shared" si="13"/>
        <v>1230.0999999999999</v>
      </c>
      <c r="AL18" s="265">
        <f t="shared" si="13"/>
        <v>1284.1000000000001</v>
      </c>
      <c r="AM18" s="265">
        <f t="shared" si="13"/>
        <v>1232.2000000000003</v>
      </c>
      <c r="AN18" s="265">
        <f t="shared" si="13"/>
        <v>1357.3999999999999</v>
      </c>
      <c r="AO18" s="703">
        <f t="shared" si="13"/>
        <v>5103.8</v>
      </c>
      <c r="AP18" s="455">
        <f t="shared" si="13"/>
        <v>1299.5</v>
      </c>
      <c r="AQ18" s="455">
        <f t="shared" si="13"/>
        <v>1430.1000000000001</v>
      </c>
      <c r="AR18" s="455">
        <f t="shared" si="13"/>
        <v>1203.1000000000001</v>
      </c>
      <c r="AS18" s="455">
        <f t="shared" si="13"/>
        <v>766.89999999999986</v>
      </c>
      <c r="AT18" s="703">
        <f t="shared" si="13"/>
        <v>4699.6000000000004</v>
      </c>
      <c r="AU18" s="455">
        <f t="shared" si="13"/>
        <v>576.90000000000009</v>
      </c>
      <c r="AV18" s="455">
        <f t="shared" si="13"/>
        <v>393.6</v>
      </c>
      <c r="AW18" s="455">
        <f t="shared" ref="AW18:BN18" si="14">AW19+AW37</f>
        <v>380.8</v>
      </c>
      <c r="AX18" s="455">
        <f t="shared" si="14"/>
        <v>387.5</v>
      </c>
      <c r="AY18" s="703">
        <f t="shared" si="14"/>
        <v>1738.8</v>
      </c>
      <c r="AZ18" s="455">
        <f t="shared" si="14"/>
        <v>284.8</v>
      </c>
      <c r="BA18" s="455">
        <f t="shared" si="14"/>
        <v>283.2</v>
      </c>
      <c r="BB18" s="455">
        <f t="shared" si="14"/>
        <v>278.7</v>
      </c>
      <c r="BC18" s="455">
        <f t="shared" si="14"/>
        <v>348.2</v>
      </c>
      <c r="BD18" s="703">
        <f t="shared" si="14"/>
        <v>1194.8999999999999</v>
      </c>
      <c r="BE18" s="455">
        <f t="shared" si="14"/>
        <v>283.10000000000002</v>
      </c>
      <c r="BF18" s="455">
        <f t="shared" si="14"/>
        <v>243.79999999999998</v>
      </c>
      <c r="BG18" s="455">
        <f t="shared" si="14"/>
        <v>257.39999999999998</v>
      </c>
      <c r="BH18" s="455">
        <f t="shared" si="14"/>
        <v>253.10000000000002</v>
      </c>
      <c r="BI18" s="703">
        <f t="shared" si="14"/>
        <v>1037.4000000000001</v>
      </c>
      <c r="BJ18" s="455">
        <f t="shared" si="14"/>
        <v>219.5</v>
      </c>
      <c r="BK18" s="455">
        <f t="shared" si="14"/>
        <v>253.7</v>
      </c>
      <c r="BL18" s="455">
        <f t="shared" si="14"/>
        <v>237.9</v>
      </c>
      <c r="BM18" s="455">
        <f>BM19+BM37</f>
        <v>229.1</v>
      </c>
      <c r="BN18" s="703">
        <f t="shared" si="14"/>
        <v>940.19999999999993</v>
      </c>
      <c r="BO18" s="455">
        <f t="shared" ref="BO18:CH18" si="15">BO19+BO37</f>
        <v>212.8</v>
      </c>
      <c r="BP18" s="455">
        <f t="shared" si="15"/>
        <v>210.7</v>
      </c>
      <c r="BQ18" s="455">
        <f t="shared" si="15"/>
        <v>148.9</v>
      </c>
      <c r="BR18" s="455">
        <f t="shared" si="15"/>
        <v>153</v>
      </c>
      <c r="BS18" s="703">
        <f t="shared" si="15"/>
        <v>725.40000000000009</v>
      </c>
      <c r="BT18" s="455">
        <f t="shared" si="15"/>
        <v>147.5</v>
      </c>
      <c r="BU18" s="455">
        <f t="shared" si="15"/>
        <v>140.80000000000001</v>
      </c>
      <c r="BV18" s="455">
        <f t="shared" si="15"/>
        <v>140.6</v>
      </c>
      <c r="BW18" s="455">
        <f t="shared" si="15"/>
        <v>152.19999999999999</v>
      </c>
      <c r="BX18" s="703">
        <f t="shared" si="15"/>
        <v>581.1</v>
      </c>
      <c r="BY18" s="455">
        <f t="shared" si="15"/>
        <v>122.6</v>
      </c>
      <c r="BZ18" s="455">
        <f t="shared" si="15"/>
        <v>126.72</v>
      </c>
      <c r="CA18" s="455">
        <f t="shared" si="15"/>
        <v>127.8</v>
      </c>
      <c r="CB18" s="455">
        <f t="shared" si="15"/>
        <v>126.5</v>
      </c>
      <c r="CC18" s="703">
        <f t="shared" si="15"/>
        <v>503.61999999999995</v>
      </c>
      <c r="CD18" s="703">
        <f t="shared" si="15"/>
        <v>453.25799999999998</v>
      </c>
      <c r="CE18" s="703">
        <f t="shared" si="15"/>
        <v>407.93220000000002</v>
      </c>
      <c r="CF18" s="703">
        <f t="shared" si="15"/>
        <v>367.13898</v>
      </c>
      <c r="CG18" s="703">
        <f t="shared" si="15"/>
        <v>330.42508200000003</v>
      </c>
      <c r="CH18" s="703">
        <f t="shared" si="15"/>
        <v>297.38257380000005</v>
      </c>
    </row>
    <row r="19" spans="1:154" s="15" customFormat="1" ht="12.75" customHeight="1">
      <c r="A19" s="130"/>
      <c r="B19" s="130"/>
      <c r="C19" s="130"/>
      <c r="D19" s="130"/>
      <c r="E19" s="130"/>
      <c r="F19" s="130"/>
      <c r="G19" s="9"/>
      <c r="H19" s="264" t="s">
        <v>788</v>
      </c>
      <c r="I19" s="264"/>
      <c r="J19" s="264"/>
      <c r="K19" s="264"/>
      <c r="L19" s="265">
        <v>1038.2</v>
      </c>
      <c r="M19" s="265">
        <v>1096.7</v>
      </c>
      <c r="N19" s="265">
        <v>1035.0999999999999</v>
      </c>
      <c r="O19" s="265">
        <v>1032.2</v>
      </c>
      <c r="P19" s="264">
        <v>4202.2</v>
      </c>
      <c r="Q19" s="265">
        <f t="shared" ref="Q19:AJ19" si="16">Q20+Q21</f>
        <v>1007.4</v>
      </c>
      <c r="R19" s="265">
        <f t="shared" si="16"/>
        <v>1115.0999999999999</v>
      </c>
      <c r="S19" s="265">
        <f t="shared" si="16"/>
        <v>1084.7</v>
      </c>
      <c r="T19" s="265">
        <f t="shared" si="16"/>
        <v>1156.5999999999999</v>
      </c>
      <c r="U19" s="264">
        <f t="shared" si="16"/>
        <v>4363.8</v>
      </c>
      <c r="V19" s="265">
        <f t="shared" si="16"/>
        <v>1108</v>
      </c>
      <c r="W19" s="265">
        <f t="shared" si="16"/>
        <v>1212.9000000000001</v>
      </c>
      <c r="X19" s="265">
        <f t="shared" si="16"/>
        <v>1166.2</v>
      </c>
      <c r="Y19" s="265">
        <f t="shared" si="16"/>
        <v>1273.9000000000001</v>
      </c>
      <c r="Z19" s="264">
        <f t="shared" si="16"/>
        <v>4761</v>
      </c>
      <c r="AA19" s="265">
        <f t="shared" si="16"/>
        <v>1120.2</v>
      </c>
      <c r="AB19" s="265">
        <f t="shared" si="16"/>
        <v>1239.8000000000002</v>
      </c>
      <c r="AC19" s="265">
        <f t="shared" si="16"/>
        <v>1189.5</v>
      </c>
      <c r="AD19" s="265">
        <f t="shared" si="16"/>
        <v>1146.7</v>
      </c>
      <c r="AE19" s="264">
        <f t="shared" si="16"/>
        <v>4696.2</v>
      </c>
      <c r="AF19" s="265">
        <f t="shared" si="16"/>
        <v>1123</v>
      </c>
      <c r="AG19" s="265">
        <f t="shared" si="16"/>
        <v>1203.2</v>
      </c>
      <c r="AH19" s="265">
        <f t="shared" si="16"/>
        <v>1223</v>
      </c>
      <c r="AI19" s="265">
        <f t="shared" si="16"/>
        <v>1366.5</v>
      </c>
      <c r="AJ19" s="264">
        <f t="shared" si="16"/>
        <v>4915.7</v>
      </c>
      <c r="AK19" s="265">
        <f t="shared" ref="AK19:AT19" si="17">AK20+AK21</f>
        <v>1215</v>
      </c>
      <c r="AL19" s="265">
        <f t="shared" si="17"/>
        <v>1262.9000000000001</v>
      </c>
      <c r="AM19" s="265">
        <f t="shared" si="17"/>
        <v>1212.8000000000002</v>
      </c>
      <c r="AN19" s="265">
        <f t="shared" si="17"/>
        <v>1335.8</v>
      </c>
      <c r="AO19" s="703">
        <f t="shared" si="17"/>
        <v>5026.5</v>
      </c>
      <c r="AP19" s="455">
        <f t="shared" si="17"/>
        <v>1281.9000000000001</v>
      </c>
      <c r="AQ19" s="455">
        <f>AQ20+AQ21</f>
        <v>1408.3000000000002</v>
      </c>
      <c r="AR19" s="455">
        <f t="shared" si="17"/>
        <v>1182.3000000000002</v>
      </c>
      <c r="AS19" s="455">
        <f t="shared" si="17"/>
        <v>749.59999999999991</v>
      </c>
      <c r="AT19" s="703">
        <f t="shared" si="17"/>
        <v>4622.1000000000004</v>
      </c>
      <c r="AU19" s="455">
        <f t="shared" ref="AU19:BH19" si="18">AU20+AU21</f>
        <v>562.70000000000005</v>
      </c>
      <c r="AV19" s="455">
        <f t="shared" si="18"/>
        <v>379.5</v>
      </c>
      <c r="AW19" s="455">
        <f t="shared" si="18"/>
        <v>374.5</v>
      </c>
      <c r="AX19" s="455">
        <f t="shared" si="18"/>
        <v>384.8</v>
      </c>
      <c r="AY19" s="703">
        <f t="shared" si="18"/>
        <v>1701.5</v>
      </c>
      <c r="AZ19" s="455">
        <f t="shared" si="18"/>
        <v>284.8</v>
      </c>
      <c r="BA19" s="455">
        <f t="shared" si="18"/>
        <v>283.2</v>
      </c>
      <c r="BB19" s="455">
        <f t="shared" si="18"/>
        <v>278.7</v>
      </c>
      <c r="BC19" s="455">
        <f t="shared" si="18"/>
        <v>348.2</v>
      </c>
      <c r="BD19" s="703">
        <f t="shared" si="18"/>
        <v>1194.8999999999999</v>
      </c>
      <c r="BE19" s="455">
        <f>BE20+BE21</f>
        <v>283.10000000000002</v>
      </c>
      <c r="BF19" s="455">
        <f t="shared" si="18"/>
        <v>243.79999999999998</v>
      </c>
      <c r="BG19" s="455">
        <f>BG20+BG21</f>
        <v>257.39999999999998</v>
      </c>
      <c r="BH19" s="455">
        <f t="shared" si="18"/>
        <v>253.10000000000002</v>
      </c>
      <c r="BI19" s="703">
        <f t="shared" ref="BI19:CH19" si="19">BI20+BI21</f>
        <v>1037.4000000000001</v>
      </c>
      <c r="BJ19" s="455">
        <f t="shared" si="19"/>
        <v>219.5</v>
      </c>
      <c r="BK19" s="455">
        <f t="shared" si="19"/>
        <v>253.7</v>
      </c>
      <c r="BL19" s="455">
        <f t="shared" si="19"/>
        <v>237.9</v>
      </c>
      <c r="BM19" s="455">
        <f t="shared" si="19"/>
        <v>229.1</v>
      </c>
      <c r="BN19" s="703">
        <f t="shared" si="19"/>
        <v>940.19999999999993</v>
      </c>
      <c r="BO19" s="455">
        <f t="shared" si="19"/>
        <v>212.8</v>
      </c>
      <c r="BP19" s="455">
        <f t="shared" si="19"/>
        <v>210.7</v>
      </c>
      <c r="BQ19" s="455">
        <f t="shared" si="19"/>
        <v>148.9</v>
      </c>
      <c r="BR19" s="455">
        <f t="shared" si="19"/>
        <v>153</v>
      </c>
      <c r="BS19" s="703">
        <f t="shared" si="19"/>
        <v>725.40000000000009</v>
      </c>
      <c r="BT19" s="455">
        <f t="shared" si="19"/>
        <v>147.5</v>
      </c>
      <c r="BU19" s="455">
        <f t="shared" si="19"/>
        <v>140.80000000000001</v>
      </c>
      <c r="BV19" s="455">
        <f t="shared" si="19"/>
        <v>140.6</v>
      </c>
      <c r="BW19" s="455">
        <f t="shared" si="19"/>
        <v>152.19999999999999</v>
      </c>
      <c r="BX19" s="703">
        <f t="shared" si="19"/>
        <v>581.1</v>
      </c>
      <c r="BY19" s="455">
        <f t="shared" si="19"/>
        <v>122.6</v>
      </c>
      <c r="BZ19" s="455">
        <f t="shared" si="19"/>
        <v>126.72</v>
      </c>
      <c r="CA19" s="455">
        <f t="shared" si="19"/>
        <v>127.8</v>
      </c>
      <c r="CB19" s="455">
        <f t="shared" si="19"/>
        <v>126.5</v>
      </c>
      <c r="CC19" s="703">
        <f t="shared" si="19"/>
        <v>503.61999999999995</v>
      </c>
      <c r="CD19" s="703">
        <f t="shared" si="19"/>
        <v>453.25799999999998</v>
      </c>
      <c r="CE19" s="703">
        <f t="shared" si="19"/>
        <v>407.93220000000002</v>
      </c>
      <c r="CF19" s="703">
        <f t="shared" si="19"/>
        <v>367.13898</v>
      </c>
      <c r="CG19" s="703">
        <f t="shared" si="19"/>
        <v>330.42508200000003</v>
      </c>
      <c r="CH19" s="703">
        <f t="shared" si="19"/>
        <v>297.38257380000005</v>
      </c>
      <c r="EX19" s="1261" t="s">
        <v>788</v>
      </c>
    </row>
    <row r="20" spans="1:154" ht="12.75" customHeight="1">
      <c r="A20" s="130"/>
      <c r="B20" s="130"/>
      <c r="C20" s="130"/>
      <c r="D20" s="130"/>
      <c r="E20" s="130"/>
      <c r="F20" s="130"/>
      <c r="G20" s="9"/>
      <c r="H20" s="267" t="s">
        <v>1145</v>
      </c>
      <c r="I20" s="267"/>
      <c r="J20" s="267"/>
      <c r="K20" s="267"/>
      <c r="L20" s="263">
        <v>517.4</v>
      </c>
      <c r="M20" s="263">
        <v>549.29999999999995</v>
      </c>
      <c r="N20" s="263">
        <v>503.9</v>
      </c>
      <c r="O20" s="263">
        <v>464.2</v>
      </c>
      <c r="P20" s="79">
        <v>2034.8</v>
      </c>
      <c r="Q20" s="263">
        <v>493.9</v>
      </c>
      <c r="R20" s="263">
        <v>542.9</v>
      </c>
      <c r="S20" s="263">
        <v>519</v>
      </c>
      <c r="T20" s="263">
        <v>550.5</v>
      </c>
      <c r="U20" s="79">
        <f>SUM(Q20:T20)</f>
        <v>2106.3000000000002</v>
      </c>
      <c r="V20" s="263">
        <v>523.29999999999995</v>
      </c>
      <c r="W20" s="263">
        <v>563.5</v>
      </c>
      <c r="X20" s="263">
        <v>540.6</v>
      </c>
      <c r="Y20" s="263">
        <v>608.6</v>
      </c>
      <c r="Z20" s="79">
        <f>SUM(V20:Y20)</f>
        <v>2236</v>
      </c>
      <c r="AA20" s="263">
        <v>499.3</v>
      </c>
      <c r="AB20" s="263">
        <v>563.6</v>
      </c>
      <c r="AC20" s="263">
        <v>555.6</v>
      </c>
      <c r="AD20" s="263">
        <v>584</v>
      </c>
      <c r="AE20" s="79">
        <f>SUM(AA20:AD20)</f>
        <v>2202.5</v>
      </c>
      <c r="AF20" s="263">
        <v>535.4</v>
      </c>
      <c r="AG20" s="263">
        <v>582.20000000000005</v>
      </c>
      <c r="AH20" s="263">
        <v>569.6</v>
      </c>
      <c r="AI20" s="263">
        <v>644.6</v>
      </c>
      <c r="AJ20" s="79">
        <f>SUM(AF20:AI20)</f>
        <v>2331.7999999999997</v>
      </c>
      <c r="AK20" s="263">
        <v>583.5</v>
      </c>
      <c r="AL20" s="263">
        <v>638.20000000000005</v>
      </c>
      <c r="AM20" s="263">
        <v>604.6</v>
      </c>
      <c r="AN20" s="263">
        <v>669.3</v>
      </c>
      <c r="AO20" s="410">
        <f>SUM(AK20:AN20)</f>
        <v>2495.6000000000004</v>
      </c>
      <c r="AP20" s="391">
        <v>597.1</v>
      </c>
      <c r="AQ20" s="391">
        <v>711.2</v>
      </c>
      <c r="AR20" s="391">
        <v>563.20000000000005</v>
      </c>
      <c r="AS20" s="865">
        <v>293.89999999999998</v>
      </c>
      <c r="AT20" s="846">
        <f>SUM(AP20:AS20)</f>
        <v>2165.4</v>
      </c>
      <c r="AU20" s="391">
        <v>202.8</v>
      </c>
      <c r="AV20" s="391">
        <v>29.8</v>
      </c>
      <c r="AW20" s="391">
        <v>67.8</v>
      </c>
      <c r="AX20" s="391">
        <v>60.1</v>
      </c>
      <c r="AY20" s="410">
        <f>SUM(AU20:AX20)</f>
        <v>360.50000000000006</v>
      </c>
      <c r="AZ20" s="391">
        <v>32</v>
      </c>
      <c r="BA20" s="391">
        <v>19.5</v>
      </c>
      <c r="BB20" s="391">
        <v>32.9</v>
      </c>
      <c r="BC20" s="391">
        <v>39.200000000000003</v>
      </c>
      <c r="BD20" s="410">
        <f>SUM(AZ20:BC20)</f>
        <v>123.60000000000001</v>
      </c>
      <c r="BE20" s="391">
        <v>27.2</v>
      </c>
      <c r="BF20" s="391">
        <v>39.6</v>
      </c>
      <c r="BG20" s="391">
        <v>18.8</v>
      </c>
      <c r="BH20" s="391">
        <v>34.200000000000003</v>
      </c>
      <c r="BI20" s="410">
        <f>SUM(BE20:BH20)</f>
        <v>119.8</v>
      </c>
      <c r="BJ20" s="391">
        <v>26.6</v>
      </c>
      <c r="BK20" s="391">
        <v>57.6</v>
      </c>
      <c r="BL20" s="391">
        <v>46.9</v>
      </c>
      <c r="BM20" s="391">
        <v>25.7</v>
      </c>
      <c r="BN20" s="410">
        <f>SUM(BJ20:BM20)</f>
        <v>156.79999999999998</v>
      </c>
      <c r="BO20" s="391">
        <v>37.9</v>
      </c>
      <c r="BP20" s="391">
        <v>14.5</v>
      </c>
      <c r="BQ20" s="391">
        <v>7.3</v>
      </c>
      <c r="BR20" s="391">
        <v>10</v>
      </c>
      <c r="BS20" s="410">
        <f>SUM(BO20:BR20)</f>
        <v>69.699999999999989</v>
      </c>
      <c r="BT20" s="391">
        <v>23.7</v>
      </c>
      <c r="BU20" s="391">
        <v>13</v>
      </c>
      <c r="BV20" s="391">
        <v>12.6</v>
      </c>
      <c r="BW20" s="391">
        <v>26.2</v>
      </c>
      <c r="BX20" s="410">
        <f>SUM(BT20:BW20)</f>
        <v>75.5</v>
      </c>
      <c r="BY20" s="391">
        <f>8.8</f>
        <v>8.8000000000000007</v>
      </c>
      <c r="BZ20" s="383">
        <f t="shared" ref="BZ20:CB21" si="20">BU20*(1+BZ250)</f>
        <v>11.700000000000001</v>
      </c>
      <c r="CA20" s="383">
        <f t="shared" si="20"/>
        <v>12.6</v>
      </c>
      <c r="CB20" s="383">
        <f t="shared" si="20"/>
        <v>13.1</v>
      </c>
      <c r="CC20" s="410">
        <f>SUM(BY20:CB20)</f>
        <v>46.2</v>
      </c>
      <c r="CD20" s="410">
        <f t="shared" ref="CD20:CH21" si="21">CC20*(1+CD250)</f>
        <v>41.580000000000005</v>
      </c>
      <c r="CE20" s="410">
        <f t="shared" si="21"/>
        <v>37.422000000000004</v>
      </c>
      <c r="CF20" s="410">
        <f t="shared" si="21"/>
        <v>33.679800000000007</v>
      </c>
      <c r="CG20" s="410">
        <f t="shared" si="21"/>
        <v>30.311820000000008</v>
      </c>
      <c r="CH20" s="410">
        <f t="shared" si="21"/>
        <v>27.280638000000007</v>
      </c>
    </row>
    <row r="21" spans="1:154" ht="12.75" customHeight="1">
      <c r="A21" s="130"/>
      <c r="B21" s="130"/>
      <c r="C21" s="130"/>
      <c r="D21" s="130"/>
      <c r="E21" s="130"/>
      <c r="F21" s="130"/>
      <c r="G21" s="9"/>
      <c r="H21" s="267" t="s">
        <v>1146</v>
      </c>
      <c r="I21" s="267"/>
      <c r="J21" s="267"/>
      <c r="K21" s="267"/>
      <c r="L21" s="263">
        <v>520.79999999999995</v>
      </c>
      <c r="M21" s="263">
        <v>547.4</v>
      </c>
      <c r="N21" s="263">
        <v>531.20000000000005</v>
      </c>
      <c r="O21" s="263">
        <v>568</v>
      </c>
      <c r="P21" s="79">
        <v>2167.4</v>
      </c>
      <c r="Q21" s="263">
        <v>513.5</v>
      </c>
      <c r="R21" s="263">
        <v>572.20000000000005</v>
      </c>
      <c r="S21" s="263">
        <v>565.70000000000005</v>
      </c>
      <c r="T21" s="263">
        <v>606.1</v>
      </c>
      <c r="U21" s="79">
        <f>SUM(Q21:T21)</f>
        <v>2257.5</v>
      </c>
      <c r="V21" s="263">
        <v>584.70000000000005</v>
      </c>
      <c r="W21" s="263">
        <v>649.4</v>
      </c>
      <c r="X21" s="263">
        <v>625.6</v>
      </c>
      <c r="Y21" s="263">
        <v>665.3</v>
      </c>
      <c r="Z21" s="79">
        <f>SUM(V21:Y21)</f>
        <v>2525</v>
      </c>
      <c r="AA21" s="263">
        <v>620.9</v>
      </c>
      <c r="AB21" s="263">
        <v>676.2</v>
      </c>
      <c r="AC21" s="263">
        <v>633.9</v>
      </c>
      <c r="AD21" s="263">
        <v>562.70000000000005</v>
      </c>
      <c r="AE21" s="79">
        <f>SUM(AA21:AD21)</f>
        <v>2493.6999999999998</v>
      </c>
      <c r="AF21" s="263">
        <v>587.6</v>
      </c>
      <c r="AG21" s="263">
        <v>621</v>
      </c>
      <c r="AH21" s="263">
        <v>653.4</v>
      </c>
      <c r="AI21" s="263">
        <v>721.9</v>
      </c>
      <c r="AJ21" s="79">
        <f>SUM(AF21:AI21)</f>
        <v>2583.9</v>
      </c>
      <c r="AK21" s="263">
        <v>631.5</v>
      </c>
      <c r="AL21" s="263">
        <v>624.70000000000005</v>
      </c>
      <c r="AM21" s="263">
        <v>608.20000000000005</v>
      </c>
      <c r="AN21" s="263">
        <v>666.5</v>
      </c>
      <c r="AO21" s="410">
        <f>SUM(AK21:AN21)</f>
        <v>2530.9</v>
      </c>
      <c r="AP21" s="391">
        <v>684.8</v>
      </c>
      <c r="AQ21" s="391">
        <v>697.1</v>
      </c>
      <c r="AR21" s="391">
        <v>619.1</v>
      </c>
      <c r="AS21" s="865">
        <v>455.7</v>
      </c>
      <c r="AT21" s="846">
        <f>SUM(AP21:AS21)</f>
        <v>2456.6999999999998</v>
      </c>
      <c r="AU21" s="391">
        <v>359.9</v>
      </c>
      <c r="AV21" s="391">
        <v>349.7</v>
      </c>
      <c r="AW21" s="391">
        <v>306.7</v>
      </c>
      <c r="AX21" s="391">
        <v>324.7</v>
      </c>
      <c r="AY21" s="410">
        <f>SUM(AU21:AX21)</f>
        <v>1341</v>
      </c>
      <c r="AZ21" s="391">
        <v>252.8</v>
      </c>
      <c r="BA21" s="391">
        <v>263.7</v>
      </c>
      <c r="BB21" s="391">
        <v>245.8</v>
      </c>
      <c r="BC21" s="391">
        <v>309</v>
      </c>
      <c r="BD21" s="410">
        <f>SUM(AZ21:BC21)</f>
        <v>1071.3</v>
      </c>
      <c r="BE21" s="391">
        <v>255.9</v>
      </c>
      <c r="BF21" s="391">
        <v>204.2</v>
      </c>
      <c r="BG21" s="391">
        <v>238.6</v>
      </c>
      <c r="BH21" s="391">
        <v>218.9</v>
      </c>
      <c r="BI21" s="410">
        <f>SUM(BE21:BH21)</f>
        <v>917.6</v>
      </c>
      <c r="BJ21" s="391">
        <v>192.9</v>
      </c>
      <c r="BK21" s="391">
        <v>196.1</v>
      </c>
      <c r="BL21" s="391">
        <v>191</v>
      </c>
      <c r="BM21" s="391">
        <v>203.4</v>
      </c>
      <c r="BN21" s="410">
        <f>SUM(BJ21:BM21)</f>
        <v>783.4</v>
      </c>
      <c r="BO21" s="391">
        <v>174.9</v>
      </c>
      <c r="BP21" s="1208">
        <v>196.2</v>
      </c>
      <c r="BQ21" s="391">
        <v>141.6</v>
      </c>
      <c r="BR21" s="391">
        <v>143</v>
      </c>
      <c r="BS21" s="1209">
        <f>SUM(BO21:BR21)</f>
        <v>655.7</v>
      </c>
      <c r="BT21" s="391">
        <v>123.8</v>
      </c>
      <c r="BU21" s="391">
        <v>127.8</v>
      </c>
      <c r="BV21" s="391">
        <v>128</v>
      </c>
      <c r="BW21" s="391">
        <v>126</v>
      </c>
      <c r="BX21" s="410">
        <f>SUM(BT21:BW21)</f>
        <v>505.6</v>
      </c>
      <c r="BY21" s="391">
        <f>113.8</f>
        <v>113.8</v>
      </c>
      <c r="BZ21" s="383">
        <f t="shared" si="20"/>
        <v>115.02</v>
      </c>
      <c r="CA21" s="383">
        <f t="shared" si="20"/>
        <v>115.2</v>
      </c>
      <c r="CB21" s="383">
        <f t="shared" si="20"/>
        <v>113.4</v>
      </c>
      <c r="CC21" s="410">
        <f>SUM(BY21:CB21)</f>
        <v>457.41999999999996</v>
      </c>
      <c r="CD21" s="410">
        <f t="shared" si="21"/>
        <v>411.678</v>
      </c>
      <c r="CE21" s="410">
        <f t="shared" si="21"/>
        <v>370.5102</v>
      </c>
      <c r="CF21" s="410">
        <f t="shared" si="21"/>
        <v>333.45918</v>
      </c>
      <c r="CG21" s="410">
        <f t="shared" si="21"/>
        <v>300.11326200000002</v>
      </c>
      <c r="CH21" s="410">
        <f t="shared" si="21"/>
        <v>270.10193580000004</v>
      </c>
    </row>
    <row r="22" spans="1:154" s="15" customFormat="1" ht="12.75" customHeight="1">
      <c r="A22" s="124"/>
      <c r="B22" s="124"/>
      <c r="C22" s="124"/>
      <c r="D22" s="124"/>
      <c r="E22" s="124"/>
      <c r="F22" s="124"/>
      <c r="G22" s="9"/>
      <c r="H22" s="266" t="s">
        <v>209</v>
      </c>
      <c r="I22" s="266"/>
      <c r="J22" s="266"/>
      <c r="K22" s="266"/>
      <c r="L22" s="265">
        <v>119.7</v>
      </c>
      <c r="M22" s="265">
        <v>123.4</v>
      </c>
      <c r="N22" s="265">
        <v>140.9</v>
      </c>
      <c r="O22" s="265">
        <v>167.9</v>
      </c>
      <c r="P22" s="266">
        <v>551.9</v>
      </c>
      <c r="Q22" s="265">
        <f t="shared" ref="Q22:AJ22" si="22">Q23+Q24</f>
        <v>152.20000000000002</v>
      </c>
      <c r="R22" s="265">
        <f t="shared" si="22"/>
        <v>144.20000000000002</v>
      </c>
      <c r="S22" s="265">
        <f t="shared" si="22"/>
        <v>126.39999999999999</v>
      </c>
      <c r="T22" s="265">
        <f t="shared" si="22"/>
        <v>156.30000000000001</v>
      </c>
      <c r="U22" s="266">
        <f t="shared" si="22"/>
        <v>579.10000000000014</v>
      </c>
      <c r="V22" s="265">
        <f t="shared" si="22"/>
        <v>139.9</v>
      </c>
      <c r="W22" s="265">
        <f t="shared" si="22"/>
        <v>142.30000000000001</v>
      </c>
      <c r="X22" s="265">
        <f t="shared" si="22"/>
        <v>130.5</v>
      </c>
      <c r="Y22" s="265">
        <f t="shared" si="22"/>
        <v>156.69999999999999</v>
      </c>
      <c r="Z22" s="266">
        <f t="shared" si="22"/>
        <v>569.4</v>
      </c>
      <c r="AA22" s="265">
        <f t="shared" si="22"/>
        <v>148.1</v>
      </c>
      <c r="AB22" s="265">
        <f t="shared" si="22"/>
        <v>135.19999999999999</v>
      </c>
      <c r="AC22" s="265">
        <f t="shared" si="22"/>
        <v>149.5</v>
      </c>
      <c r="AD22" s="265">
        <f t="shared" si="22"/>
        <v>146.80000000000001</v>
      </c>
      <c r="AE22" s="266">
        <f t="shared" si="22"/>
        <v>579.59999999999991</v>
      </c>
      <c r="AF22" s="265">
        <f t="shared" si="22"/>
        <v>158.89999999999998</v>
      </c>
      <c r="AG22" s="265">
        <f t="shared" si="22"/>
        <v>142.80000000000001</v>
      </c>
      <c r="AH22" s="265">
        <f t="shared" si="22"/>
        <v>145.60000000000002</v>
      </c>
      <c r="AI22" s="265">
        <f t="shared" si="22"/>
        <v>162.19999999999999</v>
      </c>
      <c r="AJ22" s="266">
        <f t="shared" si="22"/>
        <v>609.5</v>
      </c>
      <c r="AK22" s="265">
        <f t="shared" ref="AK22:AT22" si="23">AK23+AK24</f>
        <v>146.4</v>
      </c>
      <c r="AL22" s="265">
        <f t="shared" si="23"/>
        <v>147.10000000000002</v>
      </c>
      <c r="AM22" s="265">
        <f t="shared" si="23"/>
        <v>127.89999999999999</v>
      </c>
      <c r="AN22" s="265">
        <f t="shared" si="23"/>
        <v>155.30000000000001</v>
      </c>
      <c r="AO22" s="703">
        <f t="shared" si="23"/>
        <v>576.69999999999993</v>
      </c>
      <c r="AP22" s="455">
        <f t="shared" si="23"/>
        <v>138.69999999999999</v>
      </c>
      <c r="AQ22" s="455">
        <f>AQ23+AQ24</f>
        <v>157.6</v>
      </c>
      <c r="AR22" s="455">
        <f t="shared" si="23"/>
        <v>153.1</v>
      </c>
      <c r="AS22" s="455">
        <f>AS23+AS24</f>
        <v>170.6</v>
      </c>
      <c r="AT22" s="703">
        <f t="shared" si="23"/>
        <v>620</v>
      </c>
      <c r="AU22" s="455">
        <f t="shared" ref="AU22:BH22" si="24">AU23+AU24</f>
        <v>158.9</v>
      </c>
      <c r="AV22" s="455">
        <f t="shared" si="24"/>
        <v>153</v>
      </c>
      <c r="AW22" s="455">
        <f t="shared" si="24"/>
        <v>145.6</v>
      </c>
      <c r="AX22" s="455">
        <f t="shared" si="24"/>
        <v>163.89999999999998</v>
      </c>
      <c r="AY22" s="703">
        <f t="shared" si="24"/>
        <v>621.4</v>
      </c>
      <c r="AZ22" s="455">
        <f t="shared" si="24"/>
        <v>166.7</v>
      </c>
      <c r="BA22" s="455">
        <f t="shared" si="24"/>
        <v>168.3</v>
      </c>
      <c r="BB22" s="455">
        <f t="shared" si="24"/>
        <v>173.2</v>
      </c>
      <c r="BC22" s="455">
        <f t="shared" si="24"/>
        <v>201.1</v>
      </c>
      <c r="BD22" s="703">
        <f t="shared" si="24"/>
        <v>709.3</v>
      </c>
      <c r="BE22" s="455">
        <f>BE23+BE24</f>
        <v>154.39999999999998</v>
      </c>
      <c r="BF22" s="455">
        <f t="shared" si="24"/>
        <v>197.4</v>
      </c>
      <c r="BG22" s="455">
        <f>BG23+BG24</f>
        <v>191.9</v>
      </c>
      <c r="BH22" s="455">
        <f t="shared" si="24"/>
        <v>194.89999999999998</v>
      </c>
      <c r="BI22" s="703">
        <f t="shared" ref="BI22:CH22" si="25">BI23+BI24</f>
        <v>738.6</v>
      </c>
      <c r="BJ22" s="455">
        <f t="shared" si="25"/>
        <v>173.7</v>
      </c>
      <c r="BK22" s="455">
        <f t="shared" si="25"/>
        <v>191.8</v>
      </c>
      <c r="BL22" s="455">
        <f t="shared" si="25"/>
        <v>196.9</v>
      </c>
      <c r="BM22" s="455">
        <f t="shared" si="25"/>
        <v>221.6</v>
      </c>
      <c r="BN22" s="703">
        <f t="shared" si="25"/>
        <v>784</v>
      </c>
      <c r="BO22" s="455">
        <f t="shared" si="25"/>
        <v>188.1</v>
      </c>
      <c r="BP22" s="455">
        <f t="shared" si="25"/>
        <v>224.6</v>
      </c>
      <c r="BQ22" s="455">
        <f t="shared" si="25"/>
        <v>198.8</v>
      </c>
      <c r="BR22" s="455">
        <f t="shared" si="25"/>
        <v>243.20000000000002</v>
      </c>
      <c r="BS22" s="703">
        <f t="shared" si="25"/>
        <v>854.7</v>
      </c>
      <c r="BT22" s="455">
        <f t="shared" si="25"/>
        <v>196.2</v>
      </c>
      <c r="BU22" s="455">
        <f t="shared" si="25"/>
        <v>186.6</v>
      </c>
      <c r="BV22" s="455">
        <f t="shared" si="25"/>
        <v>137</v>
      </c>
      <c r="BW22" s="455">
        <f t="shared" si="25"/>
        <v>98.3</v>
      </c>
      <c r="BX22" s="703">
        <f t="shared" si="25"/>
        <v>618.09999999999991</v>
      </c>
      <c r="BY22" s="455">
        <f t="shared" si="25"/>
        <v>130.6</v>
      </c>
      <c r="BZ22" s="455">
        <f t="shared" si="25"/>
        <v>118.10299999999999</v>
      </c>
      <c r="CA22" s="455">
        <f t="shared" si="25"/>
        <v>106.94199999999999</v>
      </c>
      <c r="CB22" s="455">
        <f t="shared" si="25"/>
        <v>104.90599999999999</v>
      </c>
      <c r="CC22" s="703">
        <f t="shared" si="25"/>
        <v>460.55099999999999</v>
      </c>
      <c r="CD22" s="703">
        <f t="shared" si="25"/>
        <v>276.33059999999995</v>
      </c>
      <c r="CE22" s="703">
        <f t="shared" si="25"/>
        <v>105.81494999999998</v>
      </c>
      <c r="CF22" s="703">
        <f t="shared" si="25"/>
        <v>84.756224999999986</v>
      </c>
      <c r="CG22" s="703">
        <f t="shared" si="25"/>
        <v>68.946541499999995</v>
      </c>
      <c r="CH22" s="703">
        <f t="shared" si="25"/>
        <v>56.918044649999992</v>
      </c>
      <c r="EX22" s="1261" t="s">
        <v>209</v>
      </c>
    </row>
    <row r="23" spans="1:154" ht="12.75" customHeight="1">
      <c r="A23" s="124"/>
      <c r="B23" s="124"/>
      <c r="C23" s="124"/>
      <c r="D23" s="124"/>
      <c r="E23" s="148"/>
      <c r="F23" s="148"/>
      <c r="G23" s="9"/>
      <c r="H23" s="257" t="s">
        <v>1147</v>
      </c>
      <c r="I23" s="257"/>
      <c r="J23" s="257"/>
      <c r="K23" s="257"/>
      <c r="L23" s="263">
        <v>112.3</v>
      </c>
      <c r="M23" s="263">
        <v>110.9</v>
      </c>
      <c r="N23" s="263">
        <v>125</v>
      </c>
      <c r="O23" s="263">
        <v>150.4</v>
      </c>
      <c r="P23" s="79">
        <v>498.6</v>
      </c>
      <c r="Q23" s="263">
        <v>135.30000000000001</v>
      </c>
      <c r="R23" s="263">
        <v>125.9</v>
      </c>
      <c r="S23" s="263">
        <v>112.3</v>
      </c>
      <c r="T23" s="263">
        <v>135.80000000000001</v>
      </c>
      <c r="U23" s="259">
        <f>SUM(Q23:T23)</f>
        <v>509.30000000000007</v>
      </c>
      <c r="V23" s="263">
        <v>117.7</v>
      </c>
      <c r="W23" s="263">
        <v>117.2</v>
      </c>
      <c r="X23" s="263">
        <v>103.6</v>
      </c>
      <c r="Y23" s="263">
        <v>126.1</v>
      </c>
      <c r="Z23" s="259">
        <f>SUM(V23:Y23)</f>
        <v>464.6</v>
      </c>
      <c r="AA23" s="263">
        <v>115.5</v>
      </c>
      <c r="AB23" s="263">
        <v>101.4</v>
      </c>
      <c r="AC23" s="263">
        <v>109.5</v>
      </c>
      <c r="AD23" s="263">
        <v>111.4</v>
      </c>
      <c r="AE23" s="79">
        <f>SUM(AA23:AD23)</f>
        <v>437.79999999999995</v>
      </c>
      <c r="AF23" s="263">
        <v>115.6</v>
      </c>
      <c r="AG23" s="263">
        <v>105.7</v>
      </c>
      <c r="AH23" s="263">
        <v>106.9</v>
      </c>
      <c r="AI23" s="263">
        <v>117.5</v>
      </c>
      <c r="AJ23" s="79">
        <f>SUM(AF23:AI23)</f>
        <v>445.70000000000005</v>
      </c>
      <c r="AK23" s="263">
        <v>102.9</v>
      </c>
      <c r="AL23" s="263">
        <v>100.4</v>
      </c>
      <c r="AM23" s="263">
        <v>85.1</v>
      </c>
      <c r="AN23" s="263">
        <v>101.4</v>
      </c>
      <c r="AO23" s="846">
        <f>SUM(AK23:AN23)</f>
        <v>389.79999999999995</v>
      </c>
      <c r="AP23" s="391">
        <v>86.6</v>
      </c>
      <c r="AQ23" s="391">
        <v>98</v>
      </c>
      <c r="AR23" s="391">
        <v>96.3</v>
      </c>
      <c r="AS23" s="391">
        <v>111.2</v>
      </c>
      <c r="AT23" s="410">
        <f>SUM(AP23:AS23)</f>
        <v>392.09999999999997</v>
      </c>
      <c r="AU23" s="391">
        <v>104.8</v>
      </c>
      <c r="AV23" s="391">
        <v>93.5</v>
      </c>
      <c r="AW23" s="391">
        <v>90</v>
      </c>
      <c r="AX23" s="391">
        <v>95.8</v>
      </c>
      <c r="AY23" s="410">
        <f>SUM(AU23:AX23)</f>
        <v>384.1</v>
      </c>
      <c r="AZ23" s="391">
        <v>105.5</v>
      </c>
      <c r="BA23" s="391">
        <v>102.6</v>
      </c>
      <c r="BB23" s="391">
        <v>111.1</v>
      </c>
      <c r="BC23" s="391">
        <v>127</v>
      </c>
      <c r="BD23" s="410">
        <f>SUM(AZ23:BC23)</f>
        <v>446.2</v>
      </c>
      <c r="BE23" s="391">
        <v>83.1</v>
      </c>
      <c r="BF23" s="391">
        <v>129.5</v>
      </c>
      <c r="BG23" s="391">
        <v>120.9</v>
      </c>
      <c r="BH23" s="391">
        <v>119.1</v>
      </c>
      <c r="BI23" s="410">
        <f>SUM(BE23:BH23)</f>
        <v>452.6</v>
      </c>
      <c r="BJ23" s="391">
        <v>108.5</v>
      </c>
      <c r="BK23" s="391">
        <v>121.1</v>
      </c>
      <c r="BL23" s="391">
        <v>128.80000000000001</v>
      </c>
      <c r="BM23" s="391">
        <v>143.69999999999999</v>
      </c>
      <c r="BN23" s="410">
        <f>SUM(BJ23:BM23)</f>
        <v>502.09999999999997</v>
      </c>
      <c r="BO23" s="391">
        <v>116.6</v>
      </c>
      <c r="BP23" s="391">
        <v>143.5</v>
      </c>
      <c r="BQ23" s="391">
        <v>119.5</v>
      </c>
      <c r="BR23" s="391">
        <v>155.30000000000001</v>
      </c>
      <c r="BS23" s="410">
        <f>SUM(BO23:BR23)</f>
        <v>534.90000000000009</v>
      </c>
      <c r="BT23" s="391">
        <v>122.4</v>
      </c>
      <c r="BU23" s="1218">
        <v>101.5</v>
      </c>
      <c r="BV23" s="391">
        <v>52.9</v>
      </c>
      <c r="BW23" s="391">
        <v>8</v>
      </c>
      <c r="BX23" s="846">
        <f>SUM(BT23:BW23)</f>
        <v>284.8</v>
      </c>
      <c r="BY23" s="391">
        <f>46.9</f>
        <v>46.9</v>
      </c>
      <c r="BZ23" s="383">
        <f t="shared" ref="BZ23:CB24" si="26">BU23*(1+BZ253)</f>
        <v>30.450000000000003</v>
      </c>
      <c r="CA23" s="383">
        <f t="shared" si="26"/>
        <v>21.16</v>
      </c>
      <c r="CB23" s="383">
        <f t="shared" si="26"/>
        <v>12.8</v>
      </c>
      <c r="CC23" s="410">
        <f>SUM(BY23:CB23)</f>
        <v>111.30999999999999</v>
      </c>
      <c r="CD23" s="410">
        <f t="shared" ref="CD23:CH24" si="27">CC23*(1+CD253)</f>
        <v>66.785999999999987</v>
      </c>
      <c r="CE23" s="410">
        <f t="shared" si="27"/>
        <v>53.428799999999995</v>
      </c>
      <c r="CF23" s="410">
        <f t="shared" si="27"/>
        <v>48.085919999999994</v>
      </c>
      <c r="CG23" s="410">
        <f t="shared" si="27"/>
        <v>43.277327999999997</v>
      </c>
      <c r="CH23" s="410">
        <f t="shared" si="27"/>
        <v>38.949595199999997</v>
      </c>
    </row>
    <row r="24" spans="1:154" ht="12.75" customHeight="1">
      <c r="A24" s="148"/>
      <c r="B24" s="148"/>
      <c r="C24" s="148"/>
      <c r="D24" s="148"/>
      <c r="E24" s="124"/>
      <c r="F24" s="124"/>
      <c r="G24" s="9"/>
      <c r="H24" s="257" t="s">
        <v>1148</v>
      </c>
      <c r="I24" s="257"/>
      <c r="J24" s="257"/>
      <c r="K24" s="257"/>
      <c r="L24" s="263">
        <v>7.4</v>
      </c>
      <c r="M24" s="263">
        <v>12.5</v>
      </c>
      <c r="N24" s="263">
        <v>15.9</v>
      </c>
      <c r="O24" s="263">
        <v>17.5</v>
      </c>
      <c r="P24" s="79">
        <v>53.3</v>
      </c>
      <c r="Q24" s="263">
        <v>16.899999999999999</v>
      </c>
      <c r="R24" s="263">
        <v>18.3</v>
      </c>
      <c r="S24" s="263">
        <v>14.1</v>
      </c>
      <c r="T24" s="263">
        <v>20.5</v>
      </c>
      <c r="U24" s="259">
        <f>SUM(Q24:T24)</f>
        <v>69.800000000000011</v>
      </c>
      <c r="V24" s="263">
        <v>22.2</v>
      </c>
      <c r="W24" s="263">
        <v>25.1</v>
      </c>
      <c r="X24" s="263">
        <v>26.9</v>
      </c>
      <c r="Y24" s="263">
        <v>30.6</v>
      </c>
      <c r="Z24" s="259">
        <f>SUM(V24:Y24)</f>
        <v>104.79999999999998</v>
      </c>
      <c r="AA24" s="263">
        <v>32.6</v>
      </c>
      <c r="AB24" s="263">
        <v>33.799999999999997</v>
      </c>
      <c r="AC24" s="263">
        <v>40</v>
      </c>
      <c r="AD24" s="263">
        <v>35.4</v>
      </c>
      <c r="AE24" s="79">
        <f>SUM(AA24:AD24)</f>
        <v>141.80000000000001</v>
      </c>
      <c r="AF24" s="263">
        <v>43.3</v>
      </c>
      <c r="AG24" s="263">
        <v>37.1</v>
      </c>
      <c r="AH24" s="263">
        <v>38.700000000000003</v>
      </c>
      <c r="AI24" s="263">
        <v>44.7</v>
      </c>
      <c r="AJ24" s="79">
        <f>SUM(AF24:AI24)</f>
        <v>163.80000000000001</v>
      </c>
      <c r="AK24" s="263">
        <v>43.5</v>
      </c>
      <c r="AL24" s="263">
        <v>46.7</v>
      </c>
      <c r="AM24" s="263">
        <v>42.8</v>
      </c>
      <c r="AN24" s="263">
        <v>53.9</v>
      </c>
      <c r="AO24" s="410">
        <f>SUM(AK24:AN24)</f>
        <v>186.9</v>
      </c>
      <c r="AP24" s="391">
        <v>52.1</v>
      </c>
      <c r="AQ24" s="391">
        <v>59.6</v>
      </c>
      <c r="AR24" s="391">
        <v>56.8</v>
      </c>
      <c r="AS24" s="391">
        <v>59.4</v>
      </c>
      <c r="AT24" s="410">
        <f>SUM(AP24:AS24)</f>
        <v>227.9</v>
      </c>
      <c r="AU24" s="391">
        <v>54.1</v>
      </c>
      <c r="AV24" s="391">
        <v>59.5</v>
      </c>
      <c r="AW24" s="391">
        <v>55.6</v>
      </c>
      <c r="AX24" s="391">
        <v>68.099999999999994</v>
      </c>
      <c r="AY24" s="410">
        <f>SUM(AU24:AX24)</f>
        <v>237.29999999999998</v>
      </c>
      <c r="AZ24" s="391">
        <v>61.2</v>
      </c>
      <c r="BA24" s="391">
        <v>65.7</v>
      </c>
      <c r="BB24" s="391">
        <v>62.1</v>
      </c>
      <c r="BC24" s="391">
        <v>74.099999999999994</v>
      </c>
      <c r="BD24" s="410">
        <f>SUM(AZ24:BC24)</f>
        <v>263.10000000000002</v>
      </c>
      <c r="BE24" s="391">
        <v>71.3</v>
      </c>
      <c r="BF24" s="391">
        <v>67.900000000000006</v>
      </c>
      <c r="BG24" s="391">
        <v>71</v>
      </c>
      <c r="BH24" s="391">
        <v>75.8</v>
      </c>
      <c r="BI24" s="410">
        <f>SUM(BE24:BH24)</f>
        <v>286</v>
      </c>
      <c r="BJ24" s="391">
        <v>65.2</v>
      </c>
      <c r="BK24" s="391">
        <v>70.7</v>
      </c>
      <c r="BL24" s="391">
        <v>68.099999999999994</v>
      </c>
      <c r="BM24" s="391">
        <v>77.900000000000006</v>
      </c>
      <c r="BN24" s="410">
        <f>SUM(BJ24:BM24)</f>
        <v>281.89999999999998</v>
      </c>
      <c r="BO24" s="391">
        <v>71.5</v>
      </c>
      <c r="BP24" s="391">
        <v>81.099999999999994</v>
      </c>
      <c r="BQ24" s="391">
        <v>79.3</v>
      </c>
      <c r="BR24" s="391">
        <v>87.9</v>
      </c>
      <c r="BS24" s="410">
        <f>SUM(BO24:BR24)</f>
        <v>319.79999999999995</v>
      </c>
      <c r="BT24" s="391">
        <v>73.8</v>
      </c>
      <c r="BU24" s="1068">
        <v>85.1</v>
      </c>
      <c r="BV24" s="391">
        <v>84.1</v>
      </c>
      <c r="BW24" s="391">
        <v>90.3</v>
      </c>
      <c r="BX24" s="410">
        <f>SUM(BT24:BW24)</f>
        <v>333.29999999999995</v>
      </c>
      <c r="BY24" s="391">
        <f>83.7</f>
        <v>83.7</v>
      </c>
      <c r="BZ24" s="383">
        <f t="shared" si="26"/>
        <v>87.652999999999992</v>
      </c>
      <c r="CA24" s="383">
        <f t="shared" si="26"/>
        <v>85.781999999999996</v>
      </c>
      <c r="CB24" s="383">
        <f t="shared" si="26"/>
        <v>92.105999999999995</v>
      </c>
      <c r="CC24" s="410">
        <f>SUM(BY24:CB24)</f>
        <v>349.24099999999999</v>
      </c>
      <c r="CD24" s="846">
        <f t="shared" si="27"/>
        <v>209.54459999999997</v>
      </c>
      <c r="CE24" s="410">
        <f t="shared" si="27"/>
        <v>52.386149999999994</v>
      </c>
      <c r="CF24" s="410">
        <f t="shared" si="27"/>
        <v>36.670304999999992</v>
      </c>
      <c r="CG24" s="410">
        <f t="shared" si="27"/>
        <v>25.669213499999994</v>
      </c>
      <c r="CH24" s="410">
        <f t="shared" si="27"/>
        <v>17.968449449999994</v>
      </c>
    </row>
    <row r="25" spans="1:154" s="15" customFormat="1" ht="12.75" customHeight="1">
      <c r="A25" s="124"/>
      <c r="B25" s="124"/>
      <c r="C25" s="124"/>
      <c r="D25" s="124"/>
      <c r="E25" s="124"/>
      <c r="F25" s="124"/>
      <c r="G25" s="9"/>
      <c r="H25" s="266" t="s">
        <v>210</v>
      </c>
      <c r="I25" s="266"/>
      <c r="J25" s="266"/>
      <c r="K25" s="266"/>
      <c r="L25" s="265">
        <v>106.8</v>
      </c>
      <c r="M25" s="265">
        <v>161.4</v>
      </c>
      <c r="N25" s="265">
        <v>182.7</v>
      </c>
      <c r="O25" s="265">
        <v>228.8</v>
      </c>
      <c r="P25" s="266">
        <v>679.7</v>
      </c>
      <c r="Q25" s="265">
        <f t="shared" ref="Q25:AJ25" si="28">Q26+Q27</f>
        <v>233.20000000000002</v>
      </c>
      <c r="R25" s="265">
        <f t="shared" si="28"/>
        <v>310.39999999999998</v>
      </c>
      <c r="S25" s="265">
        <f t="shared" si="28"/>
        <v>348.6</v>
      </c>
      <c r="T25" s="265">
        <f t="shared" si="28"/>
        <v>424.09999999999997</v>
      </c>
      <c r="U25" s="266">
        <f t="shared" si="28"/>
        <v>1316.3</v>
      </c>
      <c r="V25" s="265">
        <f t="shared" si="28"/>
        <v>441.8</v>
      </c>
      <c r="W25" s="265">
        <f t="shared" si="28"/>
        <v>519.5</v>
      </c>
      <c r="X25" s="265">
        <f t="shared" si="28"/>
        <v>513.20000000000005</v>
      </c>
      <c r="Y25" s="265">
        <f t="shared" si="28"/>
        <v>628.29999999999995</v>
      </c>
      <c r="Z25" s="266">
        <f t="shared" si="28"/>
        <v>2102.8000000000002</v>
      </c>
      <c r="AA25" s="265">
        <f t="shared" si="28"/>
        <v>605.1</v>
      </c>
      <c r="AB25" s="265">
        <f t="shared" si="28"/>
        <v>654.29999999999995</v>
      </c>
      <c r="AC25" s="265">
        <f t="shared" si="28"/>
        <v>716.4</v>
      </c>
      <c r="AD25" s="265">
        <f t="shared" si="28"/>
        <v>721.2</v>
      </c>
      <c r="AE25" s="266">
        <f t="shared" si="28"/>
        <v>2697</v>
      </c>
      <c r="AF25" s="265">
        <f t="shared" si="28"/>
        <v>709.30000000000007</v>
      </c>
      <c r="AG25" s="265">
        <f t="shared" si="28"/>
        <v>744.44999999999993</v>
      </c>
      <c r="AH25" s="265">
        <f t="shared" si="28"/>
        <v>790.2</v>
      </c>
      <c r="AI25" s="265">
        <f t="shared" si="28"/>
        <v>830.80000000000007</v>
      </c>
      <c r="AJ25" s="266">
        <f t="shared" si="28"/>
        <v>3074.75</v>
      </c>
      <c r="AK25" s="265">
        <f t="shared" ref="AK25:AT25" si="29">AK26+AK27</f>
        <v>803.2</v>
      </c>
      <c r="AL25" s="265">
        <f t="shared" si="29"/>
        <v>867.7</v>
      </c>
      <c r="AM25" s="265">
        <f t="shared" si="29"/>
        <v>806</v>
      </c>
      <c r="AN25" s="265">
        <f t="shared" si="29"/>
        <v>982.3</v>
      </c>
      <c r="AO25" s="703">
        <f t="shared" si="29"/>
        <v>3459.2</v>
      </c>
      <c r="AP25" s="455">
        <f t="shared" si="29"/>
        <v>908.7</v>
      </c>
      <c r="AQ25" s="455">
        <f>AQ26+AQ27</f>
        <v>1003.4</v>
      </c>
      <c r="AR25" s="455">
        <f t="shared" si="29"/>
        <v>1068.5999999999999</v>
      </c>
      <c r="AS25" s="455">
        <f>AS26+AS27</f>
        <v>1181</v>
      </c>
      <c r="AT25" s="703">
        <f t="shared" si="29"/>
        <v>4161.7</v>
      </c>
      <c r="AU25" s="455">
        <f t="shared" ref="AU25:BH25" si="30">AU26+AU27</f>
        <v>1114.9000000000001</v>
      </c>
      <c r="AV25" s="455">
        <f t="shared" si="30"/>
        <v>1223.0999999999999</v>
      </c>
      <c r="AW25" s="455">
        <f t="shared" si="30"/>
        <v>1235.8</v>
      </c>
      <c r="AX25" s="455">
        <f t="shared" si="30"/>
        <v>1420.3999999999999</v>
      </c>
      <c r="AY25" s="703">
        <f t="shared" si="30"/>
        <v>4994.2</v>
      </c>
      <c r="AZ25" s="455">
        <f t="shared" si="30"/>
        <v>1328.2</v>
      </c>
      <c r="BA25" s="455">
        <f t="shared" si="30"/>
        <v>1497.2</v>
      </c>
      <c r="BB25" s="455">
        <f t="shared" si="30"/>
        <v>1375.8000000000002</v>
      </c>
      <c r="BC25" s="455">
        <f t="shared" si="30"/>
        <v>883.19999999999993</v>
      </c>
      <c r="BD25" s="703">
        <f t="shared" si="30"/>
        <v>5084.3999999999996</v>
      </c>
      <c r="BE25" s="455">
        <f>BE26+BE27</f>
        <v>478.2</v>
      </c>
      <c r="BF25" s="455">
        <f t="shared" si="30"/>
        <v>401.3</v>
      </c>
      <c r="BG25" s="455">
        <f>BG26+BG27</f>
        <v>368</v>
      </c>
      <c r="BH25" s="455">
        <f t="shared" si="30"/>
        <v>367.3</v>
      </c>
      <c r="BI25" s="703">
        <f t="shared" ref="BI25:CH25" si="31">BI26+BI27</f>
        <v>1614.8000000000002</v>
      </c>
      <c r="BJ25" s="455">
        <f t="shared" si="31"/>
        <v>287</v>
      </c>
      <c r="BK25" s="455">
        <f t="shared" si="31"/>
        <v>274.10000000000002</v>
      </c>
      <c r="BL25" s="455">
        <f t="shared" si="31"/>
        <v>242.9</v>
      </c>
      <c r="BM25" s="455">
        <f t="shared" si="31"/>
        <v>223.6</v>
      </c>
      <c r="BN25" s="703">
        <f t="shared" si="31"/>
        <v>1027.5999999999999</v>
      </c>
      <c r="BO25" s="455">
        <f t="shared" si="31"/>
        <v>198.70000000000002</v>
      </c>
      <c r="BP25" s="455">
        <f t="shared" si="31"/>
        <v>236.5</v>
      </c>
      <c r="BQ25" s="455">
        <f t="shared" si="31"/>
        <v>313.5</v>
      </c>
      <c r="BR25" s="455">
        <f t="shared" si="31"/>
        <v>181.89999999999998</v>
      </c>
      <c r="BS25" s="703">
        <f t="shared" si="31"/>
        <v>930.59999999999991</v>
      </c>
      <c r="BT25" s="455">
        <f t="shared" si="31"/>
        <v>174.6</v>
      </c>
      <c r="BU25" s="455">
        <f t="shared" si="31"/>
        <v>206.7</v>
      </c>
      <c r="BV25" s="455">
        <f t="shared" si="31"/>
        <v>183.1</v>
      </c>
      <c r="BW25" s="455">
        <f t="shared" si="31"/>
        <v>192.79999999999998</v>
      </c>
      <c r="BX25" s="703">
        <f t="shared" si="31"/>
        <v>757.19999999999993</v>
      </c>
      <c r="BY25" s="455">
        <f t="shared" si="31"/>
        <v>169.5</v>
      </c>
      <c r="BZ25" s="455">
        <f t="shared" si="31"/>
        <v>161.03999999999996</v>
      </c>
      <c r="CA25" s="455">
        <f t="shared" si="31"/>
        <v>160.22000000000003</v>
      </c>
      <c r="CB25" s="455">
        <f t="shared" si="31"/>
        <v>156.404</v>
      </c>
      <c r="CC25" s="703">
        <f t="shared" si="31"/>
        <v>647.16399999999999</v>
      </c>
      <c r="CD25" s="703">
        <f t="shared" si="31"/>
        <v>576.25409999999999</v>
      </c>
      <c r="CE25" s="703">
        <f t="shared" si="31"/>
        <v>435.28732500000007</v>
      </c>
      <c r="CF25" s="703">
        <f t="shared" si="31"/>
        <v>269.06910750000003</v>
      </c>
      <c r="CG25" s="703">
        <f t="shared" si="31"/>
        <v>217.62429975000001</v>
      </c>
      <c r="CH25" s="703">
        <f t="shared" si="31"/>
        <v>176.23155217500002</v>
      </c>
      <c r="EX25" s="1261" t="s">
        <v>210</v>
      </c>
    </row>
    <row r="26" spans="1:154" ht="12.75" customHeight="1">
      <c r="A26" s="148"/>
      <c r="B26" s="148"/>
      <c r="C26" s="148"/>
      <c r="D26" s="148"/>
      <c r="E26" s="148"/>
      <c r="F26" s="148"/>
      <c r="G26" s="9"/>
      <c r="H26" s="257" t="s">
        <v>1149</v>
      </c>
      <c r="I26" s="257"/>
      <c r="J26" s="257"/>
      <c r="K26" s="257"/>
      <c r="L26" s="263">
        <v>102.4</v>
      </c>
      <c r="M26" s="263">
        <v>151.19999999999999</v>
      </c>
      <c r="N26" s="263">
        <v>170.1</v>
      </c>
      <c r="O26" s="263">
        <v>212.5</v>
      </c>
      <c r="P26" s="79">
        <v>636.20000000000005</v>
      </c>
      <c r="Q26" s="263">
        <v>205.8</v>
      </c>
      <c r="R26" s="263">
        <v>269.89999999999998</v>
      </c>
      <c r="S26" s="263">
        <v>306.5</v>
      </c>
      <c r="T26" s="263">
        <v>376.4</v>
      </c>
      <c r="U26" s="259">
        <f>SUM(Q26:T26)</f>
        <v>1158.5999999999999</v>
      </c>
      <c r="V26" s="263">
        <v>386.3</v>
      </c>
      <c r="W26" s="263">
        <v>457.6</v>
      </c>
      <c r="X26" s="263">
        <v>444.3</v>
      </c>
      <c r="Y26" s="263">
        <v>547.29999999999995</v>
      </c>
      <c r="Z26" s="259">
        <f>SUM(V26:Y26)</f>
        <v>1835.5</v>
      </c>
      <c r="AA26" s="263">
        <v>511.1</v>
      </c>
      <c r="AB26" s="263">
        <v>542.79999999999995</v>
      </c>
      <c r="AC26" s="263">
        <v>597.1</v>
      </c>
      <c r="AD26" s="263">
        <v>602.70000000000005</v>
      </c>
      <c r="AE26" s="79">
        <f>SUM(AA26:AD26)</f>
        <v>2253.6999999999998</v>
      </c>
      <c r="AF26" s="263">
        <v>597.1</v>
      </c>
      <c r="AG26" s="263">
        <v>621.29999999999995</v>
      </c>
      <c r="AH26" s="263">
        <v>652.70000000000005</v>
      </c>
      <c r="AI26" s="263">
        <v>680.7</v>
      </c>
      <c r="AJ26" s="79">
        <f>SUM(AF26:AI26)</f>
        <v>2551.8000000000002</v>
      </c>
      <c r="AK26" s="263">
        <v>650.6</v>
      </c>
      <c r="AL26" s="263">
        <v>707.9</v>
      </c>
      <c r="AM26" s="263">
        <v>643.20000000000005</v>
      </c>
      <c r="AN26" s="263">
        <v>770.3</v>
      </c>
      <c r="AO26" s="410">
        <f>SUM(AK26:AN26)</f>
        <v>2772</v>
      </c>
      <c r="AP26" s="391">
        <v>691.1</v>
      </c>
      <c r="AQ26" s="391">
        <v>758.4</v>
      </c>
      <c r="AR26" s="391">
        <v>809.5</v>
      </c>
      <c r="AS26" s="391">
        <v>914.4</v>
      </c>
      <c r="AT26" s="410">
        <f>SUM(AP26:AS26)</f>
        <v>3173.4</v>
      </c>
      <c r="AU26" s="391">
        <v>857.6</v>
      </c>
      <c r="AV26" s="391">
        <v>955</v>
      </c>
      <c r="AW26" s="391">
        <v>964.6</v>
      </c>
      <c r="AX26" s="391">
        <v>1140.5999999999999</v>
      </c>
      <c r="AY26" s="410">
        <f>SUM(AU26:AX26)</f>
        <v>3917.7999999999997</v>
      </c>
      <c r="AZ26" s="391">
        <v>1056.9000000000001</v>
      </c>
      <c r="BA26" s="391">
        <v>1217.4000000000001</v>
      </c>
      <c r="BB26" s="391">
        <v>1109.2</v>
      </c>
      <c r="BC26" s="865">
        <v>577.29999999999995</v>
      </c>
      <c r="BD26" s="846">
        <f>SUM(AZ26:BC26)</f>
        <v>3960.8</v>
      </c>
      <c r="BE26" s="391">
        <v>176</v>
      </c>
      <c r="BF26" s="391">
        <v>112.3</v>
      </c>
      <c r="BG26" s="391">
        <v>69.400000000000006</v>
      </c>
      <c r="BH26" s="391">
        <v>62.8</v>
      </c>
      <c r="BI26" s="410">
        <f>SUM(BE26:BH26)</f>
        <v>420.50000000000006</v>
      </c>
      <c r="BJ26" s="391">
        <v>54.4</v>
      </c>
      <c r="BK26" s="391">
        <v>40.5</v>
      </c>
      <c r="BL26" s="391">
        <v>24.6</v>
      </c>
      <c r="BM26" s="391">
        <v>25.1</v>
      </c>
      <c r="BN26" s="410">
        <f>SUM(BJ26:BM26)</f>
        <v>144.6</v>
      </c>
      <c r="BO26" s="391">
        <v>23.3</v>
      </c>
      <c r="BP26" s="391">
        <v>60.5</v>
      </c>
      <c r="BQ26" s="391">
        <v>162.30000000000001</v>
      </c>
      <c r="BR26" s="391">
        <v>23.2</v>
      </c>
      <c r="BS26" s="410">
        <f>SUM(BO26:BR26)</f>
        <v>269.3</v>
      </c>
      <c r="BT26" s="391">
        <v>34.1</v>
      </c>
      <c r="BU26" s="391">
        <v>47.1</v>
      </c>
      <c r="BV26" s="391">
        <v>19.600000000000001</v>
      </c>
      <c r="BW26" s="391">
        <v>14.1</v>
      </c>
      <c r="BX26" s="410">
        <f>SUM(BT26:BW26)</f>
        <v>114.9</v>
      </c>
      <c r="BY26" s="391">
        <f>12.2</f>
        <v>12.2</v>
      </c>
      <c r="BZ26" s="383">
        <f t="shared" ref="BZ26:CB27" si="32">BU26*(1+BZ256)</f>
        <v>9.4199999999999982</v>
      </c>
      <c r="CA26" s="383">
        <f t="shared" si="32"/>
        <v>9.8000000000000007</v>
      </c>
      <c r="CB26" s="383">
        <f t="shared" si="32"/>
        <v>9.8699999999999992</v>
      </c>
      <c r="CC26" s="410">
        <f>SUM(BY26:CB26)</f>
        <v>41.29</v>
      </c>
      <c r="CD26" s="410">
        <f t="shared" ref="CD26:CH27" si="33">CC26*(1+CD256)</f>
        <v>30.967500000000001</v>
      </c>
      <c r="CE26" s="410">
        <f t="shared" si="33"/>
        <v>26.322375000000001</v>
      </c>
      <c r="CF26" s="410">
        <f t="shared" si="33"/>
        <v>23.690137500000002</v>
      </c>
      <c r="CG26" s="410">
        <f t="shared" si="33"/>
        <v>21.321123750000002</v>
      </c>
      <c r="CH26" s="410">
        <f t="shared" si="33"/>
        <v>19.189011375000003</v>
      </c>
    </row>
    <row r="27" spans="1:154" ht="12.75" customHeight="1">
      <c r="A27" s="129"/>
      <c r="B27" s="129"/>
      <c r="C27" s="129"/>
      <c r="D27" s="129"/>
      <c r="E27" s="129"/>
      <c r="F27" s="129"/>
      <c r="G27" s="9"/>
      <c r="H27" s="257" t="s">
        <v>1150</v>
      </c>
      <c r="I27" s="257"/>
      <c r="J27" s="257"/>
      <c r="K27" s="257"/>
      <c r="L27" s="263">
        <v>4.4000000000000004</v>
      </c>
      <c r="M27" s="263">
        <v>10.199999999999999</v>
      </c>
      <c r="N27" s="263">
        <v>12.6</v>
      </c>
      <c r="O27" s="263">
        <v>16.3</v>
      </c>
      <c r="P27" s="79">
        <v>43.5</v>
      </c>
      <c r="Q27" s="263">
        <v>27.4</v>
      </c>
      <c r="R27" s="263">
        <v>40.5</v>
      </c>
      <c r="S27" s="263">
        <v>42.1</v>
      </c>
      <c r="T27" s="263">
        <v>47.7</v>
      </c>
      <c r="U27" s="259">
        <f>SUM(Q27:T27)</f>
        <v>157.69999999999999</v>
      </c>
      <c r="V27" s="263">
        <v>55.5</v>
      </c>
      <c r="W27" s="263">
        <v>61.9</v>
      </c>
      <c r="X27" s="263">
        <v>68.900000000000006</v>
      </c>
      <c r="Y27" s="263">
        <v>81</v>
      </c>
      <c r="Z27" s="259">
        <f>SUM(V27:Y27)</f>
        <v>267.3</v>
      </c>
      <c r="AA27" s="263">
        <v>94</v>
      </c>
      <c r="AB27" s="263">
        <v>111.5</v>
      </c>
      <c r="AC27" s="263">
        <v>119.3</v>
      </c>
      <c r="AD27" s="263">
        <v>118.5</v>
      </c>
      <c r="AE27" s="79">
        <f>SUM(AA27:AD27)</f>
        <v>443.3</v>
      </c>
      <c r="AF27" s="263">
        <v>112.2</v>
      </c>
      <c r="AG27" s="263">
        <v>123.15</v>
      </c>
      <c r="AH27" s="263">
        <v>137.5</v>
      </c>
      <c r="AI27" s="263">
        <v>150.1</v>
      </c>
      <c r="AJ27" s="79">
        <f>SUM(AF27:AI27)</f>
        <v>522.95000000000005</v>
      </c>
      <c r="AK27" s="263">
        <v>152.6</v>
      </c>
      <c r="AL27" s="263">
        <v>159.80000000000001</v>
      </c>
      <c r="AM27" s="263">
        <v>162.80000000000001</v>
      </c>
      <c r="AN27" s="263">
        <v>212</v>
      </c>
      <c r="AO27" s="410">
        <f>SUM(AK27:AN27)</f>
        <v>687.2</v>
      </c>
      <c r="AP27" s="391">
        <v>217.6</v>
      </c>
      <c r="AQ27" s="391">
        <v>245</v>
      </c>
      <c r="AR27" s="391">
        <v>259.10000000000002</v>
      </c>
      <c r="AS27" s="391">
        <v>266.60000000000002</v>
      </c>
      <c r="AT27" s="410">
        <f>SUM(AP27:AS27)</f>
        <v>988.30000000000007</v>
      </c>
      <c r="AU27" s="391">
        <v>257.3</v>
      </c>
      <c r="AV27" s="391">
        <v>268.10000000000002</v>
      </c>
      <c r="AW27" s="391">
        <v>271.2</v>
      </c>
      <c r="AX27" s="391">
        <v>279.8</v>
      </c>
      <c r="AY27" s="410">
        <f>SUM(AU27:AX27)</f>
        <v>1076.4000000000001</v>
      </c>
      <c r="AZ27" s="391">
        <v>271.3</v>
      </c>
      <c r="BA27" s="391">
        <v>279.8</v>
      </c>
      <c r="BB27" s="391">
        <v>266.60000000000002</v>
      </c>
      <c r="BC27" s="391">
        <v>305.89999999999998</v>
      </c>
      <c r="BD27" s="410">
        <f>SUM(AZ27:BC27)</f>
        <v>1123.5999999999999</v>
      </c>
      <c r="BE27" s="391">
        <v>302.2</v>
      </c>
      <c r="BF27" s="391">
        <v>289</v>
      </c>
      <c r="BG27" s="865">
        <v>298.60000000000002</v>
      </c>
      <c r="BH27" s="391">
        <v>304.5</v>
      </c>
      <c r="BI27" s="846">
        <f>SUM(BE27:BH27)</f>
        <v>1194.3000000000002</v>
      </c>
      <c r="BJ27" s="391">
        <v>232.6</v>
      </c>
      <c r="BK27" s="391">
        <v>233.6</v>
      </c>
      <c r="BL27" s="391">
        <v>218.3</v>
      </c>
      <c r="BM27" s="391">
        <v>198.5</v>
      </c>
      <c r="BN27" s="410">
        <f>SUM(BJ27:BM27)</f>
        <v>883</v>
      </c>
      <c r="BO27" s="391">
        <v>175.4</v>
      </c>
      <c r="BP27" s="391">
        <v>176</v>
      </c>
      <c r="BQ27" s="391">
        <v>151.19999999999999</v>
      </c>
      <c r="BR27" s="391">
        <v>158.69999999999999</v>
      </c>
      <c r="BS27" s="410">
        <f>SUM(BO27:BR27)</f>
        <v>661.3</v>
      </c>
      <c r="BT27" s="391">
        <v>140.5</v>
      </c>
      <c r="BU27" s="391">
        <v>159.6</v>
      </c>
      <c r="BV27" s="391">
        <v>163.5</v>
      </c>
      <c r="BW27" s="391">
        <v>178.7</v>
      </c>
      <c r="BX27" s="846">
        <f>SUM(BT27:BW27)</f>
        <v>642.29999999999995</v>
      </c>
      <c r="BY27" s="391">
        <f>157.3</f>
        <v>157.30000000000001</v>
      </c>
      <c r="BZ27" s="383">
        <f t="shared" si="32"/>
        <v>151.61999999999998</v>
      </c>
      <c r="CA27" s="383">
        <f t="shared" si="32"/>
        <v>150.42000000000002</v>
      </c>
      <c r="CB27" s="383">
        <f t="shared" si="32"/>
        <v>146.53399999999999</v>
      </c>
      <c r="CC27" s="410">
        <f>SUM(BY27:CB27)</f>
        <v>605.87400000000002</v>
      </c>
      <c r="CD27" s="410">
        <f t="shared" si="33"/>
        <v>545.28660000000002</v>
      </c>
      <c r="CE27" s="410">
        <f t="shared" si="33"/>
        <v>408.96495000000004</v>
      </c>
      <c r="CF27" s="410">
        <f t="shared" si="33"/>
        <v>245.37897000000001</v>
      </c>
      <c r="CG27" s="410">
        <f t="shared" si="33"/>
        <v>196.30317600000001</v>
      </c>
      <c r="CH27" s="410">
        <f t="shared" si="33"/>
        <v>157.04254080000001</v>
      </c>
    </row>
    <row r="28" spans="1:154" s="15" customFormat="1" ht="12.75" customHeight="1">
      <c r="A28" s="163"/>
      <c r="B28" s="163"/>
      <c r="C28" s="163"/>
      <c r="D28" s="163"/>
      <c r="E28" s="163"/>
      <c r="F28" s="163"/>
      <c r="G28" s="9"/>
      <c r="H28" s="264" t="s">
        <v>296</v>
      </c>
      <c r="I28" s="264"/>
      <c r="J28" s="264"/>
      <c r="K28" s="264"/>
      <c r="L28" s="265">
        <v>112.4</v>
      </c>
      <c r="M28" s="265">
        <v>114.3</v>
      </c>
      <c r="N28" s="265">
        <v>112.4</v>
      </c>
      <c r="O28" s="265">
        <v>114.4</v>
      </c>
      <c r="P28" s="264">
        <v>453.5</v>
      </c>
      <c r="Q28" s="265">
        <f>Q29+Q30</f>
        <v>77.400000000000006</v>
      </c>
      <c r="R28" s="265">
        <f>R29+R30</f>
        <v>80</v>
      </c>
      <c r="S28" s="265">
        <f>S29+S30</f>
        <v>78.3</v>
      </c>
      <c r="T28" s="265">
        <f>T29+T30</f>
        <v>79.5</v>
      </c>
      <c r="U28" s="264">
        <f>U30+U29</f>
        <v>315.20000000000005</v>
      </c>
      <c r="V28" s="265">
        <f>V29+V30</f>
        <v>72.599999999999994</v>
      </c>
      <c r="W28" s="265">
        <f>W29+W30</f>
        <v>72.300000000000011</v>
      </c>
      <c r="X28" s="265">
        <f>X29+X30</f>
        <v>71.3</v>
      </c>
      <c r="Y28" s="265">
        <f>Y29+Y30</f>
        <v>72.599999999999994</v>
      </c>
      <c r="Z28" s="264">
        <f>Z30+Z29</f>
        <v>288.79999999999995</v>
      </c>
      <c r="AA28" s="265">
        <f>AA29+AA30</f>
        <v>66.2</v>
      </c>
      <c r="AB28" s="265">
        <f>AB29+AB30</f>
        <v>63.099999999999994</v>
      </c>
      <c r="AC28" s="265">
        <f>AC29+AC30</f>
        <v>64.5</v>
      </c>
      <c r="AD28" s="265">
        <f>AD29+AD30</f>
        <v>60.699999999999996</v>
      </c>
      <c r="AE28" s="264">
        <f>AE30+AE29</f>
        <v>254.50000000000003</v>
      </c>
      <c r="AF28" s="265">
        <f>AF29+AF30</f>
        <v>53</v>
      </c>
      <c r="AG28" s="265">
        <f>AG29+AG30</f>
        <v>58.09</v>
      </c>
      <c r="AH28" s="265">
        <f>AH29+AH30</f>
        <v>58.2</v>
      </c>
      <c r="AI28" s="265">
        <f>AI29+AI30</f>
        <v>60.099999999999994</v>
      </c>
      <c r="AJ28" s="264">
        <f>AJ30+AJ29</f>
        <v>229.39</v>
      </c>
      <c r="AK28" s="265">
        <f>AK29+AK30</f>
        <v>51.8</v>
      </c>
      <c r="AL28" s="265">
        <f>AL29+AL30</f>
        <v>51.3</v>
      </c>
      <c r="AM28" s="265">
        <f>AM29+AM30</f>
        <v>48.599999999999994</v>
      </c>
      <c r="AN28" s="265">
        <f>AN29+AN30</f>
        <v>54.5</v>
      </c>
      <c r="AO28" s="703">
        <f>AO30+AO29</f>
        <v>206.2</v>
      </c>
      <c r="AP28" s="455">
        <f>AP29+AP30</f>
        <v>44.4</v>
      </c>
      <c r="AQ28" s="455">
        <f>AQ29+AQ30</f>
        <v>48.9</v>
      </c>
      <c r="AR28" s="455">
        <f>AR29+AR30</f>
        <v>49.900000000000006</v>
      </c>
      <c r="AS28" s="455">
        <f>AS29+AS30</f>
        <v>45.5</v>
      </c>
      <c r="AT28" s="703">
        <f>AT30+AT29</f>
        <v>188.7</v>
      </c>
      <c r="AU28" s="455">
        <f>AU29+AU30</f>
        <v>42.7</v>
      </c>
      <c r="AV28" s="455">
        <f>AV29+AV30</f>
        <v>44.6</v>
      </c>
      <c r="AW28" s="455">
        <f>AW29+AW30</f>
        <v>44.400000000000006</v>
      </c>
      <c r="AX28" s="455">
        <f>AX29+AX30</f>
        <v>48.4</v>
      </c>
      <c r="AY28" s="703">
        <f>AY30+AY29</f>
        <v>180.1</v>
      </c>
      <c r="AZ28" s="455">
        <f>AZ29+AZ30</f>
        <v>43.2</v>
      </c>
      <c r="BA28" s="455">
        <f>BA29+BA30</f>
        <v>45.9</v>
      </c>
      <c r="BB28" s="455">
        <f>BB29+BB30</f>
        <v>43.400000000000006</v>
      </c>
      <c r="BC28" s="455">
        <f>BC29+BC30</f>
        <v>42.3</v>
      </c>
      <c r="BD28" s="703">
        <f t="shared" ref="BD28:BK28" si="34">BD30+BD29</f>
        <v>174.8</v>
      </c>
      <c r="BE28" s="455">
        <f>BE29+BE30</f>
        <v>40.200000000000003</v>
      </c>
      <c r="BF28" s="455">
        <f t="shared" si="34"/>
        <v>42</v>
      </c>
      <c r="BG28" s="455">
        <f>BG30+BG29</f>
        <v>44.099999999999994</v>
      </c>
      <c r="BH28" s="455">
        <f t="shared" si="34"/>
        <v>43.9</v>
      </c>
      <c r="BI28" s="703">
        <f t="shared" si="34"/>
        <v>170.2</v>
      </c>
      <c r="BJ28" s="455">
        <f t="shared" si="34"/>
        <v>37.200000000000003</v>
      </c>
      <c r="BK28" s="455">
        <f t="shared" si="34"/>
        <v>38.700000000000003</v>
      </c>
      <c r="BL28" s="455">
        <f t="shared" ref="BL28:CH28" si="35">BL30+BL29</f>
        <v>39.900000000000006</v>
      </c>
      <c r="BM28" s="455">
        <f t="shared" si="35"/>
        <v>38.799999999999997</v>
      </c>
      <c r="BN28" s="703">
        <f t="shared" si="35"/>
        <v>154.60000000000002</v>
      </c>
      <c r="BO28" s="455">
        <f t="shared" si="35"/>
        <v>38.4</v>
      </c>
      <c r="BP28" s="455">
        <f t="shared" si="35"/>
        <v>38.799999999999997</v>
      </c>
      <c r="BQ28" s="455">
        <f t="shared" si="35"/>
        <v>39.400000000000006</v>
      </c>
      <c r="BR28" s="455">
        <f t="shared" si="35"/>
        <v>64.900000000000006</v>
      </c>
      <c r="BS28" s="703">
        <f t="shared" si="35"/>
        <v>181.5</v>
      </c>
      <c r="BT28" s="455">
        <f t="shared" si="35"/>
        <v>49.8</v>
      </c>
      <c r="BU28" s="455">
        <f t="shared" si="35"/>
        <v>41.2</v>
      </c>
      <c r="BV28" s="455">
        <f t="shared" si="35"/>
        <v>35.299999999999997</v>
      </c>
      <c r="BW28" s="455">
        <f t="shared" si="35"/>
        <v>41.6</v>
      </c>
      <c r="BX28" s="703">
        <f t="shared" si="35"/>
        <v>167.9</v>
      </c>
      <c r="BY28" s="455">
        <f t="shared" si="35"/>
        <v>43</v>
      </c>
      <c r="BZ28" s="455">
        <f t="shared" si="35"/>
        <v>38.135999999999996</v>
      </c>
      <c r="CA28" s="455">
        <f t="shared" si="35"/>
        <v>34.265000000000001</v>
      </c>
      <c r="CB28" s="455">
        <f t="shared" si="35"/>
        <v>39.22</v>
      </c>
      <c r="CC28" s="703">
        <f t="shared" si="35"/>
        <v>154.62100000000001</v>
      </c>
      <c r="CD28" s="703">
        <f t="shared" si="35"/>
        <v>143.30934999999999</v>
      </c>
      <c r="CE28" s="703">
        <f t="shared" si="35"/>
        <v>132.92134250000001</v>
      </c>
      <c r="CF28" s="703">
        <f t="shared" si="35"/>
        <v>123.37498937500001</v>
      </c>
      <c r="CG28" s="703">
        <f t="shared" si="35"/>
        <v>114.59598250625001</v>
      </c>
      <c r="CH28" s="703">
        <f t="shared" si="35"/>
        <v>106.5169517209375</v>
      </c>
      <c r="EX28" s="1261" t="s">
        <v>296</v>
      </c>
    </row>
    <row r="29" spans="1:154" s="14" customFormat="1" ht="12.75" customHeight="1">
      <c r="A29" s="163"/>
      <c r="B29" s="163"/>
      <c r="C29" s="163"/>
      <c r="D29" s="163"/>
      <c r="E29" s="163"/>
      <c r="F29" s="163"/>
      <c r="G29" s="9"/>
      <c r="H29" s="257" t="s">
        <v>231</v>
      </c>
      <c r="I29" s="257"/>
      <c r="J29" s="257"/>
      <c r="K29" s="257"/>
      <c r="L29" s="263">
        <v>57.2</v>
      </c>
      <c r="M29" s="263">
        <v>59.1</v>
      </c>
      <c r="N29" s="263">
        <v>65.5</v>
      </c>
      <c r="O29" s="263">
        <v>67.400000000000006</v>
      </c>
      <c r="P29" s="79">
        <v>249.2</v>
      </c>
      <c r="Q29" s="263">
        <v>36.200000000000003</v>
      </c>
      <c r="R29" s="263">
        <v>39.5</v>
      </c>
      <c r="S29" s="263">
        <v>37.799999999999997</v>
      </c>
      <c r="T29" s="263">
        <v>39.4</v>
      </c>
      <c r="U29" s="79">
        <f>SUM(Q29:T29)</f>
        <v>152.9</v>
      </c>
      <c r="V29" s="263">
        <v>35.1</v>
      </c>
      <c r="W29" s="263">
        <v>37.200000000000003</v>
      </c>
      <c r="X29" s="263">
        <v>34</v>
      </c>
      <c r="Y29" s="263">
        <v>37.700000000000003</v>
      </c>
      <c r="Z29" s="79">
        <f>SUM(V29:Y29)</f>
        <v>144</v>
      </c>
      <c r="AA29" s="263">
        <v>32.700000000000003</v>
      </c>
      <c r="AB29" s="263">
        <v>31.2</v>
      </c>
      <c r="AC29" s="263">
        <v>32.6</v>
      </c>
      <c r="AD29" s="263">
        <v>33.799999999999997</v>
      </c>
      <c r="AE29" s="79">
        <f>SUM(AA29:AD29)</f>
        <v>130.30000000000001</v>
      </c>
      <c r="AF29" s="263">
        <v>28.4</v>
      </c>
      <c r="AG29" s="263">
        <v>31.8</v>
      </c>
      <c r="AH29" s="263">
        <v>30</v>
      </c>
      <c r="AI29" s="263">
        <v>31.9</v>
      </c>
      <c r="AJ29" s="79">
        <f>SUM(AF29:AI29)</f>
        <v>122.1</v>
      </c>
      <c r="AK29" s="263">
        <v>26</v>
      </c>
      <c r="AL29" s="263">
        <v>24.3</v>
      </c>
      <c r="AM29" s="263">
        <v>23.7</v>
      </c>
      <c r="AN29" s="263">
        <v>25.2</v>
      </c>
      <c r="AO29" s="410">
        <f>SUM(AK29:AN29)</f>
        <v>99.2</v>
      </c>
      <c r="AP29" s="391">
        <v>20.399999999999999</v>
      </c>
      <c r="AQ29" s="391">
        <v>20.5</v>
      </c>
      <c r="AR29" s="391">
        <v>22.6</v>
      </c>
      <c r="AS29" s="391">
        <v>19.2</v>
      </c>
      <c r="AT29" s="410">
        <f>SUM(AP29:AS29)</f>
        <v>82.7</v>
      </c>
      <c r="AU29" s="391">
        <v>17.7</v>
      </c>
      <c r="AV29" s="391">
        <v>17.8</v>
      </c>
      <c r="AW29" s="391">
        <v>20.100000000000001</v>
      </c>
      <c r="AX29" s="391">
        <v>21</v>
      </c>
      <c r="AY29" s="410">
        <f>SUM(AU29:AX29)</f>
        <v>76.599999999999994</v>
      </c>
      <c r="AZ29" s="391">
        <v>18.600000000000001</v>
      </c>
      <c r="BA29" s="391">
        <v>20.5</v>
      </c>
      <c r="BB29" s="391">
        <v>19.3</v>
      </c>
      <c r="BC29" s="391">
        <v>17.2</v>
      </c>
      <c r="BD29" s="410">
        <f>SUM(AZ29:BC29)</f>
        <v>75.600000000000009</v>
      </c>
      <c r="BE29" s="391">
        <v>16.3</v>
      </c>
      <c r="BF29" s="391">
        <v>17.2</v>
      </c>
      <c r="BG29" s="391">
        <v>18.899999999999999</v>
      </c>
      <c r="BH29" s="391">
        <v>18.899999999999999</v>
      </c>
      <c r="BI29" s="410">
        <f>SUM(BE29:BH29)</f>
        <v>71.3</v>
      </c>
      <c r="BJ29" s="391">
        <v>14.4</v>
      </c>
      <c r="BK29" s="391">
        <v>16.399999999999999</v>
      </c>
      <c r="BL29" s="391">
        <v>19.600000000000001</v>
      </c>
      <c r="BM29" s="391">
        <v>18.5</v>
      </c>
      <c r="BN29" s="410">
        <f>SUM(BJ29:BM29)</f>
        <v>68.900000000000006</v>
      </c>
      <c r="BO29" s="391">
        <v>17.7</v>
      </c>
      <c r="BP29" s="391">
        <v>17.600000000000001</v>
      </c>
      <c r="BQ29" s="391">
        <v>17.8</v>
      </c>
      <c r="BR29" s="391">
        <v>45.7</v>
      </c>
      <c r="BS29" s="410">
        <f>SUM(BO29:BR29)</f>
        <v>98.8</v>
      </c>
      <c r="BT29" s="391">
        <v>25.8</v>
      </c>
      <c r="BU29" s="391">
        <v>22.4</v>
      </c>
      <c r="BV29" s="391">
        <v>14.6</v>
      </c>
      <c r="BW29" s="391">
        <v>17.8</v>
      </c>
      <c r="BX29" s="410">
        <f>SUM(BT29:BW29)</f>
        <v>80.600000000000009</v>
      </c>
      <c r="BY29" s="391">
        <f>19.5</f>
        <v>19.5</v>
      </c>
      <c r="BZ29" s="383">
        <f t="shared" ref="BZ29:CB30" si="36">BU29*(1+BZ259)</f>
        <v>19.712</v>
      </c>
      <c r="CA29" s="383">
        <f t="shared" si="36"/>
        <v>14.6</v>
      </c>
      <c r="CB29" s="383">
        <f t="shared" si="36"/>
        <v>17.8</v>
      </c>
      <c r="CC29" s="410">
        <f>SUM(BY29:CB29)</f>
        <v>71.612000000000009</v>
      </c>
      <c r="CD29" s="410">
        <f t="shared" ref="CD29:CH30" si="37">CC29*(1+CD259)</f>
        <v>64.450800000000015</v>
      </c>
      <c r="CE29" s="410">
        <f t="shared" si="37"/>
        <v>58.005720000000018</v>
      </c>
      <c r="CF29" s="410">
        <f t="shared" si="37"/>
        <v>52.205148000000015</v>
      </c>
      <c r="CG29" s="410">
        <f t="shared" si="37"/>
        <v>46.984633200000012</v>
      </c>
      <c r="CH29" s="410">
        <f t="shared" si="37"/>
        <v>42.28616988000001</v>
      </c>
    </row>
    <row r="30" spans="1:154" s="14" customFormat="1" ht="12.75" customHeight="1">
      <c r="A30" s="163"/>
      <c r="B30" s="163"/>
      <c r="C30" s="163"/>
      <c r="D30" s="163"/>
      <c r="E30" s="163"/>
      <c r="F30" s="163"/>
      <c r="G30" s="9"/>
      <c r="H30" s="257" t="s">
        <v>232</v>
      </c>
      <c r="I30" s="257"/>
      <c r="J30" s="257"/>
      <c r="K30" s="257"/>
      <c r="L30" s="263">
        <v>55.2</v>
      </c>
      <c r="M30" s="263">
        <v>55.2</v>
      </c>
      <c r="N30" s="263">
        <v>46.9</v>
      </c>
      <c r="O30" s="263">
        <v>47</v>
      </c>
      <c r="P30" s="79">
        <v>204.3</v>
      </c>
      <c r="Q30" s="263">
        <v>41.2</v>
      </c>
      <c r="R30" s="263">
        <v>40.5</v>
      </c>
      <c r="S30" s="263">
        <v>40.5</v>
      </c>
      <c r="T30" s="263">
        <v>40.1</v>
      </c>
      <c r="U30" s="79">
        <f>SUM(Q30:T30)</f>
        <v>162.30000000000001</v>
      </c>
      <c r="V30" s="263">
        <v>37.5</v>
      </c>
      <c r="W30" s="263">
        <v>35.1</v>
      </c>
      <c r="X30" s="263">
        <v>37.299999999999997</v>
      </c>
      <c r="Y30" s="263">
        <v>34.9</v>
      </c>
      <c r="Z30" s="79">
        <f>SUM(V30:Y30)</f>
        <v>144.79999999999998</v>
      </c>
      <c r="AA30" s="263">
        <v>33.5</v>
      </c>
      <c r="AB30" s="263">
        <v>31.9</v>
      </c>
      <c r="AC30" s="263">
        <v>31.9</v>
      </c>
      <c r="AD30" s="263">
        <v>26.9</v>
      </c>
      <c r="AE30" s="79">
        <f>SUM(AA30:AD30)</f>
        <v>124.20000000000002</v>
      </c>
      <c r="AF30" s="263">
        <v>24.6</v>
      </c>
      <c r="AG30" s="263">
        <v>26.29</v>
      </c>
      <c r="AH30" s="263">
        <v>28.2</v>
      </c>
      <c r="AI30" s="263">
        <v>28.2</v>
      </c>
      <c r="AJ30" s="79">
        <f>SUM(AF30:AI30)</f>
        <v>107.29</v>
      </c>
      <c r="AK30" s="263">
        <v>25.8</v>
      </c>
      <c r="AL30" s="263">
        <v>27</v>
      </c>
      <c r="AM30" s="263">
        <v>24.9</v>
      </c>
      <c r="AN30" s="263">
        <v>29.3</v>
      </c>
      <c r="AO30" s="410">
        <f>SUM(AK30:AN30)</f>
        <v>106.99999999999999</v>
      </c>
      <c r="AP30" s="391">
        <v>24</v>
      </c>
      <c r="AQ30" s="391">
        <v>28.4</v>
      </c>
      <c r="AR30" s="391">
        <v>27.3</v>
      </c>
      <c r="AS30" s="391">
        <v>26.3</v>
      </c>
      <c r="AT30" s="410">
        <f>SUM(AP30:AS30)</f>
        <v>106</v>
      </c>
      <c r="AU30" s="391">
        <v>25</v>
      </c>
      <c r="AV30" s="391">
        <v>26.8</v>
      </c>
      <c r="AW30" s="391">
        <v>24.3</v>
      </c>
      <c r="AX30" s="391">
        <v>27.4</v>
      </c>
      <c r="AY30" s="410">
        <f>SUM(AU30:AX30)</f>
        <v>103.5</v>
      </c>
      <c r="AZ30" s="391">
        <v>24.6</v>
      </c>
      <c r="BA30" s="391">
        <v>25.4</v>
      </c>
      <c r="BB30" s="391">
        <v>24.1</v>
      </c>
      <c r="BC30" s="391">
        <v>25.1</v>
      </c>
      <c r="BD30" s="410">
        <f>SUM(AZ30:BC30)</f>
        <v>99.199999999999989</v>
      </c>
      <c r="BE30" s="391">
        <v>23.9</v>
      </c>
      <c r="BF30" s="391">
        <v>24.8</v>
      </c>
      <c r="BG30" s="391">
        <v>25.2</v>
      </c>
      <c r="BH30" s="391">
        <v>25</v>
      </c>
      <c r="BI30" s="410">
        <f>SUM(BE30:BH30)</f>
        <v>98.9</v>
      </c>
      <c r="BJ30" s="391">
        <v>22.8</v>
      </c>
      <c r="BK30" s="391">
        <v>22.3</v>
      </c>
      <c r="BL30" s="391">
        <v>20.3</v>
      </c>
      <c r="BM30" s="391">
        <v>20.3</v>
      </c>
      <c r="BN30" s="410">
        <f>SUM(BJ30:BM30)</f>
        <v>85.7</v>
      </c>
      <c r="BO30" s="391">
        <v>20.7</v>
      </c>
      <c r="BP30" s="391">
        <v>21.2</v>
      </c>
      <c r="BQ30" s="391">
        <v>21.6</v>
      </c>
      <c r="BR30" s="391">
        <v>19.2</v>
      </c>
      <c r="BS30" s="410">
        <f>SUM(BO30:BR30)</f>
        <v>82.7</v>
      </c>
      <c r="BT30" s="391">
        <v>24</v>
      </c>
      <c r="BU30" s="391">
        <v>18.8</v>
      </c>
      <c r="BV30" s="391">
        <v>20.7</v>
      </c>
      <c r="BW30" s="391">
        <v>23.8</v>
      </c>
      <c r="BX30" s="410">
        <f>SUM(BT30:BW30)</f>
        <v>87.3</v>
      </c>
      <c r="BY30" s="391">
        <f>23.5</f>
        <v>23.5</v>
      </c>
      <c r="BZ30" s="383">
        <f t="shared" si="36"/>
        <v>18.423999999999999</v>
      </c>
      <c r="CA30" s="383">
        <f t="shared" si="36"/>
        <v>19.664999999999999</v>
      </c>
      <c r="CB30" s="383">
        <f t="shared" si="36"/>
        <v>21.42</v>
      </c>
      <c r="CC30" s="410">
        <f>SUM(BY30:CB30)</f>
        <v>83.009</v>
      </c>
      <c r="CD30" s="410">
        <f t="shared" si="37"/>
        <v>78.858549999999994</v>
      </c>
      <c r="CE30" s="410">
        <f t="shared" si="37"/>
        <v>74.915622499999998</v>
      </c>
      <c r="CF30" s="410">
        <f t="shared" si="37"/>
        <v>71.16984137499999</v>
      </c>
      <c r="CG30" s="410">
        <f t="shared" si="37"/>
        <v>67.611349306249991</v>
      </c>
      <c r="CH30" s="410">
        <f t="shared" si="37"/>
        <v>64.230781840937482</v>
      </c>
    </row>
    <row r="31" spans="1:154" s="15" customFormat="1" ht="12.75" customHeight="1">
      <c r="A31" s="181"/>
      <c r="B31" s="181"/>
      <c r="C31" s="181"/>
      <c r="D31" s="181"/>
      <c r="E31" s="181"/>
      <c r="F31" s="181"/>
      <c r="G31" s="9"/>
      <c r="H31" s="266" t="s">
        <v>298</v>
      </c>
      <c r="I31" s="266"/>
      <c r="J31" s="266"/>
      <c r="K31" s="266"/>
      <c r="L31" s="265">
        <v>0.9</v>
      </c>
      <c r="M31" s="265">
        <v>0.9</v>
      </c>
      <c r="N31" s="265">
        <v>1.4</v>
      </c>
      <c r="O31" s="265">
        <v>0.8</v>
      </c>
      <c r="P31" s="266">
        <v>4</v>
      </c>
      <c r="Q31" s="265">
        <f t="shared" ref="Q31:AJ31" si="38">Q32+Q33</f>
        <v>-0.30000000000000004</v>
      </c>
      <c r="R31" s="265">
        <f t="shared" si="38"/>
        <v>-1.1000000000000001</v>
      </c>
      <c r="S31" s="265">
        <f t="shared" si="38"/>
        <v>-0.25</v>
      </c>
      <c r="T31" s="265">
        <f t="shared" si="38"/>
        <v>0.3</v>
      </c>
      <c r="U31" s="266">
        <f t="shared" si="38"/>
        <v>-1.35</v>
      </c>
      <c r="V31" s="265">
        <f t="shared" si="38"/>
        <v>0.1</v>
      </c>
      <c r="W31" s="265">
        <f t="shared" si="38"/>
        <v>0.6</v>
      </c>
      <c r="X31" s="265">
        <f t="shared" si="38"/>
        <v>-8.1</v>
      </c>
      <c r="Y31" s="265">
        <f t="shared" si="38"/>
        <v>0</v>
      </c>
      <c r="Z31" s="266">
        <f t="shared" si="38"/>
        <v>-7.3999999999999995</v>
      </c>
      <c r="AA31" s="265">
        <f t="shared" si="38"/>
        <v>0</v>
      </c>
      <c r="AB31" s="265">
        <f t="shared" si="38"/>
        <v>0.3</v>
      </c>
      <c r="AC31" s="265">
        <f t="shared" si="38"/>
        <v>0.1</v>
      </c>
      <c r="AD31" s="265">
        <f t="shared" si="38"/>
        <v>0</v>
      </c>
      <c r="AE31" s="266">
        <f t="shared" si="38"/>
        <v>0.4</v>
      </c>
      <c r="AF31" s="265">
        <f t="shared" si="38"/>
        <v>0</v>
      </c>
      <c r="AG31" s="265">
        <f t="shared" si="38"/>
        <v>0</v>
      </c>
      <c r="AH31" s="265">
        <f t="shared" si="38"/>
        <v>0.1</v>
      </c>
      <c r="AI31" s="265">
        <f t="shared" si="38"/>
        <v>0.2</v>
      </c>
      <c r="AJ31" s="266">
        <f t="shared" si="38"/>
        <v>0.30000000000000004</v>
      </c>
      <c r="AK31" s="265">
        <f t="shared" ref="AK31:AT31" si="39">AK32+AK33</f>
        <v>0</v>
      </c>
      <c r="AL31" s="265">
        <f t="shared" si="39"/>
        <v>0</v>
      </c>
      <c r="AM31" s="265">
        <f t="shared" si="39"/>
        <v>0</v>
      </c>
      <c r="AN31" s="265">
        <f t="shared" si="39"/>
        <v>0</v>
      </c>
      <c r="AO31" s="703">
        <f t="shared" si="39"/>
        <v>0</v>
      </c>
      <c r="AP31" s="455">
        <f t="shared" si="39"/>
        <v>13.9</v>
      </c>
      <c r="AQ31" s="455">
        <f>AQ32+AQ33</f>
        <v>13.9</v>
      </c>
      <c r="AR31" s="455">
        <f t="shared" si="39"/>
        <v>13.3</v>
      </c>
      <c r="AS31" s="455">
        <f>AS32+AS33</f>
        <v>12.8</v>
      </c>
      <c r="AT31" s="703">
        <f t="shared" si="39"/>
        <v>53.900000000000006</v>
      </c>
      <c r="AU31" s="455">
        <f t="shared" ref="AU31:BH31" si="40">AU32+AU33</f>
        <v>26.100000000000126</v>
      </c>
      <c r="AV31" s="455">
        <f t="shared" si="40"/>
        <v>26.800000000000033</v>
      </c>
      <c r="AW31" s="455">
        <f t="shared" si="40"/>
        <v>18.500000000000089</v>
      </c>
      <c r="AX31" s="455">
        <f t="shared" si="40"/>
        <v>15.500000000000263</v>
      </c>
      <c r="AY31" s="703">
        <f t="shared" si="40"/>
        <v>86.900000000000517</v>
      </c>
      <c r="AZ31" s="455">
        <f t="shared" si="40"/>
        <v>25.899999999999849</v>
      </c>
      <c r="BA31" s="455">
        <f t="shared" si="40"/>
        <v>9.9000000000001265</v>
      </c>
      <c r="BB31" s="455">
        <f t="shared" si="40"/>
        <v>6.9999999999998046</v>
      </c>
      <c r="BC31" s="455">
        <f t="shared" si="40"/>
        <v>10.000000000000068</v>
      </c>
      <c r="BD31" s="703">
        <f t="shared" si="40"/>
        <v>52.799999999999848</v>
      </c>
      <c r="BE31" s="455">
        <f>BE32+BE33</f>
        <v>8.5000000000000178</v>
      </c>
      <c r="BF31" s="455">
        <f t="shared" si="40"/>
        <v>9.2000000000000028</v>
      </c>
      <c r="BG31" s="455">
        <f>BG32+BG33</f>
        <v>8.499999999999968</v>
      </c>
      <c r="BH31" s="455">
        <f t="shared" si="40"/>
        <v>9.3000000000000895</v>
      </c>
      <c r="BI31" s="703">
        <f t="shared" ref="BI31:CH31" si="41">BI32+BI33</f>
        <v>35.500000000000078</v>
      </c>
      <c r="BJ31" s="455">
        <f t="shared" si="41"/>
        <v>7.9000000000000856</v>
      </c>
      <c r="BK31" s="455">
        <f t="shared" si="41"/>
        <v>5.6000000000000405</v>
      </c>
      <c r="BL31" s="455">
        <f t="shared" si="41"/>
        <v>6.8999999999999453</v>
      </c>
      <c r="BM31" s="455">
        <f t="shared" si="41"/>
        <v>8.700000000000049</v>
      </c>
      <c r="BN31" s="703">
        <f t="shared" si="41"/>
        <v>29.100000000000122</v>
      </c>
      <c r="BO31" s="455">
        <f t="shared" si="41"/>
        <v>5.7000000000000348</v>
      </c>
      <c r="BP31" s="455">
        <f t="shared" si="41"/>
        <v>7.1000000000000334</v>
      </c>
      <c r="BQ31" s="455">
        <f t="shared" si="41"/>
        <v>7.9000000000000092</v>
      </c>
      <c r="BR31" s="455">
        <f t="shared" si="41"/>
        <v>7.399999999999995</v>
      </c>
      <c r="BS31" s="703">
        <f t="shared" si="41"/>
        <v>28.100000000000072</v>
      </c>
      <c r="BT31" s="455">
        <f t="shared" si="41"/>
        <v>11.300000000000015</v>
      </c>
      <c r="BU31" s="455">
        <f t="shared" si="41"/>
        <v>11.399999999999988</v>
      </c>
      <c r="BV31" s="455">
        <f t="shared" si="41"/>
        <v>11.700000000000029</v>
      </c>
      <c r="BW31" s="455">
        <f t="shared" si="41"/>
        <v>12.399999999999977</v>
      </c>
      <c r="BX31" s="703">
        <f t="shared" si="41"/>
        <v>46.800000000000011</v>
      </c>
      <c r="BY31" s="455">
        <f t="shared" si="41"/>
        <v>6.9999999999999964</v>
      </c>
      <c r="BZ31" s="455">
        <f t="shared" si="41"/>
        <v>8.1199999999999921</v>
      </c>
      <c r="CA31" s="455">
        <f t="shared" si="41"/>
        <v>8.2200000000000237</v>
      </c>
      <c r="CB31" s="455">
        <f t="shared" si="41"/>
        <v>7.6499999999999826</v>
      </c>
      <c r="CC31" s="703">
        <f t="shared" si="41"/>
        <v>30.99</v>
      </c>
      <c r="CD31" s="703">
        <f t="shared" si="41"/>
        <v>30.99</v>
      </c>
      <c r="CE31" s="703">
        <f t="shared" si="41"/>
        <v>30.99</v>
      </c>
      <c r="CF31" s="703">
        <f t="shared" si="41"/>
        <v>30.99</v>
      </c>
      <c r="CG31" s="703">
        <f t="shared" si="41"/>
        <v>30.99</v>
      </c>
      <c r="CH31" s="703">
        <f t="shared" si="41"/>
        <v>30.99</v>
      </c>
      <c r="EX31" s="15" t="s">
        <v>1125</v>
      </c>
    </row>
    <row r="32" spans="1:154" ht="12.75" customHeight="1">
      <c r="A32" s="172"/>
      <c r="B32" s="172"/>
      <c r="C32" s="172"/>
      <c r="D32" s="172"/>
      <c r="E32" s="129"/>
      <c r="F32" s="129"/>
      <c r="G32" s="9"/>
      <c r="H32" s="257" t="s">
        <v>231</v>
      </c>
      <c r="I32" s="257"/>
      <c r="J32" s="257"/>
      <c r="K32" s="257"/>
      <c r="L32" s="263">
        <v>0</v>
      </c>
      <c r="M32" s="263">
        <v>0</v>
      </c>
      <c r="N32" s="263">
        <v>0.4</v>
      </c>
      <c r="O32" s="263">
        <v>-0.2</v>
      </c>
      <c r="P32" s="259">
        <v>0.2</v>
      </c>
      <c r="Q32" s="263">
        <v>-0.1</v>
      </c>
      <c r="R32" s="263">
        <v>-0.2</v>
      </c>
      <c r="S32" s="263">
        <v>-0.05</v>
      </c>
      <c r="T32" s="263">
        <v>0</v>
      </c>
      <c r="U32" s="259">
        <f>SUM(Q32:T32)</f>
        <v>-0.35000000000000003</v>
      </c>
      <c r="V32" s="263">
        <v>0</v>
      </c>
      <c r="W32" s="263">
        <v>0</v>
      </c>
      <c r="X32" s="263">
        <v>0</v>
      </c>
      <c r="Y32" s="263">
        <v>0</v>
      </c>
      <c r="Z32" s="259">
        <f>SUM(V32:Y32)</f>
        <v>0</v>
      </c>
      <c r="AA32" s="263">
        <v>0</v>
      </c>
      <c r="AB32" s="263">
        <v>0</v>
      </c>
      <c r="AC32" s="263">
        <v>0</v>
      </c>
      <c r="AD32" s="269">
        <v>0</v>
      </c>
      <c r="AE32" s="79">
        <f>SUM(AA32:AD32)</f>
        <v>0</v>
      </c>
      <c r="AF32" s="263">
        <v>0</v>
      </c>
      <c r="AG32" s="263">
        <v>0</v>
      </c>
      <c r="AH32" s="263">
        <v>0</v>
      </c>
      <c r="AI32" s="263">
        <v>0</v>
      </c>
      <c r="AJ32" s="79">
        <f>SUM(AF32:AI32)</f>
        <v>0</v>
      </c>
      <c r="AK32" s="263">
        <v>0</v>
      </c>
      <c r="AL32" s="263">
        <v>0</v>
      </c>
      <c r="AM32" s="263">
        <v>0</v>
      </c>
      <c r="AN32" s="263">
        <v>0</v>
      </c>
      <c r="AO32" s="410">
        <f>SUM(AK32:AN32)</f>
        <v>0</v>
      </c>
      <c r="AP32" s="391">
        <v>0</v>
      </c>
      <c r="AQ32" s="391">
        <v>0</v>
      </c>
      <c r="AR32" s="391">
        <v>0</v>
      </c>
      <c r="AS32" s="391">
        <v>0</v>
      </c>
      <c r="AT32" s="410">
        <f>SUM(AP32:AS32)</f>
        <v>0</v>
      </c>
      <c r="AU32" s="392">
        <f t="shared" ref="AU32:AX33" si="42">AU16-AU20-AU23-AU26-AU29</f>
        <v>13.00000000000016</v>
      </c>
      <c r="AV32" s="392">
        <f t="shared" si="42"/>
        <v>13.10000000000009</v>
      </c>
      <c r="AW32" s="392">
        <f t="shared" si="42"/>
        <v>4.9000000000001123</v>
      </c>
      <c r="AX32" s="392">
        <f t="shared" si="42"/>
        <v>3.3000000000001819</v>
      </c>
      <c r="AY32" s="410">
        <f>SUM(AU32:AX32)</f>
        <v>34.300000000000544</v>
      </c>
      <c r="AZ32" s="392">
        <f t="shared" ref="AZ32:BC33" si="43">AZ16-AZ20-AZ23-AZ26-AZ29</f>
        <v>2.5999999999998167</v>
      </c>
      <c r="BA32" s="392">
        <f t="shared" si="43"/>
        <v>1.4000000000000909</v>
      </c>
      <c r="BB32" s="392">
        <f t="shared" si="43"/>
        <v>1.7999999999999083</v>
      </c>
      <c r="BC32" s="392">
        <f t="shared" si="43"/>
        <v>2.5000000000000462</v>
      </c>
      <c r="BD32" s="410">
        <f>SUM(AZ32:BC32)</f>
        <v>8.2999999999998622</v>
      </c>
      <c r="BE32" s="392">
        <f t="shared" ref="BE32:BH33" si="44">BE16-BE20-BE23-BE26-BE29</f>
        <v>1.2999999999999936</v>
      </c>
      <c r="BF32" s="392">
        <f t="shared" si="44"/>
        <v>1.5000000000000036</v>
      </c>
      <c r="BG32" s="392">
        <f t="shared" si="44"/>
        <v>1.2999999999999901</v>
      </c>
      <c r="BH32" s="392">
        <f t="shared" si="44"/>
        <v>1.8000000000000327</v>
      </c>
      <c r="BI32" s="410">
        <f>SUM(BE32:BH32)</f>
        <v>5.9000000000000199</v>
      </c>
      <c r="BJ32" s="392">
        <f t="shared" ref="BJ32:BM33" si="45">BJ16-BJ20-BJ23-BJ26-BJ29</f>
        <v>1.7000000000000011</v>
      </c>
      <c r="BK32" s="392">
        <f t="shared" si="45"/>
        <v>1.1000000000000014</v>
      </c>
      <c r="BL32" s="392">
        <f t="shared" si="45"/>
        <v>2.6999999999999744</v>
      </c>
      <c r="BM32" s="392">
        <f t="shared" si="45"/>
        <v>4.7000000000000099</v>
      </c>
      <c r="BN32" s="410">
        <f>SUM(BJ32:BM32)</f>
        <v>10.199999999999987</v>
      </c>
      <c r="BO32" s="392">
        <f t="shared" ref="BO32:BR33" si="46">BO16-BO20-BO23-BO26-BO29</f>
        <v>2.5999999999999943</v>
      </c>
      <c r="BP32" s="392">
        <f t="shared" si="46"/>
        <v>4.3000000000000043</v>
      </c>
      <c r="BQ32" s="392">
        <f t="shared" si="46"/>
        <v>5.2999999999999652</v>
      </c>
      <c r="BR32" s="392">
        <f t="shared" si="46"/>
        <v>4.8999999999999773</v>
      </c>
      <c r="BS32" s="410">
        <f>SUM(BO32:BR32)</f>
        <v>17.099999999999941</v>
      </c>
      <c r="BT32" s="392">
        <f t="shared" ref="BT32:BW33" si="47">BT16-BT20-BT23-BT26-BT29</f>
        <v>8.8000000000000149</v>
      </c>
      <c r="BU32" s="392">
        <f t="shared" si="47"/>
        <v>8.1999999999999886</v>
      </c>
      <c r="BV32" s="392">
        <f t="shared" si="47"/>
        <v>8.7000000000000117</v>
      </c>
      <c r="BW32" s="392">
        <f t="shared" si="47"/>
        <v>9.4999999999999893</v>
      </c>
      <c r="BX32" s="410">
        <f>SUM(BT32:BW32)</f>
        <v>35.200000000000003</v>
      </c>
      <c r="BY32" s="392">
        <f>BY16-BY20-BY23-BY26-BY29</f>
        <v>3.8000000000000078</v>
      </c>
      <c r="BZ32" s="383">
        <f t="shared" ref="BZ32:CB33" si="48">BU32*(1+BZ262)</f>
        <v>4.9199999999999928</v>
      </c>
      <c r="CA32" s="383">
        <f t="shared" si="48"/>
        <v>5.2200000000000069</v>
      </c>
      <c r="CB32" s="383">
        <f t="shared" si="48"/>
        <v>4.7499999999999947</v>
      </c>
      <c r="CC32" s="410">
        <f>SUM(BY32:CB32)</f>
        <v>18.690000000000005</v>
      </c>
      <c r="CD32" s="410">
        <f t="shared" ref="CD32:CH33" si="49">CC32*(1+CD262)</f>
        <v>18.690000000000005</v>
      </c>
      <c r="CE32" s="410">
        <f t="shared" si="49"/>
        <v>18.690000000000005</v>
      </c>
      <c r="CF32" s="410">
        <f t="shared" si="49"/>
        <v>18.690000000000005</v>
      </c>
      <c r="CG32" s="410">
        <f t="shared" si="49"/>
        <v>18.690000000000005</v>
      </c>
      <c r="CH32" s="410">
        <f t="shared" si="49"/>
        <v>18.690000000000005</v>
      </c>
    </row>
    <row r="33" spans="1:154" ht="12.75" customHeight="1">
      <c r="A33" s="175"/>
      <c r="B33" s="172"/>
      <c r="C33" s="175"/>
      <c r="D33" s="175"/>
      <c r="E33" s="172"/>
      <c r="F33" s="172"/>
      <c r="G33" s="9"/>
      <c r="H33" s="257" t="s">
        <v>232</v>
      </c>
      <c r="I33" s="257"/>
      <c r="J33" s="257"/>
      <c r="K33" s="257"/>
      <c r="L33" s="263">
        <v>0.9</v>
      </c>
      <c r="M33" s="263">
        <v>0.9</v>
      </c>
      <c r="N33" s="263">
        <v>1</v>
      </c>
      <c r="O33" s="263">
        <v>1</v>
      </c>
      <c r="P33" s="259">
        <v>3.8</v>
      </c>
      <c r="Q33" s="263">
        <v>-0.2</v>
      </c>
      <c r="R33" s="263">
        <v>-0.9</v>
      </c>
      <c r="S33" s="263">
        <v>-0.2</v>
      </c>
      <c r="T33" s="263">
        <v>0.3</v>
      </c>
      <c r="U33" s="259">
        <f>SUM(Q33:T33)</f>
        <v>-1</v>
      </c>
      <c r="V33" s="263">
        <v>0.1</v>
      </c>
      <c r="W33" s="263">
        <v>0.6</v>
      </c>
      <c r="X33" s="263">
        <v>-8.1</v>
      </c>
      <c r="Y33" s="263">
        <v>0</v>
      </c>
      <c r="Z33" s="259">
        <f>SUM(V33:Y33)</f>
        <v>-7.3999999999999995</v>
      </c>
      <c r="AA33" s="263">
        <v>0</v>
      </c>
      <c r="AB33" s="263">
        <v>0.3</v>
      </c>
      <c r="AC33" s="263">
        <v>0.1</v>
      </c>
      <c r="AD33" s="263">
        <v>0</v>
      </c>
      <c r="AE33" s="79">
        <f>SUM(AA33:AD33)</f>
        <v>0.4</v>
      </c>
      <c r="AF33" s="263">
        <v>0</v>
      </c>
      <c r="AG33" s="263">
        <v>0</v>
      </c>
      <c r="AH33" s="263">
        <v>0.1</v>
      </c>
      <c r="AI33" s="263">
        <v>0.2</v>
      </c>
      <c r="AJ33" s="79">
        <f>SUM(AF33:AI33)</f>
        <v>0.30000000000000004</v>
      </c>
      <c r="AK33" s="263">
        <v>0</v>
      </c>
      <c r="AL33" s="263">
        <v>0</v>
      </c>
      <c r="AM33" s="263">
        <v>0</v>
      </c>
      <c r="AN33" s="263">
        <v>0</v>
      </c>
      <c r="AO33" s="410">
        <f>SUM(AK33:AN33)</f>
        <v>0</v>
      </c>
      <c r="AP33" s="391">
        <v>13.9</v>
      </c>
      <c r="AQ33" s="391">
        <v>13.9</v>
      </c>
      <c r="AR33" s="391">
        <v>13.3</v>
      </c>
      <c r="AS33" s="391">
        <v>12.8</v>
      </c>
      <c r="AT33" s="410">
        <f>SUM(AP33:AS33)</f>
        <v>53.900000000000006</v>
      </c>
      <c r="AU33" s="392">
        <f t="shared" si="42"/>
        <v>13.099999999999966</v>
      </c>
      <c r="AV33" s="392">
        <f t="shared" si="42"/>
        <v>13.699999999999942</v>
      </c>
      <c r="AW33" s="392">
        <f t="shared" si="42"/>
        <v>13.599999999999977</v>
      </c>
      <c r="AX33" s="392">
        <f t="shared" si="42"/>
        <v>12.200000000000081</v>
      </c>
      <c r="AY33" s="410">
        <f>SUM(AU33:AX33)</f>
        <v>52.599999999999966</v>
      </c>
      <c r="AZ33" s="392">
        <f t="shared" si="43"/>
        <v>23.300000000000033</v>
      </c>
      <c r="BA33" s="392">
        <f t="shared" si="43"/>
        <v>8.5000000000000355</v>
      </c>
      <c r="BB33" s="392">
        <f t="shared" si="43"/>
        <v>5.1999999999998963</v>
      </c>
      <c r="BC33" s="392">
        <f t="shared" si="43"/>
        <v>7.5000000000000213</v>
      </c>
      <c r="BD33" s="410">
        <f>SUM(AZ33:BC33)</f>
        <v>44.499999999999986</v>
      </c>
      <c r="BE33" s="392">
        <f t="shared" si="44"/>
        <v>7.2000000000000242</v>
      </c>
      <c r="BF33" s="392">
        <f t="shared" si="44"/>
        <v>7.6999999999999993</v>
      </c>
      <c r="BG33" s="392">
        <f t="shared" si="44"/>
        <v>7.199999999999978</v>
      </c>
      <c r="BH33" s="392">
        <f t="shared" si="44"/>
        <v>7.5000000000000568</v>
      </c>
      <c r="BI33" s="410">
        <f>SUM(BE33:BH33)</f>
        <v>29.600000000000058</v>
      </c>
      <c r="BJ33" s="392">
        <f t="shared" si="45"/>
        <v>6.2000000000000846</v>
      </c>
      <c r="BK33" s="392">
        <f t="shared" si="45"/>
        <v>4.5000000000000391</v>
      </c>
      <c r="BL33" s="392">
        <f t="shared" si="45"/>
        <v>4.1999999999999709</v>
      </c>
      <c r="BM33" s="392">
        <f t="shared" si="45"/>
        <v>4.0000000000000391</v>
      </c>
      <c r="BN33" s="410">
        <f>SUM(BJ33:BM33)</f>
        <v>18.900000000000134</v>
      </c>
      <c r="BO33" s="392">
        <f t="shared" si="46"/>
        <v>3.1000000000000405</v>
      </c>
      <c r="BP33" s="392">
        <f t="shared" si="46"/>
        <v>2.8000000000000291</v>
      </c>
      <c r="BQ33" s="392">
        <f t="shared" si="46"/>
        <v>2.6000000000000441</v>
      </c>
      <c r="BR33" s="392">
        <f t="shared" si="46"/>
        <v>2.5000000000000178</v>
      </c>
      <c r="BS33" s="410">
        <f>SUM(BO33:BR33)</f>
        <v>11.000000000000131</v>
      </c>
      <c r="BT33" s="392">
        <f t="shared" si="47"/>
        <v>2.5</v>
      </c>
      <c r="BU33" s="392">
        <f t="shared" si="47"/>
        <v>3.1999999999999993</v>
      </c>
      <c r="BV33" s="392">
        <f t="shared" si="47"/>
        <v>3.0000000000000178</v>
      </c>
      <c r="BW33" s="392">
        <f t="shared" si="47"/>
        <v>2.8999999999999879</v>
      </c>
      <c r="BX33" s="410">
        <f>SUM(BT33:BW33)</f>
        <v>11.600000000000005</v>
      </c>
      <c r="BY33" s="392">
        <f>BY17-BY21-BY24-BY27-BY30</f>
        <v>3.1999999999999886</v>
      </c>
      <c r="BZ33" s="383">
        <f t="shared" si="48"/>
        <v>3.1999999999999993</v>
      </c>
      <c r="CA33" s="383">
        <f t="shared" si="48"/>
        <v>3.0000000000000178</v>
      </c>
      <c r="CB33" s="383">
        <f t="shared" si="48"/>
        <v>2.8999999999999879</v>
      </c>
      <c r="CC33" s="410">
        <f>SUM(BY33:CB33)</f>
        <v>12.299999999999994</v>
      </c>
      <c r="CD33" s="410">
        <f t="shared" si="49"/>
        <v>12.299999999999994</v>
      </c>
      <c r="CE33" s="410">
        <f t="shared" si="49"/>
        <v>12.299999999999994</v>
      </c>
      <c r="CF33" s="410">
        <f t="shared" si="49"/>
        <v>12.299999999999994</v>
      </c>
      <c r="CG33" s="410">
        <f t="shared" si="49"/>
        <v>12.299999999999994</v>
      </c>
      <c r="CH33" s="410">
        <f t="shared" si="49"/>
        <v>12.299999999999994</v>
      </c>
    </row>
    <row r="34" spans="1:154" s="975" customFormat="1" ht="12.75" hidden="1" customHeight="1">
      <c r="A34" s="974"/>
      <c r="B34" s="974"/>
      <c r="C34" s="974"/>
      <c r="D34" s="974"/>
      <c r="E34" s="974"/>
      <c r="F34" s="974"/>
      <c r="G34" s="285"/>
      <c r="H34" s="976" t="s">
        <v>236</v>
      </c>
      <c r="I34" s="957"/>
      <c r="J34" s="942"/>
      <c r="K34" s="942"/>
      <c r="L34" s="288"/>
      <c r="M34" s="288"/>
      <c r="N34" s="288"/>
      <c r="O34" s="288"/>
      <c r="P34" s="291"/>
      <c r="Q34" s="288"/>
      <c r="R34" s="288"/>
      <c r="S34" s="288"/>
      <c r="T34" s="288"/>
      <c r="U34" s="291"/>
      <c r="V34" s="288"/>
      <c r="W34" s="288"/>
      <c r="X34" s="288"/>
      <c r="Y34" s="288"/>
      <c r="Z34" s="291"/>
      <c r="AA34" s="288"/>
      <c r="AB34" s="288"/>
      <c r="AC34" s="288"/>
      <c r="AD34" s="288"/>
      <c r="AE34" s="291"/>
      <c r="AF34" s="288"/>
      <c r="AG34" s="288"/>
      <c r="AH34" s="288"/>
      <c r="AI34" s="288"/>
      <c r="AJ34" s="291"/>
      <c r="AK34" s="288"/>
      <c r="AL34" s="288"/>
      <c r="AM34" s="288"/>
      <c r="AN34" s="288"/>
      <c r="AO34" s="785"/>
      <c r="AP34" s="884"/>
      <c r="AQ34" s="884"/>
      <c r="AR34" s="884"/>
      <c r="AS34" s="884"/>
      <c r="AT34" s="785"/>
      <c r="AU34" s="706">
        <f>AU35+AU36</f>
        <v>0</v>
      </c>
      <c r="AV34" s="706">
        <f>AV35+AV36</f>
        <v>0.3</v>
      </c>
      <c r="AW34" s="706">
        <f>AW35+AW36</f>
        <v>0.9</v>
      </c>
      <c r="AX34" s="706">
        <f>AX35+AX36</f>
        <v>0.89999999999999991</v>
      </c>
      <c r="AY34" s="707">
        <f>AY36+AY35</f>
        <v>2.1</v>
      </c>
      <c r="AZ34" s="706">
        <f>AZ35+AZ36</f>
        <v>0.5</v>
      </c>
      <c r="BA34" s="706">
        <f>BA35+BA36</f>
        <v>0.79999999999999993</v>
      </c>
      <c r="BB34" s="706">
        <f>BB35+BB36</f>
        <v>0.9</v>
      </c>
      <c r="BC34" s="706">
        <f>BC35+BC36</f>
        <v>0</v>
      </c>
      <c r="BD34" s="707">
        <f>BD36+BD35</f>
        <v>2.2000000000000002</v>
      </c>
      <c r="BE34" s="706">
        <f>BE35+BE36</f>
        <v>0.5</v>
      </c>
      <c r="BF34" s="706"/>
      <c r="BG34" s="706"/>
      <c r="BH34" s="706"/>
      <c r="BI34" s="707"/>
      <c r="BJ34" s="706"/>
      <c r="BK34" s="706"/>
      <c r="BL34" s="706"/>
      <c r="BM34" s="706"/>
      <c r="BN34" s="707"/>
      <c r="BO34" s="706"/>
      <c r="BP34" s="706"/>
      <c r="BQ34" s="706"/>
      <c r="BR34" s="706"/>
      <c r="BS34" s="707"/>
      <c r="BT34" s="706"/>
      <c r="BU34" s="706"/>
      <c r="BV34" s="706"/>
      <c r="BW34" s="706"/>
      <c r="BX34" s="707"/>
      <c r="BY34" s="706"/>
      <c r="BZ34" s="706"/>
      <c r="CA34" s="706"/>
      <c r="CB34" s="706"/>
      <c r="CC34" s="707"/>
      <c r="CD34" s="707"/>
      <c r="CE34" s="707"/>
      <c r="CF34" s="707"/>
      <c r="CG34" s="707"/>
      <c r="CH34" s="707"/>
    </row>
    <row r="35" spans="1:154" s="975" customFormat="1" ht="12.75" hidden="1" customHeight="1">
      <c r="A35" s="974"/>
      <c r="B35" s="974"/>
      <c r="C35" s="974"/>
      <c r="D35" s="974"/>
      <c r="E35" s="974"/>
      <c r="F35" s="974"/>
      <c r="G35" s="285"/>
      <c r="H35" s="939" t="s">
        <v>231</v>
      </c>
      <c r="I35" s="957"/>
      <c r="J35" s="942"/>
      <c r="K35" s="942"/>
      <c r="L35" s="288"/>
      <c r="M35" s="288"/>
      <c r="N35" s="288"/>
      <c r="O35" s="288"/>
      <c r="P35" s="291"/>
      <c r="Q35" s="288"/>
      <c r="R35" s="288"/>
      <c r="S35" s="288"/>
      <c r="T35" s="288"/>
      <c r="U35" s="291"/>
      <c r="V35" s="288"/>
      <c r="W35" s="288"/>
      <c r="X35" s="288"/>
      <c r="Y35" s="288"/>
      <c r="Z35" s="291"/>
      <c r="AA35" s="288"/>
      <c r="AB35" s="288"/>
      <c r="AC35" s="288"/>
      <c r="AD35" s="288"/>
      <c r="AE35" s="291"/>
      <c r="AF35" s="288"/>
      <c r="AG35" s="288"/>
      <c r="AH35" s="288"/>
      <c r="AI35" s="288"/>
      <c r="AJ35" s="291"/>
      <c r="AK35" s="288"/>
      <c r="AL35" s="288"/>
      <c r="AM35" s="288"/>
      <c r="AN35" s="288"/>
      <c r="AO35" s="785"/>
      <c r="AP35" s="884"/>
      <c r="AQ35" s="884"/>
      <c r="AR35" s="884"/>
      <c r="AS35" s="884"/>
      <c r="AT35" s="785"/>
      <c r="AU35" s="884">
        <v>0</v>
      </c>
      <c r="AV35" s="884">
        <v>0</v>
      </c>
      <c r="AW35" s="884">
        <v>0.1</v>
      </c>
      <c r="AX35" s="884">
        <v>2</v>
      </c>
      <c r="AY35" s="785">
        <f>SUM(AU35:AX35)</f>
        <v>2.1</v>
      </c>
      <c r="AZ35" s="884">
        <v>0.5</v>
      </c>
      <c r="BA35" s="884">
        <v>0.7</v>
      </c>
      <c r="BB35" s="884">
        <v>0.8</v>
      </c>
      <c r="BC35" s="943">
        <v>0</v>
      </c>
      <c r="BD35" s="785">
        <f>SUM(AZ35:BC35)</f>
        <v>2</v>
      </c>
      <c r="BE35" s="884">
        <v>0.5</v>
      </c>
      <c r="BF35" s="786"/>
      <c r="BG35" s="786"/>
      <c r="BH35" s="786"/>
      <c r="BI35" s="785"/>
      <c r="BJ35" s="786"/>
      <c r="BK35" s="786"/>
      <c r="BL35" s="786"/>
      <c r="BM35" s="786"/>
      <c r="BN35" s="785"/>
      <c r="BO35" s="786"/>
      <c r="BP35" s="786"/>
      <c r="BQ35" s="786"/>
      <c r="BR35" s="786"/>
      <c r="BS35" s="785"/>
      <c r="BT35" s="786"/>
      <c r="BU35" s="786"/>
      <c r="BV35" s="786"/>
      <c r="BW35" s="786"/>
      <c r="BX35" s="785"/>
      <c r="BY35" s="786"/>
      <c r="BZ35" s="786"/>
      <c r="CA35" s="786"/>
      <c r="CB35" s="786"/>
      <c r="CC35" s="785"/>
      <c r="CD35" s="785"/>
      <c r="CE35" s="785"/>
      <c r="CF35" s="785"/>
      <c r="CG35" s="785"/>
      <c r="CH35" s="785"/>
    </row>
    <row r="36" spans="1:154" s="975" customFormat="1" ht="12.75" hidden="1" customHeight="1">
      <c r="A36" s="974"/>
      <c r="B36" s="974"/>
      <c r="C36" s="974"/>
      <c r="D36" s="974"/>
      <c r="E36" s="974"/>
      <c r="F36" s="974"/>
      <c r="G36" s="285"/>
      <c r="H36" s="939" t="s">
        <v>232</v>
      </c>
      <c r="I36" s="957"/>
      <c r="J36" s="942"/>
      <c r="K36" s="942"/>
      <c r="L36" s="288"/>
      <c r="M36" s="288"/>
      <c r="N36" s="288"/>
      <c r="O36" s="288"/>
      <c r="P36" s="291"/>
      <c r="Q36" s="288"/>
      <c r="R36" s="288"/>
      <c r="S36" s="288"/>
      <c r="T36" s="288"/>
      <c r="U36" s="291"/>
      <c r="V36" s="288"/>
      <c r="W36" s="288"/>
      <c r="X36" s="288"/>
      <c r="Y36" s="288"/>
      <c r="Z36" s="291"/>
      <c r="AA36" s="288"/>
      <c r="AB36" s="288"/>
      <c r="AC36" s="288"/>
      <c r="AD36" s="288"/>
      <c r="AE36" s="291"/>
      <c r="AF36" s="288"/>
      <c r="AG36" s="288"/>
      <c r="AH36" s="288"/>
      <c r="AI36" s="288"/>
      <c r="AJ36" s="291"/>
      <c r="AK36" s="288"/>
      <c r="AL36" s="288"/>
      <c r="AM36" s="288"/>
      <c r="AN36" s="288"/>
      <c r="AO36" s="785"/>
      <c r="AP36" s="884"/>
      <c r="AQ36" s="884"/>
      <c r="AR36" s="884"/>
      <c r="AS36" s="884"/>
      <c r="AT36" s="785"/>
      <c r="AU36" s="884">
        <v>0</v>
      </c>
      <c r="AV36" s="884">
        <v>0.3</v>
      </c>
      <c r="AW36" s="884">
        <v>0.8</v>
      </c>
      <c r="AX36" s="884">
        <v>-1.1000000000000001</v>
      </c>
      <c r="AY36" s="785">
        <f>SUM(AU36:AX36)</f>
        <v>0</v>
      </c>
      <c r="AZ36" s="884">
        <v>0</v>
      </c>
      <c r="BA36" s="884">
        <v>0.1</v>
      </c>
      <c r="BB36" s="884">
        <v>0.1</v>
      </c>
      <c r="BC36" s="943">
        <v>0</v>
      </c>
      <c r="BD36" s="785">
        <f>SUM(AZ36:BC36)</f>
        <v>0.2</v>
      </c>
      <c r="BE36" s="884">
        <v>0</v>
      </c>
      <c r="BF36" s="786"/>
      <c r="BG36" s="786"/>
      <c r="BH36" s="786"/>
      <c r="BI36" s="785"/>
      <c r="BJ36" s="786"/>
      <c r="BK36" s="786"/>
      <c r="BL36" s="786"/>
      <c r="BM36" s="786"/>
      <c r="BN36" s="785"/>
      <c r="BO36" s="786"/>
      <c r="BP36" s="786"/>
      <c r="BQ36" s="786"/>
      <c r="BR36" s="786"/>
      <c r="BS36" s="785"/>
      <c r="BT36" s="786"/>
      <c r="BU36" s="786"/>
      <c r="BV36" s="786"/>
      <c r="BW36" s="786"/>
      <c r="BX36" s="785"/>
      <c r="BY36" s="786"/>
      <c r="BZ36" s="786"/>
      <c r="CA36" s="786"/>
      <c r="CB36" s="786"/>
      <c r="CC36" s="785"/>
      <c r="CD36" s="785"/>
      <c r="CE36" s="785"/>
      <c r="CF36" s="785"/>
      <c r="CG36" s="785"/>
      <c r="CH36" s="785"/>
    </row>
    <row r="37" spans="1:154" s="15" customFormat="1" ht="12.75" hidden="1" customHeight="1">
      <c r="A37" s="130"/>
      <c r="B37" s="130"/>
      <c r="C37" s="130"/>
      <c r="D37" s="130"/>
      <c r="E37" s="130"/>
      <c r="F37" s="130"/>
      <c r="G37" s="9"/>
      <c r="H37" s="304" t="s">
        <v>235</v>
      </c>
      <c r="I37" s="304"/>
      <c r="J37" s="266"/>
      <c r="K37" s="266"/>
      <c r="L37" s="265">
        <v>12.6</v>
      </c>
      <c r="M37" s="265">
        <v>14.9</v>
      </c>
      <c r="N37" s="265">
        <v>13</v>
      </c>
      <c r="O37" s="265">
        <v>13.4</v>
      </c>
      <c r="P37" s="266">
        <v>53.9</v>
      </c>
      <c r="Q37" s="265">
        <f t="shared" ref="Q37:AJ37" si="50">Q38+Q39</f>
        <v>13.5</v>
      </c>
      <c r="R37" s="265">
        <f t="shared" si="50"/>
        <v>11</v>
      </c>
      <c r="S37" s="265">
        <f t="shared" si="50"/>
        <v>14</v>
      </c>
      <c r="T37" s="265">
        <f t="shared" si="50"/>
        <v>15.299999999999999</v>
      </c>
      <c r="U37" s="266">
        <f t="shared" si="50"/>
        <v>53.800000000000004</v>
      </c>
      <c r="V37" s="265">
        <f t="shared" si="50"/>
        <v>14.4</v>
      </c>
      <c r="W37" s="265">
        <f t="shared" si="50"/>
        <v>12.4</v>
      </c>
      <c r="X37" s="265">
        <f t="shared" si="50"/>
        <v>13.5</v>
      </c>
      <c r="Y37" s="265">
        <f t="shared" si="50"/>
        <v>18.599999999999998</v>
      </c>
      <c r="Z37" s="266">
        <f t="shared" si="50"/>
        <v>58.9</v>
      </c>
      <c r="AA37" s="265">
        <f t="shared" si="50"/>
        <v>16.8</v>
      </c>
      <c r="AB37" s="265">
        <f t="shared" si="50"/>
        <v>14.3</v>
      </c>
      <c r="AC37" s="265">
        <f t="shared" si="50"/>
        <v>23.599999999999998</v>
      </c>
      <c r="AD37" s="265">
        <f t="shared" si="50"/>
        <v>19.2</v>
      </c>
      <c r="AE37" s="266">
        <f t="shared" si="50"/>
        <v>73.899999999999991</v>
      </c>
      <c r="AF37" s="265">
        <f t="shared" si="50"/>
        <v>18.200000000000003</v>
      </c>
      <c r="AG37" s="265">
        <f t="shared" si="50"/>
        <v>21.18</v>
      </c>
      <c r="AH37" s="265">
        <f t="shared" si="50"/>
        <v>21.4</v>
      </c>
      <c r="AI37" s="265">
        <f t="shared" si="50"/>
        <v>24.299999999999997</v>
      </c>
      <c r="AJ37" s="266">
        <f t="shared" si="50"/>
        <v>85.080000000000013</v>
      </c>
      <c r="AK37" s="265">
        <f t="shared" ref="AK37:AT37" si="51">AK38+AK39</f>
        <v>15.100000000000001</v>
      </c>
      <c r="AL37" s="265">
        <f t="shared" si="51"/>
        <v>21.2</v>
      </c>
      <c r="AM37" s="265">
        <f t="shared" si="51"/>
        <v>19.399999999999999</v>
      </c>
      <c r="AN37" s="265">
        <f t="shared" si="51"/>
        <v>21.599999999999998</v>
      </c>
      <c r="AO37" s="703">
        <f t="shared" si="51"/>
        <v>77.300000000000011</v>
      </c>
      <c r="AP37" s="455">
        <f t="shared" si="51"/>
        <v>17.599999999999998</v>
      </c>
      <c r="AQ37" s="455">
        <f>AQ38+AQ39</f>
        <v>21.8</v>
      </c>
      <c r="AR37" s="455">
        <f t="shared" si="51"/>
        <v>20.8</v>
      </c>
      <c r="AS37" s="455">
        <f t="shared" si="51"/>
        <v>17.299999999999997</v>
      </c>
      <c r="AT37" s="703">
        <f t="shared" si="51"/>
        <v>77.5</v>
      </c>
      <c r="AU37" s="455">
        <f>AU38+AU39</f>
        <v>14.2</v>
      </c>
      <c r="AV37" s="455">
        <f>AV38+AV39</f>
        <v>14.1</v>
      </c>
      <c r="AW37" s="455">
        <f>AW38+AW39</f>
        <v>6.3</v>
      </c>
      <c r="AX37" s="455">
        <f>AX38+AX39</f>
        <v>2.7</v>
      </c>
      <c r="AY37" s="703">
        <f>AY38+AY39</f>
        <v>37.300000000000004</v>
      </c>
      <c r="AZ37" s="866"/>
      <c r="BA37" s="866"/>
      <c r="BB37" s="866"/>
      <c r="BC37" s="866"/>
      <c r="BD37" s="867"/>
      <c r="BE37" s="866"/>
      <c r="BF37" s="455"/>
      <c r="BG37" s="455"/>
      <c r="BH37" s="455"/>
      <c r="BI37" s="867"/>
      <c r="BJ37" s="866"/>
      <c r="BK37" s="866"/>
      <c r="BL37" s="866"/>
      <c r="BM37" s="866"/>
      <c r="BN37" s="867"/>
      <c r="BO37" s="866"/>
      <c r="BP37" s="866"/>
      <c r="BQ37" s="866"/>
      <c r="BR37" s="866"/>
      <c r="BS37" s="867"/>
      <c r="BT37" s="866"/>
      <c r="BU37" s="866"/>
      <c r="BV37" s="866"/>
      <c r="BW37" s="866"/>
      <c r="BX37" s="867"/>
      <c r="BY37" s="866"/>
      <c r="BZ37" s="866"/>
      <c r="CA37" s="866"/>
      <c r="CB37" s="866"/>
      <c r="CC37" s="867"/>
      <c r="CD37" s="867"/>
      <c r="CE37" s="867"/>
      <c r="CF37" s="867"/>
      <c r="CG37" s="867"/>
      <c r="CH37" s="867"/>
    </row>
    <row r="38" spans="1:154" ht="12.75" hidden="1" customHeight="1">
      <c r="A38" s="130"/>
      <c r="B38" s="130"/>
      <c r="C38" s="130"/>
      <c r="D38" s="130"/>
      <c r="E38" s="130"/>
      <c r="F38" s="130"/>
      <c r="G38" s="9"/>
      <c r="H38" s="279" t="s">
        <v>1151</v>
      </c>
      <c r="I38" s="279"/>
      <c r="J38" s="257"/>
      <c r="K38" s="257"/>
      <c r="L38" s="263">
        <v>12.4</v>
      </c>
      <c r="M38" s="263">
        <v>14.5</v>
      </c>
      <c r="N38" s="263">
        <v>12.7</v>
      </c>
      <c r="O38" s="263">
        <v>13</v>
      </c>
      <c r="P38" s="79">
        <v>52.6</v>
      </c>
      <c r="Q38" s="263">
        <v>13</v>
      </c>
      <c r="R38" s="263">
        <v>10.6</v>
      </c>
      <c r="S38" s="263">
        <v>13.6</v>
      </c>
      <c r="T38" s="263">
        <v>14.7</v>
      </c>
      <c r="U38" s="79">
        <f>SUM(Q38:T38)</f>
        <v>51.900000000000006</v>
      </c>
      <c r="V38" s="263">
        <v>13.8</v>
      </c>
      <c r="W38" s="263">
        <v>11.8</v>
      </c>
      <c r="X38" s="263">
        <v>12.9</v>
      </c>
      <c r="Y38" s="263">
        <v>17.899999999999999</v>
      </c>
      <c r="Z38" s="79">
        <f>SUM(V38:Y38)</f>
        <v>56.4</v>
      </c>
      <c r="AA38" s="263">
        <v>16.100000000000001</v>
      </c>
      <c r="AB38" s="263">
        <v>13.5</v>
      </c>
      <c r="AC38" s="263">
        <v>22.7</v>
      </c>
      <c r="AD38" s="263">
        <v>18.399999999999999</v>
      </c>
      <c r="AE38" s="79">
        <f>SUM(AA38:AD38)</f>
        <v>70.699999999999989</v>
      </c>
      <c r="AF38" s="263">
        <v>17.600000000000001</v>
      </c>
      <c r="AG38" s="263">
        <v>20.5</v>
      </c>
      <c r="AH38" s="263">
        <v>20.399999999999999</v>
      </c>
      <c r="AI38" s="263">
        <v>23.4</v>
      </c>
      <c r="AJ38" s="79">
        <f>SUM(AF38:AI38)</f>
        <v>81.900000000000006</v>
      </c>
      <c r="AK38" s="263">
        <v>14.3</v>
      </c>
      <c r="AL38" s="263">
        <v>20.399999999999999</v>
      </c>
      <c r="AM38" s="263">
        <v>18.2</v>
      </c>
      <c r="AN38" s="263">
        <v>20.399999999999999</v>
      </c>
      <c r="AO38" s="410">
        <f>SUM(AK38:AN38)</f>
        <v>73.300000000000011</v>
      </c>
      <c r="AP38" s="391">
        <v>16.899999999999999</v>
      </c>
      <c r="AQ38" s="391">
        <v>20.5</v>
      </c>
      <c r="AR38" s="391">
        <v>19.600000000000001</v>
      </c>
      <c r="AS38" s="391">
        <v>16.399999999999999</v>
      </c>
      <c r="AT38" s="410">
        <f>SUM(AP38:AS38)</f>
        <v>73.400000000000006</v>
      </c>
      <c r="AU38" s="391">
        <v>13</v>
      </c>
      <c r="AV38" s="391">
        <v>13.1</v>
      </c>
      <c r="AW38" s="391">
        <v>4.8</v>
      </c>
      <c r="AX38" s="391">
        <v>1.4</v>
      </c>
      <c r="AY38" s="410">
        <f>SUM(AU38:AX38)</f>
        <v>32.300000000000004</v>
      </c>
      <c r="AZ38" s="871"/>
      <c r="BA38" s="871"/>
      <c r="BB38" s="871"/>
      <c r="BC38" s="871"/>
      <c r="BD38" s="870"/>
      <c r="BE38" s="871"/>
      <c r="BF38" s="383"/>
      <c r="BG38" s="383"/>
      <c r="BH38" s="383"/>
      <c r="BI38" s="870"/>
      <c r="BJ38" s="871"/>
      <c r="BK38" s="871"/>
      <c r="BL38" s="871"/>
      <c r="BM38" s="871"/>
      <c r="BN38" s="870"/>
      <c r="BO38" s="871"/>
      <c r="BP38" s="871"/>
      <c r="BQ38" s="871"/>
      <c r="BR38" s="871"/>
      <c r="BS38" s="870"/>
      <c r="BT38" s="871"/>
      <c r="BU38" s="871"/>
      <c r="BV38" s="871"/>
      <c r="BW38" s="871"/>
      <c r="BX38" s="901"/>
      <c r="BY38" s="871"/>
      <c r="BZ38" s="871"/>
      <c r="CA38" s="871"/>
      <c r="CB38" s="871"/>
      <c r="CC38" s="870"/>
      <c r="CD38" s="870"/>
      <c r="CE38" s="870"/>
      <c r="CF38" s="870"/>
      <c r="CG38" s="870"/>
      <c r="CH38" s="870"/>
    </row>
    <row r="39" spans="1:154" ht="12.75" hidden="1" customHeight="1">
      <c r="A39" s="140"/>
      <c r="B39" s="140"/>
      <c r="C39" s="140"/>
      <c r="D39" s="140"/>
      <c r="E39" s="140"/>
      <c r="F39" s="140"/>
      <c r="G39" s="9"/>
      <c r="H39" s="279" t="s">
        <v>232</v>
      </c>
      <c r="I39" s="279"/>
      <c r="J39" s="257"/>
      <c r="K39" s="257"/>
      <c r="L39" s="263">
        <v>0.2</v>
      </c>
      <c r="M39" s="263">
        <v>0.4</v>
      </c>
      <c r="N39" s="263">
        <v>0.3</v>
      </c>
      <c r="O39" s="263">
        <v>0.4</v>
      </c>
      <c r="P39" s="79">
        <v>1.3</v>
      </c>
      <c r="Q39" s="263">
        <v>0.5</v>
      </c>
      <c r="R39" s="263">
        <v>0.4</v>
      </c>
      <c r="S39" s="263">
        <v>0.4</v>
      </c>
      <c r="T39" s="263">
        <v>0.6</v>
      </c>
      <c r="U39" s="259">
        <f>SUM(Q39:T39)</f>
        <v>1.9</v>
      </c>
      <c r="V39" s="263">
        <v>0.6</v>
      </c>
      <c r="W39" s="263">
        <v>0.6</v>
      </c>
      <c r="X39" s="263">
        <v>0.6</v>
      </c>
      <c r="Y39" s="263">
        <v>0.7</v>
      </c>
      <c r="Z39" s="259">
        <f>SUM(V39:Y39)</f>
        <v>2.5</v>
      </c>
      <c r="AA39" s="263">
        <v>0.7</v>
      </c>
      <c r="AB39" s="263">
        <v>0.8</v>
      </c>
      <c r="AC39" s="263">
        <v>0.9</v>
      </c>
      <c r="AD39" s="263">
        <v>0.8</v>
      </c>
      <c r="AE39" s="79">
        <f>SUM(AA39:AD39)</f>
        <v>3.2</v>
      </c>
      <c r="AF39" s="263">
        <v>0.6</v>
      </c>
      <c r="AG39" s="263">
        <v>0.68</v>
      </c>
      <c r="AH39" s="263">
        <v>1</v>
      </c>
      <c r="AI39" s="263">
        <v>0.9</v>
      </c>
      <c r="AJ39" s="79">
        <f>SUM(AF39:AI39)</f>
        <v>3.18</v>
      </c>
      <c r="AK39" s="263">
        <v>0.8</v>
      </c>
      <c r="AL39" s="263">
        <v>0.8</v>
      </c>
      <c r="AM39" s="263">
        <v>1.2</v>
      </c>
      <c r="AN39" s="263">
        <v>1.2</v>
      </c>
      <c r="AO39" s="410">
        <f>SUM(AK39:AN39)</f>
        <v>4</v>
      </c>
      <c r="AP39" s="391">
        <v>0.7</v>
      </c>
      <c r="AQ39" s="391">
        <v>1.3</v>
      </c>
      <c r="AR39" s="391">
        <v>1.2</v>
      </c>
      <c r="AS39" s="391">
        <v>0.9</v>
      </c>
      <c r="AT39" s="410">
        <f>SUM(AP39:AS39)</f>
        <v>4.1000000000000005</v>
      </c>
      <c r="AU39" s="391">
        <v>1.2</v>
      </c>
      <c r="AV39" s="391">
        <v>1</v>
      </c>
      <c r="AW39" s="391">
        <v>1.5</v>
      </c>
      <c r="AX39" s="391">
        <v>1.3</v>
      </c>
      <c r="AY39" s="410">
        <f>SUM(AU39:AX39)</f>
        <v>5</v>
      </c>
      <c r="AZ39" s="871"/>
      <c r="BA39" s="871"/>
      <c r="BB39" s="871"/>
      <c r="BC39" s="871"/>
      <c r="BD39" s="870"/>
      <c r="BE39" s="871"/>
      <c r="BF39" s="383"/>
      <c r="BG39" s="383"/>
      <c r="BH39" s="383"/>
      <c r="BI39" s="870"/>
      <c r="BJ39" s="871"/>
      <c r="BK39" s="871"/>
      <c r="BL39" s="871"/>
      <c r="BM39" s="871"/>
      <c r="BN39" s="870"/>
      <c r="BO39" s="871"/>
      <c r="BP39" s="871"/>
      <c r="BQ39" s="871"/>
      <c r="BR39" s="871"/>
      <c r="BS39" s="870"/>
      <c r="BT39" s="871"/>
      <c r="BU39" s="871"/>
      <c r="BV39" s="871"/>
      <c r="BW39" s="871"/>
      <c r="BX39" s="870"/>
      <c r="BY39" s="871"/>
      <c r="BZ39" s="871"/>
      <c r="CA39" s="871"/>
      <c r="CB39" s="871"/>
      <c r="CC39" s="870"/>
      <c r="CD39" s="870"/>
      <c r="CE39" s="870"/>
      <c r="CF39" s="870"/>
      <c r="CG39" s="870"/>
      <c r="CH39" s="870"/>
    </row>
    <row r="40" spans="1:154" s="37" customFormat="1" ht="12.75" hidden="1" customHeight="1">
      <c r="A40" s="163"/>
      <c r="B40" s="163"/>
      <c r="C40" s="163"/>
      <c r="D40" s="163"/>
      <c r="E40" s="164"/>
      <c r="F40" s="164"/>
      <c r="G40" s="9"/>
      <c r="H40" s="306" t="s">
        <v>295</v>
      </c>
      <c r="I40" s="306"/>
      <c r="J40" s="270"/>
      <c r="K40" s="270"/>
      <c r="L40" s="136">
        <v>4.9000000000000004</v>
      </c>
      <c r="M40" s="136">
        <v>4.8</v>
      </c>
      <c r="N40" s="136">
        <v>3.6</v>
      </c>
      <c r="O40" s="136">
        <v>4.8</v>
      </c>
      <c r="P40" s="266">
        <v>18.100000000000001</v>
      </c>
      <c r="Q40" s="265">
        <f t="shared" ref="Q40:AJ40" si="52">Q41+Q42</f>
        <v>4.8</v>
      </c>
      <c r="R40" s="265">
        <f t="shared" si="52"/>
        <v>4.7</v>
      </c>
      <c r="S40" s="265">
        <f t="shared" si="52"/>
        <v>5</v>
      </c>
      <c r="T40" s="265">
        <f t="shared" si="52"/>
        <v>5.5</v>
      </c>
      <c r="U40" s="266">
        <f t="shared" si="52"/>
        <v>20</v>
      </c>
      <c r="V40" s="265">
        <f t="shared" si="52"/>
        <v>5.4</v>
      </c>
      <c r="W40" s="265">
        <f t="shared" si="52"/>
        <v>5.7</v>
      </c>
      <c r="X40" s="265">
        <f t="shared" si="52"/>
        <v>5.7</v>
      </c>
      <c r="Y40" s="265">
        <f t="shared" si="52"/>
        <v>5.5</v>
      </c>
      <c r="Z40" s="266">
        <f t="shared" si="52"/>
        <v>22.3</v>
      </c>
      <c r="AA40" s="265">
        <f t="shared" si="52"/>
        <v>5.4</v>
      </c>
      <c r="AB40" s="265">
        <f t="shared" si="52"/>
        <v>7.2</v>
      </c>
      <c r="AC40" s="265">
        <f t="shared" si="52"/>
        <v>6.3</v>
      </c>
      <c r="AD40" s="265">
        <f t="shared" si="52"/>
        <v>6.2</v>
      </c>
      <c r="AE40" s="266">
        <f t="shared" si="52"/>
        <v>25.1</v>
      </c>
      <c r="AF40" s="265">
        <f t="shared" si="52"/>
        <v>6.2</v>
      </c>
      <c r="AG40" s="265">
        <f t="shared" si="52"/>
        <v>5.49</v>
      </c>
      <c r="AH40" s="265">
        <f t="shared" si="52"/>
        <v>4.4000000000000004</v>
      </c>
      <c r="AI40" s="265">
        <f t="shared" si="52"/>
        <v>5.5</v>
      </c>
      <c r="AJ40" s="266">
        <f t="shared" si="52"/>
        <v>21.590000000000003</v>
      </c>
      <c r="AK40" s="265">
        <f>AK41+AK42</f>
        <v>5.5</v>
      </c>
      <c r="AL40" s="265">
        <f>AL41+AL42</f>
        <v>4.7</v>
      </c>
      <c r="AM40" s="265">
        <f>AM41+AM42</f>
        <v>4.5</v>
      </c>
      <c r="AN40" s="265">
        <f>AN41+AN42</f>
        <v>5.3</v>
      </c>
      <c r="AO40" s="703">
        <f>AO41+AO42</f>
        <v>20</v>
      </c>
      <c r="AP40" s="866"/>
      <c r="AQ40" s="866"/>
      <c r="AR40" s="866"/>
      <c r="AS40" s="866"/>
      <c r="AT40" s="867"/>
      <c r="AU40" s="866"/>
      <c r="AV40" s="866"/>
      <c r="AW40" s="866"/>
      <c r="AX40" s="866"/>
      <c r="AY40" s="867"/>
      <c r="AZ40" s="866"/>
      <c r="BA40" s="866"/>
      <c r="BB40" s="866"/>
      <c r="BC40" s="866"/>
      <c r="BD40" s="867"/>
      <c r="BE40" s="866"/>
      <c r="BF40" s="455"/>
      <c r="BG40" s="455"/>
      <c r="BH40" s="455"/>
      <c r="BI40" s="867"/>
      <c r="BJ40" s="866"/>
      <c r="BK40" s="866"/>
      <c r="BL40" s="866"/>
      <c r="BM40" s="866"/>
      <c r="BN40" s="867"/>
      <c r="BO40" s="866"/>
      <c r="BP40" s="866"/>
      <c r="BQ40" s="866"/>
      <c r="BR40" s="866"/>
      <c r="BS40" s="867"/>
      <c r="BT40" s="866"/>
      <c r="BU40" s="866"/>
      <c r="BV40" s="866"/>
      <c r="BW40" s="866"/>
      <c r="BX40" s="867"/>
      <c r="BY40" s="866"/>
      <c r="BZ40" s="866"/>
      <c r="CA40" s="866"/>
      <c r="CB40" s="866"/>
      <c r="CC40" s="867"/>
      <c r="CD40" s="867"/>
      <c r="CE40" s="867"/>
      <c r="CF40" s="867"/>
      <c r="CG40" s="867"/>
      <c r="CH40" s="867"/>
    </row>
    <row r="41" spans="1:154" s="56" customFormat="1" ht="12.75" hidden="1" customHeight="1">
      <c r="A41" s="163"/>
      <c r="B41" s="163"/>
      <c r="C41" s="163"/>
      <c r="D41" s="163"/>
      <c r="E41" s="167"/>
      <c r="F41" s="167"/>
      <c r="G41" s="9"/>
      <c r="H41" s="279" t="s">
        <v>231</v>
      </c>
      <c r="I41" s="279"/>
      <c r="J41" s="257"/>
      <c r="K41" s="257"/>
      <c r="L41" s="271"/>
      <c r="M41" s="271"/>
      <c r="N41" s="271"/>
      <c r="O41" s="271"/>
      <c r="P41" s="79"/>
      <c r="Q41" s="271"/>
      <c r="R41" s="271"/>
      <c r="S41" s="271"/>
      <c r="T41" s="271"/>
      <c r="U41" s="259"/>
      <c r="V41" s="271"/>
      <c r="W41" s="271"/>
      <c r="X41" s="271"/>
      <c r="Y41" s="269"/>
      <c r="Z41" s="259"/>
      <c r="AA41" s="271"/>
      <c r="AB41" s="271"/>
      <c r="AC41" s="271"/>
      <c r="AD41" s="269"/>
      <c r="AE41" s="259">
        <f>Z41*(1+AE271)</f>
        <v>0</v>
      </c>
      <c r="AF41" s="271"/>
      <c r="AG41" s="271"/>
      <c r="AH41" s="271"/>
      <c r="AI41" s="271"/>
      <c r="AJ41" s="259">
        <f>AE41*(1+AJ271)</f>
        <v>0</v>
      </c>
      <c r="AK41" s="271"/>
      <c r="AL41" s="271"/>
      <c r="AM41" s="271"/>
      <c r="AN41" s="271"/>
      <c r="AO41" s="410">
        <f>AJ41*(1+AO271)</f>
        <v>0</v>
      </c>
      <c r="AP41" s="868"/>
      <c r="AQ41" s="869"/>
      <c r="AR41" s="869"/>
      <c r="AS41" s="869"/>
      <c r="AT41" s="870"/>
      <c r="AU41" s="871"/>
      <c r="AV41" s="871"/>
      <c r="AW41" s="871"/>
      <c r="AX41" s="871"/>
      <c r="AY41" s="870"/>
      <c r="AZ41" s="871"/>
      <c r="BA41" s="871"/>
      <c r="BB41" s="871"/>
      <c r="BC41" s="871"/>
      <c r="BD41" s="870"/>
      <c r="BE41" s="871"/>
      <c r="BF41" s="383"/>
      <c r="BG41" s="383"/>
      <c r="BH41" s="383"/>
      <c r="BI41" s="870"/>
      <c r="BJ41" s="871"/>
      <c r="BK41" s="871"/>
      <c r="BL41" s="871"/>
      <c r="BM41" s="871"/>
      <c r="BN41" s="870"/>
      <c r="BO41" s="871"/>
      <c r="BP41" s="871"/>
      <c r="BQ41" s="871"/>
      <c r="BR41" s="871"/>
      <c r="BS41" s="870"/>
      <c r="BT41" s="871"/>
      <c r="BU41" s="871"/>
      <c r="BV41" s="871"/>
      <c r="BW41" s="871"/>
      <c r="BX41" s="870"/>
      <c r="BY41" s="871"/>
      <c r="BZ41" s="871"/>
      <c r="CA41" s="871"/>
      <c r="CB41" s="871"/>
      <c r="CC41" s="870"/>
      <c r="CD41" s="870"/>
      <c r="CE41" s="870"/>
      <c r="CF41" s="870"/>
      <c r="CG41" s="870"/>
      <c r="CH41" s="870"/>
    </row>
    <row r="42" spans="1:154" s="56" customFormat="1" ht="12.75" hidden="1" customHeight="1">
      <c r="A42" s="163"/>
      <c r="B42" s="163"/>
      <c r="C42" s="163"/>
      <c r="D42" s="163"/>
      <c r="E42" s="163"/>
      <c r="F42" s="163"/>
      <c r="G42" s="9"/>
      <c r="H42" s="279" t="s">
        <v>232</v>
      </c>
      <c r="I42" s="279"/>
      <c r="J42" s="257"/>
      <c r="K42" s="257"/>
      <c r="L42" s="272">
        <v>4.9000000000000004</v>
      </c>
      <c r="M42" s="272">
        <v>4.8</v>
      </c>
      <c r="N42" s="272">
        <v>3.6</v>
      </c>
      <c r="O42" s="272">
        <v>4.8</v>
      </c>
      <c r="P42" s="79">
        <v>18.100000000000001</v>
      </c>
      <c r="Q42" s="263">
        <v>4.8</v>
      </c>
      <c r="R42" s="263">
        <v>4.7</v>
      </c>
      <c r="S42" s="263">
        <v>5</v>
      </c>
      <c r="T42" s="263">
        <v>5.5</v>
      </c>
      <c r="U42" s="259">
        <f>SUM(Q42:T42)</f>
        <v>20</v>
      </c>
      <c r="V42" s="263">
        <v>5.4</v>
      </c>
      <c r="W42" s="263">
        <v>5.7</v>
      </c>
      <c r="X42" s="263">
        <v>5.7</v>
      </c>
      <c r="Y42" s="263">
        <v>5.5</v>
      </c>
      <c r="Z42" s="259">
        <f>SUM(V42:Y42)</f>
        <v>22.3</v>
      </c>
      <c r="AA42" s="263">
        <v>5.4</v>
      </c>
      <c r="AB42" s="263">
        <v>7.2</v>
      </c>
      <c r="AC42" s="263">
        <v>6.3</v>
      </c>
      <c r="AD42" s="263">
        <v>6.2</v>
      </c>
      <c r="AE42" s="79">
        <f>SUM(AA42:AD42)</f>
        <v>25.1</v>
      </c>
      <c r="AF42" s="263">
        <v>6.2</v>
      </c>
      <c r="AG42" s="263">
        <v>5.49</v>
      </c>
      <c r="AH42" s="263">
        <v>4.4000000000000004</v>
      </c>
      <c r="AI42" s="263">
        <v>5.5</v>
      </c>
      <c r="AJ42" s="79">
        <f>SUM(AF42:AI42)</f>
        <v>21.590000000000003</v>
      </c>
      <c r="AK42" s="263">
        <v>5.5</v>
      </c>
      <c r="AL42" s="263">
        <v>4.7</v>
      </c>
      <c r="AM42" s="263">
        <v>4.5</v>
      </c>
      <c r="AN42" s="263">
        <v>5.3</v>
      </c>
      <c r="AO42" s="410">
        <f>SUM(AK42:AN42)</f>
        <v>20</v>
      </c>
      <c r="AP42" s="872"/>
      <c r="AQ42" s="871"/>
      <c r="AR42" s="871"/>
      <c r="AS42" s="871"/>
      <c r="AT42" s="870"/>
      <c r="AU42" s="871"/>
      <c r="AV42" s="871"/>
      <c r="AW42" s="871"/>
      <c r="AX42" s="871"/>
      <c r="AY42" s="870"/>
      <c r="AZ42" s="871"/>
      <c r="BA42" s="871"/>
      <c r="BB42" s="871"/>
      <c r="BC42" s="871"/>
      <c r="BD42" s="870"/>
      <c r="BE42" s="871"/>
      <c r="BF42" s="383"/>
      <c r="BG42" s="383"/>
      <c r="BH42" s="383"/>
      <c r="BI42" s="870"/>
      <c r="BJ42" s="871"/>
      <c r="BK42" s="871"/>
      <c r="BL42" s="871"/>
      <c r="BM42" s="871"/>
      <c r="BN42" s="870"/>
      <c r="BO42" s="871"/>
      <c r="BP42" s="871"/>
      <c r="BQ42" s="871"/>
      <c r="BR42" s="871"/>
      <c r="BS42" s="870"/>
      <c r="BT42" s="871"/>
      <c r="BU42" s="871"/>
      <c r="BV42" s="871"/>
      <c r="BW42" s="871"/>
      <c r="BX42" s="870"/>
      <c r="BY42" s="871"/>
      <c r="BZ42" s="871"/>
      <c r="CA42" s="871"/>
      <c r="CB42" s="871"/>
      <c r="CC42" s="870"/>
      <c r="CD42" s="870"/>
      <c r="CE42" s="870"/>
      <c r="CF42" s="870"/>
      <c r="CG42" s="870"/>
      <c r="CH42" s="870"/>
    </row>
    <row r="43" spans="1:154" s="15" customFormat="1" ht="12.75" hidden="1" customHeight="1">
      <c r="A43" s="163"/>
      <c r="B43" s="163"/>
      <c r="C43" s="163"/>
      <c r="D43" s="163"/>
      <c r="E43" s="172"/>
      <c r="F43" s="172"/>
      <c r="G43" s="9"/>
      <c r="H43" s="304" t="s">
        <v>297</v>
      </c>
      <c r="I43" s="304"/>
      <c r="J43" s="266"/>
      <c r="K43" s="266"/>
      <c r="L43" s="265">
        <v>32.299999999999997</v>
      </c>
      <c r="M43" s="265">
        <v>31</v>
      </c>
      <c r="N43" s="265">
        <v>25.9</v>
      </c>
      <c r="O43" s="265">
        <v>27.5</v>
      </c>
      <c r="P43" s="266">
        <v>116.7</v>
      </c>
      <c r="Q43" s="265">
        <f t="shared" ref="Q43:AJ43" si="53">Q44+Q45</f>
        <v>18.8</v>
      </c>
      <c r="R43" s="265">
        <f t="shared" si="53"/>
        <v>22</v>
      </c>
      <c r="S43" s="265">
        <f t="shared" si="53"/>
        <v>19.399999999999999</v>
      </c>
      <c r="T43" s="265">
        <f t="shared" si="53"/>
        <v>21.7</v>
      </c>
      <c r="U43" s="266">
        <f t="shared" si="53"/>
        <v>81.899999999999991</v>
      </c>
      <c r="V43" s="265">
        <f t="shared" si="53"/>
        <v>15.3</v>
      </c>
      <c r="W43" s="265">
        <f t="shared" si="53"/>
        <v>15.5</v>
      </c>
      <c r="X43" s="265">
        <f t="shared" si="53"/>
        <v>11.4</v>
      </c>
      <c r="Y43" s="265">
        <f t="shared" si="53"/>
        <v>13.2</v>
      </c>
      <c r="Z43" s="266">
        <f t="shared" si="53"/>
        <v>55.400000000000006</v>
      </c>
      <c r="AA43" s="265">
        <f t="shared" si="53"/>
        <v>9.4</v>
      </c>
      <c r="AB43" s="265">
        <f t="shared" si="53"/>
        <v>12.4</v>
      </c>
      <c r="AC43" s="265">
        <f t="shared" si="53"/>
        <v>10.5</v>
      </c>
      <c r="AD43" s="265">
        <f t="shared" si="53"/>
        <v>12.2</v>
      </c>
      <c r="AE43" s="266">
        <f t="shared" si="53"/>
        <v>44.5</v>
      </c>
      <c r="AF43" s="265">
        <f t="shared" si="53"/>
        <v>9</v>
      </c>
      <c r="AG43" s="265">
        <f t="shared" si="53"/>
        <v>10.52</v>
      </c>
      <c r="AH43" s="265">
        <f t="shared" si="53"/>
        <v>9.4</v>
      </c>
      <c r="AI43" s="265">
        <f t="shared" si="53"/>
        <v>11.399999999999999</v>
      </c>
      <c r="AJ43" s="266">
        <f t="shared" si="53"/>
        <v>40.320000000000007</v>
      </c>
      <c r="AK43" s="265">
        <f>AK44+AK45</f>
        <v>7.2</v>
      </c>
      <c r="AL43" s="265">
        <f>AL44+AL45</f>
        <v>8.8000000000000007</v>
      </c>
      <c r="AM43" s="265">
        <f>AM44+AM45</f>
        <v>8.1</v>
      </c>
      <c r="AN43" s="265">
        <f>AN44+AN45</f>
        <v>7.7</v>
      </c>
      <c r="AO43" s="703">
        <f>AO44+AO45</f>
        <v>31.8</v>
      </c>
      <c r="AP43" s="866"/>
      <c r="AQ43" s="866"/>
      <c r="AR43" s="866"/>
      <c r="AS43" s="866"/>
      <c r="AT43" s="867"/>
      <c r="AU43" s="873"/>
      <c r="AV43" s="873"/>
      <c r="AW43" s="873"/>
      <c r="AX43" s="873"/>
      <c r="AY43" s="867"/>
      <c r="AZ43" s="873"/>
      <c r="BA43" s="873"/>
      <c r="BB43" s="873"/>
      <c r="BC43" s="873"/>
      <c r="BD43" s="867"/>
      <c r="BE43" s="873"/>
      <c r="BF43" s="455"/>
      <c r="BG43" s="455"/>
      <c r="BH43" s="455"/>
      <c r="BI43" s="867"/>
      <c r="BJ43" s="866"/>
      <c r="BK43" s="866"/>
      <c r="BL43" s="866"/>
      <c r="BM43" s="866"/>
      <c r="BN43" s="867"/>
      <c r="BO43" s="866"/>
      <c r="BP43" s="866"/>
      <c r="BQ43" s="866"/>
      <c r="BR43" s="866"/>
      <c r="BS43" s="867"/>
      <c r="BT43" s="866"/>
      <c r="BU43" s="866"/>
      <c r="BV43" s="866"/>
      <c r="BW43" s="866"/>
      <c r="BX43" s="867"/>
      <c r="BY43" s="866"/>
      <c r="BZ43" s="866"/>
      <c r="CA43" s="866"/>
      <c r="CB43" s="866"/>
      <c r="CC43" s="867"/>
      <c r="CD43" s="867"/>
      <c r="CE43" s="867"/>
      <c r="CF43" s="867"/>
      <c r="CG43" s="867"/>
      <c r="CH43" s="867"/>
    </row>
    <row r="44" spans="1:154" ht="12.75" hidden="1" customHeight="1">
      <c r="A44" s="163"/>
      <c r="B44" s="163"/>
      <c r="C44" s="163"/>
      <c r="D44" s="163"/>
      <c r="E44" s="129"/>
      <c r="F44" s="129"/>
      <c r="G44" s="9"/>
      <c r="H44" s="279" t="s">
        <v>231</v>
      </c>
      <c r="I44" s="279"/>
      <c r="J44" s="257"/>
      <c r="K44" s="257"/>
      <c r="L44" s="263">
        <v>1.5</v>
      </c>
      <c r="M44" s="263">
        <v>0.4</v>
      </c>
      <c r="N44" s="263">
        <v>0</v>
      </c>
      <c r="O44" s="263">
        <v>0</v>
      </c>
      <c r="P44" s="259">
        <v>1.9</v>
      </c>
      <c r="Q44" s="263">
        <v>0</v>
      </c>
      <c r="R44" s="258">
        <v>0</v>
      </c>
      <c r="S44" s="258">
        <v>0</v>
      </c>
      <c r="T44" s="258">
        <v>0</v>
      </c>
      <c r="U44" s="259">
        <f>SUM(Q44:T44)</f>
        <v>0</v>
      </c>
      <c r="V44" s="263">
        <v>0</v>
      </c>
      <c r="W44" s="263">
        <v>0</v>
      </c>
      <c r="X44" s="263">
        <v>0</v>
      </c>
      <c r="Y44" s="258">
        <f>T44*(1+Y274)</f>
        <v>0</v>
      </c>
      <c r="Z44" s="259">
        <f>SUM(V44:Y44)</f>
        <v>0</v>
      </c>
      <c r="AA44" s="263">
        <v>0</v>
      </c>
      <c r="AB44" s="263">
        <v>0</v>
      </c>
      <c r="AC44" s="263">
        <v>0</v>
      </c>
      <c r="AD44" s="263">
        <v>0</v>
      </c>
      <c r="AE44" s="79">
        <f>SUM(AA44:AD44)</f>
        <v>0</v>
      </c>
      <c r="AF44" s="263">
        <v>0</v>
      </c>
      <c r="AG44" s="263">
        <v>0</v>
      </c>
      <c r="AH44" s="263">
        <v>0</v>
      </c>
      <c r="AI44" s="263">
        <v>0.7</v>
      </c>
      <c r="AJ44" s="79">
        <f>SUM(AF44:AI44)</f>
        <v>0.7</v>
      </c>
      <c r="AK44" s="263">
        <v>0</v>
      </c>
      <c r="AL44" s="263">
        <v>0</v>
      </c>
      <c r="AM44" s="263">
        <v>0</v>
      </c>
      <c r="AN44" s="263">
        <v>0</v>
      </c>
      <c r="AO44" s="410">
        <f>SUM(AK44:AN44)</f>
        <v>0</v>
      </c>
      <c r="AP44" s="872"/>
      <c r="AQ44" s="871"/>
      <c r="AR44" s="871"/>
      <c r="AS44" s="871"/>
      <c r="AT44" s="874"/>
      <c r="AU44" s="875"/>
      <c r="AV44" s="875"/>
      <c r="AW44" s="875"/>
      <c r="AX44" s="875"/>
      <c r="AY44" s="874"/>
      <c r="AZ44" s="875"/>
      <c r="BA44" s="875"/>
      <c r="BB44" s="875"/>
      <c r="BC44" s="875"/>
      <c r="BD44" s="870"/>
      <c r="BE44" s="875"/>
      <c r="BF44" s="383"/>
      <c r="BG44" s="383"/>
      <c r="BH44" s="383"/>
      <c r="BI44" s="870"/>
      <c r="BJ44" s="871"/>
      <c r="BK44" s="871"/>
      <c r="BL44" s="871"/>
      <c r="BM44" s="871"/>
      <c r="BN44" s="870"/>
      <c r="BO44" s="871"/>
      <c r="BP44" s="871"/>
      <c r="BQ44" s="871"/>
      <c r="BR44" s="871"/>
      <c r="BS44" s="870"/>
      <c r="BT44" s="871"/>
      <c r="BU44" s="871"/>
      <c r="BV44" s="871"/>
      <c r="BW44" s="871"/>
      <c r="BX44" s="870"/>
      <c r="BY44" s="871"/>
      <c r="BZ44" s="871"/>
      <c r="CA44" s="871"/>
      <c r="CB44" s="871"/>
      <c r="CC44" s="870"/>
      <c r="CD44" s="870"/>
      <c r="CE44" s="870"/>
      <c r="CF44" s="870"/>
      <c r="CG44" s="870"/>
      <c r="CH44" s="870"/>
    </row>
    <row r="45" spans="1:154" ht="12.75" hidden="1" customHeight="1">
      <c r="A45" s="163"/>
      <c r="B45" s="163"/>
      <c r="C45" s="163"/>
      <c r="D45" s="163"/>
      <c r="E45" s="175"/>
      <c r="F45" s="175"/>
      <c r="G45" s="9"/>
      <c r="H45" s="279" t="s">
        <v>232</v>
      </c>
      <c r="I45" s="279"/>
      <c r="J45" s="257"/>
      <c r="K45" s="257"/>
      <c r="L45" s="263">
        <v>30.8</v>
      </c>
      <c r="M45" s="263">
        <v>30.6</v>
      </c>
      <c r="N45" s="263">
        <v>25.9</v>
      </c>
      <c r="O45" s="263">
        <v>27.5</v>
      </c>
      <c r="P45" s="259">
        <v>114.8</v>
      </c>
      <c r="Q45" s="263">
        <v>18.8</v>
      </c>
      <c r="R45" s="263">
        <v>22</v>
      </c>
      <c r="S45" s="263">
        <v>19.399999999999999</v>
      </c>
      <c r="T45" s="263">
        <v>21.7</v>
      </c>
      <c r="U45" s="259">
        <f>SUM(Q45:T45)</f>
        <v>81.899999999999991</v>
      </c>
      <c r="V45" s="263">
        <v>15.3</v>
      </c>
      <c r="W45" s="263">
        <v>15.5</v>
      </c>
      <c r="X45" s="263">
        <v>11.4</v>
      </c>
      <c r="Y45" s="263">
        <v>13.2</v>
      </c>
      <c r="Z45" s="259">
        <f>SUM(V45:Y45)</f>
        <v>55.400000000000006</v>
      </c>
      <c r="AA45" s="263">
        <v>9.4</v>
      </c>
      <c r="AB45" s="263">
        <v>12.4</v>
      </c>
      <c r="AC45" s="263">
        <v>10.5</v>
      </c>
      <c r="AD45" s="263">
        <v>12.2</v>
      </c>
      <c r="AE45" s="79">
        <f>SUM(AA45:AD45)</f>
        <v>44.5</v>
      </c>
      <c r="AF45" s="263">
        <v>9</v>
      </c>
      <c r="AG45" s="263">
        <v>10.52</v>
      </c>
      <c r="AH45" s="263">
        <v>9.4</v>
      </c>
      <c r="AI45" s="263">
        <v>10.7</v>
      </c>
      <c r="AJ45" s="79">
        <f>SUM(AF45:AI45)</f>
        <v>39.620000000000005</v>
      </c>
      <c r="AK45" s="263">
        <v>7.2</v>
      </c>
      <c r="AL45" s="263">
        <v>8.8000000000000007</v>
      </c>
      <c r="AM45" s="263">
        <v>8.1</v>
      </c>
      <c r="AN45" s="263">
        <v>7.7</v>
      </c>
      <c r="AO45" s="410">
        <f>SUM(AK45:AN45)</f>
        <v>31.8</v>
      </c>
      <c r="AP45" s="872"/>
      <c r="AQ45" s="871"/>
      <c r="AR45" s="871"/>
      <c r="AS45" s="871"/>
      <c r="AT45" s="870"/>
      <c r="AU45" s="871"/>
      <c r="AV45" s="871"/>
      <c r="AW45" s="871"/>
      <c r="AX45" s="871"/>
      <c r="AY45" s="870"/>
      <c r="AZ45" s="875"/>
      <c r="BA45" s="875"/>
      <c r="BB45" s="875"/>
      <c r="BC45" s="875"/>
      <c r="BD45" s="870"/>
      <c r="BE45" s="875"/>
      <c r="BF45" s="383"/>
      <c r="BG45" s="383"/>
      <c r="BH45" s="383"/>
      <c r="BI45" s="870"/>
      <c r="BJ45" s="871"/>
      <c r="BK45" s="871"/>
      <c r="BL45" s="871"/>
      <c r="BM45" s="871"/>
      <c r="BN45" s="870"/>
      <c r="BO45" s="871"/>
      <c r="BP45" s="871"/>
      <c r="BQ45" s="871"/>
      <c r="BR45" s="871"/>
      <c r="BS45" s="870"/>
      <c r="BT45" s="871"/>
      <c r="BU45" s="871"/>
      <c r="BV45" s="871"/>
      <c r="BW45" s="871"/>
      <c r="BX45" s="870"/>
      <c r="BY45" s="871"/>
      <c r="BZ45" s="871"/>
      <c r="CA45" s="871"/>
      <c r="CB45" s="871"/>
      <c r="CC45" s="870"/>
      <c r="CD45" s="870"/>
      <c r="CE45" s="870"/>
      <c r="CF45" s="870"/>
      <c r="CG45" s="870"/>
      <c r="CH45" s="870"/>
    </row>
    <row r="46" spans="1:154">
      <c r="A46" s="129"/>
      <c r="B46" s="129"/>
      <c r="C46" s="129"/>
      <c r="D46" s="129"/>
      <c r="E46" s="172"/>
      <c r="F46" s="172"/>
      <c r="G46" s="9"/>
      <c r="H46" s="259"/>
      <c r="I46" s="259"/>
      <c r="J46" s="259"/>
      <c r="K46" s="259"/>
      <c r="L46" s="258"/>
      <c r="M46" s="258"/>
      <c r="N46" s="258"/>
      <c r="O46" s="258"/>
      <c r="P46" s="79"/>
      <c r="Q46" s="258"/>
      <c r="R46" s="258"/>
      <c r="S46" s="258"/>
      <c r="T46" s="258"/>
      <c r="U46" s="79"/>
      <c r="V46" s="258"/>
      <c r="W46" s="258"/>
      <c r="X46" s="258"/>
      <c r="Y46" s="258"/>
      <c r="Z46" s="79"/>
      <c r="AA46" s="258"/>
      <c r="AB46" s="258"/>
      <c r="AC46" s="258"/>
      <c r="AD46" s="258"/>
      <c r="AE46" s="55"/>
      <c r="AF46" s="258"/>
      <c r="AG46" s="713"/>
      <c r="AH46" s="258"/>
      <c r="AI46" s="258"/>
      <c r="AJ46" s="79"/>
      <c r="AK46" s="258"/>
      <c r="AL46" s="258"/>
      <c r="AM46" s="258"/>
      <c r="AN46" s="258"/>
      <c r="AO46" s="410"/>
      <c r="AP46" s="383"/>
      <c r="AQ46" s="383"/>
      <c r="AR46" s="383"/>
      <c r="AS46" s="383"/>
      <c r="AT46" s="410"/>
      <c r="AU46" s="383"/>
      <c r="AV46" s="383"/>
      <c r="AW46" s="383"/>
      <c r="AX46" s="864"/>
      <c r="AY46" s="876"/>
      <c r="AZ46" s="383"/>
      <c r="BA46" s="383"/>
      <c r="BB46" s="383"/>
      <c r="BC46" s="383"/>
      <c r="BD46" s="410"/>
      <c r="BE46" s="383"/>
      <c r="BF46" s="383"/>
      <c r="BG46" s="383"/>
      <c r="BH46" s="383"/>
      <c r="BI46" s="410"/>
      <c r="BJ46" s="383"/>
      <c r="BK46" s="383"/>
      <c r="BL46" s="383"/>
      <c r="BM46" s="383"/>
      <c r="BN46" s="410"/>
      <c r="BO46" s="383"/>
      <c r="BP46" s="383"/>
      <c r="BQ46" s="383"/>
      <c r="BR46" s="383"/>
      <c r="BS46" s="410"/>
      <c r="BT46" s="383"/>
      <c r="BU46" s="383"/>
      <c r="BV46" s="383"/>
      <c r="BW46" s="383"/>
      <c r="BX46" s="410"/>
      <c r="BY46" s="383"/>
      <c r="BZ46" s="383"/>
      <c r="CA46" s="383"/>
      <c r="CB46" s="383"/>
      <c r="CC46" s="410"/>
      <c r="CD46" s="410"/>
      <c r="CE46" s="410"/>
      <c r="CF46" s="410"/>
      <c r="CG46" s="410"/>
      <c r="CH46" s="410"/>
      <c r="CI46" s="343"/>
    </row>
    <row r="47" spans="1:154" s="15" customFormat="1">
      <c r="A47" s="129"/>
      <c r="B47" s="129"/>
      <c r="C47" s="129"/>
      <c r="D47" s="129"/>
      <c r="E47" s="190"/>
      <c r="F47" s="190"/>
      <c r="G47" s="9"/>
      <c r="H47" s="260" t="s">
        <v>299</v>
      </c>
      <c r="I47" s="260"/>
      <c r="J47" s="260"/>
      <c r="K47" s="260"/>
      <c r="L47" s="261">
        <v>1144.7</v>
      </c>
      <c r="M47" s="261">
        <v>1141.5999999999999</v>
      </c>
      <c r="N47" s="261">
        <v>1116</v>
      </c>
      <c r="O47" s="261">
        <v>1234.5</v>
      </c>
      <c r="P47" s="262">
        <v>4640.2</v>
      </c>
      <c r="Q47" s="261">
        <f t="shared" ref="Q47:AO47" si="54">Q50+Q53+Q83+Q56+Q59+Q62+Q80+Q95</f>
        <v>1228.8</v>
      </c>
      <c r="R47" s="261">
        <f t="shared" si="54"/>
        <v>1231.0999999999999</v>
      </c>
      <c r="S47" s="261">
        <f t="shared" si="54"/>
        <v>1220.8999999999999</v>
      </c>
      <c r="T47" s="261">
        <f t="shared" si="54"/>
        <v>1333.4</v>
      </c>
      <c r="U47" s="262">
        <f t="shared" si="54"/>
        <v>5014.2</v>
      </c>
      <c r="V47" s="261">
        <f t="shared" si="54"/>
        <v>1265.8000000000002</v>
      </c>
      <c r="W47" s="261">
        <f t="shared" si="54"/>
        <v>1360.3999999999999</v>
      </c>
      <c r="X47" s="261">
        <f t="shared" si="54"/>
        <v>1363.7999999999997</v>
      </c>
      <c r="Y47" s="261">
        <f t="shared" si="54"/>
        <v>1489.6</v>
      </c>
      <c r="Z47" s="262">
        <f t="shared" si="54"/>
        <v>5479.6</v>
      </c>
      <c r="AA47" s="261">
        <f t="shared" si="54"/>
        <v>1316.1000000000001</v>
      </c>
      <c r="AB47" s="261">
        <f t="shared" si="54"/>
        <v>1411.3</v>
      </c>
      <c r="AC47" s="261">
        <f t="shared" si="54"/>
        <v>1371.3999999999999</v>
      </c>
      <c r="AD47" s="261">
        <f t="shared" si="54"/>
        <v>1394.6</v>
      </c>
      <c r="AE47" s="262">
        <f t="shared" si="54"/>
        <v>5493.4</v>
      </c>
      <c r="AF47" s="261">
        <f t="shared" si="54"/>
        <v>1326.2</v>
      </c>
      <c r="AG47" s="261">
        <f t="shared" si="54"/>
        <v>1389.14</v>
      </c>
      <c r="AH47" s="261">
        <f t="shared" si="54"/>
        <v>1448.6999999999998</v>
      </c>
      <c r="AI47" s="261">
        <f t="shared" si="54"/>
        <v>1513.3000000000002</v>
      </c>
      <c r="AJ47" s="262">
        <f t="shared" si="54"/>
        <v>5677.34</v>
      </c>
      <c r="AK47" s="261">
        <f t="shared" si="54"/>
        <v>1405.4</v>
      </c>
      <c r="AL47" s="261">
        <f t="shared" si="54"/>
        <v>1455.7</v>
      </c>
      <c r="AM47" s="261">
        <f t="shared" si="54"/>
        <v>1446.8999999999999</v>
      </c>
      <c r="AN47" s="261">
        <f t="shared" si="54"/>
        <v>1565.3</v>
      </c>
      <c r="AO47" s="709">
        <f t="shared" si="54"/>
        <v>5873.3</v>
      </c>
      <c r="AP47" s="708">
        <f t="shared" ref="AP47:AT48" si="55">AP50+AP53+AP83+AP56+AP59+AP62+AP80+AP95+AP65</f>
        <v>1528.1000000000001</v>
      </c>
      <c r="AQ47" s="708">
        <f t="shared" si="55"/>
        <v>1618.8</v>
      </c>
      <c r="AR47" s="708">
        <f t="shared" si="55"/>
        <v>1629.7</v>
      </c>
      <c r="AS47" s="708">
        <f t="shared" si="55"/>
        <v>1771.7</v>
      </c>
      <c r="AT47" s="709">
        <f t="shared" si="55"/>
        <v>6548.3</v>
      </c>
      <c r="AU47" s="708">
        <f t="shared" ref="AU47:BH47" si="56">AU48+AU49</f>
        <v>1689.4</v>
      </c>
      <c r="AV47" s="708">
        <f t="shared" si="56"/>
        <v>1701.9</v>
      </c>
      <c r="AW47" s="708">
        <f t="shared" si="56"/>
        <v>1643.9</v>
      </c>
      <c r="AX47" s="708">
        <f t="shared" si="56"/>
        <v>1772.3</v>
      </c>
      <c r="AY47" s="709">
        <f t="shared" si="56"/>
        <v>6807.5</v>
      </c>
      <c r="AZ47" s="708">
        <f t="shared" si="56"/>
        <v>1725</v>
      </c>
      <c r="BA47" s="708">
        <f t="shared" si="56"/>
        <v>1784.3</v>
      </c>
      <c r="BB47" s="708">
        <f t="shared" si="56"/>
        <v>1764.6999999999998</v>
      </c>
      <c r="BC47" s="708">
        <f t="shared" si="56"/>
        <v>2030.5</v>
      </c>
      <c r="BD47" s="709">
        <f t="shared" si="56"/>
        <v>7304.5</v>
      </c>
      <c r="BE47" s="708">
        <f>BE48+BE49</f>
        <v>1639.1999999999998</v>
      </c>
      <c r="BF47" s="708">
        <f t="shared" si="56"/>
        <v>1739.6</v>
      </c>
      <c r="BG47" s="708">
        <f t="shared" si="56"/>
        <v>1708.3</v>
      </c>
      <c r="BH47" s="708">
        <f t="shared" si="56"/>
        <v>1852</v>
      </c>
      <c r="BI47" s="709">
        <f t="shared" ref="BI47:CH47" si="57">BI48+BI49</f>
        <v>6939.0999999999995</v>
      </c>
      <c r="BJ47" s="708">
        <f t="shared" si="57"/>
        <v>1626.3</v>
      </c>
      <c r="BK47" s="708">
        <f t="shared" si="57"/>
        <v>1637.9</v>
      </c>
      <c r="BL47" s="708">
        <f t="shared" si="57"/>
        <v>1786.4</v>
      </c>
      <c r="BM47" s="708">
        <f t="shared" si="57"/>
        <v>1986.2</v>
      </c>
      <c r="BN47" s="709">
        <f t="shared" si="57"/>
        <v>7036.7999999999993</v>
      </c>
      <c r="BO47" s="708">
        <f t="shared" si="57"/>
        <v>1756.7</v>
      </c>
      <c r="BP47" s="708">
        <f t="shared" si="57"/>
        <v>1958.4</v>
      </c>
      <c r="BQ47" s="708">
        <f t="shared" si="57"/>
        <v>1975.8</v>
      </c>
      <c r="BR47" s="708">
        <f t="shared" si="57"/>
        <v>2391.9</v>
      </c>
      <c r="BS47" s="709">
        <f t="shared" si="57"/>
        <v>8082.8000000000011</v>
      </c>
      <c r="BT47" s="708">
        <f t="shared" si="57"/>
        <v>2123.1000000000004</v>
      </c>
      <c r="BU47" s="708">
        <f t="shared" si="57"/>
        <v>2491.3000000000002</v>
      </c>
      <c r="BV47" s="708">
        <f t="shared" si="57"/>
        <v>2560.6999999999998</v>
      </c>
      <c r="BW47" s="708">
        <f t="shared" si="57"/>
        <v>2910.2</v>
      </c>
      <c r="BX47" s="709">
        <f t="shared" si="57"/>
        <v>10085.299999999999</v>
      </c>
      <c r="BY47" s="708">
        <f t="shared" si="57"/>
        <v>2698.8</v>
      </c>
      <c r="BZ47" s="708">
        <f t="shared" si="57"/>
        <v>2903.1979999999994</v>
      </c>
      <c r="CA47" s="708">
        <f t="shared" si="57"/>
        <v>3035.6899999999996</v>
      </c>
      <c r="CB47" s="708">
        <f t="shared" si="57"/>
        <v>3244.0259999999998</v>
      </c>
      <c r="CC47" s="709">
        <f t="shared" si="57"/>
        <v>11881.713999999998</v>
      </c>
      <c r="CD47" s="709">
        <f t="shared" si="57"/>
        <v>12666.282649999999</v>
      </c>
      <c r="CE47" s="709">
        <f t="shared" si="57"/>
        <v>12872.42798</v>
      </c>
      <c r="CF47" s="709">
        <f t="shared" si="57"/>
        <v>12992.088634794001</v>
      </c>
      <c r="CG47" s="709">
        <f t="shared" si="57"/>
        <v>12920.983311749422</v>
      </c>
      <c r="CH47" s="709">
        <f t="shared" si="57"/>
        <v>12724.583364908449</v>
      </c>
      <c r="EX47" s="1261" t="s">
        <v>299</v>
      </c>
    </row>
    <row r="48" spans="1:154" s="56" customFormat="1">
      <c r="A48" s="172"/>
      <c r="B48" s="172"/>
      <c r="C48" s="172"/>
      <c r="D48" s="172"/>
      <c r="E48" s="195"/>
      <c r="F48" s="195"/>
      <c r="G48" s="9"/>
      <c r="H48" s="257" t="s">
        <v>231</v>
      </c>
      <c r="I48" s="257"/>
      <c r="J48" s="257"/>
      <c r="K48" s="257"/>
      <c r="L48" s="272">
        <v>677.1</v>
      </c>
      <c r="M48" s="272">
        <v>650.79999999999995</v>
      </c>
      <c r="N48" s="272">
        <v>637.9</v>
      </c>
      <c r="O48" s="272">
        <v>729.2</v>
      </c>
      <c r="P48" s="80">
        <v>2698.4</v>
      </c>
      <c r="Q48" s="143">
        <f t="shared" ref="Q48:Z48" si="58">Q51+Q54+Q88+Q57+Q60+Q63+Q81+Q102</f>
        <v>760.2</v>
      </c>
      <c r="R48" s="143">
        <f t="shared" si="58"/>
        <v>720.5</v>
      </c>
      <c r="S48" s="143">
        <f t="shared" si="58"/>
        <v>724.8</v>
      </c>
      <c r="T48" s="143">
        <f t="shared" si="58"/>
        <v>804.69999999999993</v>
      </c>
      <c r="U48" s="273">
        <f t="shared" si="58"/>
        <v>3010.2000000000003</v>
      </c>
      <c r="V48" s="143">
        <f t="shared" si="58"/>
        <v>757</v>
      </c>
      <c r="W48" s="143">
        <f t="shared" si="58"/>
        <v>786.1</v>
      </c>
      <c r="X48" s="143">
        <f t="shared" si="58"/>
        <v>796.3</v>
      </c>
      <c r="Y48" s="143">
        <f t="shared" si="58"/>
        <v>855.4</v>
      </c>
      <c r="Z48" s="273">
        <f t="shared" si="58"/>
        <v>3194.7999999999997</v>
      </c>
      <c r="AA48" s="143">
        <f>AA51+AA54+AA84+AA57+AA60+AA63+AA81+AA96</f>
        <v>695.49999999999989</v>
      </c>
      <c r="AB48" s="143">
        <f>AB51+AB54+AB84+AB57+AB60+AB63+AB81+AB96</f>
        <v>723.1</v>
      </c>
      <c r="AC48" s="143">
        <f>AC51+AC54+AC84+AC57+AC60+AC63+AC81+AC96</f>
        <v>699.30000000000007</v>
      </c>
      <c r="AD48" s="143">
        <f>AD51+AD54+AD84+AD57+AD60+AD63+AD81+AD96</f>
        <v>755.8</v>
      </c>
      <c r="AE48" s="274">
        <f>SUM(AA48:AD48)</f>
        <v>2873.7</v>
      </c>
      <c r="AF48" s="143">
        <f>AF51+AF54+AF84+AF57+AF60+AF63+AF81+AF96</f>
        <v>736.09999999999991</v>
      </c>
      <c r="AG48" s="143">
        <f>AG51+AG54+AG84+AG57+AG60+AG63+AG81+AG96</f>
        <v>757.49000000000012</v>
      </c>
      <c r="AH48" s="143">
        <f>AH51+AH54+AH84+AH57+AH60+AH63+AH81+AH96</f>
        <v>800.2</v>
      </c>
      <c r="AI48" s="143">
        <f>AI51+AI54+AI84+AI57+AI60+AI63+AI81+AI96</f>
        <v>804.80000000000007</v>
      </c>
      <c r="AJ48" s="274">
        <f>SUM(AF48:AI48)</f>
        <v>3098.59</v>
      </c>
      <c r="AK48" s="143">
        <f>AK51+AK54+AK84+AK57+AK60+AK63+AK81+AK96</f>
        <v>760.4</v>
      </c>
      <c r="AL48" s="143">
        <f>AL51+AL54+AL84+AL57+AL60+AL63+AL81+AL96</f>
        <v>791.2</v>
      </c>
      <c r="AM48" s="143">
        <f>AM51+AM54+AM84+AM57+AM60+AM63+AM81+AM96</f>
        <v>768.90000000000009</v>
      </c>
      <c r="AN48" s="143">
        <f>AN51+AN54+AN84+AN57+AN60+AN63+AN81+AN96</f>
        <v>827.09999999999991</v>
      </c>
      <c r="AO48" s="410">
        <f>SUM(AK48:AN48)</f>
        <v>3147.6</v>
      </c>
      <c r="AP48" s="388">
        <f t="shared" si="55"/>
        <v>792.00000000000011</v>
      </c>
      <c r="AQ48" s="388">
        <f t="shared" si="55"/>
        <v>841.9000000000002</v>
      </c>
      <c r="AR48" s="388">
        <f t="shared" si="55"/>
        <v>851.20000000000016</v>
      </c>
      <c r="AS48" s="388">
        <f t="shared" si="55"/>
        <v>963.4</v>
      </c>
      <c r="AT48" s="699">
        <f t="shared" si="55"/>
        <v>3448.5</v>
      </c>
      <c r="AU48" s="391">
        <v>929.3</v>
      </c>
      <c r="AV48" s="391">
        <v>905</v>
      </c>
      <c r="AW48" s="391">
        <v>877.5</v>
      </c>
      <c r="AX48" s="391">
        <v>900</v>
      </c>
      <c r="AY48" s="699">
        <f>AY51+AY54+AY57+AY60+AY63+AY81+AY66+AY69</f>
        <v>3611.8000000000006</v>
      </c>
      <c r="AZ48" s="391">
        <v>933.2</v>
      </c>
      <c r="BA48" s="391">
        <v>971.8</v>
      </c>
      <c r="BB48" s="391">
        <v>979.3</v>
      </c>
      <c r="BC48" s="391">
        <v>1150.3</v>
      </c>
      <c r="BD48" s="699">
        <f>BD51+BD54+BD57+BD60+BD63+BD81+BD66+BD69</f>
        <v>4034.6</v>
      </c>
      <c r="BE48" s="391">
        <v>831.3</v>
      </c>
      <c r="BF48" s="391">
        <v>925.8</v>
      </c>
      <c r="BG48" s="391">
        <v>864.9</v>
      </c>
      <c r="BH48" s="391">
        <v>990</v>
      </c>
      <c r="BI48" s="699">
        <f>BI51+BI54+BI57+BI60+BI63+BI81+BI66+BI69+BI75+BI72</f>
        <v>3611.9999999999995</v>
      </c>
      <c r="BJ48" s="391">
        <v>899.5</v>
      </c>
      <c r="BK48" s="391">
        <v>915</v>
      </c>
      <c r="BL48" s="391">
        <v>1032.8</v>
      </c>
      <c r="BM48" s="391">
        <v>1162</v>
      </c>
      <c r="BN48" s="699">
        <f>BN51+BN54+BN57+BN60+BN63+BN81+BN66+BN69+BN75+BN72+BN78</f>
        <v>4009.3</v>
      </c>
      <c r="BO48" s="391">
        <v>1029.9000000000001</v>
      </c>
      <c r="BP48" s="391">
        <v>1136.8</v>
      </c>
      <c r="BQ48" s="391">
        <v>1165.3</v>
      </c>
      <c r="BR48" s="391">
        <v>1499.9</v>
      </c>
      <c r="BS48" s="699">
        <f>BS51+BS54+BS57+BS60+BS63+BS81+BS66+BS69+BS75+BS72+BS78</f>
        <v>4831.9000000000005</v>
      </c>
      <c r="BT48" s="391">
        <v>1316.9</v>
      </c>
      <c r="BU48" s="391">
        <v>1552.1</v>
      </c>
      <c r="BV48" s="391">
        <v>1624.4</v>
      </c>
      <c r="BW48" s="391">
        <v>1879.6</v>
      </c>
      <c r="BX48" s="699">
        <f>BX51+BX54+BX57+BX60+BX63+BX81+BX66+BX69+BX75+BX72+BX78</f>
        <v>6372.9999999999991</v>
      </c>
      <c r="BY48" s="391">
        <f>1715.9</f>
        <v>1715.9</v>
      </c>
      <c r="BZ48" s="388">
        <f t="shared" ref="BZ48:CH48" si="59">BZ51+BZ54+BZ57+BZ60+BZ63+BZ81+BZ66+BZ69+BZ75+BZ72+BZ78</f>
        <v>1846.3379999999997</v>
      </c>
      <c r="CA48" s="388">
        <f t="shared" si="59"/>
        <v>1958.3820000000001</v>
      </c>
      <c r="CB48" s="388">
        <f t="shared" si="59"/>
        <v>2109.893</v>
      </c>
      <c r="CC48" s="699">
        <f t="shared" si="59"/>
        <v>7630.512999999999</v>
      </c>
      <c r="CD48" s="699">
        <f t="shared" si="59"/>
        <v>8229.7317299999995</v>
      </c>
      <c r="CE48" s="699">
        <f t="shared" si="59"/>
        <v>8404.7991287999994</v>
      </c>
      <c r="CF48" s="699">
        <f t="shared" si="59"/>
        <v>8460.0120563640012</v>
      </c>
      <c r="CG48" s="699">
        <f t="shared" si="59"/>
        <v>8428.1226563570017</v>
      </c>
      <c r="CH48" s="699">
        <f t="shared" si="59"/>
        <v>8331.3776540573472</v>
      </c>
    </row>
    <row r="49" spans="1:154" s="56" customFormat="1">
      <c r="A49" s="195"/>
      <c r="B49" s="195"/>
      <c r="C49" s="195"/>
      <c r="D49" s="195"/>
      <c r="E49" s="195"/>
      <c r="F49" s="195"/>
      <c r="G49" s="9"/>
      <c r="H49" s="257" t="s">
        <v>232</v>
      </c>
      <c r="I49" s="257"/>
      <c r="J49" s="257"/>
      <c r="K49" s="257"/>
      <c r="L49" s="272">
        <v>467.6</v>
      </c>
      <c r="M49" s="272">
        <v>490.8</v>
      </c>
      <c r="N49" s="272">
        <v>478.1</v>
      </c>
      <c r="O49" s="272">
        <v>505.3</v>
      </c>
      <c r="P49" s="80">
        <v>1941.8</v>
      </c>
      <c r="Q49" s="143">
        <f t="shared" ref="Q49:AD49" si="60">Q52+Q55+Q91+Q58+Q61+Q64+Q82+Q103</f>
        <v>468.59999999999997</v>
      </c>
      <c r="R49" s="143">
        <f t="shared" si="60"/>
        <v>510.6</v>
      </c>
      <c r="S49" s="143">
        <f t="shared" si="60"/>
        <v>496.09999999999997</v>
      </c>
      <c r="T49" s="143">
        <f t="shared" si="60"/>
        <v>528.70000000000005</v>
      </c>
      <c r="U49" s="273">
        <f t="shared" si="60"/>
        <v>2004.0000000000002</v>
      </c>
      <c r="V49" s="143">
        <f t="shared" si="60"/>
        <v>508.79999999999995</v>
      </c>
      <c r="W49" s="143">
        <f t="shared" si="60"/>
        <v>574.30000000000007</v>
      </c>
      <c r="X49" s="143">
        <f t="shared" si="60"/>
        <v>567.5</v>
      </c>
      <c r="Y49" s="143">
        <f t="shared" si="60"/>
        <v>634.19999999999982</v>
      </c>
      <c r="Z49" s="273">
        <f t="shared" si="60"/>
        <v>2284.7999999999997</v>
      </c>
      <c r="AA49" s="143">
        <f t="shared" si="60"/>
        <v>620.6</v>
      </c>
      <c r="AB49" s="143">
        <f t="shared" si="60"/>
        <v>688.20000000000016</v>
      </c>
      <c r="AC49" s="143">
        <f t="shared" si="60"/>
        <v>672.1</v>
      </c>
      <c r="AD49" s="143">
        <f t="shared" si="60"/>
        <v>638.79999999999995</v>
      </c>
      <c r="AE49" s="274">
        <f>SUM(AA49:AD49)</f>
        <v>2619.6999999999998</v>
      </c>
      <c r="AF49" s="143">
        <f>AF52+AF55+AF91+AF58+AF61+AF64+AF82+AF103</f>
        <v>590.1</v>
      </c>
      <c r="AG49" s="143">
        <f>AG52+AG55+AG91+AG58+AG61+AG64+AG82+AG103</f>
        <v>631.65000000000009</v>
      </c>
      <c r="AH49" s="143">
        <f>AH52+AH55+AH91+AH58+AH61+AH64+AH82+AH103</f>
        <v>648.5</v>
      </c>
      <c r="AI49" s="143">
        <f>AI52+AI55+AI91+AI58+AI61+AI64+AI82+AI103</f>
        <v>708.49999999999989</v>
      </c>
      <c r="AJ49" s="274">
        <f>SUM(AF49:AI49)</f>
        <v>2578.75</v>
      </c>
      <c r="AK49" s="143">
        <f>AK52+AK55+AK91+AK58+AK61+AK64+AK82+AK103</f>
        <v>645</v>
      </c>
      <c r="AL49" s="143">
        <f>AL52+AL55+AL91+AL58+AL61+AL64+AL82+AL103</f>
        <v>664.50000000000011</v>
      </c>
      <c r="AM49" s="143">
        <f>AM52+AM55+AM91+AM58+AM61+AM64+AM82+AM103</f>
        <v>678</v>
      </c>
      <c r="AN49" s="143">
        <f>AN52+AN55+AN91+AN58+AN61+AN64+AN82+AN103</f>
        <v>738.2</v>
      </c>
      <c r="AO49" s="410">
        <f>SUM(AK49:AN49)</f>
        <v>2725.7</v>
      </c>
      <c r="AP49" s="388">
        <f>AP52+AP55+AP91+AP58+AP61+AP64+AP82+AP103+AP67</f>
        <v>736.09999999999991</v>
      </c>
      <c r="AQ49" s="388">
        <f>AQ52+AQ55+AQ91+AQ58+AQ61+AQ64+AQ82+AQ103+AQ67</f>
        <v>776.9</v>
      </c>
      <c r="AR49" s="388">
        <f>AR52+AR55+AR91+AR58+AR61+AR64+AR82+AR103+AR67</f>
        <v>778.49999999999989</v>
      </c>
      <c r="AS49" s="388">
        <f>AS52+AS55+AS91+AS58+AS61+AS64+AS82+AS103+AS67</f>
        <v>808.30000000000018</v>
      </c>
      <c r="AT49" s="699">
        <f>AT52+AT55+AT91+AT58+AT61+AT64+AT82+AT103+AT67</f>
        <v>3099.7999999999997</v>
      </c>
      <c r="AU49" s="391">
        <v>760.1</v>
      </c>
      <c r="AV49" s="391">
        <v>796.9</v>
      </c>
      <c r="AW49" s="391">
        <v>766.4</v>
      </c>
      <c r="AX49" s="391">
        <v>872.3</v>
      </c>
      <c r="AY49" s="699">
        <f>AY52+AY55+AY58+AY61+AY64+AY82+AY67+AY70</f>
        <v>3195.7</v>
      </c>
      <c r="AZ49" s="391">
        <v>791.8</v>
      </c>
      <c r="BA49" s="391">
        <v>812.5</v>
      </c>
      <c r="BB49" s="391">
        <v>785.4</v>
      </c>
      <c r="BC49" s="391">
        <v>880.2</v>
      </c>
      <c r="BD49" s="699">
        <f>BD52+BD55+BD58+BD61+BD64+BD82+BD67+BD70</f>
        <v>3269.9000000000005</v>
      </c>
      <c r="BE49" s="391">
        <v>807.9</v>
      </c>
      <c r="BF49" s="391">
        <v>813.8</v>
      </c>
      <c r="BG49" s="391">
        <v>843.4</v>
      </c>
      <c r="BH49" s="391">
        <v>862</v>
      </c>
      <c r="BI49" s="699">
        <f>BI52+BI55+BI58+BI61+BI64+BI82+BI67+BI70+BI76+BI73</f>
        <v>3327.1</v>
      </c>
      <c r="BJ49" s="391">
        <v>726.8</v>
      </c>
      <c r="BK49" s="391">
        <v>722.9</v>
      </c>
      <c r="BL49" s="391">
        <v>753.6</v>
      </c>
      <c r="BM49" s="391">
        <v>824.2</v>
      </c>
      <c r="BN49" s="699">
        <f>BN52+BN55+BN58+BN61+BN64+BN82+BN67+BN70+BN76+BN73+BN79</f>
        <v>3027.4999999999995</v>
      </c>
      <c r="BO49" s="391">
        <v>726.8</v>
      </c>
      <c r="BP49" s="391">
        <v>821.6</v>
      </c>
      <c r="BQ49" s="391">
        <v>810.5</v>
      </c>
      <c r="BR49" s="391">
        <v>892</v>
      </c>
      <c r="BS49" s="699">
        <f>BS52+BS55+BS58+BS61+BS64+BS82+BS67+BS70+BS76+BS73+BS79</f>
        <v>3250.9</v>
      </c>
      <c r="BT49" s="391">
        <v>806.2</v>
      </c>
      <c r="BU49" s="391">
        <v>939.2</v>
      </c>
      <c r="BV49" s="391">
        <v>936.3</v>
      </c>
      <c r="BW49" s="391">
        <v>1030.5999999999999</v>
      </c>
      <c r="BX49" s="699">
        <f>BX52+BX55+BX58+BX61+BX64+BX82+BX67+BX70+BX76+BX73+BX79</f>
        <v>3712.2999999999997</v>
      </c>
      <c r="BY49" s="391">
        <f>982.9</f>
        <v>982.9</v>
      </c>
      <c r="BZ49" s="388">
        <f t="shared" ref="BZ49:CH49" si="61">BZ52+BZ55+BZ58+BZ61+BZ64+BZ82+BZ67+BZ70+BZ76+BZ73+BZ79</f>
        <v>1056.8599999999999</v>
      </c>
      <c r="CA49" s="388">
        <f t="shared" si="61"/>
        <v>1077.3079999999995</v>
      </c>
      <c r="CB49" s="388">
        <f t="shared" si="61"/>
        <v>1134.133</v>
      </c>
      <c r="CC49" s="699">
        <f t="shared" si="61"/>
        <v>4251.2009999999991</v>
      </c>
      <c r="CD49" s="699">
        <f t="shared" si="61"/>
        <v>4436.5509199999997</v>
      </c>
      <c r="CE49" s="699">
        <f t="shared" si="61"/>
        <v>4467.6288512000001</v>
      </c>
      <c r="CF49" s="699">
        <f t="shared" si="61"/>
        <v>4532.0765784300002</v>
      </c>
      <c r="CG49" s="699">
        <f t="shared" si="61"/>
        <v>4492.8606553924201</v>
      </c>
      <c r="CH49" s="699">
        <f t="shared" si="61"/>
        <v>4393.2057108511017</v>
      </c>
    </row>
    <row r="50" spans="1:154" s="15" customFormat="1" ht="12.75" customHeight="1">
      <c r="A50" s="195"/>
      <c r="B50" s="195"/>
      <c r="C50" s="195"/>
      <c r="D50" s="195"/>
      <c r="E50" s="195"/>
      <c r="F50" s="195"/>
      <c r="G50" s="9"/>
      <c r="H50" s="266" t="s">
        <v>300</v>
      </c>
      <c r="I50" s="266"/>
      <c r="J50" s="266"/>
      <c r="K50" s="266"/>
      <c r="L50" s="265">
        <v>256.89999999999998</v>
      </c>
      <c r="M50" s="265">
        <v>249.7</v>
      </c>
      <c r="N50" s="265">
        <v>250.9</v>
      </c>
      <c r="O50" s="265">
        <v>247.2</v>
      </c>
      <c r="P50" s="264">
        <v>1004.7</v>
      </c>
      <c r="Q50" s="265">
        <f t="shared" ref="Q50:AJ50" si="62">Q51+Q52</f>
        <v>218.5</v>
      </c>
      <c r="R50" s="265">
        <f t="shared" si="62"/>
        <v>219.8</v>
      </c>
      <c r="S50" s="265">
        <f t="shared" si="62"/>
        <v>230</v>
      </c>
      <c r="T50" s="265">
        <f t="shared" si="62"/>
        <v>256.89999999999998</v>
      </c>
      <c r="U50" s="264">
        <f t="shared" si="62"/>
        <v>925.2</v>
      </c>
      <c r="V50" s="265">
        <f t="shared" si="62"/>
        <v>225.8</v>
      </c>
      <c r="W50" s="265">
        <f t="shared" si="62"/>
        <v>242.8</v>
      </c>
      <c r="X50" s="265">
        <f t="shared" si="62"/>
        <v>243.3</v>
      </c>
      <c r="Y50" s="265">
        <f t="shared" si="62"/>
        <v>273.39999999999998</v>
      </c>
      <c r="Z50" s="264">
        <f t="shared" si="62"/>
        <v>985.3</v>
      </c>
      <c r="AA50" s="265">
        <f t="shared" si="62"/>
        <v>257.7</v>
      </c>
      <c r="AB50" s="265">
        <f t="shared" si="62"/>
        <v>271.39999999999998</v>
      </c>
      <c r="AC50" s="265">
        <f t="shared" si="62"/>
        <v>271.7</v>
      </c>
      <c r="AD50" s="265">
        <f t="shared" si="62"/>
        <v>262.39999999999998</v>
      </c>
      <c r="AE50" s="264">
        <f t="shared" si="62"/>
        <v>1063.1999999999998</v>
      </c>
      <c r="AF50" s="265">
        <f t="shared" si="62"/>
        <v>240.5</v>
      </c>
      <c r="AG50" s="265">
        <f t="shared" si="62"/>
        <v>248.07999999999998</v>
      </c>
      <c r="AH50" s="265">
        <f t="shared" si="62"/>
        <v>260.39999999999998</v>
      </c>
      <c r="AI50" s="265">
        <f t="shared" si="62"/>
        <v>273</v>
      </c>
      <c r="AJ50" s="264">
        <f t="shared" si="62"/>
        <v>1021.98</v>
      </c>
      <c r="AK50" s="265">
        <f t="shared" ref="AK50:AT50" si="63">AK51+AK52</f>
        <v>257.8</v>
      </c>
      <c r="AL50" s="265">
        <f t="shared" si="63"/>
        <v>265.3</v>
      </c>
      <c r="AM50" s="265">
        <f t="shared" si="63"/>
        <v>278</v>
      </c>
      <c r="AN50" s="265">
        <f t="shared" si="63"/>
        <v>287.89999999999998</v>
      </c>
      <c r="AO50" s="703">
        <f t="shared" si="63"/>
        <v>1089</v>
      </c>
      <c r="AP50" s="455">
        <f t="shared" si="63"/>
        <v>289.8</v>
      </c>
      <c r="AQ50" s="455">
        <f>AQ51+AQ52</f>
        <v>311.8</v>
      </c>
      <c r="AR50" s="455">
        <f t="shared" si="63"/>
        <v>301.5</v>
      </c>
      <c r="AS50" s="455">
        <f t="shared" si="63"/>
        <v>345.6</v>
      </c>
      <c r="AT50" s="703">
        <f t="shared" si="63"/>
        <v>1248.7</v>
      </c>
      <c r="AU50" s="455">
        <f t="shared" ref="AU50:BH50" si="64">AU51+AU52</f>
        <v>307.7</v>
      </c>
      <c r="AV50" s="455">
        <f t="shared" si="64"/>
        <v>303</v>
      </c>
      <c r="AW50" s="455">
        <f t="shared" si="64"/>
        <v>285.39999999999998</v>
      </c>
      <c r="AX50" s="455">
        <f t="shared" si="64"/>
        <v>343</v>
      </c>
      <c r="AY50" s="703">
        <f t="shared" si="64"/>
        <v>1239.0999999999999</v>
      </c>
      <c r="AZ50" s="455">
        <f t="shared" si="64"/>
        <v>311.89999999999998</v>
      </c>
      <c r="BA50" s="455">
        <f t="shared" si="64"/>
        <v>327.5</v>
      </c>
      <c r="BB50" s="455">
        <f t="shared" si="64"/>
        <v>307</v>
      </c>
      <c r="BC50" s="455">
        <f t="shared" si="64"/>
        <v>369.5</v>
      </c>
      <c r="BD50" s="703">
        <f t="shared" si="64"/>
        <v>1315.8999999999999</v>
      </c>
      <c r="BE50" s="455">
        <f>BE51+BE52</f>
        <v>316.20000000000005</v>
      </c>
      <c r="BF50" s="455">
        <f t="shared" si="64"/>
        <v>352.4</v>
      </c>
      <c r="BG50" s="455">
        <f>BG51+BG52</f>
        <v>335.9</v>
      </c>
      <c r="BH50" s="455">
        <f t="shared" si="64"/>
        <v>395.6</v>
      </c>
      <c r="BI50" s="703">
        <f t="shared" ref="BI50:CH50" si="65">BI51+BI52</f>
        <v>1400.1000000000001</v>
      </c>
      <c r="BJ50" s="455">
        <f t="shared" si="65"/>
        <v>315.7</v>
      </c>
      <c r="BK50" s="455">
        <f t="shared" si="65"/>
        <v>316.39999999999998</v>
      </c>
      <c r="BL50" s="455">
        <f t="shared" si="65"/>
        <v>316.7</v>
      </c>
      <c r="BM50" s="455">
        <f t="shared" si="65"/>
        <v>358.6</v>
      </c>
      <c r="BN50" s="703">
        <f t="shared" si="65"/>
        <v>1307.4000000000001</v>
      </c>
      <c r="BO50" s="455">
        <f t="shared" si="65"/>
        <v>356.4</v>
      </c>
      <c r="BP50" s="455">
        <f t="shared" si="65"/>
        <v>332.3</v>
      </c>
      <c r="BQ50" s="455">
        <f t="shared" si="65"/>
        <v>322</v>
      </c>
      <c r="BR50" s="455">
        <f t="shared" si="65"/>
        <v>355.3</v>
      </c>
      <c r="BS50" s="703">
        <f t="shared" si="65"/>
        <v>1366</v>
      </c>
      <c r="BT50" s="455">
        <f t="shared" si="65"/>
        <v>314.5</v>
      </c>
      <c r="BU50" s="455">
        <f t="shared" si="65"/>
        <v>357.8</v>
      </c>
      <c r="BV50" s="455">
        <f t="shared" si="65"/>
        <v>300.5</v>
      </c>
      <c r="BW50" s="455">
        <f t="shared" si="65"/>
        <v>362.5</v>
      </c>
      <c r="BX50" s="703">
        <f t="shared" si="65"/>
        <v>1335.3</v>
      </c>
      <c r="BY50" s="455">
        <f t="shared" si="65"/>
        <v>325.89999999999998</v>
      </c>
      <c r="BZ50" s="455">
        <f t="shared" si="65"/>
        <v>344.67</v>
      </c>
      <c r="CA50" s="455">
        <f t="shared" si="65"/>
        <v>329.73500000000001</v>
      </c>
      <c r="CB50" s="455">
        <f t="shared" si="65"/>
        <v>355.73199999999997</v>
      </c>
      <c r="CC50" s="703">
        <f t="shared" si="65"/>
        <v>1356.037</v>
      </c>
      <c r="CD50" s="703">
        <f t="shared" si="65"/>
        <v>1321.5668400000002</v>
      </c>
      <c r="CE50" s="703">
        <f t="shared" si="65"/>
        <v>1271.3510928000001</v>
      </c>
      <c r="CF50" s="703">
        <f t="shared" si="65"/>
        <v>1224.0424133760002</v>
      </c>
      <c r="CG50" s="703">
        <f t="shared" si="65"/>
        <v>1179.4304401459201</v>
      </c>
      <c r="CH50" s="703">
        <f t="shared" si="65"/>
        <v>1137.3211963774465</v>
      </c>
      <c r="EX50" s="1261" t="s">
        <v>300</v>
      </c>
    </row>
    <row r="51" spans="1:154" ht="12.75" customHeight="1">
      <c r="A51" s="195"/>
      <c r="B51" s="195"/>
      <c r="C51" s="195"/>
      <c r="D51" s="195"/>
      <c r="E51" s="195"/>
      <c r="F51" s="195"/>
      <c r="G51" s="9"/>
      <c r="H51" s="257" t="s">
        <v>231</v>
      </c>
      <c r="I51" s="257"/>
      <c r="J51" s="257"/>
      <c r="K51" s="257"/>
      <c r="L51" s="263">
        <v>104.9</v>
      </c>
      <c r="M51" s="263">
        <v>102.6</v>
      </c>
      <c r="N51" s="263">
        <v>107.7</v>
      </c>
      <c r="O51" s="263">
        <v>95.4</v>
      </c>
      <c r="P51" s="259">
        <v>410.6</v>
      </c>
      <c r="Q51" s="263">
        <v>88.2</v>
      </c>
      <c r="R51" s="263">
        <v>79.900000000000006</v>
      </c>
      <c r="S51" s="263">
        <v>96.7</v>
      </c>
      <c r="T51" s="263">
        <v>103.1</v>
      </c>
      <c r="U51" s="275">
        <f>SUM(Q51:T51)</f>
        <v>367.9</v>
      </c>
      <c r="V51" s="263">
        <v>85.2</v>
      </c>
      <c r="W51" s="263">
        <v>87.7</v>
      </c>
      <c r="X51" s="263">
        <v>90.8</v>
      </c>
      <c r="Y51" s="263">
        <v>101.5</v>
      </c>
      <c r="Z51" s="275">
        <f>SUM(V51:Y51)</f>
        <v>365.2</v>
      </c>
      <c r="AA51" s="263">
        <v>93.1</v>
      </c>
      <c r="AB51" s="263">
        <v>91.6</v>
      </c>
      <c r="AC51" s="263">
        <v>95.1</v>
      </c>
      <c r="AD51" s="263">
        <v>101.1</v>
      </c>
      <c r="AE51" s="274">
        <f>SUM(AA51:AD51)</f>
        <v>380.9</v>
      </c>
      <c r="AF51" s="263">
        <v>99</v>
      </c>
      <c r="AG51" s="263">
        <v>95.1</v>
      </c>
      <c r="AH51" s="263">
        <v>105.8</v>
      </c>
      <c r="AI51" s="263">
        <v>102.5</v>
      </c>
      <c r="AJ51" s="274">
        <f>SUM(AF51:AI51)</f>
        <v>402.4</v>
      </c>
      <c r="AK51" s="263">
        <v>114.5</v>
      </c>
      <c r="AL51" s="263">
        <v>115.3</v>
      </c>
      <c r="AM51" s="263">
        <v>120.7</v>
      </c>
      <c r="AN51" s="263">
        <v>120.4</v>
      </c>
      <c r="AO51" s="410">
        <f>SUM(AK51:AN51)</f>
        <v>470.9</v>
      </c>
      <c r="AP51" s="391">
        <v>129.4</v>
      </c>
      <c r="AQ51" s="391">
        <v>146</v>
      </c>
      <c r="AR51" s="391">
        <v>142.6</v>
      </c>
      <c r="AS51" s="391">
        <v>170</v>
      </c>
      <c r="AT51" s="410">
        <f>SUM(AP51:AS51)</f>
        <v>588</v>
      </c>
      <c r="AU51" s="391">
        <v>155.1</v>
      </c>
      <c r="AV51" s="391">
        <v>142.1</v>
      </c>
      <c r="AW51" s="391">
        <v>131.9</v>
      </c>
      <c r="AX51" s="391">
        <v>163</v>
      </c>
      <c r="AY51" s="410">
        <f>SUM(AU51:AX51)</f>
        <v>592.1</v>
      </c>
      <c r="AZ51" s="391">
        <v>163.4</v>
      </c>
      <c r="BA51" s="391">
        <v>158.1</v>
      </c>
      <c r="BB51" s="391">
        <v>161.4</v>
      </c>
      <c r="BC51" s="391">
        <v>194.2</v>
      </c>
      <c r="BD51" s="410">
        <f>SUM(AZ51:BC51)</f>
        <v>677.09999999999991</v>
      </c>
      <c r="BE51" s="391">
        <v>154.80000000000001</v>
      </c>
      <c r="BF51" s="391">
        <v>181.7</v>
      </c>
      <c r="BG51" s="391">
        <v>165.8</v>
      </c>
      <c r="BH51" s="391">
        <v>210.9</v>
      </c>
      <c r="BI51" s="410">
        <f>SUM(BE51:BH51)</f>
        <v>713.2</v>
      </c>
      <c r="BJ51" s="391">
        <v>179.5</v>
      </c>
      <c r="BK51" s="391">
        <v>188.1</v>
      </c>
      <c r="BL51" s="391">
        <v>185.5</v>
      </c>
      <c r="BM51" s="391">
        <v>211.2</v>
      </c>
      <c r="BN51" s="410">
        <f>SUM(BJ51:BM51)</f>
        <v>764.3</v>
      </c>
      <c r="BO51" s="391">
        <v>240.1</v>
      </c>
      <c r="BP51" s="391">
        <v>204.3</v>
      </c>
      <c r="BQ51" s="391">
        <v>195.6</v>
      </c>
      <c r="BR51" s="1069">
        <v>221.8</v>
      </c>
      <c r="BS51" s="410">
        <f>SUM(BO51:BR51)</f>
        <v>861.8</v>
      </c>
      <c r="BT51" s="391">
        <v>205.4</v>
      </c>
      <c r="BU51" s="391">
        <v>226.5</v>
      </c>
      <c r="BV51" s="391">
        <v>203</v>
      </c>
      <c r="BW51" s="391">
        <v>249.7</v>
      </c>
      <c r="BX51" s="410">
        <f>SUM(BT51:BW51)</f>
        <v>884.59999999999991</v>
      </c>
      <c r="BY51" s="391">
        <f>221.6</f>
        <v>221.6</v>
      </c>
      <c r="BZ51" s="383">
        <f t="shared" ref="BZ51:CB52" si="66">BU51*(1+BZ281)</f>
        <v>226.5</v>
      </c>
      <c r="CA51" s="383">
        <f t="shared" si="66"/>
        <v>227.36</v>
      </c>
      <c r="CB51" s="383">
        <f t="shared" si="66"/>
        <v>249.7</v>
      </c>
      <c r="CC51" s="410">
        <f>SUM(BY51:CB51)</f>
        <v>925.16000000000008</v>
      </c>
      <c r="CD51" s="410">
        <f t="shared" ref="CD51:CH52" si="67">CC51*(1+CD281)</f>
        <v>925.16000000000008</v>
      </c>
      <c r="CE51" s="410">
        <f t="shared" si="67"/>
        <v>906.65680000000009</v>
      </c>
      <c r="CF51" s="410">
        <f t="shared" si="67"/>
        <v>888.52366400000005</v>
      </c>
      <c r="CG51" s="410">
        <f t="shared" si="67"/>
        <v>870.75319072000002</v>
      </c>
      <c r="CH51" s="410">
        <f t="shared" si="67"/>
        <v>853.33812690560001</v>
      </c>
    </row>
    <row r="52" spans="1:154" ht="12.75" customHeight="1">
      <c r="A52" s="195"/>
      <c r="B52" s="195"/>
      <c r="C52" s="195"/>
      <c r="D52" s="195"/>
      <c r="E52" s="195"/>
      <c r="F52" s="195"/>
      <c r="G52" s="9"/>
      <c r="H52" s="257" t="s">
        <v>232</v>
      </c>
      <c r="I52" s="257"/>
      <c r="J52" s="257"/>
      <c r="K52" s="257"/>
      <c r="L52" s="263">
        <v>152</v>
      </c>
      <c r="M52" s="263">
        <v>147.1</v>
      </c>
      <c r="N52" s="263">
        <v>143.19999999999999</v>
      </c>
      <c r="O52" s="263">
        <v>151.80000000000001</v>
      </c>
      <c r="P52" s="259">
        <v>594.1</v>
      </c>
      <c r="Q52" s="263">
        <v>130.30000000000001</v>
      </c>
      <c r="R52" s="263">
        <v>139.9</v>
      </c>
      <c r="S52" s="263">
        <v>133.30000000000001</v>
      </c>
      <c r="T52" s="263">
        <v>153.80000000000001</v>
      </c>
      <c r="U52" s="275">
        <f>SUM(Q52:T52)</f>
        <v>557.30000000000007</v>
      </c>
      <c r="V52" s="263">
        <v>140.6</v>
      </c>
      <c r="W52" s="263">
        <v>155.1</v>
      </c>
      <c r="X52" s="263">
        <v>152.5</v>
      </c>
      <c r="Y52" s="263">
        <v>171.9</v>
      </c>
      <c r="Z52" s="275">
        <f>SUM(V52:Y52)</f>
        <v>620.1</v>
      </c>
      <c r="AA52" s="263">
        <v>164.6</v>
      </c>
      <c r="AB52" s="263">
        <v>179.8</v>
      </c>
      <c r="AC52" s="263">
        <v>176.6</v>
      </c>
      <c r="AD52" s="263">
        <v>161.30000000000001</v>
      </c>
      <c r="AE52" s="274">
        <f>SUM(AA52:AD52)</f>
        <v>682.3</v>
      </c>
      <c r="AF52" s="263">
        <v>141.5</v>
      </c>
      <c r="AG52" s="263">
        <v>152.97999999999999</v>
      </c>
      <c r="AH52" s="263">
        <v>154.6</v>
      </c>
      <c r="AI52" s="263">
        <v>170.5</v>
      </c>
      <c r="AJ52" s="274">
        <f>SUM(AF52:AI52)</f>
        <v>619.58000000000004</v>
      </c>
      <c r="AK52" s="263">
        <v>143.30000000000001</v>
      </c>
      <c r="AL52" s="263">
        <v>150</v>
      </c>
      <c r="AM52" s="263">
        <v>157.30000000000001</v>
      </c>
      <c r="AN52" s="263">
        <v>167.5</v>
      </c>
      <c r="AO52" s="410">
        <f>SUM(AK52:AN52)</f>
        <v>618.1</v>
      </c>
      <c r="AP52" s="391">
        <v>160.4</v>
      </c>
      <c r="AQ52" s="391">
        <v>165.8</v>
      </c>
      <c r="AR52" s="391">
        <v>158.9</v>
      </c>
      <c r="AS52" s="391">
        <v>175.6</v>
      </c>
      <c r="AT52" s="410">
        <f>SUM(AP52:AS52)</f>
        <v>660.7</v>
      </c>
      <c r="AU52" s="391">
        <v>152.6</v>
      </c>
      <c r="AV52" s="391">
        <v>160.9</v>
      </c>
      <c r="AW52" s="391">
        <v>153.5</v>
      </c>
      <c r="AX52" s="391">
        <v>180</v>
      </c>
      <c r="AY52" s="410">
        <f>SUM(AU52:AX52)</f>
        <v>647</v>
      </c>
      <c r="AZ52" s="391">
        <v>148.5</v>
      </c>
      <c r="BA52" s="391">
        <v>169.4</v>
      </c>
      <c r="BB52" s="391">
        <v>145.6</v>
      </c>
      <c r="BC52" s="391">
        <v>175.3</v>
      </c>
      <c r="BD52" s="410">
        <f>SUM(AZ52:BC52)</f>
        <v>638.79999999999995</v>
      </c>
      <c r="BE52" s="391">
        <v>161.4</v>
      </c>
      <c r="BF52" s="391">
        <v>170.7</v>
      </c>
      <c r="BG52" s="391">
        <v>170.1</v>
      </c>
      <c r="BH52" s="391">
        <v>184.7</v>
      </c>
      <c r="BI52" s="410">
        <f>SUM(BE52:BH52)</f>
        <v>686.90000000000009</v>
      </c>
      <c r="BJ52" s="391">
        <v>136.19999999999999</v>
      </c>
      <c r="BK52" s="391">
        <v>128.30000000000001</v>
      </c>
      <c r="BL52" s="391">
        <v>131.19999999999999</v>
      </c>
      <c r="BM52" s="391">
        <v>147.4</v>
      </c>
      <c r="BN52" s="410">
        <f>SUM(BJ52:BM52)</f>
        <v>543.1</v>
      </c>
      <c r="BO52" s="391">
        <v>116.3</v>
      </c>
      <c r="BP52" s="391">
        <v>128</v>
      </c>
      <c r="BQ52" s="391">
        <v>126.4</v>
      </c>
      <c r="BR52" s="1069">
        <v>133.5</v>
      </c>
      <c r="BS52" s="410">
        <f>SUM(BO52:BR52)</f>
        <v>504.20000000000005</v>
      </c>
      <c r="BT52" s="391">
        <v>109.1</v>
      </c>
      <c r="BU52" s="391">
        <v>131.30000000000001</v>
      </c>
      <c r="BV52" s="391">
        <v>97.5</v>
      </c>
      <c r="BW52" s="391">
        <v>112.8</v>
      </c>
      <c r="BX52" s="410">
        <f>SUM(BT52:BW52)</f>
        <v>450.7</v>
      </c>
      <c r="BY52" s="391">
        <f>104.3</f>
        <v>104.3</v>
      </c>
      <c r="BZ52" s="383">
        <f t="shared" si="66"/>
        <v>118.17000000000002</v>
      </c>
      <c r="CA52" s="383">
        <f t="shared" si="66"/>
        <v>102.375</v>
      </c>
      <c r="CB52" s="383">
        <f t="shared" si="66"/>
        <v>106.032</v>
      </c>
      <c r="CC52" s="410">
        <f>SUM(BY52:CB52)</f>
        <v>430.87700000000001</v>
      </c>
      <c r="CD52" s="410">
        <f t="shared" si="67"/>
        <v>396.40684000000005</v>
      </c>
      <c r="CE52" s="410">
        <f t="shared" si="67"/>
        <v>364.69429280000008</v>
      </c>
      <c r="CF52" s="410">
        <f t="shared" si="67"/>
        <v>335.51874937600007</v>
      </c>
      <c r="CG52" s="410">
        <f t="shared" si="67"/>
        <v>308.67724942592008</v>
      </c>
      <c r="CH52" s="410">
        <f t="shared" si="67"/>
        <v>283.98306947184648</v>
      </c>
    </row>
    <row r="53" spans="1:154" s="15" customFormat="1" ht="12.75" customHeight="1">
      <c r="A53" s="195"/>
      <c r="B53" s="195"/>
      <c r="C53" s="195"/>
      <c r="D53" s="195"/>
      <c r="E53" s="195"/>
      <c r="F53" s="195"/>
      <c r="G53" s="9"/>
      <c r="H53" s="266" t="s">
        <v>301</v>
      </c>
      <c r="I53" s="266"/>
      <c r="J53" s="266"/>
      <c r="K53" s="266"/>
      <c r="L53" s="265">
        <v>286.10000000000002</v>
      </c>
      <c r="M53" s="265">
        <v>296.2</v>
      </c>
      <c r="N53" s="265">
        <v>306.2</v>
      </c>
      <c r="O53" s="265">
        <v>309.10000000000002</v>
      </c>
      <c r="P53" s="266">
        <v>1197.5999999999999</v>
      </c>
      <c r="Q53" s="265">
        <f>Q54+Q55</f>
        <v>304.5</v>
      </c>
      <c r="R53" s="265">
        <f>R54+R55</f>
        <v>320.5</v>
      </c>
      <c r="S53" s="265">
        <f>S54+S55</f>
        <v>322.2</v>
      </c>
      <c r="T53" s="265">
        <f>T54+T55</f>
        <v>352.1</v>
      </c>
      <c r="U53" s="266">
        <f>SUM(U54:U55)</f>
        <v>1299.3000000000002</v>
      </c>
      <c r="V53" s="265">
        <f>V54+V55</f>
        <v>339.6</v>
      </c>
      <c r="W53" s="265">
        <f>W54+W55</f>
        <v>358.4</v>
      </c>
      <c r="X53" s="265">
        <f>X54+X55</f>
        <v>362.5</v>
      </c>
      <c r="Y53" s="265">
        <f>Y54+Y55</f>
        <v>414.1</v>
      </c>
      <c r="Z53" s="266">
        <f>SUM(Z54:Z55)</f>
        <v>1474.6</v>
      </c>
      <c r="AA53" s="265">
        <f>AA54+AA55</f>
        <v>407.4</v>
      </c>
      <c r="AB53" s="265">
        <f>AB54+AB55</f>
        <v>437.9</v>
      </c>
      <c r="AC53" s="265">
        <f>AC54+AC55</f>
        <v>432.6</v>
      </c>
      <c r="AD53" s="265">
        <f>AD54+AD55</f>
        <v>458</v>
      </c>
      <c r="AE53" s="266">
        <f>SUM(AE54:AE55)</f>
        <v>1735.9</v>
      </c>
      <c r="AF53" s="265">
        <f>AF54+AF55</f>
        <v>450.6</v>
      </c>
      <c r="AG53" s="265">
        <f>AG54+AG55</f>
        <v>477.49</v>
      </c>
      <c r="AH53" s="265">
        <f>AH54+AH55</f>
        <v>500.20000000000005</v>
      </c>
      <c r="AI53" s="265">
        <f>AI54+AI55</f>
        <v>530.79999999999995</v>
      </c>
      <c r="AJ53" s="266">
        <f>SUM(AJ54:AJ55)</f>
        <v>1959.0900000000001</v>
      </c>
      <c r="AK53" s="265">
        <f>AK54+AK55</f>
        <v>506.4</v>
      </c>
      <c r="AL53" s="265">
        <f>AL54+AL55</f>
        <v>504.7</v>
      </c>
      <c r="AM53" s="265">
        <f>AM54+AM55</f>
        <v>494</v>
      </c>
      <c r="AN53" s="265">
        <f>AN54+AN55</f>
        <v>549.20000000000005</v>
      </c>
      <c r="AO53" s="703">
        <f>SUM(AO54:AO55)</f>
        <v>2054.3000000000002</v>
      </c>
      <c r="AP53" s="455">
        <f>AP54+AP55</f>
        <v>525.4</v>
      </c>
      <c r="AQ53" s="455">
        <f>AQ54+AQ55</f>
        <v>586.90000000000009</v>
      </c>
      <c r="AR53" s="455">
        <f>AR54+AR55</f>
        <v>593.20000000000005</v>
      </c>
      <c r="AS53" s="455">
        <f>AS54+AS55</f>
        <v>662</v>
      </c>
      <c r="AT53" s="703">
        <f>SUM(AT54:AT55)</f>
        <v>2367.5</v>
      </c>
      <c r="AU53" s="455">
        <f>AU54+AU55</f>
        <v>590.29999999999995</v>
      </c>
      <c r="AV53" s="455">
        <f>AV54+AV55</f>
        <v>613.40000000000009</v>
      </c>
      <c r="AW53" s="455">
        <f>AW54+AW55</f>
        <v>575.79999999999995</v>
      </c>
      <c r="AX53" s="455">
        <f>AX54+AX55</f>
        <v>616</v>
      </c>
      <c r="AY53" s="703">
        <f>SUM(AY54:AY55)</f>
        <v>2395.5</v>
      </c>
      <c r="AZ53" s="455">
        <f>AZ54+AZ55</f>
        <v>632.70000000000005</v>
      </c>
      <c r="BA53" s="455">
        <f>BA54+BA55</f>
        <v>628.59999999999991</v>
      </c>
      <c r="BB53" s="455">
        <f>BB54+BB55</f>
        <v>616</v>
      </c>
      <c r="BC53" s="455">
        <f>BC54+BC55</f>
        <v>733.9</v>
      </c>
      <c r="BD53" s="703">
        <f t="shared" ref="BD53:BK53" si="68">SUM(BD54:BD55)</f>
        <v>2611.1999999999998</v>
      </c>
      <c r="BE53" s="455">
        <f>BE54+BE55</f>
        <v>650</v>
      </c>
      <c r="BF53" s="455">
        <f t="shared" si="68"/>
        <v>700.1</v>
      </c>
      <c r="BG53" s="455">
        <f>SUM(BG54:BG55)</f>
        <v>706.1</v>
      </c>
      <c r="BH53" s="455">
        <f t="shared" si="68"/>
        <v>729.1</v>
      </c>
      <c r="BI53" s="703">
        <f t="shared" si="68"/>
        <v>2785.3</v>
      </c>
      <c r="BJ53" s="455">
        <f t="shared" si="68"/>
        <v>684</v>
      </c>
      <c r="BK53" s="455">
        <f t="shared" si="68"/>
        <v>654.29999999999995</v>
      </c>
      <c r="BL53" s="455">
        <f>SUM(BL54:BL55)</f>
        <v>705</v>
      </c>
      <c r="BM53" s="455">
        <f>SUM(BM54:BM55)</f>
        <v>798.7</v>
      </c>
      <c r="BN53" s="703">
        <f>BN54+BN55</f>
        <v>2842</v>
      </c>
      <c r="BO53" s="455">
        <f>SUM(BO54:BO55)</f>
        <v>606.29999999999995</v>
      </c>
      <c r="BP53" s="455">
        <f>SUM(BP54:BP55)</f>
        <v>701.9</v>
      </c>
      <c r="BQ53" s="455">
        <f>SUM(BQ54:BQ55)</f>
        <v>640.79999999999995</v>
      </c>
      <c r="BR53" s="455">
        <f>SUM(BR54:BR55)</f>
        <v>819.8</v>
      </c>
      <c r="BS53" s="703">
        <f>BS54+BS55</f>
        <v>2768.8</v>
      </c>
      <c r="BT53" s="455">
        <f>SUM(BT54:BT55)</f>
        <v>708.5</v>
      </c>
      <c r="BU53" s="455">
        <f>SUM(BU54:BU55)</f>
        <v>678.4</v>
      </c>
      <c r="BV53" s="455">
        <f>SUM(BV54:BV55)</f>
        <v>696.2</v>
      </c>
      <c r="BW53" s="455">
        <f>SUM(BW54:BW55)</f>
        <v>782.2</v>
      </c>
      <c r="BX53" s="703">
        <f>BX54+BX55</f>
        <v>2865.3</v>
      </c>
      <c r="BY53" s="455">
        <f>SUM(BY54:BY55)</f>
        <v>791.7</v>
      </c>
      <c r="BZ53" s="455">
        <f>SUM(BZ54:BZ55)</f>
        <v>723.2</v>
      </c>
      <c r="CA53" s="455">
        <f>SUM(CA54:CA55)</f>
        <v>728.197</v>
      </c>
      <c r="CB53" s="455">
        <f>SUM(CB54:CB55)</f>
        <v>756.99199999999996</v>
      </c>
      <c r="CC53" s="703">
        <f>CC54+CC55</f>
        <v>3000.0889999999999</v>
      </c>
      <c r="CD53" s="703">
        <f>SUM(CD54:CD55)</f>
        <v>2700.0801000000001</v>
      </c>
      <c r="CE53" s="703">
        <f>SUM(CE54:CE55)</f>
        <v>2377.11735</v>
      </c>
      <c r="CF53" s="703">
        <f>SUM(CF54:CF55)</f>
        <v>2094.3940860000002</v>
      </c>
      <c r="CG53" s="703">
        <f>SUM(CG54:CG55)</f>
        <v>1846.6948777500002</v>
      </c>
      <c r="CH53" s="703">
        <f>SUM(CH54:CH55)</f>
        <v>1629.5045602725002</v>
      </c>
      <c r="EX53" s="1261" t="s">
        <v>301</v>
      </c>
    </row>
    <row r="54" spans="1:154" ht="12.75" customHeight="1">
      <c r="A54" s="122"/>
      <c r="B54" s="122"/>
      <c r="C54" s="122"/>
      <c r="D54" s="122"/>
      <c r="E54" s="122"/>
      <c r="F54" s="122"/>
      <c r="G54" s="9"/>
      <c r="H54" s="257" t="s">
        <v>1152</v>
      </c>
      <c r="I54" s="257"/>
      <c r="J54" s="257"/>
      <c r="K54" s="257"/>
      <c r="L54" s="263">
        <v>176.1</v>
      </c>
      <c r="M54" s="263">
        <v>181.8</v>
      </c>
      <c r="N54" s="263">
        <v>194.1</v>
      </c>
      <c r="O54" s="263">
        <v>187.5</v>
      </c>
      <c r="P54" s="259">
        <v>739.5</v>
      </c>
      <c r="Q54" s="263">
        <v>188.6</v>
      </c>
      <c r="R54" s="263">
        <v>196.6</v>
      </c>
      <c r="S54" s="263">
        <v>199</v>
      </c>
      <c r="T54" s="263">
        <v>226.7</v>
      </c>
      <c r="U54" s="275">
        <f>SUM(Q54:T54)</f>
        <v>810.90000000000009</v>
      </c>
      <c r="V54" s="263">
        <v>210.3</v>
      </c>
      <c r="W54" s="263">
        <v>213.1</v>
      </c>
      <c r="X54" s="263">
        <v>216.1</v>
      </c>
      <c r="Y54" s="263">
        <v>248.5</v>
      </c>
      <c r="Z54" s="275">
        <f>SUM(V54:Y54)</f>
        <v>888</v>
      </c>
      <c r="AA54" s="263">
        <v>238.6</v>
      </c>
      <c r="AB54" s="263">
        <v>249.5</v>
      </c>
      <c r="AC54" s="263">
        <v>245.1</v>
      </c>
      <c r="AD54" s="263">
        <v>275.2</v>
      </c>
      <c r="AE54" s="274">
        <f>SUM(AA54:AD54)</f>
        <v>1008.4000000000001</v>
      </c>
      <c r="AF54" s="263">
        <v>286.2</v>
      </c>
      <c r="AG54" s="263">
        <v>292</v>
      </c>
      <c r="AH54" s="263">
        <v>310.60000000000002</v>
      </c>
      <c r="AI54" s="263">
        <v>319.60000000000002</v>
      </c>
      <c r="AJ54" s="274">
        <f>SUM(AF54:AI54)</f>
        <v>1208.4000000000001</v>
      </c>
      <c r="AK54" s="263">
        <v>309.89999999999998</v>
      </c>
      <c r="AL54" s="263">
        <v>299.7</v>
      </c>
      <c r="AM54" s="263">
        <v>288.89999999999998</v>
      </c>
      <c r="AN54" s="263">
        <v>324</v>
      </c>
      <c r="AO54" s="410">
        <f>SUM(AK54:AN54)</f>
        <v>1222.5</v>
      </c>
      <c r="AP54" s="391">
        <v>303.8</v>
      </c>
      <c r="AQ54" s="391">
        <v>341.6</v>
      </c>
      <c r="AR54" s="391">
        <v>345.5</v>
      </c>
      <c r="AS54" s="391">
        <v>408</v>
      </c>
      <c r="AT54" s="410">
        <f>SUM(AP54:AS54)</f>
        <v>1398.9</v>
      </c>
      <c r="AU54" s="391">
        <v>348.4</v>
      </c>
      <c r="AV54" s="391">
        <v>353.6</v>
      </c>
      <c r="AW54" s="391">
        <v>337.3</v>
      </c>
      <c r="AX54" s="391">
        <v>331.6</v>
      </c>
      <c r="AY54" s="410">
        <f>SUM(AU54:AX54)</f>
        <v>1370.9</v>
      </c>
      <c r="AZ54" s="391">
        <v>378.2</v>
      </c>
      <c r="BA54" s="865">
        <v>351.9</v>
      </c>
      <c r="BB54" s="391">
        <v>357.8</v>
      </c>
      <c r="BC54" s="391">
        <v>433.5</v>
      </c>
      <c r="BD54" s="846">
        <f>SUM(AZ54:BC54)</f>
        <v>1521.3999999999999</v>
      </c>
      <c r="BE54" s="391">
        <v>375.4</v>
      </c>
      <c r="BF54" s="391">
        <v>413.1</v>
      </c>
      <c r="BG54" s="391">
        <v>415</v>
      </c>
      <c r="BH54" s="391">
        <v>424.1</v>
      </c>
      <c r="BI54" s="410">
        <f>SUM(BE54:BH54)</f>
        <v>1627.6</v>
      </c>
      <c r="BJ54" s="391">
        <v>420.6</v>
      </c>
      <c r="BK54" s="391">
        <v>399.7</v>
      </c>
      <c r="BL54" s="391">
        <v>440.9</v>
      </c>
      <c r="BM54" s="391">
        <v>511</v>
      </c>
      <c r="BN54" s="410">
        <f>SUM(BJ54:BM54)</f>
        <v>1772.1999999999998</v>
      </c>
      <c r="BO54" s="391">
        <v>361.6</v>
      </c>
      <c r="BP54" s="391">
        <v>420</v>
      </c>
      <c r="BQ54" s="391">
        <v>378.8</v>
      </c>
      <c r="BR54" s="1069">
        <v>524.79999999999995</v>
      </c>
      <c r="BS54" s="410">
        <f>SUM(BO54:BR54)</f>
        <v>1685.2</v>
      </c>
      <c r="BT54" s="391">
        <v>449.1</v>
      </c>
      <c r="BU54" s="391">
        <v>390.4</v>
      </c>
      <c r="BV54" s="391">
        <v>414.9</v>
      </c>
      <c r="BW54" s="391">
        <v>463.4</v>
      </c>
      <c r="BX54" s="410">
        <f>SUM(BT54:BW54)</f>
        <v>1717.8000000000002</v>
      </c>
      <c r="BY54" s="391">
        <f>504.1</f>
        <v>504.1</v>
      </c>
      <c r="BZ54" s="383">
        <f t="shared" ref="BZ54:CB55" si="69">BU54*(1+BZ284)</f>
        <v>429.44</v>
      </c>
      <c r="CA54" s="383">
        <f t="shared" si="69"/>
        <v>435.64499999999998</v>
      </c>
      <c r="CB54" s="383">
        <f t="shared" si="69"/>
        <v>454.13199999999995</v>
      </c>
      <c r="CC54" s="410">
        <f>SUM(BY54:CB54)</f>
        <v>1823.317</v>
      </c>
      <c r="CD54" s="410">
        <f t="shared" ref="CD54:CH55" si="70">CC54*(1+CD284)</f>
        <v>1640.9853000000001</v>
      </c>
      <c r="CE54" s="410">
        <f t="shared" si="70"/>
        <v>1476.8867700000001</v>
      </c>
      <c r="CF54" s="410">
        <f t="shared" si="70"/>
        <v>1329.1980930000002</v>
      </c>
      <c r="CG54" s="410">
        <f t="shared" si="70"/>
        <v>1196.2782837000002</v>
      </c>
      <c r="CH54" s="410">
        <f t="shared" si="70"/>
        <v>1076.6504553300001</v>
      </c>
    </row>
    <row r="55" spans="1:154" ht="12.75" customHeight="1">
      <c r="A55" s="211"/>
      <c r="B55" s="211"/>
      <c r="C55" s="211"/>
      <c r="D55" s="211"/>
      <c r="E55" s="211"/>
      <c r="F55" s="211"/>
      <c r="G55" s="9"/>
      <c r="H55" s="257" t="s">
        <v>1153</v>
      </c>
      <c r="I55" s="257"/>
      <c r="J55" s="257"/>
      <c r="K55" s="257"/>
      <c r="L55" s="263">
        <v>110</v>
      </c>
      <c r="M55" s="263">
        <v>114.4</v>
      </c>
      <c r="N55" s="263">
        <v>112.1</v>
      </c>
      <c r="O55" s="263">
        <v>121.6</v>
      </c>
      <c r="P55" s="259">
        <v>458.1</v>
      </c>
      <c r="Q55" s="263">
        <v>115.9</v>
      </c>
      <c r="R55" s="263">
        <v>123.9</v>
      </c>
      <c r="S55" s="263">
        <v>123.2</v>
      </c>
      <c r="T55" s="263">
        <v>125.4</v>
      </c>
      <c r="U55" s="275">
        <f>SUM(Q55:T55)</f>
        <v>488.4</v>
      </c>
      <c r="V55" s="263">
        <v>129.30000000000001</v>
      </c>
      <c r="W55" s="263">
        <v>145.30000000000001</v>
      </c>
      <c r="X55" s="263">
        <v>146.4</v>
      </c>
      <c r="Y55" s="263">
        <v>165.6</v>
      </c>
      <c r="Z55" s="275">
        <f>SUM(V55:Y55)</f>
        <v>586.6</v>
      </c>
      <c r="AA55" s="263">
        <v>168.8</v>
      </c>
      <c r="AB55" s="263">
        <v>188.4</v>
      </c>
      <c r="AC55" s="263">
        <v>187.5</v>
      </c>
      <c r="AD55" s="263">
        <v>182.8</v>
      </c>
      <c r="AE55" s="274">
        <f>SUM(AA55:AD55)</f>
        <v>727.5</v>
      </c>
      <c r="AF55" s="263">
        <v>164.4</v>
      </c>
      <c r="AG55" s="263">
        <v>185.49</v>
      </c>
      <c r="AH55" s="263">
        <v>189.6</v>
      </c>
      <c r="AI55" s="263">
        <v>211.2</v>
      </c>
      <c r="AJ55" s="274">
        <f>SUM(AF55:AI55)</f>
        <v>750.69</v>
      </c>
      <c r="AK55" s="263">
        <v>196.5</v>
      </c>
      <c r="AL55" s="263">
        <v>205</v>
      </c>
      <c r="AM55" s="263">
        <v>205.1</v>
      </c>
      <c r="AN55" s="263">
        <v>225.2</v>
      </c>
      <c r="AO55" s="410">
        <f>SUM(AK55:AN55)</f>
        <v>831.8</v>
      </c>
      <c r="AP55" s="391">
        <v>221.6</v>
      </c>
      <c r="AQ55" s="391">
        <v>245.3</v>
      </c>
      <c r="AR55" s="391">
        <v>247.7</v>
      </c>
      <c r="AS55" s="391">
        <v>254</v>
      </c>
      <c r="AT55" s="410">
        <f>SUM(AP55:AS55)</f>
        <v>968.59999999999991</v>
      </c>
      <c r="AU55" s="391">
        <v>241.9</v>
      </c>
      <c r="AV55" s="391">
        <v>259.8</v>
      </c>
      <c r="AW55" s="391">
        <v>238.5</v>
      </c>
      <c r="AX55" s="391">
        <v>284.39999999999998</v>
      </c>
      <c r="AY55" s="410">
        <f>SUM(AU55:AX55)</f>
        <v>1024.5999999999999</v>
      </c>
      <c r="AZ55" s="391">
        <v>254.5</v>
      </c>
      <c r="BA55" s="391">
        <v>276.7</v>
      </c>
      <c r="BB55" s="391">
        <v>258.2</v>
      </c>
      <c r="BC55" s="391">
        <v>300.39999999999998</v>
      </c>
      <c r="BD55" s="410">
        <f>SUM(AZ55:BC55)</f>
        <v>1089.8000000000002</v>
      </c>
      <c r="BE55" s="391">
        <v>274.60000000000002</v>
      </c>
      <c r="BF55" s="391">
        <v>287</v>
      </c>
      <c r="BG55" s="391">
        <v>291.10000000000002</v>
      </c>
      <c r="BH55" s="391">
        <v>305</v>
      </c>
      <c r="BI55" s="410">
        <f>SUM(BE55:BH55)</f>
        <v>1157.7</v>
      </c>
      <c r="BJ55" s="391">
        <v>263.39999999999998</v>
      </c>
      <c r="BK55" s="391">
        <v>254.6</v>
      </c>
      <c r="BL55" s="391">
        <v>264.10000000000002</v>
      </c>
      <c r="BM55" s="391">
        <v>287.7</v>
      </c>
      <c r="BN55" s="846">
        <f>SUM(BJ55:BM55)</f>
        <v>1069.8</v>
      </c>
      <c r="BO55" s="391">
        <v>244.7</v>
      </c>
      <c r="BP55" s="391">
        <v>281.89999999999998</v>
      </c>
      <c r="BQ55" s="391">
        <v>262</v>
      </c>
      <c r="BR55" s="1069">
        <v>295</v>
      </c>
      <c r="BS55" s="410">
        <f>SUM(BO55:BR55)</f>
        <v>1083.5999999999999</v>
      </c>
      <c r="BT55" s="391">
        <v>259.39999999999998</v>
      </c>
      <c r="BU55" s="391">
        <v>288</v>
      </c>
      <c r="BV55" s="391">
        <v>281.3</v>
      </c>
      <c r="BW55" s="391">
        <v>318.8</v>
      </c>
      <c r="BX55" s="410">
        <f>SUM(BT55:BW55)</f>
        <v>1147.5</v>
      </c>
      <c r="BY55" s="391">
        <f>287.6</f>
        <v>287.60000000000002</v>
      </c>
      <c r="BZ55" s="383">
        <f t="shared" si="69"/>
        <v>293.76</v>
      </c>
      <c r="CA55" s="383">
        <f t="shared" si="69"/>
        <v>292.55200000000002</v>
      </c>
      <c r="CB55" s="383">
        <f t="shared" si="69"/>
        <v>302.86</v>
      </c>
      <c r="CC55" s="410">
        <f>SUM(BY55:CB55)</f>
        <v>1176.7719999999999</v>
      </c>
      <c r="CD55" s="410">
        <f t="shared" si="70"/>
        <v>1059.0948000000001</v>
      </c>
      <c r="CE55" s="410">
        <f t="shared" si="70"/>
        <v>900.23058000000003</v>
      </c>
      <c r="CF55" s="410">
        <f t="shared" si="70"/>
        <v>765.19599300000004</v>
      </c>
      <c r="CG55" s="410">
        <f t="shared" si="70"/>
        <v>650.41659405000007</v>
      </c>
      <c r="CH55" s="410">
        <f t="shared" si="70"/>
        <v>552.85410494250004</v>
      </c>
    </row>
    <row r="56" spans="1:154" s="15" customFormat="1">
      <c r="A56" s="220"/>
      <c r="B56" s="220"/>
      <c r="C56" s="220"/>
      <c r="D56" s="220"/>
      <c r="E56" s="220"/>
      <c r="F56" s="220"/>
      <c r="G56" s="9"/>
      <c r="H56" s="266" t="s">
        <v>578</v>
      </c>
      <c r="I56" s="266"/>
      <c r="J56" s="266"/>
      <c r="K56" s="266"/>
      <c r="L56" s="265">
        <v>248.9</v>
      </c>
      <c r="M56" s="265">
        <v>261.60000000000002</v>
      </c>
      <c r="N56" s="265">
        <v>260.3</v>
      </c>
      <c r="O56" s="265">
        <v>265.3</v>
      </c>
      <c r="P56" s="266">
        <v>1036.0999999999999</v>
      </c>
      <c r="Q56" s="265">
        <f t="shared" ref="Q56:AJ56" si="71">Q57+Q58</f>
        <v>241.6</v>
      </c>
      <c r="R56" s="265">
        <f t="shared" si="71"/>
        <v>275.5</v>
      </c>
      <c r="S56" s="265">
        <f t="shared" si="71"/>
        <v>257.89999999999998</v>
      </c>
      <c r="T56" s="265">
        <f t="shared" si="71"/>
        <v>270.3</v>
      </c>
      <c r="U56" s="266">
        <f t="shared" si="71"/>
        <v>1045.3</v>
      </c>
      <c r="V56" s="265">
        <f t="shared" si="71"/>
        <v>263.8</v>
      </c>
      <c r="W56" s="265">
        <f t="shared" si="71"/>
        <v>278</v>
      </c>
      <c r="X56" s="265">
        <f t="shared" si="71"/>
        <v>263.2</v>
      </c>
      <c r="Y56" s="265">
        <f t="shared" si="71"/>
        <v>285.79999999999995</v>
      </c>
      <c r="Z56" s="266">
        <f t="shared" si="71"/>
        <v>1090.8000000000002</v>
      </c>
      <c r="AA56" s="265">
        <f t="shared" si="71"/>
        <v>261.10000000000002</v>
      </c>
      <c r="AB56" s="265">
        <f t="shared" si="71"/>
        <v>279.8</v>
      </c>
      <c r="AC56" s="265">
        <f t="shared" si="71"/>
        <v>265.70000000000005</v>
      </c>
      <c r="AD56" s="265">
        <f t="shared" si="71"/>
        <v>269</v>
      </c>
      <c r="AE56" s="266">
        <f t="shared" si="71"/>
        <v>1075.6000000000001</v>
      </c>
      <c r="AF56" s="265">
        <f t="shared" si="71"/>
        <v>256.89999999999998</v>
      </c>
      <c r="AG56" s="265">
        <f t="shared" si="71"/>
        <v>251.32999999999998</v>
      </c>
      <c r="AH56" s="265">
        <f t="shared" si="71"/>
        <v>259.5</v>
      </c>
      <c r="AI56" s="265">
        <f t="shared" si="71"/>
        <v>262.7</v>
      </c>
      <c r="AJ56" s="266">
        <f t="shared" si="71"/>
        <v>1030.4299999999998</v>
      </c>
      <c r="AK56" s="265">
        <f t="shared" ref="AK56:AT56" si="72">AK57+AK58</f>
        <v>241.60000000000002</v>
      </c>
      <c r="AL56" s="265">
        <f t="shared" si="72"/>
        <v>259.5</v>
      </c>
      <c r="AM56" s="265">
        <f t="shared" si="72"/>
        <v>256.8</v>
      </c>
      <c r="AN56" s="265">
        <f t="shared" si="72"/>
        <v>266.5</v>
      </c>
      <c r="AO56" s="703">
        <f t="shared" si="72"/>
        <v>1024.4000000000001</v>
      </c>
      <c r="AP56" s="455">
        <f t="shared" si="72"/>
        <v>266.2</v>
      </c>
      <c r="AQ56" s="455">
        <f>AQ57+AQ58</f>
        <v>263.5</v>
      </c>
      <c r="AR56" s="455">
        <f t="shared" si="72"/>
        <v>270.10000000000002</v>
      </c>
      <c r="AS56" s="455">
        <f t="shared" si="72"/>
        <v>267.10000000000002</v>
      </c>
      <c r="AT56" s="703">
        <f t="shared" si="72"/>
        <v>1066.9000000000001</v>
      </c>
      <c r="AU56" s="455">
        <f t="shared" ref="AU56:BH56" si="73">AU57+AU58</f>
        <v>256.2</v>
      </c>
      <c r="AV56" s="455">
        <f t="shared" si="73"/>
        <v>265.89999999999998</v>
      </c>
      <c r="AW56" s="455">
        <f t="shared" si="73"/>
        <v>247</v>
      </c>
      <c r="AX56" s="455">
        <f t="shared" si="73"/>
        <v>241</v>
      </c>
      <c r="AY56" s="703">
        <f t="shared" si="73"/>
        <v>1010.1000000000001</v>
      </c>
      <c r="AZ56" s="455">
        <f t="shared" si="73"/>
        <v>240.6</v>
      </c>
      <c r="BA56" s="455">
        <f t="shared" si="73"/>
        <v>278.70000000000005</v>
      </c>
      <c r="BB56" s="455">
        <f t="shared" si="73"/>
        <v>255.3</v>
      </c>
      <c r="BC56" s="455">
        <f t="shared" si="73"/>
        <v>275.89999999999998</v>
      </c>
      <c r="BD56" s="703">
        <f t="shared" si="73"/>
        <v>1050.5</v>
      </c>
      <c r="BE56" s="455">
        <f t="shared" si="73"/>
        <v>150.1</v>
      </c>
      <c r="BF56" s="455">
        <f t="shared" si="73"/>
        <v>108.3</v>
      </c>
      <c r="BG56" s="455">
        <f>BG57+BG58</f>
        <v>89.5</v>
      </c>
      <c r="BH56" s="455">
        <f t="shared" si="73"/>
        <v>72.099999999999994</v>
      </c>
      <c r="BI56" s="703">
        <f t="shared" ref="BI56:BX56" si="74">BI57+BI58</f>
        <v>420</v>
      </c>
      <c r="BJ56" s="455">
        <f t="shared" si="74"/>
        <v>66.8</v>
      </c>
      <c r="BK56" s="455">
        <f t="shared" si="74"/>
        <v>59.7</v>
      </c>
      <c r="BL56" s="455">
        <f t="shared" si="74"/>
        <v>58</v>
      </c>
      <c r="BM56" s="455">
        <f t="shared" si="74"/>
        <v>52.8</v>
      </c>
      <c r="BN56" s="703">
        <f t="shared" si="74"/>
        <v>237.3</v>
      </c>
      <c r="BO56" s="455">
        <f t="shared" si="74"/>
        <v>33.4</v>
      </c>
      <c r="BP56" s="455">
        <f t="shared" si="74"/>
        <v>37.800000000000004</v>
      </c>
      <c r="BQ56" s="455">
        <f t="shared" si="74"/>
        <v>31.6</v>
      </c>
      <c r="BR56" s="455">
        <f t="shared" si="74"/>
        <v>69.599999999999994</v>
      </c>
      <c r="BS56" s="703">
        <f t="shared" si="74"/>
        <v>172.4</v>
      </c>
      <c r="BT56" s="455">
        <f t="shared" si="74"/>
        <v>26.4</v>
      </c>
      <c r="BU56" s="455">
        <f t="shared" si="74"/>
        <v>26.8</v>
      </c>
      <c r="BV56" s="455">
        <f t="shared" si="74"/>
        <v>25.599999999999998</v>
      </c>
      <c r="BW56" s="455">
        <f t="shared" si="74"/>
        <v>28.8</v>
      </c>
      <c r="BX56" s="703">
        <f t="shared" si="74"/>
        <v>107.60000000000001</v>
      </c>
      <c r="BY56" s="866"/>
      <c r="BZ56" s="866"/>
      <c r="CA56" s="866"/>
      <c r="CB56" s="866"/>
      <c r="CC56" s="867"/>
      <c r="CD56" s="867"/>
      <c r="CE56" s="867"/>
      <c r="CF56" s="867"/>
      <c r="CG56" s="867"/>
      <c r="CH56" s="867"/>
      <c r="EX56" s="1261" t="s">
        <v>578</v>
      </c>
    </row>
    <row r="57" spans="1:154" ht="12.75" customHeight="1">
      <c r="A57" s="219"/>
      <c r="B57" s="219"/>
      <c r="C57" s="219"/>
      <c r="D57" s="219"/>
      <c r="E57" s="219"/>
      <c r="F57" s="219"/>
      <c r="G57" s="9"/>
      <c r="H57" s="257" t="s">
        <v>1154</v>
      </c>
      <c r="I57" s="257"/>
      <c r="J57" s="257"/>
      <c r="K57" s="257"/>
      <c r="L57" s="263">
        <v>158.6</v>
      </c>
      <c r="M57" s="263">
        <v>162.9</v>
      </c>
      <c r="N57" s="263">
        <v>161.30000000000001</v>
      </c>
      <c r="O57" s="263">
        <v>170.1</v>
      </c>
      <c r="P57" s="259">
        <v>652.9</v>
      </c>
      <c r="Q57" s="263">
        <v>149.1</v>
      </c>
      <c r="R57" s="263">
        <v>175</v>
      </c>
      <c r="S57" s="263">
        <v>162.80000000000001</v>
      </c>
      <c r="T57" s="263">
        <v>177.1</v>
      </c>
      <c r="U57" s="259">
        <f>SUM(Q57:T57)</f>
        <v>664</v>
      </c>
      <c r="V57" s="263">
        <v>172.1</v>
      </c>
      <c r="W57" s="263">
        <v>176.9</v>
      </c>
      <c r="X57" s="263">
        <v>169.5</v>
      </c>
      <c r="Y57" s="263">
        <v>187.7</v>
      </c>
      <c r="Z57" s="259">
        <f>SUM(V57:Y57)</f>
        <v>706.2</v>
      </c>
      <c r="AA57" s="263">
        <v>171.3</v>
      </c>
      <c r="AB57" s="263">
        <v>178.3</v>
      </c>
      <c r="AC57" s="263">
        <v>170.8</v>
      </c>
      <c r="AD57" s="263">
        <v>180.1</v>
      </c>
      <c r="AE57" s="79">
        <f>SUM(AA57:AD57)</f>
        <v>700.50000000000011</v>
      </c>
      <c r="AF57" s="263">
        <v>163.80000000000001</v>
      </c>
      <c r="AG57" s="263">
        <v>168.1</v>
      </c>
      <c r="AH57" s="263">
        <v>174.4</v>
      </c>
      <c r="AI57" s="263">
        <v>175.9</v>
      </c>
      <c r="AJ57" s="79">
        <f>SUM(AF57:AI57)</f>
        <v>682.19999999999993</v>
      </c>
      <c r="AK57" s="263">
        <v>158.30000000000001</v>
      </c>
      <c r="AL57" s="263">
        <v>175.6</v>
      </c>
      <c r="AM57" s="263">
        <v>166.4</v>
      </c>
      <c r="AN57" s="263">
        <v>181.6</v>
      </c>
      <c r="AO57" s="410">
        <f>SUM(AK57:AN57)</f>
        <v>681.9</v>
      </c>
      <c r="AP57" s="391">
        <v>174.2</v>
      </c>
      <c r="AQ57" s="391">
        <v>174.5</v>
      </c>
      <c r="AR57" s="391">
        <v>176.8</v>
      </c>
      <c r="AS57" s="391">
        <v>182</v>
      </c>
      <c r="AT57" s="410">
        <f>SUM(AP57:AS57)</f>
        <v>707.5</v>
      </c>
      <c r="AU57" s="391">
        <v>171.7</v>
      </c>
      <c r="AV57" s="391">
        <v>182.4</v>
      </c>
      <c r="AW57" s="391">
        <v>168.3</v>
      </c>
      <c r="AX57" s="391">
        <v>177</v>
      </c>
      <c r="AY57" s="410">
        <f>SUM(AU57:AX57)</f>
        <v>699.40000000000009</v>
      </c>
      <c r="AZ57" s="391">
        <v>171.6</v>
      </c>
      <c r="BA57" s="391">
        <v>199.3</v>
      </c>
      <c r="BB57" s="391">
        <v>191.8</v>
      </c>
      <c r="BC57" s="391">
        <v>209.3</v>
      </c>
      <c r="BD57" s="410">
        <f>SUM(AZ57:BC57)</f>
        <v>772</v>
      </c>
      <c r="BE57" s="865">
        <v>98</v>
      </c>
      <c r="BF57" s="391">
        <v>55</v>
      </c>
      <c r="BG57" s="391">
        <v>34.799999999999997</v>
      </c>
      <c r="BH57" s="391">
        <v>19.399999999999999</v>
      </c>
      <c r="BI57" s="846">
        <f>SUM(BE57:BH57)</f>
        <v>207.20000000000002</v>
      </c>
      <c r="BJ57" s="391">
        <v>24.2</v>
      </c>
      <c r="BK57" s="391">
        <v>13.7</v>
      </c>
      <c r="BL57" s="391">
        <v>15.5</v>
      </c>
      <c r="BM57" s="391">
        <v>8.4</v>
      </c>
      <c r="BN57" s="410">
        <f>SUM(BJ57:BM57)</f>
        <v>61.8</v>
      </c>
      <c r="BO57" s="391">
        <v>2.7</v>
      </c>
      <c r="BP57" s="391">
        <v>5.0999999999999996</v>
      </c>
      <c r="BQ57" s="391">
        <v>2.6</v>
      </c>
      <c r="BR57" s="1069">
        <v>40</v>
      </c>
      <c r="BS57" s="410">
        <f>SUM(BO57:BR57)</f>
        <v>50.4</v>
      </c>
      <c r="BT57" s="391">
        <v>2</v>
      </c>
      <c r="BU57" s="391">
        <v>0</v>
      </c>
      <c r="BV57" s="391">
        <v>1.4</v>
      </c>
      <c r="BW57" s="391">
        <v>3.6</v>
      </c>
      <c r="BX57" s="410">
        <f>SUM(BT57:BW57)</f>
        <v>7</v>
      </c>
      <c r="BY57" s="872"/>
      <c r="BZ57" s="871"/>
      <c r="CA57" s="871"/>
      <c r="CB57" s="871"/>
      <c r="CC57" s="870"/>
      <c r="CD57" s="870"/>
      <c r="CE57" s="870"/>
      <c r="CF57" s="870"/>
      <c r="CG57" s="870"/>
      <c r="CH57" s="870"/>
    </row>
    <row r="58" spans="1:154" ht="12.75" customHeight="1">
      <c r="A58" s="219"/>
      <c r="B58" s="219"/>
      <c r="C58" s="219"/>
      <c r="D58" s="219"/>
      <c r="E58" s="219"/>
      <c r="F58" s="219"/>
      <c r="G58" s="9"/>
      <c r="H58" s="257" t="s">
        <v>1155</v>
      </c>
      <c r="I58" s="257"/>
      <c r="J58" s="257"/>
      <c r="K58" s="257"/>
      <c r="L58" s="263">
        <v>90.3</v>
      </c>
      <c r="M58" s="263">
        <v>98.7</v>
      </c>
      <c r="N58" s="263">
        <v>99</v>
      </c>
      <c r="O58" s="263">
        <v>95.2</v>
      </c>
      <c r="P58" s="259">
        <v>383.2</v>
      </c>
      <c r="Q58" s="263">
        <v>92.5</v>
      </c>
      <c r="R58" s="263">
        <v>100.5</v>
      </c>
      <c r="S58" s="263">
        <v>95.1</v>
      </c>
      <c r="T58" s="263">
        <v>93.2</v>
      </c>
      <c r="U58" s="259">
        <f>SUM(Q58:T58)</f>
        <v>381.3</v>
      </c>
      <c r="V58" s="263">
        <v>91.7</v>
      </c>
      <c r="W58" s="263">
        <v>101.1</v>
      </c>
      <c r="X58" s="263">
        <v>93.7</v>
      </c>
      <c r="Y58" s="263">
        <v>98.1</v>
      </c>
      <c r="Z58" s="259">
        <f>SUM(V58:Y58)</f>
        <v>384.6</v>
      </c>
      <c r="AA58" s="263">
        <v>89.8</v>
      </c>
      <c r="AB58" s="263">
        <v>101.5</v>
      </c>
      <c r="AC58" s="263">
        <v>94.9</v>
      </c>
      <c r="AD58" s="263">
        <v>88.9</v>
      </c>
      <c r="AE58" s="79">
        <f>SUM(AA58:AD58)</f>
        <v>375.1</v>
      </c>
      <c r="AF58" s="263">
        <v>93.1</v>
      </c>
      <c r="AG58" s="263">
        <v>83.23</v>
      </c>
      <c r="AH58" s="263">
        <v>85.1</v>
      </c>
      <c r="AI58" s="263">
        <v>86.8</v>
      </c>
      <c r="AJ58" s="79">
        <f>SUM(AF58:AI58)</f>
        <v>348.22999999999996</v>
      </c>
      <c r="AK58" s="263">
        <v>83.3</v>
      </c>
      <c r="AL58" s="263">
        <v>83.9</v>
      </c>
      <c r="AM58" s="263">
        <v>90.4</v>
      </c>
      <c r="AN58" s="263">
        <v>84.9</v>
      </c>
      <c r="AO58" s="410">
        <f>SUM(AK58:AN58)</f>
        <v>342.5</v>
      </c>
      <c r="AP58" s="391">
        <v>92</v>
      </c>
      <c r="AQ58" s="391">
        <v>89</v>
      </c>
      <c r="AR58" s="391">
        <v>93.3</v>
      </c>
      <c r="AS58" s="391">
        <v>85.1</v>
      </c>
      <c r="AT58" s="410">
        <f>SUM(AP58:AS58)</f>
        <v>359.4</v>
      </c>
      <c r="AU58" s="391">
        <v>84.5</v>
      </c>
      <c r="AV58" s="391">
        <v>83.5</v>
      </c>
      <c r="AW58" s="391">
        <v>78.7</v>
      </c>
      <c r="AX58" s="391">
        <v>64</v>
      </c>
      <c r="AY58" s="410">
        <f>SUM(AU58:AX58)</f>
        <v>310.7</v>
      </c>
      <c r="AZ58" s="391">
        <v>69</v>
      </c>
      <c r="BA58" s="391">
        <v>79.400000000000006</v>
      </c>
      <c r="BB58" s="865">
        <v>63.5</v>
      </c>
      <c r="BC58" s="391">
        <v>66.599999999999994</v>
      </c>
      <c r="BD58" s="846">
        <f>SUM(AZ58:BC58)</f>
        <v>278.5</v>
      </c>
      <c r="BE58" s="391">
        <v>52.1</v>
      </c>
      <c r="BF58" s="391">
        <v>53.3</v>
      </c>
      <c r="BG58" s="391">
        <v>54.7</v>
      </c>
      <c r="BH58" s="391">
        <v>52.7</v>
      </c>
      <c r="BI58" s="410">
        <f>SUM(BE58:BH58)</f>
        <v>212.8</v>
      </c>
      <c r="BJ58" s="391">
        <v>42.6</v>
      </c>
      <c r="BK58" s="391">
        <v>46</v>
      </c>
      <c r="BL58" s="391">
        <v>42.5</v>
      </c>
      <c r="BM58" s="391">
        <v>44.4</v>
      </c>
      <c r="BN58" s="410">
        <f>SUM(BJ58:BM58)</f>
        <v>175.5</v>
      </c>
      <c r="BO58" s="391">
        <v>30.7</v>
      </c>
      <c r="BP58" s="391">
        <v>32.700000000000003</v>
      </c>
      <c r="BQ58" s="391">
        <v>29</v>
      </c>
      <c r="BR58" s="1069">
        <v>29.6</v>
      </c>
      <c r="BS58" s="410">
        <f>SUM(BO58:BR58)</f>
        <v>122</v>
      </c>
      <c r="BT58" s="391">
        <v>24.4</v>
      </c>
      <c r="BU58" s="391">
        <v>26.8</v>
      </c>
      <c r="BV58" s="391">
        <v>24.2</v>
      </c>
      <c r="BW58" s="391">
        <v>25.2</v>
      </c>
      <c r="BX58" s="410">
        <f>SUM(BT58:BW58)</f>
        <v>100.60000000000001</v>
      </c>
      <c r="BY58" s="872"/>
      <c r="BZ58" s="871"/>
      <c r="CA58" s="1266"/>
      <c r="CB58" s="871"/>
      <c r="CC58" s="901"/>
      <c r="CD58" s="870"/>
      <c r="CE58" s="870"/>
      <c r="CF58" s="870"/>
      <c r="CG58" s="870"/>
      <c r="CH58" s="870"/>
    </row>
    <row r="59" spans="1:154" s="15" customFormat="1" ht="12.75" customHeight="1">
      <c r="A59" s="219"/>
      <c r="B59" s="219"/>
      <c r="C59" s="219"/>
      <c r="D59" s="219"/>
      <c r="E59" s="219"/>
      <c r="F59" s="219"/>
      <c r="G59" s="9"/>
      <c r="H59" s="266" t="s">
        <v>734</v>
      </c>
      <c r="I59" s="266"/>
      <c r="J59" s="266"/>
      <c r="K59" s="266"/>
      <c r="L59" s="265">
        <v>66.7</v>
      </c>
      <c r="M59" s="265">
        <v>101.9</v>
      </c>
      <c r="N59" s="265">
        <v>102.6</v>
      </c>
      <c r="O59" s="265">
        <v>117.9</v>
      </c>
      <c r="P59" s="266">
        <v>389.1</v>
      </c>
      <c r="Q59" s="265">
        <f t="shared" ref="Q59:AJ59" si="75">Q60+Q61</f>
        <v>127.1</v>
      </c>
      <c r="R59" s="265">
        <f t="shared" si="75"/>
        <v>146</v>
      </c>
      <c r="S59" s="265">
        <f t="shared" si="75"/>
        <v>149.1</v>
      </c>
      <c r="T59" s="265">
        <f t="shared" si="75"/>
        <v>172.1</v>
      </c>
      <c r="U59" s="266">
        <f t="shared" si="75"/>
        <v>594.29999999999995</v>
      </c>
      <c r="V59" s="265">
        <f t="shared" si="75"/>
        <v>153.4</v>
      </c>
      <c r="W59" s="265">
        <f t="shared" si="75"/>
        <v>177.1</v>
      </c>
      <c r="X59" s="265">
        <f t="shared" si="75"/>
        <v>180.5</v>
      </c>
      <c r="Y59" s="265">
        <f t="shared" si="75"/>
        <v>198.2</v>
      </c>
      <c r="Z59" s="266">
        <f t="shared" si="75"/>
        <v>709.2</v>
      </c>
      <c r="AA59" s="265">
        <f t="shared" si="75"/>
        <v>185</v>
      </c>
      <c r="AB59" s="265">
        <f t="shared" si="75"/>
        <v>206.5</v>
      </c>
      <c r="AC59" s="265">
        <f t="shared" si="75"/>
        <v>192.7</v>
      </c>
      <c r="AD59" s="265">
        <f t="shared" si="75"/>
        <v>194.5</v>
      </c>
      <c r="AE59" s="266">
        <f t="shared" si="75"/>
        <v>778.7</v>
      </c>
      <c r="AF59" s="265">
        <f t="shared" si="75"/>
        <v>187.5</v>
      </c>
      <c r="AG59" s="265">
        <f t="shared" si="75"/>
        <v>203.2</v>
      </c>
      <c r="AH59" s="265">
        <f t="shared" si="75"/>
        <v>213.1</v>
      </c>
      <c r="AI59" s="265">
        <f t="shared" si="75"/>
        <v>212.9</v>
      </c>
      <c r="AJ59" s="266">
        <f t="shared" si="75"/>
        <v>816.69999999999993</v>
      </c>
      <c r="AK59" s="265">
        <f t="shared" ref="AK59:AT59" si="76">AK60+AK61</f>
        <v>194.5</v>
      </c>
      <c r="AL59" s="265">
        <f t="shared" si="76"/>
        <v>209.60000000000002</v>
      </c>
      <c r="AM59" s="265">
        <f t="shared" si="76"/>
        <v>199.7</v>
      </c>
      <c r="AN59" s="265">
        <f t="shared" si="76"/>
        <v>226.2</v>
      </c>
      <c r="AO59" s="703">
        <f t="shared" si="76"/>
        <v>830</v>
      </c>
      <c r="AP59" s="455">
        <f t="shared" si="76"/>
        <v>216.10000000000002</v>
      </c>
      <c r="AQ59" s="455">
        <f>AQ60+AQ61</f>
        <v>231</v>
      </c>
      <c r="AR59" s="455">
        <f t="shared" si="76"/>
        <v>240.3</v>
      </c>
      <c r="AS59" s="455">
        <f>AS60+AS61</f>
        <v>262.39999999999998</v>
      </c>
      <c r="AT59" s="703">
        <f t="shared" si="76"/>
        <v>949.80000000000007</v>
      </c>
      <c r="AU59" s="455">
        <f t="shared" ref="AU59:BH59" si="77">AU60+AU61</f>
        <v>271.3</v>
      </c>
      <c r="AV59" s="455">
        <f t="shared" si="77"/>
        <v>276.39999999999998</v>
      </c>
      <c r="AW59" s="455">
        <f t="shared" si="77"/>
        <v>288.7</v>
      </c>
      <c r="AX59" s="455">
        <f t="shared" si="77"/>
        <v>314.60000000000002</v>
      </c>
      <c r="AY59" s="703">
        <f t="shared" si="77"/>
        <v>1151</v>
      </c>
      <c r="AZ59" s="455">
        <f t="shared" si="77"/>
        <v>281.5</v>
      </c>
      <c r="BA59" s="455">
        <f t="shared" si="77"/>
        <v>296.89999999999998</v>
      </c>
      <c r="BB59" s="455">
        <f t="shared" si="77"/>
        <v>306.70000000000005</v>
      </c>
      <c r="BC59" s="455">
        <f t="shared" si="77"/>
        <v>359.79999999999995</v>
      </c>
      <c r="BD59" s="703">
        <f t="shared" si="77"/>
        <v>1244.9000000000001</v>
      </c>
      <c r="BE59" s="455">
        <f t="shared" si="77"/>
        <v>300.39999999999998</v>
      </c>
      <c r="BF59" s="455">
        <f t="shared" si="77"/>
        <v>308.60000000000002</v>
      </c>
      <c r="BG59" s="455">
        <f>BG60+BG61</f>
        <v>332.2</v>
      </c>
      <c r="BH59" s="455">
        <f t="shared" si="77"/>
        <v>380.8</v>
      </c>
      <c r="BI59" s="703">
        <f t="shared" ref="BI59:CH59" si="78">BI60+BI61</f>
        <v>1322</v>
      </c>
      <c r="BJ59" s="455">
        <f t="shared" si="78"/>
        <v>293</v>
      </c>
      <c r="BK59" s="455">
        <f t="shared" si="78"/>
        <v>328.4</v>
      </c>
      <c r="BL59" s="455">
        <f t="shared" si="78"/>
        <v>348.9</v>
      </c>
      <c r="BM59" s="455">
        <f t="shared" si="78"/>
        <v>377.9</v>
      </c>
      <c r="BN59" s="703">
        <f t="shared" si="78"/>
        <v>1348.2</v>
      </c>
      <c r="BO59" s="455">
        <f t="shared" si="78"/>
        <v>318.60000000000002</v>
      </c>
      <c r="BP59" s="455">
        <f t="shared" si="78"/>
        <v>367.6</v>
      </c>
      <c r="BQ59" s="455">
        <f t="shared" si="78"/>
        <v>391.2</v>
      </c>
      <c r="BR59" s="455">
        <f t="shared" si="78"/>
        <v>422.4</v>
      </c>
      <c r="BS59" s="703">
        <f t="shared" si="78"/>
        <v>1499.8000000000002</v>
      </c>
      <c r="BT59" s="455">
        <f t="shared" si="78"/>
        <v>347.5</v>
      </c>
      <c r="BU59" s="455">
        <f t="shared" si="78"/>
        <v>446.70000000000005</v>
      </c>
      <c r="BV59" s="455">
        <f t="shared" si="78"/>
        <v>441.7</v>
      </c>
      <c r="BW59" s="455">
        <f t="shared" si="78"/>
        <v>513.20000000000005</v>
      </c>
      <c r="BX59" s="703">
        <f t="shared" si="78"/>
        <v>1749.1</v>
      </c>
      <c r="BY59" s="455">
        <f t="shared" si="78"/>
        <v>313.2</v>
      </c>
      <c r="BZ59" s="455">
        <f t="shared" si="78"/>
        <v>406.58500000000004</v>
      </c>
      <c r="CA59" s="455">
        <f t="shared" si="78"/>
        <v>429.20000000000005</v>
      </c>
      <c r="CB59" s="455">
        <f t="shared" si="78"/>
        <v>462.93500000000006</v>
      </c>
      <c r="CC59" s="703">
        <f t="shared" si="78"/>
        <v>1611.92</v>
      </c>
      <c r="CD59" s="703">
        <f t="shared" si="78"/>
        <v>1331.1184000000003</v>
      </c>
      <c r="CE59" s="703">
        <f t="shared" si="78"/>
        <v>931.78288000000009</v>
      </c>
      <c r="CF59" s="703">
        <f t="shared" si="78"/>
        <v>652.24801600000001</v>
      </c>
      <c r="CG59" s="703">
        <f t="shared" si="78"/>
        <v>456.57361119999996</v>
      </c>
      <c r="CH59" s="703">
        <f t="shared" si="78"/>
        <v>319.6015278399999</v>
      </c>
      <c r="EX59" s="1261" t="s">
        <v>734</v>
      </c>
    </row>
    <row r="60" spans="1:154" ht="12.75" customHeight="1">
      <c r="A60" s="213"/>
      <c r="B60" s="213"/>
      <c r="C60" s="213"/>
      <c r="D60" s="213"/>
      <c r="E60" s="213"/>
      <c r="F60" s="213"/>
      <c r="G60" s="9"/>
      <c r="H60" s="257" t="s">
        <v>1156</v>
      </c>
      <c r="I60" s="257"/>
      <c r="J60" s="257"/>
      <c r="K60" s="257"/>
      <c r="L60" s="263">
        <v>42.2</v>
      </c>
      <c r="M60" s="263">
        <v>70.8</v>
      </c>
      <c r="N60" s="263">
        <v>70.400000000000006</v>
      </c>
      <c r="O60" s="263">
        <v>81.2</v>
      </c>
      <c r="P60" s="259">
        <v>264.60000000000002</v>
      </c>
      <c r="Q60" s="263">
        <v>87.2</v>
      </c>
      <c r="R60" s="263">
        <v>101</v>
      </c>
      <c r="S60" s="263">
        <v>104.2</v>
      </c>
      <c r="T60" s="263">
        <v>123.8</v>
      </c>
      <c r="U60" s="259">
        <f>SUM(Q60:T60)</f>
        <v>416.2</v>
      </c>
      <c r="V60" s="263">
        <v>107.4</v>
      </c>
      <c r="W60" s="263">
        <v>123.5</v>
      </c>
      <c r="X60" s="263">
        <v>124.8</v>
      </c>
      <c r="Y60" s="263">
        <v>138.4</v>
      </c>
      <c r="Z60" s="259">
        <f>SUM(V60:Y60)</f>
        <v>494.1</v>
      </c>
      <c r="AA60" s="263">
        <v>118.3</v>
      </c>
      <c r="AB60" s="263">
        <v>129.4</v>
      </c>
      <c r="AC60" s="263">
        <v>117</v>
      </c>
      <c r="AD60" s="263">
        <v>125.2</v>
      </c>
      <c r="AE60" s="79">
        <f>SUM(AA60:AD60)</f>
        <v>489.9</v>
      </c>
      <c r="AF60" s="263">
        <v>121.8</v>
      </c>
      <c r="AG60" s="263">
        <v>132</v>
      </c>
      <c r="AH60" s="263">
        <v>135.1</v>
      </c>
      <c r="AI60" s="263">
        <v>129.4</v>
      </c>
      <c r="AJ60" s="79">
        <f>SUM(AF60:AI60)</f>
        <v>518.29999999999995</v>
      </c>
      <c r="AK60" s="263">
        <v>116.9</v>
      </c>
      <c r="AL60" s="263">
        <v>131.4</v>
      </c>
      <c r="AM60" s="263">
        <v>118.7</v>
      </c>
      <c r="AN60" s="263">
        <v>132</v>
      </c>
      <c r="AO60" s="410">
        <f>SUM(AK60:AN60)</f>
        <v>499</v>
      </c>
      <c r="AP60" s="391">
        <v>111.7</v>
      </c>
      <c r="AQ60" s="391">
        <v>110.2</v>
      </c>
      <c r="AR60" s="391">
        <v>110.4</v>
      </c>
      <c r="AS60" s="391">
        <v>120.8</v>
      </c>
      <c r="AT60" s="410">
        <f>SUM(AP60:AS60)</f>
        <v>453.1</v>
      </c>
      <c r="AU60" s="391">
        <v>121.9</v>
      </c>
      <c r="AV60" s="391">
        <v>118.2</v>
      </c>
      <c r="AW60" s="391">
        <v>127.3</v>
      </c>
      <c r="AX60" s="391">
        <v>120.8</v>
      </c>
      <c r="AY60" s="410">
        <f>SUM(AU60:AX60)</f>
        <v>488.20000000000005</v>
      </c>
      <c r="AZ60" s="391">
        <v>111.5</v>
      </c>
      <c r="BA60" s="391">
        <v>115.8</v>
      </c>
      <c r="BB60" s="391">
        <v>127.9</v>
      </c>
      <c r="BC60" s="391">
        <v>156.19999999999999</v>
      </c>
      <c r="BD60" s="410">
        <f>SUM(AZ60:BC60)</f>
        <v>511.40000000000003</v>
      </c>
      <c r="BE60" s="391">
        <v>100.9</v>
      </c>
      <c r="BF60" s="391">
        <v>127.9</v>
      </c>
      <c r="BG60" s="391">
        <v>127.2</v>
      </c>
      <c r="BH60" s="391">
        <v>183</v>
      </c>
      <c r="BI60" s="410">
        <f>SUM(BE60:BH60)</f>
        <v>539</v>
      </c>
      <c r="BJ60" s="391">
        <v>122</v>
      </c>
      <c r="BK60" s="391">
        <v>144.6</v>
      </c>
      <c r="BL60" s="391">
        <v>160.1</v>
      </c>
      <c r="BM60" s="391">
        <v>185.8</v>
      </c>
      <c r="BN60" s="410">
        <f>SUM(BJ60:BM60)</f>
        <v>612.5</v>
      </c>
      <c r="BO60" s="391">
        <v>148.1</v>
      </c>
      <c r="BP60" s="391">
        <v>186.4</v>
      </c>
      <c r="BQ60" s="391">
        <v>206.7</v>
      </c>
      <c r="BR60" s="1069">
        <v>229.3</v>
      </c>
      <c r="BS60" s="410">
        <f>SUM(BO60:BR60)</f>
        <v>770.5</v>
      </c>
      <c r="BT60" s="391">
        <v>177.7</v>
      </c>
      <c r="BU60" s="391">
        <v>249.8</v>
      </c>
      <c r="BV60" s="391">
        <v>234.1</v>
      </c>
      <c r="BW60" s="391">
        <v>303.7</v>
      </c>
      <c r="BX60" s="410">
        <f>SUM(BT60:BW60)</f>
        <v>965.3</v>
      </c>
      <c r="BY60" s="391">
        <f>122.1</f>
        <v>122.1</v>
      </c>
      <c r="BZ60" s="383">
        <f t="shared" ref="BZ60:CB61" si="79">BU60*(1+BZ290)</f>
        <v>199.84000000000003</v>
      </c>
      <c r="CA60" s="383">
        <f t="shared" si="79"/>
        <v>215.37200000000001</v>
      </c>
      <c r="CB60" s="383">
        <f t="shared" si="79"/>
        <v>242.96</v>
      </c>
      <c r="CC60" s="410">
        <f>SUM(BY60:CB60)</f>
        <v>780.27200000000016</v>
      </c>
      <c r="CD60" s="846">
        <f t="shared" ref="CD60:CH61" si="80">CC60*(1+CD290)</f>
        <v>624.21760000000017</v>
      </c>
      <c r="CE60" s="410">
        <f t="shared" si="80"/>
        <v>436.9523200000001</v>
      </c>
      <c r="CF60" s="410">
        <f t="shared" si="80"/>
        <v>305.86662400000006</v>
      </c>
      <c r="CG60" s="410">
        <f t="shared" si="80"/>
        <v>214.10663680000002</v>
      </c>
      <c r="CH60" s="410">
        <f t="shared" si="80"/>
        <v>149.87464575999999</v>
      </c>
    </row>
    <row r="61" spans="1:154" ht="12.75" customHeight="1">
      <c r="A61" s="9"/>
      <c r="B61" s="9"/>
      <c r="C61" s="9"/>
      <c r="D61" s="9"/>
      <c r="E61" s="9"/>
      <c r="F61" s="9"/>
      <c r="G61" s="9"/>
      <c r="H61" s="257" t="s">
        <v>1157</v>
      </c>
      <c r="I61" s="257"/>
      <c r="J61" s="257"/>
      <c r="K61" s="257"/>
      <c r="L61" s="263">
        <v>24.5</v>
      </c>
      <c r="M61" s="263">
        <v>31.1</v>
      </c>
      <c r="N61" s="263">
        <v>32.200000000000003</v>
      </c>
      <c r="O61" s="263">
        <v>36.700000000000003</v>
      </c>
      <c r="P61" s="259">
        <v>124.5</v>
      </c>
      <c r="Q61" s="263">
        <v>39.9</v>
      </c>
      <c r="R61" s="263">
        <v>45</v>
      </c>
      <c r="S61" s="263">
        <v>44.9</v>
      </c>
      <c r="T61" s="263">
        <v>48.3</v>
      </c>
      <c r="U61" s="259">
        <f>SUM(Q61:T61)</f>
        <v>178.10000000000002</v>
      </c>
      <c r="V61" s="263">
        <v>46</v>
      </c>
      <c r="W61" s="263">
        <v>53.6</v>
      </c>
      <c r="X61" s="263">
        <v>55.7</v>
      </c>
      <c r="Y61" s="263">
        <v>59.8</v>
      </c>
      <c r="Z61" s="259">
        <f>SUM(V61:Y61)</f>
        <v>215.10000000000002</v>
      </c>
      <c r="AA61" s="263">
        <v>66.7</v>
      </c>
      <c r="AB61" s="263">
        <v>77.099999999999994</v>
      </c>
      <c r="AC61" s="263">
        <v>75.7</v>
      </c>
      <c r="AD61" s="263">
        <v>69.3</v>
      </c>
      <c r="AE61" s="79">
        <f>SUM(AA61:AD61)</f>
        <v>288.8</v>
      </c>
      <c r="AF61" s="263">
        <v>65.7</v>
      </c>
      <c r="AG61" s="263">
        <v>71.2</v>
      </c>
      <c r="AH61" s="263">
        <v>78</v>
      </c>
      <c r="AI61" s="263">
        <v>83.5</v>
      </c>
      <c r="AJ61" s="79">
        <f>SUM(AF61:AI61)</f>
        <v>298.39999999999998</v>
      </c>
      <c r="AK61" s="263">
        <v>77.599999999999994</v>
      </c>
      <c r="AL61" s="263">
        <v>78.2</v>
      </c>
      <c r="AM61" s="263">
        <v>81</v>
      </c>
      <c r="AN61" s="263">
        <v>94.2</v>
      </c>
      <c r="AO61" s="410">
        <f>SUM(AK61:AN61)</f>
        <v>331</v>
      </c>
      <c r="AP61" s="391">
        <v>104.4</v>
      </c>
      <c r="AQ61" s="391">
        <v>120.8</v>
      </c>
      <c r="AR61" s="391">
        <v>129.9</v>
      </c>
      <c r="AS61" s="391">
        <v>141.6</v>
      </c>
      <c r="AT61" s="410">
        <f>SUM(AP61:AS61)</f>
        <v>496.70000000000005</v>
      </c>
      <c r="AU61" s="391">
        <v>149.4</v>
      </c>
      <c r="AV61" s="391">
        <v>158.19999999999999</v>
      </c>
      <c r="AW61" s="391">
        <v>161.4</v>
      </c>
      <c r="AX61" s="391">
        <v>193.8</v>
      </c>
      <c r="AY61" s="410">
        <f>SUM(AU61:AX61)</f>
        <v>662.8</v>
      </c>
      <c r="AZ61" s="391">
        <v>170</v>
      </c>
      <c r="BA61" s="391">
        <v>181.1</v>
      </c>
      <c r="BB61" s="391">
        <v>178.8</v>
      </c>
      <c r="BC61" s="391">
        <v>203.6</v>
      </c>
      <c r="BD61" s="410">
        <f>SUM(AZ61:BC61)</f>
        <v>733.50000000000011</v>
      </c>
      <c r="BE61" s="391">
        <v>199.5</v>
      </c>
      <c r="BF61" s="391">
        <v>180.7</v>
      </c>
      <c r="BG61" s="391">
        <v>205</v>
      </c>
      <c r="BH61" s="391">
        <v>197.8</v>
      </c>
      <c r="BI61" s="410">
        <f>SUM(BE61:BH61)</f>
        <v>783</v>
      </c>
      <c r="BJ61" s="391">
        <v>171</v>
      </c>
      <c r="BK61" s="391">
        <v>183.8</v>
      </c>
      <c r="BL61" s="391">
        <v>188.8</v>
      </c>
      <c r="BM61" s="391">
        <v>192.1</v>
      </c>
      <c r="BN61" s="410">
        <f>SUM(BJ61:BM61)</f>
        <v>735.7</v>
      </c>
      <c r="BO61" s="391">
        <v>170.5</v>
      </c>
      <c r="BP61" s="391">
        <v>181.2</v>
      </c>
      <c r="BQ61" s="391">
        <v>184.5</v>
      </c>
      <c r="BR61" s="1069">
        <v>193.1</v>
      </c>
      <c r="BS61" s="410">
        <f>SUM(BO61:BR61)</f>
        <v>729.30000000000007</v>
      </c>
      <c r="BT61" s="391">
        <v>169.8</v>
      </c>
      <c r="BU61" s="391">
        <v>196.9</v>
      </c>
      <c r="BV61" s="391">
        <v>207.6</v>
      </c>
      <c r="BW61" s="391">
        <v>209.5</v>
      </c>
      <c r="BX61" s="410">
        <f>SUM(BT61:BW61)</f>
        <v>783.80000000000007</v>
      </c>
      <c r="BY61" s="391">
        <f>191.1</f>
        <v>191.1</v>
      </c>
      <c r="BZ61" s="383">
        <f t="shared" si="79"/>
        <v>206.745</v>
      </c>
      <c r="CA61" s="383">
        <f t="shared" si="79"/>
        <v>213.828</v>
      </c>
      <c r="CB61" s="383">
        <f t="shared" si="79"/>
        <v>219.97500000000002</v>
      </c>
      <c r="CC61" s="410">
        <f>SUM(BY61:CB61)</f>
        <v>831.64800000000002</v>
      </c>
      <c r="CD61" s="846">
        <f t="shared" si="80"/>
        <v>706.9008</v>
      </c>
      <c r="CE61" s="410">
        <f t="shared" si="80"/>
        <v>494.83055999999999</v>
      </c>
      <c r="CF61" s="410">
        <f t="shared" si="80"/>
        <v>346.38139199999995</v>
      </c>
      <c r="CG61" s="410">
        <f t="shared" si="80"/>
        <v>242.46697439999994</v>
      </c>
      <c r="CH61" s="410">
        <f t="shared" si="80"/>
        <v>169.72688207999994</v>
      </c>
    </row>
    <row r="62" spans="1:154" s="37" customFormat="1" ht="12.75" customHeight="1">
      <c r="A62" s="9"/>
      <c r="B62" s="9"/>
      <c r="C62" s="9"/>
      <c r="D62" s="9"/>
      <c r="E62" s="9"/>
      <c r="F62" s="9"/>
      <c r="G62" s="9"/>
      <c r="H62" s="270" t="s">
        <v>735</v>
      </c>
      <c r="I62" s="270"/>
      <c r="J62" s="270"/>
      <c r="K62" s="270"/>
      <c r="L62" s="136">
        <v>104.6</v>
      </c>
      <c r="M62" s="136">
        <v>108.8</v>
      </c>
      <c r="N62" s="136">
        <v>100.2</v>
      </c>
      <c r="O62" s="136">
        <v>100.8</v>
      </c>
      <c r="P62" s="270">
        <v>414.4</v>
      </c>
      <c r="Q62" s="265">
        <f t="shared" ref="Q62:AJ62" si="81">Q63+Q64</f>
        <v>96.699999999999989</v>
      </c>
      <c r="R62" s="265">
        <f t="shared" si="81"/>
        <v>108</v>
      </c>
      <c r="S62" s="265">
        <f t="shared" si="81"/>
        <v>101.6</v>
      </c>
      <c r="T62" s="265">
        <f t="shared" si="81"/>
        <v>109.4</v>
      </c>
      <c r="U62" s="270">
        <f t="shared" si="81"/>
        <v>415.7</v>
      </c>
      <c r="V62" s="265">
        <f t="shared" si="81"/>
        <v>107.9</v>
      </c>
      <c r="W62" s="265">
        <f t="shared" si="81"/>
        <v>113.1</v>
      </c>
      <c r="X62" s="265">
        <f t="shared" si="81"/>
        <v>105.6</v>
      </c>
      <c r="Y62" s="265">
        <f t="shared" si="81"/>
        <v>114.19999999999999</v>
      </c>
      <c r="Z62" s="270">
        <f t="shared" si="81"/>
        <v>440.79999999999995</v>
      </c>
      <c r="AA62" s="265">
        <f t="shared" si="81"/>
        <v>114.4</v>
      </c>
      <c r="AB62" s="265">
        <f t="shared" si="81"/>
        <v>123.7</v>
      </c>
      <c r="AC62" s="265">
        <f t="shared" si="81"/>
        <v>111.1</v>
      </c>
      <c r="AD62" s="265">
        <f t="shared" si="81"/>
        <v>119</v>
      </c>
      <c r="AE62" s="270">
        <f t="shared" si="81"/>
        <v>468.2</v>
      </c>
      <c r="AF62" s="265">
        <f t="shared" si="81"/>
        <v>104</v>
      </c>
      <c r="AG62" s="265">
        <f t="shared" si="81"/>
        <v>109.49000000000001</v>
      </c>
      <c r="AH62" s="265">
        <f t="shared" si="81"/>
        <v>111.9</v>
      </c>
      <c r="AI62" s="265">
        <f t="shared" si="81"/>
        <v>123.4</v>
      </c>
      <c r="AJ62" s="270">
        <f t="shared" si="81"/>
        <v>448.79</v>
      </c>
      <c r="AK62" s="265">
        <f t="shared" ref="AK62:AT62" si="82">AK63+AK64</f>
        <v>101.69999999999999</v>
      </c>
      <c r="AL62" s="265">
        <f t="shared" si="82"/>
        <v>107.8</v>
      </c>
      <c r="AM62" s="265">
        <f t="shared" si="82"/>
        <v>101.30000000000001</v>
      </c>
      <c r="AN62" s="265">
        <f t="shared" si="82"/>
        <v>111.69999999999999</v>
      </c>
      <c r="AO62" s="428">
        <f t="shared" si="82"/>
        <v>422.5</v>
      </c>
      <c r="AP62" s="455">
        <f t="shared" si="82"/>
        <v>112.80000000000001</v>
      </c>
      <c r="AQ62" s="455">
        <f>AQ63+AQ64</f>
        <v>111</v>
      </c>
      <c r="AR62" s="455">
        <f t="shared" si="82"/>
        <v>103.1</v>
      </c>
      <c r="AS62" s="455">
        <f>AS63+AS64</f>
        <v>109.7</v>
      </c>
      <c r="AT62" s="428">
        <f t="shared" si="82"/>
        <v>436.6</v>
      </c>
      <c r="AU62" s="455">
        <f t="shared" ref="AU62:BH62" si="83">AU63+AU64</f>
        <v>90.199999999999989</v>
      </c>
      <c r="AV62" s="455">
        <f t="shared" si="83"/>
        <v>100.19999999999999</v>
      </c>
      <c r="AW62" s="455">
        <f t="shared" si="83"/>
        <v>102.4</v>
      </c>
      <c r="AX62" s="455">
        <f t="shared" si="83"/>
        <v>98.9</v>
      </c>
      <c r="AY62" s="428">
        <f t="shared" si="83"/>
        <v>391.69999999999993</v>
      </c>
      <c r="AZ62" s="455">
        <f t="shared" si="83"/>
        <v>79.099999999999994</v>
      </c>
      <c r="BA62" s="455">
        <f t="shared" si="83"/>
        <v>90.800000000000011</v>
      </c>
      <c r="BB62" s="455">
        <f t="shared" si="83"/>
        <v>96.5</v>
      </c>
      <c r="BC62" s="455">
        <f t="shared" si="83"/>
        <v>91.2</v>
      </c>
      <c r="BD62" s="428">
        <f t="shared" si="83"/>
        <v>357.6</v>
      </c>
      <c r="BE62" s="420">
        <f t="shared" si="83"/>
        <v>61.2</v>
      </c>
      <c r="BF62" s="420">
        <f t="shared" si="83"/>
        <v>94.5</v>
      </c>
      <c r="BG62" s="420">
        <f>BG63+BG64</f>
        <v>78</v>
      </c>
      <c r="BH62" s="420">
        <f t="shared" si="83"/>
        <v>91.5</v>
      </c>
      <c r="BI62" s="428">
        <f t="shared" ref="BI62:CH62" si="84">BI63+BI64</f>
        <v>325.20000000000005</v>
      </c>
      <c r="BJ62" s="420">
        <f t="shared" si="84"/>
        <v>71.2</v>
      </c>
      <c r="BK62" s="420">
        <f t="shared" si="84"/>
        <v>76.2</v>
      </c>
      <c r="BL62" s="420">
        <f t="shared" si="84"/>
        <v>77.400000000000006</v>
      </c>
      <c r="BM62" s="420">
        <f t="shared" si="84"/>
        <v>87.4</v>
      </c>
      <c r="BN62" s="428">
        <f t="shared" si="84"/>
        <v>312.20000000000005</v>
      </c>
      <c r="BO62" s="420">
        <f t="shared" si="84"/>
        <v>65.599999999999994</v>
      </c>
      <c r="BP62" s="420">
        <f t="shared" si="84"/>
        <v>72.7</v>
      </c>
      <c r="BQ62" s="420">
        <f t="shared" si="84"/>
        <v>72.7</v>
      </c>
      <c r="BR62" s="420">
        <f t="shared" si="84"/>
        <v>93.5</v>
      </c>
      <c r="BS62" s="428">
        <f t="shared" si="84"/>
        <v>304.5</v>
      </c>
      <c r="BT62" s="420">
        <f t="shared" si="84"/>
        <v>51.7</v>
      </c>
      <c r="BU62" s="420">
        <f t="shared" si="84"/>
        <v>93.8</v>
      </c>
      <c r="BV62" s="420">
        <f t="shared" si="84"/>
        <v>81.2</v>
      </c>
      <c r="BW62" s="420">
        <f t="shared" si="84"/>
        <v>103.19999999999999</v>
      </c>
      <c r="BX62" s="428">
        <f t="shared" si="84"/>
        <v>329.9</v>
      </c>
      <c r="BY62" s="420">
        <f t="shared" si="84"/>
        <v>65.7</v>
      </c>
      <c r="BZ62" s="420">
        <f t="shared" si="84"/>
        <v>81.400000000000006</v>
      </c>
      <c r="CA62" s="420">
        <f t="shared" si="84"/>
        <v>81.11</v>
      </c>
      <c r="CB62" s="420">
        <f t="shared" si="84"/>
        <v>101.005</v>
      </c>
      <c r="CC62" s="428">
        <f t="shared" si="84"/>
        <v>329.21500000000003</v>
      </c>
      <c r="CD62" s="428">
        <f t="shared" si="84"/>
        <v>321.14449999999999</v>
      </c>
      <c r="CE62" s="428">
        <f t="shared" si="84"/>
        <v>308.44337499999995</v>
      </c>
      <c r="CF62" s="428">
        <f t="shared" si="84"/>
        <v>296.27662324999994</v>
      </c>
      <c r="CG62" s="428">
        <f t="shared" si="84"/>
        <v>284.62054657749997</v>
      </c>
      <c r="CH62" s="428">
        <f t="shared" si="84"/>
        <v>273.45254110392494</v>
      </c>
      <c r="EX62" s="1261" t="s">
        <v>735</v>
      </c>
    </row>
    <row r="63" spans="1:154" ht="12.75" customHeight="1">
      <c r="A63" s="9"/>
      <c r="B63" s="9"/>
      <c r="C63" s="9"/>
      <c r="D63" s="9"/>
      <c r="E63" s="9"/>
      <c r="F63" s="9"/>
      <c r="G63" s="9"/>
      <c r="H63" s="257" t="s">
        <v>1158</v>
      </c>
      <c r="I63" s="257"/>
      <c r="J63" s="257"/>
      <c r="K63" s="257"/>
      <c r="L63" s="263">
        <v>48.1</v>
      </c>
      <c r="M63" s="263">
        <v>46.4</v>
      </c>
      <c r="N63" s="263">
        <v>47.1</v>
      </c>
      <c r="O63" s="263">
        <v>42.9</v>
      </c>
      <c r="P63" s="259">
        <v>184.5</v>
      </c>
      <c r="Q63" s="263">
        <v>48.3</v>
      </c>
      <c r="R63" s="263">
        <v>52</v>
      </c>
      <c r="S63" s="263">
        <v>49.3</v>
      </c>
      <c r="T63" s="263">
        <v>52.7</v>
      </c>
      <c r="U63" s="259">
        <f>SUM(Q63:T63)</f>
        <v>202.3</v>
      </c>
      <c r="V63" s="263">
        <v>56.1</v>
      </c>
      <c r="W63" s="263">
        <v>54.2</v>
      </c>
      <c r="X63" s="263">
        <v>51.5</v>
      </c>
      <c r="Y63" s="263">
        <v>51.9</v>
      </c>
      <c r="Z63" s="259">
        <f>SUM(V63:Y63)</f>
        <v>213.70000000000002</v>
      </c>
      <c r="AA63" s="263">
        <v>54.4</v>
      </c>
      <c r="AB63" s="263">
        <v>55.8</v>
      </c>
      <c r="AC63" s="263">
        <v>49.1</v>
      </c>
      <c r="AD63" s="263">
        <v>52.8</v>
      </c>
      <c r="AE63" s="79">
        <f>SUM(AA63:AD63)</f>
        <v>212.09999999999997</v>
      </c>
      <c r="AF63" s="263">
        <v>45.9</v>
      </c>
      <c r="AG63" s="263">
        <v>49.1</v>
      </c>
      <c r="AH63" s="263">
        <v>50.8</v>
      </c>
      <c r="AI63" s="263">
        <v>57</v>
      </c>
      <c r="AJ63" s="79">
        <f>SUM(AF63:AI63)</f>
        <v>202.8</v>
      </c>
      <c r="AK63" s="263">
        <v>40.4</v>
      </c>
      <c r="AL63" s="263">
        <v>46.3</v>
      </c>
      <c r="AM63" s="263">
        <v>43.2</v>
      </c>
      <c r="AN63" s="263">
        <v>45.9</v>
      </c>
      <c r="AO63" s="410">
        <f>SUM(AK63:AN63)</f>
        <v>175.79999999999998</v>
      </c>
      <c r="AP63" s="391">
        <v>51.7</v>
      </c>
      <c r="AQ63" s="391">
        <v>46.7</v>
      </c>
      <c r="AR63" s="391">
        <v>40.9</v>
      </c>
      <c r="AS63" s="391">
        <v>46</v>
      </c>
      <c r="AT63" s="410">
        <f>SUM(AP63:AS63)</f>
        <v>185.3</v>
      </c>
      <c r="AU63" s="391">
        <v>34.4</v>
      </c>
      <c r="AV63" s="391">
        <v>42.3</v>
      </c>
      <c r="AW63" s="391">
        <v>45.7</v>
      </c>
      <c r="AX63" s="391">
        <v>43.4</v>
      </c>
      <c r="AY63" s="410">
        <f>SUM(AU63:AX63)</f>
        <v>165.79999999999998</v>
      </c>
      <c r="AZ63" s="391">
        <v>23.7</v>
      </c>
      <c r="BA63" s="391">
        <v>35.1</v>
      </c>
      <c r="BB63" s="391">
        <v>44.8</v>
      </c>
      <c r="BC63" s="391">
        <v>35.200000000000003</v>
      </c>
      <c r="BD63" s="410">
        <f>SUM(AZ63:BC63)</f>
        <v>138.80000000000001</v>
      </c>
      <c r="BE63" s="391">
        <v>10.3</v>
      </c>
      <c r="BF63" s="391">
        <v>41.5</v>
      </c>
      <c r="BG63" s="391">
        <v>28.8</v>
      </c>
      <c r="BH63" s="391">
        <v>42.1</v>
      </c>
      <c r="BI63" s="846">
        <f>SUM(BE63:BH63)</f>
        <v>122.69999999999999</v>
      </c>
      <c r="BJ63" s="1068">
        <v>28.2</v>
      </c>
      <c r="BK63" s="1068">
        <v>32.6</v>
      </c>
      <c r="BL63" s="1068">
        <v>34.700000000000003</v>
      </c>
      <c r="BM63" s="1068">
        <v>42</v>
      </c>
      <c r="BN63" s="410">
        <f>SUM(BJ63:BM63)</f>
        <v>137.5</v>
      </c>
      <c r="BO63" s="1068">
        <v>25.2</v>
      </c>
      <c r="BP63" s="1068">
        <v>27.3</v>
      </c>
      <c r="BQ63" s="1068">
        <v>30.5</v>
      </c>
      <c r="BR63" s="1069">
        <v>50</v>
      </c>
      <c r="BS63" s="410">
        <f>SUM(BO63:BR63)</f>
        <v>133</v>
      </c>
      <c r="BT63" s="391">
        <v>12.8</v>
      </c>
      <c r="BU63" s="391">
        <v>51.4</v>
      </c>
      <c r="BV63" s="391">
        <v>39.700000000000003</v>
      </c>
      <c r="BW63" s="391">
        <v>59.3</v>
      </c>
      <c r="BX63" s="410">
        <f>SUM(BT63:BW63)</f>
        <v>163.19999999999999</v>
      </c>
      <c r="BY63" s="391">
        <f>25.7</f>
        <v>25.7</v>
      </c>
      <c r="BZ63" s="383">
        <f t="shared" ref="BZ63:CB64" si="85">BU63*(1+BZ293)</f>
        <v>41.120000000000005</v>
      </c>
      <c r="CA63" s="383">
        <f t="shared" si="85"/>
        <v>41.685000000000002</v>
      </c>
      <c r="CB63" s="383">
        <f t="shared" si="85"/>
        <v>59.3</v>
      </c>
      <c r="CC63" s="410">
        <f>SUM(BY63:CB63)</f>
        <v>167.80500000000001</v>
      </c>
      <c r="CD63" s="410">
        <f t="shared" ref="CD63:CH64" si="86">CC63*(1+CD293)</f>
        <v>167.80500000000001</v>
      </c>
      <c r="CE63" s="410">
        <f t="shared" si="86"/>
        <v>162.77085</v>
      </c>
      <c r="CF63" s="410">
        <f t="shared" si="86"/>
        <v>157.88772449999999</v>
      </c>
      <c r="CG63" s="410">
        <f t="shared" si="86"/>
        <v>153.15109276499999</v>
      </c>
      <c r="CH63" s="410">
        <f t="shared" si="86"/>
        <v>148.55655998204998</v>
      </c>
    </row>
    <row r="64" spans="1:154" ht="12.75" customHeight="1">
      <c r="A64" s="9"/>
      <c r="B64" s="9"/>
      <c r="C64" s="9"/>
      <c r="D64" s="9"/>
      <c r="E64" s="9"/>
      <c r="F64" s="9"/>
      <c r="G64" s="9"/>
      <c r="H64" s="257" t="s">
        <v>232</v>
      </c>
      <c r="I64" s="257"/>
      <c r="J64" s="257"/>
      <c r="K64" s="257"/>
      <c r="L64" s="263">
        <v>56.5</v>
      </c>
      <c r="M64" s="263">
        <v>62.4</v>
      </c>
      <c r="N64" s="263">
        <v>53.1</v>
      </c>
      <c r="O64" s="263">
        <v>57.9</v>
      </c>
      <c r="P64" s="259">
        <v>229.9</v>
      </c>
      <c r="Q64" s="263">
        <v>48.4</v>
      </c>
      <c r="R64" s="263">
        <v>56</v>
      </c>
      <c r="S64" s="263">
        <v>52.3</v>
      </c>
      <c r="T64" s="263">
        <v>56.7</v>
      </c>
      <c r="U64" s="259">
        <f>SUM(Q64:T64)</f>
        <v>213.39999999999998</v>
      </c>
      <c r="V64" s="263">
        <v>51.8</v>
      </c>
      <c r="W64" s="263">
        <v>58.9</v>
      </c>
      <c r="X64" s="263">
        <v>54.1</v>
      </c>
      <c r="Y64" s="263">
        <v>62.3</v>
      </c>
      <c r="Z64" s="259">
        <f>SUM(V64:Y64)</f>
        <v>227.09999999999997</v>
      </c>
      <c r="AA64" s="263">
        <v>60</v>
      </c>
      <c r="AB64" s="263">
        <v>67.900000000000006</v>
      </c>
      <c r="AC64" s="263">
        <v>62</v>
      </c>
      <c r="AD64" s="263">
        <v>66.2</v>
      </c>
      <c r="AE64" s="79">
        <f>SUM(AA64:AD64)</f>
        <v>256.10000000000002</v>
      </c>
      <c r="AF64" s="263">
        <v>58.1</v>
      </c>
      <c r="AG64" s="263">
        <v>60.39</v>
      </c>
      <c r="AH64" s="263">
        <v>61.1</v>
      </c>
      <c r="AI64" s="263">
        <v>66.400000000000006</v>
      </c>
      <c r="AJ64" s="79">
        <f>SUM(AF64:AI64)</f>
        <v>245.99</v>
      </c>
      <c r="AK64" s="263">
        <v>61.3</v>
      </c>
      <c r="AL64" s="263">
        <v>61.5</v>
      </c>
      <c r="AM64" s="263">
        <v>58.1</v>
      </c>
      <c r="AN64" s="263">
        <v>65.8</v>
      </c>
      <c r="AO64" s="410">
        <f>SUM(AK64:AN64)</f>
        <v>246.7</v>
      </c>
      <c r="AP64" s="391">
        <v>61.1</v>
      </c>
      <c r="AQ64" s="391">
        <v>64.3</v>
      </c>
      <c r="AR64" s="391">
        <v>62.2</v>
      </c>
      <c r="AS64" s="391">
        <v>63.7</v>
      </c>
      <c r="AT64" s="410">
        <f>SUM(AP64:AS64)</f>
        <v>251.3</v>
      </c>
      <c r="AU64" s="391">
        <v>55.8</v>
      </c>
      <c r="AV64" s="391">
        <v>57.9</v>
      </c>
      <c r="AW64" s="391">
        <v>56.7</v>
      </c>
      <c r="AX64" s="391">
        <v>55.5</v>
      </c>
      <c r="AY64" s="410">
        <f>SUM(AU64:AX64)</f>
        <v>225.89999999999998</v>
      </c>
      <c r="AZ64" s="391">
        <v>55.4</v>
      </c>
      <c r="BA64" s="391">
        <v>55.7</v>
      </c>
      <c r="BB64" s="391">
        <v>51.7</v>
      </c>
      <c r="BC64" s="391">
        <v>56</v>
      </c>
      <c r="BD64" s="410">
        <f>SUM(AZ64:BC64)</f>
        <v>218.8</v>
      </c>
      <c r="BE64" s="391">
        <v>50.9</v>
      </c>
      <c r="BF64" s="391">
        <v>53</v>
      </c>
      <c r="BG64" s="391">
        <v>49.2</v>
      </c>
      <c r="BH64" s="391">
        <v>49.4</v>
      </c>
      <c r="BI64" s="410">
        <f>SUM(BE64:BH64)</f>
        <v>202.50000000000003</v>
      </c>
      <c r="BJ64" s="391">
        <v>43</v>
      </c>
      <c r="BK64" s="391">
        <v>43.6</v>
      </c>
      <c r="BL64" s="391">
        <v>42.7</v>
      </c>
      <c r="BM64" s="391">
        <v>45.4</v>
      </c>
      <c r="BN64" s="410">
        <f>SUM(BJ64:BM64)</f>
        <v>174.70000000000002</v>
      </c>
      <c r="BO64" s="391">
        <v>40.4</v>
      </c>
      <c r="BP64" s="391">
        <v>45.4</v>
      </c>
      <c r="BQ64" s="391">
        <v>42.2</v>
      </c>
      <c r="BR64" s="1069">
        <v>43.5</v>
      </c>
      <c r="BS64" s="410">
        <f>SUM(BO64:BR64)</f>
        <v>171.5</v>
      </c>
      <c r="BT64" s="391">
        <v>38.9</v>
      </c>
      <c r="BU64" s="391">
        <v>42.4</v>
      </c>
      <c r="BV64" s="391">
        <v>41.5</v>
      </c>
      <c r="BW64" s="391">
        <v>43.9</v>
      </c>
      <c r="BX64" s="410">
        <f>SUM(BT64:BW64)</f>
        <v>166.7</v>
      </c>
      <c r="BY64" s="391">
        <f>40</f>
        <v>40</v>
      </c>
      <c r="BZ64" s="383">
        <f t="shared" si="85"/>
        <v>40.279999999999994</v>
      </c>
      <c r="CA64" s="383">
        <f t="shared" si="85"/>
        <v>39.424999999999997</v>
      </c>
      <c r="CB64" s="383">
        <f t="shared" si="85"/>
        <v>41.704999999999998</v>
      </c>
      <c r="CC64" s="410">
        <f>SUM(BY64:CB64)</f>
        <v>161.41</v>
      </c>
      <c r="CD64" s="410">
        <f t="shared" si="86"/>
        <v>153.33949999999999</v>
      </c>
      <c r="CE64" s="410">
        <f t="shared" si="86"/>
        <v>145.67252499999998</v>
      </c>
      <c r="CF64" s="410">
        <f t="shared" si="86"/>
        <v>138.38889874999998</v>
      </c>
      <c r="CG64" s="410">
        <f t="shared" si="86"/>
        <v>131.46945381249998</v>
      </c>
      <c r="CH64" s="410">
        <f t="shared" si="86"/>
        <v>124.89598112187497</v>
      </c>
    </row>
    <row r="65" spans="1:154" ht="12.75" customHeight="1">
      <c r="A65" s="9"/>
      <c r="B65" s="9"/>
      <c r="C65" s="9"/>
      <c r="D65" s="9"/>
      <c r="E65" s="9"/>
      <c r="F65" s="9"/>
      <c r="G65" s="9"/>
      <c r="H65" s="270" t="s">
        <v>676</v>
      </c>
      <c r="I65" s="257"/>
      <c r="J65" s="257"/>
      <c r="K65" s="257"/>
      <c r="L65" s="263"/>
      <c r="M65" s="263"/>
      <c r="N65" s="263"/>
      <c r="O65" s="263"/>
      <c r="P65" s="259"/>
      <c r="Q65" s="263"/>
      <c r="R65" s="263"/>
      <c r="S65" s="263"/>
      <c r="T65" s="263"/>
      <c r="U65" s="259"/>
      <c r="V65" s="263"/>
      <c r="W65" s="263"/>
      <c r="X65" s="263"/>
      <c r="Y65" s="263"/>
      <c r="Z65" s="259"/>
      <c r="AA65" s="263"/>
      <c r="AB65" s="263"/>
      <c r="AC65" s="263"/>
      <c r="AD65" s="263"/>
      <c r="AE65" s="79"/>
      <c r="AF65" s="263"/>
      <c r="AG65" s="263"/>
      <c r="AH65" s="263"/>
      <c r="AI65" s="263"/>
      <c r="AJ65" s="79"/>
      <c r="AK65" s="263"/>
      <c r="AL65" s="263"/>
      <c r="AM65" s="263"/>
      <c r="AN65" s="263"/>
      <c r="AO65" s="410"/>
      <c r="AP65" s="455">
        <f t="shared" ref="AP65:BC65" si="87">AP66+AP67</f>
        <v>0</v>
      </c>
      <c r="AQ65" s="455">
        <f t="shared" si="87"/>
        <v>2.2000000000000002</v>
      </c>
      <c r="AR65" s="455">
        <f t="shared" si="87"/>
        <v>5.2</v>
      </c>
      <c r="AS65" s="455">
        <f>AS66+AS67</f>
        <v>15.5</v>
      </c>
      <c r="AT65" s="428">
        <f t="shared" si="87"/>
        <v>22.9</v>
      </c>
      <c r="AU65" s="455">
        <f t="shared" si="87"/>
        <v>16.3</v>
      </c>
      <c r="AV65" s="455">
        <f>AV66+AV67</f>
        <v>17.7</v>
      </c>
      <c r="AW65" s="455">
        <f t="shared" si="87"/>
        <v>16</v>
      </c>
      <c r="AX65" s="455">
        <f t="shared" si="87"/>
        <v>23.9</v>
      </c>
      <c r="AY65" s="428">
        <f t="shared" si="87"/>
        <v>73.900000000000006</v>
      </c>
      <c r="AZ65" s="455">
        <f t="shared" si="87"/>
        <v>37</v>
      </c>
      <c r="BA65" s="455">
        <f>BA66+BA67</f>
        <v>47.1</v>
      </c>
      <c r="BB65" s="455">
        <f t="shared" si="87"/>
        <v>40.599999999999994</v>
      </c>
      <c r="BC65" s="455">
        <f t="shared" si="87"/>
        <v>53.9</v>
      </c>
      <c r="BD65" s="428">
        <f t="shared" ref="BD65:BK65" si="88">BD66+BD67</f>
        <v>178.6</v>
      </c>
      <c r="BE65" s="420">
        <f t="shared" si="88"/>
        <v>39.5</v>
      </c>
      <c r="BF65" s="420">
        <f t="shared" si="88"/>
        <v>47.1</v>
      </c>
      <c r="BG65" s="420">
        <f>BG66+BG67</f>
        <v>36.299999999999997</v>
      </c>
      <c r="BH65" s="420">
        <f t="shared" si="88"/>
        <v>47.6</v>
      </c>
      <c r="BI65" s="428">
        <f t="shared" si="88"/>
        <v>170.5</v>
      </c>
      <c r="BJ65" s="420">
        <f t="shared" si="88"/>
        <v>39.099999999999994</v>
      </c>
      <c r="BK65" s="420">
        <f t="shared" si="88"/>
        <v>32.4</v>
      </c>
      <c r="BL65" s="420">
        <f t="shared" ref="BL65:BX65" si="89">BL66+BL67</f>
        <v>41.4</v>
      </c>
      <c r="BM65" s="420">
        <f t="shared" si="89"/>
        <v>41.6</v>
      </c>
      <c r="BN65" s="428">
        <f t="shared" si="89"/>
        <v>154.5</v>
      </c>
      <c r="BO65" s="420">
        <f t="shared" si="89"/>
        <v>37</v>
      </c>
      <c r="BP65" s="420">
        <f t="shared" si="89"/>
        <v>29.3</v>
      </c>
      <c r="BQ65" s="420">
        <f t="shared" si="89"/>
        <v>39</v>
      </c>
      <c r="BR65" s="420">
        <f t="shared" si="89"/>
        <v>40</v>
      </c>
      <c r="BS65" s="428">
        <f t="shared" si="89"/>
        <v>145.29999999999998</v>
      </c>
      <c r="BT65" s="420">
        <f t="shared" si="89"/>
        <v>27.3</v>
      </c>
      <c r="BU65" s="420">
        <f t="shared" si="89"/>
        <v>36.799999999999997</v>
      </c>
      <c r="BV65" s="420">
        <f t="shared" si="89"/>
        <v>8</v>
      </c>
      <c r="BW65" s="420">
        <f t="shared" si="89"/>
        <v>7.5</v>
      </c>
      <c r="BX65" s="428">
        <f t="shared" si="89"/>
        <v>79.600000000000009</v>
      </c>
      <c r="BY65" s="879"/>
      <c r="BZ65" s="879"/>
      <c r="CA65" s="879"/>
      <c r="CB65" s="879"/>
      <c r="CC65" s="878"/>
      <c r="CD65" s="878"/>
      <c r="CE65" s="878"/>
      <c r="CF65" s="878"/>
      <c r="CG65" s="878"/>
      <c r="CH65" s="878"/>
      <c r="EX65" s="1261" t="s">
        <v>676</v>
      </c>
    </row>
    <row r="66" spans="1:154" ht="12.75" customHeight="1">
      <c r="A66" s="9"/>
      <c r="B66" s="9"/>
      <c r="C66" s="9"/>
      <c r="D66" s="9"/>
      <c r="E66" s="9"/>
      <c r="F66" s="9"/>
      <c r="G66" s="9"/>
      <c r="H66" s="257" t="s">
        <v>1159</v>
      </c>
      <c r="I66" s="257"/>
      <c r="J66" s="257"/>
      <c r="K66" s="257"/>
      <c r="L66" s="263"/>
      <c r="M66" s="263"/>
      <c r="N66" s="263"/>
      <c r="O66" s="263"/>
      <c r="P66" s="259"/>
      <c r="Q66" s="263"/>
      <c r="R66" s="263"/>
      <c r="S66" s="263"/>
      <c r="T66" s="263"/>
      <c r="U66" s="259"/>
      <c r="V66" s="263"/>
      <c r="W66" s="263"/>
      <c r="X66" s="263"/>
      <c r="Y66" s="263"/>
      <c r="Z66" s="259"/>
      <c r="AA66" s="263"/>
      <c r="AB66" s="263"/>
      <c r="AC66" s="263"/>
      <c r="AD66" s="263"/>
      <c r="AE66" s="79"/>
      <c r="AF66" s="263"/>
      <c r="AG66" s="263"/>
      <c r="AH66" s="263"/>
      <c r="AI66" s="263"/>
      <c r="AJ66" s="79"/>
      <c r="AK66" s="263"/>
      <c r="AL66" s="263"/>
      <c r="AM66" s="263"/>
      <c r="AN66" s="263"/>
      <c r="AO66" s="410"/>
      <c r="AP66" s="391">
        <v>0</v>
      </c>
      <c r="AQ66" s="391">
        <v>2.2000000000000002</v>
      </c>
      <c r="AR66" s="391">
        <v>5.2</v>
      </c>
      <c r="AS66" s="391">
        <v>15.5</v>
      </c>
      <c r="AT66" s="410">
        <f>SUM(AP66:AS66)</f>
        <v>22.9</v>
      </c>
      <c r="AU66" s="391">
        <v>16.3</v>
      </c>
      <c r="AV66" s="391">
        <v>17.7</v>
      </c>
      <c r="AW66" s="391">
        <v>16</v>
      </c>
      <c r="AX66" s="391">
        <v>23.9</v>
      </c>
      <c r="AY66" s="410">
        <f>SUM(AU66:AX66)</f>
        <v>73.900000000000006</v>
      </c>
      <c r="AZ66" s="391">
        <v>37</v>
      </c>
      <c r="BA66" s="391">
        <v>46.7</v>
      </c>
      <c r="BB66" s="391">
        <v>40.299999999999997</v>
      </c>
      <c r="BC66" s="391">
        <v>53</v>
      </c>
      <c r="BD66" s="410">
        <f>SUM(AZ66:BC66)</f>
        <v>177</v>
      </c>
      <c r="BE66" s="391">
        <v>38.299999999999997</v>
      </c>
      <c r="BF66" s="391">
        <v>45.5</v>
      </c>
      <c r="BG66" s="391">
        <v>34.5</v>
      </c>
      <c r="BH66" s="391">
        <v>45.4</v>
      </c>
      <c r="BI66" s="410">
        <f>SUM(BE66:BH66)</f>
        <v>163.69999999999999</v>
      </c>
      <c r="BJ66" s="1068">
        <v>37.299999999999997</v>
      </c>
      <c r="BK66" s="1068">
        <v>30.4</v>
      </c>
      <c r="BL66" s="1068">
        <v>39.6</v>
      </c>
      <c r="BM66" s="1068">
        <v>40.200000000000003</v>
      </c>
      <c r="BN66" s="410">
        <f>SUM(BJ66:BM66)</f>
        <v>147.5</v>
      </c>
      <c r="BO66" s="1068">
        <v>35.6</v>
      </c>
      <c r="BP66" s="1068">
        <v>27.6</v>
      </c>
      <c r="BQ66" s="1068">
        <v>37.299999999999997</v>
      </c>
      <c r="BR66" s="1069">
        <v>38.1</v>
      </c>
      <c r="BS66" s="410">
        <f>SUM(BO66:BR66)</f>
        <v>138.6</v>
      </c>
      <c r="BT66" s="1218">
        <v>25.8</v>
      </c>
      <c r="BU66" s="1068">
        <v>35.4</v>
      </c>
      <c r="BV66" s="1068">
        <v>6.4</v>
      </c>
      <c r="BW66" s="1068">
        <v>5.9</v>
      </c>
      <c r="BX66" s="846">
        <f>SUM(BT66:BW66)</f>
        <v>73.500000000000014</v>
      </c>
      <c r="BY66" s="1210"/>
      <c r="BZ66" s="871"/>
      <c r="CA66" s="871"/>
      <c r="CB66" s="871"/>
      <c r="CC66" s="870"/>
      <c r="CD66" s="870"/>
      <c r="CE66" s="870"/>
      <c r="CF66" s="870"/>
      <c r="CG66" s="870"/>
      <c r="CH66" s="870"/>
    </row>
    <row r="67" spans="1:154" ht="12.75" customHeight="1">
      <c r="A67" s="9"/>
      <c r="B67" s="9"/>
      <c r="C67" s="9"/>
      <c r="D67" s="9"/>
      <c r="E67" s="9"/>
      <c r="F67" s="9"/>
      <c r="G67" s="9"/>
      <c r="H67" s="257" t="s">
        <v>232</v>
      </c>
      <c r="I67" s="257"/>
      <c r="J67" s="257"/>
      <c r="K67" s="257"/>
      <c r="L67" s="263"/>
      <c r="M67" s="263"/>
      <c r="N67" s="263"/>
      <c r="O67" s="263"/>
      <c r="P67" s="259"/>
      <c r="Q67" s="263"/>
      <c r="R67" s="263"/>
      <c r="S67" s="263"/>
      <c r="T67" s="263"/>
      <c r="U67" s="259"/>
      <c r="V67" s="263"/>
      <c r="W67" s="263"/>
      <c r="X67" s="263"/>
      <c r="Y67" s="263"/>
      <c r="Z67" s="259"/>
      <c r="AA67" s="263"/>
      <c r="AB67" s="263"/>
      <c r="AC67" s="263"/>
      <c r="AD67" s="263"/>
      <c r="AE67" s="79"/>
      <c r="AF67" s="263"/>
      <c r="AG67" s="263"/>
      <c r="AH67" s="263"/>
      <c r="AI67" s="263"/>
      <c r="AJ67" s="79"/>
      <c r="AK67" s="940">
        <v>0</v>
      </c>
      <c r="AL67" s="940">
        <v>0</v>
      </c>
      <c r="AM67" s="940">
        <v>0</v>
      </c>
      <c r="AN67" s="940">
        <v>0</v>
      </c>
      <c r="AO67" s="410"/>
      <c r="AP67" s="391"/>
      <c r="AQ67" s="391"/>
      <c r="AR67" s="391"/>
      <c r="AS67" s="391"/>
      <c r="AT67" s="410">
        <f>SUM(AP67:AS67)</f>
        <v>0</v>
      </c>
      <c r="AU67" s="391"/>
      <c r="AV67" s="391"/>
      <c r="AW67" s="391"/>
      <c r="AX67" s="391"/>
      <c r="AY67" s="410">
        <f>SUM(AU67:AX67)</f>
        <v>0</v>
      </c>
      <c r="AZ67" s="391">
        <v>0</v>
      </c>
      <c r="BA67" s="391">
        <v>0.4</v>
      </c>
      <c r="BB67" s="391">
        <v>0.3</v>
      </c>
      <c r="BC67" s="391">
        <v>0.9</v>
      </c>
      <c r="BD67" s="410">
        <f>SUM(AZ67:BC67)</f>
        <v>1.6</v>
      </c>
      <c r="BE67" s="391">
        <v>1.2</v>
      </c>
      <c r="BF67" s="391">
        <v>1.6</v>
      </c>
      <c r="BG67" s="391">
        <v>1.8</v>
      </c>
      <c r="BH67" s="391">
        <v>2.2000000000000002</v>
      </c>
      <c r="BI67" s="410">
        <f>SUM(BE67:BH67)</f>
        <v>6.8</v>
      </c>
      <c r="BJ67" s="1068">
        <v>1.8</v>
      </c>
      <c r="BK67" s="1068">
        <v>2</v>
      </c>
      <c r="BL67" s="1068">
        <v>1.8</v>
      </c>
      <c r="BM67" s="1068">
        <v>1.4</v>
      </c>
      <c r="BN67" s="410">
        <f>SUM(BJ67:BM67)</f>
        <v>7</v>
      </c>
      <c r="BO67" s="1068">
        <v>1.4</v>
      </c>
      <c r="BP67" s="1068">
        <v>1.7</v>
      </c>
      <c r="BQ67" s="1068">
        <v>1.7</v>
      </c>
      <c r="BR67" s="1069">
        <v>1.9</v>
      </c>
      <c r="BS67" s="410">
        <f>SUM(BO67:BR67)</f>
        <v>6.6999999999999993</v>
      </c>
      <c r="BT67" s="1068">
        <v>1.5</v>
      </c>
      <c r="BU67" s="1068">
        <v>1.4</v>
      </c>
      <c r="BV67" s="1068">
        <v>1.6</v>
      </c>
      <c r="BW67" s="1068">
        <v>1.6</v>
      </c>
      <c r="BX67" s="410">
        <f>SUM(BT67:BW67)</f>
        <v>6.1</v>
      </c>
      <c r="BY67" s="1210"/>
      <c r="BZ67" s="871"/>
      <c r="CA67" s="871"/>
      <c r="CB67" s="871"/>
      <c r="CC67" s="870"/>
      <c r="CD67" s="870"/>
      <c r="CE67" s="870"/>
      <c r="CF67" s="870"/>
      <c r="CG67" s="870"/>
      <c r="CH67" s="870"/>
    </row>
    <row r="68" spans="1:154">
      <c r="A68" s="9"/>
      <c r="B68" s="9"/>
      <c r="C68" s="9"/>
      <c r="D68" s="9"/>
      <c r="E68" s="9"/>
      <c r="F68" s="9"/>
      <c r="G68" s="9"/>
      <c r="H68" s="18" t="s">
        <v>1054</v>
      </c>
      <c r="I68" s="73"/>
      <c r="J68" s="73"/>
      <c r="K68" s="73"/>
      <c r="L68" s="66"/>
      <c r="M68" s="66"/>
      <c r="N68" s="66"/>
      <c r="O68" s="66"/>
      <c r="Q68" s="310"/>
      <c r="R68" s="310"/>
      <c r="S68" s="310"/>
      <c r="T68" s="310"/>
      <c r="U68" s="311"/>
      <c r="V68" s="310"/>
      <c r="W68" s="310"/>
      <c r="X68" s="310"/>
      <c r="Y68" s="310"/>
      <c r="Z68" s="311"/>
      <c r="AA68" s="315"/>
      <c r="AB68" s="315"/>
      <c r="AC68" s="315"/>
      <c r="AD68" s="315"/>
      <c r="AE68" s="311"/>
      <c r="AF68" s="315"/>
      <c r="AG68" s="315"/>
      <c r="AH68" s="315"/>
      <c r="AI68" s="315"/>
      <c r="AJ68" s="311"/>
      <c r="AK68" s="315"/>
      <c r="AL68" s="315"/>
      <c r="AM68" s="315"/>
      <c r="AN68" s="315"/>
      <c r="AO68" s="410"/>
      <c r="AP68" s="420">
        <f t="shared" ref="AP68:BC68" si="90">AP69+AP70</f>
        <v>0</v>
      </c>
      <c r="AQ68" s="420">
        <f t="shared" si="90"/>
        <v>5.6</v>
      </c>
      <c r="AR68" s="420">
        <f t="shared" si="90"/>
        <v>2.8000000000000003</v>
      </c>
      <c r="AS68" s="420">
        <f>AS69+AS70</f>
        <v>6.7</v>
      </c>
      <c r="AT68" s="428">
        <f t="shared" si="90"/>
        <v>15.1</v>
      </c>
      <c r="AU68" s="420">
        <f t="shared" si="90"/>
        <v>12.799999999999999</v>
      </c>
      <c r="AV68" s="420">
        <f>AV69+AV70</f>
        <v>13.200000000000001</v>
      </c>
      <c r="AW68" s="420">
        <f t="shared" si="90"/>
        <v>22.799999999999997</v>
      </c>
      <c r="AX68" s="420">
        <f t="shared" si="90"/>
        <v>39.900000000000006</v>
      </c>
      <c r="AY68" s="849">
        <f t="shared" si="90"/>
        <v>88.7</v>
      </c>
      <c r="AZ68" s="420">
        <f t="shared" si="90"/>
        <v>42.599999999999994</v>
      </c>
      <c r="BA68" s="420">
        <f>BA69+BA70</f>
        <v>54.8</v>
      </c>
      <c r="BB68" s="420">
        <f t="shared" si="90"/>
        <v>64.7</v>
      </c>
      <c r="BC68" s="420">
        <f t="shared" si="90"/>
        <v>87.1</v>
      </c>
      <c r="BD68" s="849">
        <f t="shared" ref="BD68:BK68" si="91">BD69+BD70</f>
        <v>249.2</v>
      </c>
      <c r="BE68" s="420">
        <f t="shared" si="91"/>
        <v>76.900000000000006</v>
      </c>
      <c r="BF68" s="420">
        <f t="shared" si="91"/>
        <v>90.300000000000011</v>
      </c>
      <c r="BG68" s="420">
        <f>BG69+BG70</f>
        <v>78.900000000000006</v>
      </c>
      <c r="BH68" s="420">
        <f t="shared" si="91"/>
        <v>82.7</v>
      </c>
      <c r="BI68" s="849">
        <f t="shared" si="91"/>
        <v>328.8</v>
      </c>
      <c r="BJ68" s="936">
        <f t="shared" si="91"/>
        <v>82.3</v>
      </c>
      <c r="BK68" s="936">
        <f t="shared" si="91"/>
        <v>80</v>
      </c>
      <c r="BL68" s="936">
        <f t="shared" ref="BL68:CH68" si="92">BL69+BL70</f>
        <v>92.699999999999989</v>
      </c>
      <c r="BM68" s="936">
        <f t="shared" si="92"/>
        <v>101.69999999999999</v>
      </c>
      <c r="BN68" s="849">
        <f t="shared" si="92"/>
        <v>356.70000000000005</v>
      </c>
      <c r="BO68" s="936">
        <f t="shared" si="92"/>
        <v>94.4</v>
      </c>
      <c r="BP68" s="936">
        <f t="shared" si="92"/>
        <v>121</v>
      </c>
      <c r="BQ68" s="936">
        <f t="shared" si="92"/>
        <v>115.4</v>
      </c>
      <c r="BR68" s="936">
        <f t="shared" si="92"/>
        <v>105.8</v>
      </c>
      <c r="BS68" s="849">
        <f t="shared" si="92"/>
        <v>436.6</v>
      </c>
      <c r="BT68" s="936">
        <f t="shared" si="92"/>
        <v>113</v>
      </c>
      <c r="BU68" s="936">
        <f t="shared" si="92"/>
        <v>141.9</v>
      </c>
      <c r="BV68" s="936">
        <f t="shared" si="92"/>
        <v>153.30000000000001</v>
      </c>
      <c r="BW68" s="936">
        <f t="shared" si="92"/>
        <v>129.69999999999999</v>
      </c>
      <c r="BX68" s="849">
        <f t="shared" si="92"/>
        <v>537.9</v>
      </c>
      <c r="BY68" s="936">
        <f t="shared" si="92"/>
        <v>141.1</v>
      </c>
      <c r="BZ68" s="936">
        <f t="shared" si="92"/>
        <v>165.29500000000002</v>
      </c>
      <c r="CA68" s="936">
        <f t="shared" si="92"/>
        <v>171.97800000000001</v>
      </c>
      <c r="CB68" s="936">
        <f t="shared" si="92"/>
        <v>175.27600000000001</v>
      </c>
      <c r="CC68" s="849">
        <f t="shared" si="92"/>
        <v>653.649</v>
      </c>
      <c r="CD68" s="849">
        <f t="shared" si="92"/>
        <v>721.9200800000001</v>
      </c>
      <c r="CE68" s="849">
        <f t="shared" si="92"/>
        <v>771.4385784000001</v>
      </c>
      <c r="CF68" s="849">
        <f t="shared" si="92"/>
        <v>806.19574190400022</v>
      </c>
      <c r="CG68" s="849">
        <f t="shared" si="92"/>
        <v>797.37594123600024</v>
      </c>
      <c r="CH68" s="849">
        <f t="shared" si="92"/>
        <v>753.49251415368019</v>
      </c>
      <c r="CI68" s="343"/>
      <c r="EX68" s="1261" t="s">
        <v>1054</v>
      </c>
    </row>
    <row r="69" spans="1:154">
      <c r="A69" s="9"/>
      <c r="B69" s="9"/>
      <c r="C69" s="9"/>
      <c r="D69" s="9"/>
      <c r="E69" s="9"/>
      <c r="F69" s="9"/>
      <c r="G69" s="9"/>
      <c r="H69" s="257" t="s">
        <v>1160</v>
      </c>
      <c r="I69" s="73"/>
      <c r="J69" s="73"/>
      <c r="K69" s="73"/>
      <c r="L69" s="66"/>
      <c r="M69" s="66"/>
      <c r="N69" s="66"/>
      <c r="O69" s="66"/>
      <c r="Q69" s="310"/>
      <c r="R69" s="310"/>
      <c r="S69" s="310"/>
      <c r="T69" s="310"/>
      <c r="U69" s="311"/>
      <c r="V69" s="310"/>
      <c r="W69" s="310"/>
      <c r="X69" s="310"/>
      <c r="Y69" s="310"/>
      <c r="Z69" s="311"/>
      <c r="AA69" s="315"/>
      <c r="AB69" s="315"/>
      <c r="AC69" s="315"/>
      <c r="AD69" s="315"/>
      <c r="AE69" s="311"/>
      <c r="AF69" s="315"/>
      <c r="AG69" s="315"/>
      <c r="AH69" s="315"/>
      <c r="AI69" s="315"/>
      <c r="AJ69" s="311"/>
      <c r="AK69" s="315"/>
      <c r="AL69" s="315"/>
      <c r="AM69" s="315"/>
      <c r="AN69" s="315"/>
      <c r="AO69" s="410"/>
      <c r="AP69" s="905">
        <v>0</v>
      </c>
      <c r="AQ69" s="905">
        <v>5.6</v>
      </c>
      <c r="AR69" s="905">
        <v>0.6</v>
      </c>
      <c r="AS69" s="905">
        <v>5.4</v>
      </c>
      <c r="AT69" s="410">
        <f>SUM(AP69:AS69)</f>
        <v>11.6</v>
      </c>
      <c r="AU69" s="905">
        <v>9.6999999999999993</v>
      </c>
      <c r="AV69" s="905">
        <v>9.3000000000000007</v>
      </c>
      <c r="AW69" s="905">
        <v>13.7</v>
      </c>
      <c r="AX69" s="391">
        <v>23.3</v>
      </c>
      <c r="AY69" s="410">
        <f>SUM(AU69:AX69)</f>
        <v>56</v>
      </c>
      <c r="AZ69" s="391">
        <v>24.4</v>
      </c>
      <c r="BA69" s="905">
        <v>24</v>
      </c>
      <c r="BB69" s="905">
        <v>29.1</v>
      </c>
      <c r="BC69" s="391">
        <v>41.1</v>
      </c>
      <c r="BD69" s="410">
        <f>SUM(AZ69:BC69)</f>
        <v>118.6</v>
      </c>
      <c r="BE69" s="391">
        <v>30.8</v>
      </c>
      <c r="BF69" s="391">
        <v>36.6</v>
      </c>
      <c r="BG69" s="391">
        <v>24.1</v>
      </c>
      <c r="BH69" s="391">
        <v>26.8</v>
      </c>
      <c r="BI69" s="410">
        <f>SUM(BE69:BH69)</f>
        <v>118.3</v>
      </c>
      <c r="BJ69" s="1069">
        <v>31.9</v>
      </c>
      <c r="BK69" s="1069">
        <v>33.9</v>
      </c>
      <c r="BL69" s="1069">
        <v>38.4</v>
      </c>
      <c r="BM69" s="1069">
        <v>38.299999999999997</v>
      </c>
      <c r="BN69" s="410">
        <f>SUM(BJ69:BM69)</f>
        <v>142.5</v>
      </c>
      <c r="BO69" s="1069">
        <v>38.299999999999997</v>
      </c>
      <c r="BP69" s="1069">
        <v>48.6</v>
      </c>
      <c r="BQ69" s="1069">
        <v>47.9</v>
      </c>
      <c r="BR69" s="1069">
        <v>31</v>
      </c>
      <c r="BS69" s="410">
        <f>SUM(BO69:BR69)</f>
        <v>165.8</v>
      </c>
      <c r="BT69" s="391">
        <v>45.4</v>
      </c>
      <c r="BU69" s="1069">
        <v>60.4</v>
      </c>
      <c r="BV69" s="1069">
        <v>68.400000000000006</v>
      </c>
      <c r="BW69" s="1069">
        <v>39</v>
      </c>
      <c r="BX69" s="410">
        <f>SUM(BT69:BW69)</f>
        <v>213.2</v>
      </c>
      <c r="BY69" s="391">
        <f>54.1</f>
        <v>54.1</v>
      </c>
      <c r="BZ69" s="811">
        <f t="shared" ref="BZ69:CB70" si="93">BU69*(1+BZ299)</f>
        <v>63.42</v>
      </c>
      <c r="CA69" s="811">
        <f t="shared" si="93"/>
        <v>68.400000000000006</v>
      </c>
      <c r="CB69" s="811">
        <f t="shared" si="93"/>
        <v>68.25</v>
      </c>
      <c r="CC69" s="410">
        <f>SUM(BY69:CB69)</f>
        <v>254.17000000000002</v>
      </c>
      <c r="CD69" s="410">
        <f t="shared" ref="CD69:CH70" si="94">CC69*(1+CD299)</f>
        <v>274.50360000000006</v>
      </c>
      <c r="CE69" s="410">
        <f t="shared" si="94"/>
        <v>288.22878000000009</v>
      </c>
      <c r="CF69" s="410">
        <f t="shared" si="94"/>
        <v>293.99335560000009</v>
      </c>
      <c r="CG69" s="410">
        <f t="shared" si="94"/>
        <v>285.17355493200006</v>
      </c>
      <c r="CH69" s="410">
        <f t="shared" si="94"/>
        <v>256.65619943880006</v>
      </c>
      <c r="CI69" s="343"/>
    </row>
    <row r="70" spans="1:154">
      <c r="A70" s="9"/>
      <c r="B70" s="9"/>
      <c r="C70" s="9"/>
      <c r="D70" s="9"/>
      <c r="E70" s="9"/>
      <c r="F70" s="9"/>
      <c r="G70" s="9"/>
      <c r="H70" s="73" t="s">
        <v>232</v>
      </c>
      <c r="I70" s="73"/>
      <c r="J70" s="73"/>
      <c r="K70" s="73"/>
      <c r="L70" s="66"/>
      <c r="M70" s="66"/>
      <c r="N70" s="66"/>
      <c r="O70" s="66"/>
      <c r="Q70" s="310"/>
      <c r="R70" s="310"/>
      <c r="S70" s="310"/>
      <c r="T70" s="310"/>
      <c r="U70" s="311"/>
      <c r="V70" s="310"/>
      <c r="W70" s="310"/>
      <c r="X70" s="310"/>
      <c r="Y70" s="310"/>
      <c r="Z70" s="311"/>
      <c r="AA70" s="315"/>
      <c r="AB70" s="315"/>
      <c r="AC70" s="315"/>
      <c r="AD70" s="315"/>
      <c r="AE70" s="311"/>
      <c r="AF70" s="315"/>
      <c r="AG70" s="315"/>
      <c r="AH70" s="315"/>
      <c r="AI70" s="315"/>
      <c r="AJ70" s="311"/>
      <c r="AK70" s="315"/>
      <c r="AL70" s="315"/>
      <c r="AM70" s="315"/>
      <c r="AN70" s="315"/>
      <c r="AO70" s="410"/>
      <c r="AP70" s="905">
        <v>0</v>
      </c>
      <c r="AQ70" s="905">
        <v>0</v>
      </c>
      <c r="AR70" s="905">
        <v>2.2000000000000002</v>
      </c>
      <c r="AS70" s="905">
        <v>1.3</v>
      </c>
      <c r="AT70" s="410">
        <f>SUM(AP70:AS70)</f>
        <v>3.5</v>
      </c>
      <c r="AU70" s="905">
        <v>3.1</v>
      </c>
      <c r="AV70" s="905">
        <v>3.9</v>
      </c>
      <c r="AW70" s="905">
        <v>9.1</v>
      </c>
      <c r="AX70" s="391">
        <v>16.600000000000001</v>
      </c>
      <c r="AY70" s="410">
        <f>SUM(AU70:AX70)</f>
        <v>32.700000000000003</v>
      </c>
      <c r="AZ70" s="391">
        <v>18.2</v>
      </c>
      <c r="BA70" s="905">
        <v>30.8</v>
      </c>
      <c r="BB70" s="905">
        <v>35.6</v>
      </c>
      <c r="BC70" s="391">
        <v>46</v>
      </c>
      <c r="BD70" s="410">
        <f>SUM(AZ70:BC70)</f>
        <v>130.6</v>
      </c>
      <c r="BE70" s="391">
        <v>46.1</v>
      </c>
      <c r="BF70" s="391">
        <v>53.7</v>
      </c>
      <c r="BG70" s="391">
        <v>54.8</v>
      </c>
      <c r="BH70" s="391">
        <v>55.9</v>
      </c>
      <c r="BI70" s="410">
        <f>SUM(BE70:BH70)</f>
        <v>210.50000000000003</v>
      </c>
      <c r="BJ70" s="1069">
        <v>50.4</v>
      </c>
      <c r="BK70" s="1069">
        <v>46.1</v>
      </c>
      <c r="BL70" s="1069">
        <v>54.3</v>
      </c>
      <c r="BM70" s="1069">
        <v>63.4</v>
      </c>
      <c r="BN70" s="410">
        <f>SUM(BJ70:BM70)</f>
        <v>214.20000000000002</v>
      </c>
      <c r="BO70" s="1069">
        <v>56.1</v>
      </c>
      <c r="BP70" s="1069">
        <v>72.400000000000006</v>
      </c>
      <c r="BQ70" s="1069">
        <v>67.5</v>
      </c>
      <c r="BR70" s="1069">
        <v>74.8</v>
      </c>
      <c r="BS70" s="410">
        <f>SUM(BO70:BR70)</f>
        <v>270.8</v>
      </c>
      <c r="BT70" s="391">
        <v>67.599999999999994</v>
      </c>
      <c r="BU70" s="1069">
        <v>81.5</v>
      </c>
      <c r="BV70" s="1069">
        <v>84.9</v>
      </c>
      <c r="BW70" s="1069">
        <v>90.7</v>
      </c>
      <c r="BX70" s="410">
        <f>SUM(BT70:BW70)</f>
        <v>324.7</v>
      </c>
      <c r="BY70" s="391">
        <f>87</f>
        <v>87</v>
      </c>
      <c r="BZ70" s="811">
        <f t="shared" si="93"/>
        <v>101.875</v>
      </c>
      <c r="CA70" s="811">
        <f t="shared" si="93"/>
        <v>103.578</v>
      </c>
      <c r="CB70" s="811">
        <f t="shared" si="93"/>
        <v>107.026</v>
      </c>
      <c r="CC70" s="410">
        <f>SUM(BY70:CB70)</f>
        <v>399.47899999999998</v>
      </c>
      <c r="CD70" s="410">
        <f t="shared" si="94"/>
        <v>447.41648000000004</v>
      </c>
      <c r="CE70" s="410">
        <f t="shared" si="94"/>
        <v>483.20979840000007</v>
      </c>
      <c r="CF70" s="410">
        <f t="shared" si="94"/>
        <v>512.20238630400013</v>
      </c>
      <c r="CG70" s="410">
        <f t="shared" si="94"/>
        <v>512.20238630400013</v>
      </c>
      <c r="CH70" s="410">
        <f t="shared" si="94"/>
        <v>496.83631471488013</v>
      </c>
      <c r="CI70" s="343"/>
    </row>
    <row r="71" spans="1:154">
      <c r="A71" s="9"/>
      <c r="B71" s="9"/>
      <c r="C71" s="9"/>
      <c r="D71" s="9"/>
      <c r="E71" s="9"/>
      <c r="F71" s="9"/>
      <c r="G71" s="9"/>
      <c r="H71" s="18" t="s">
        <v>1053</v>
      </c>
      <c r="I71" s="73"/>
      <c r="J71" s="73"/>
      <c r="K71" s="73"/>
      <c r="L71" s="66"/>
      <c r="M71" s="66"/>
      <c r="N71" s="66"/>
      <c r="O71" s="66"/>
      <c r="Q71" s="310"/>
      <c r="R71" s="310"/>
      <c r="S71" s="310"/>
      <c r="T71" s="310"/>
      <c r="U71" s="311"/>
      <c r="V71" s="310"/>
      <c r="W71" s="310"/>
      <c r="X71" s="310"/>
      <c r="Y71" s="310"/>
      <c r="Z71" s="311"/>
      <c r="AA71" s="315"/>
      <c r="AB71" s="315"/>
      <c r="AC71" s="315"/>
      <c r="AD71" s="315"/>
      <c r="AE71" s="311"/>
      <c r="AF71" s="315"/>
      <c r="AG71" s="315"/>
      <c r="AH71" s="315"/>
      <c r="AI71" s="315"/>
      <c r="AJ71" s="311"/>
      <c r="AK71" s="315"/>
      <c r="AL71" s="315"/>
      <c r="AM71" s="315"/>
      <c r="AN71" s="315"/>
      <c r="AO71" s="410"/>
      <c r="AP71" s="420">
        <f>AP72+AP73</f>
        <v>0</v>
      </c>
      <c r="AQ71" s="420">
        <f>AQ72+AQ73</f>
        <v>5.6</v>
      </c>
      <c r="AR71" s="420">
        <f>AR72+AR73</f>
        <v>2.8000000000000003</v>
      </c>
      <c r="AS71" s="420">
        <f>AS72+AS73</f>
        <v>6.7</v>
      </c>
      <c r="AT71" s="428"/>
      <c r="AU71" s="420"/>
      <c r="AV71" s="420"/>
      <c r="AW71" s="420"/>
      <c r="AX71" s="420"/>
      <c r="AY71" s="849"/>
      <c r="AZ71" s="420"/>
      <c r="BA71" s="420"/>
      <c r="BB71" s="420"/>
      <c r="BC71" s="420"/>
      <c r="BD71" s="849"/>
      <c r="BE71" s="420"/>
      <c r="BF71" s="420"/>
      <c r="BG71" s="420">
        <f t="shared" ref="BG71:CH71" si="95">BG72+BG73</f>
        <v>4.5</v>
      </c>
      <c r="BH71" s="420">
        <f t="shared" si="95"/>
        <v>5.6</v>
      </c>
      <c r="BI71" s="849">
        <f t="shared" si="95"/>
        <v>10.1</v>
      </c>
      <c r="BJ71" s="936">
        <f t="shared" si="95"/>
        <v>19.299999999999997</v>
      </c>
      <c r="BK71" s="936">
        <f t="shared" si="95"/>
        <v>11.1</v>
      </c>
      <c r="BL71" s="936">
        <f t="shared" si="95"/>
        <v>15.4</v>
      </c>
      <c r="BM71" s="936">
        <f t="shared" si="95"/>
        <v>14.6</v>
      </c>
      <c r="BN71" s="849">
        <f t="shared" si="95"/>
        <v>60.400000000000006</v>
      </c>
      <c r="BO71" s="936">
        <f t="shared" si="95"/>
        <v>38.200000000000003</v>
      </c>
      <c r="BP71" s="936">
        <f t="shared" si="95"/>
        <v>40.1</v>
      </c>
      <c r="BQ71" s="936">
        <f t="shared" si="95"/>
        <v>47.5</v>
      </c>
      <c r="BR71" s="936">
        <f t="shared" si="95"/>
        <v>76.199999999999989</v>
      </c>
      <c r="BS71" s="849">
        <f t="shared" si="95"/>
        <v>201.99999999999997</v>
      </c>
      <c r="BT71" s="936">
        <f t="shared" si="95"/>
        <v>73.900000000000006</v>
      </c>
      <c r="BU71" s="936">
        <f t="shared" si="95"/>
        <v>103.1</v>
      </c>
      <c r="BV71" s="936">
        <f t="shared" si="95"/>
        <v>127.19999999999999</v>
      </c>
      <c r="BW71" s="936">
        <f t="shared" si="95"/>
        <v>143.19999999999999</v>
      </c>
      <c r="BX71" s="849">
        <f t="shared" si="95"/>
        <v>447.4</v>
      </c>
      <c r="BY71" s="936">
        <f t="shared" si="95"/>
        <v>151</v>
      </c>
      <c r="BZ71" s="936">
        <f t="shared" si="95"/>
        <v>194.36500000000001</v>
      </c>
      <c r="CA71" s="936">
        <f t="shared" si="95"/>
        <v>220.57999999999998</v>
      </c>
      <c r="CB71" s="936">
        <f t="shared" si="95"/>
        <v>236.27999999999997</v>
      </c>
      <c r="CC71" s="849">
        <f t="shared" si="95"/>
        <v>802.22499999999991</v>
      </c>
      <c r="CD71" s="849">
        <f t="shared" si="95"/>
        <v>1087.2046499999999</v>
      </c>
      <c r="CE71" s="849">
        <f t="shared" si="95"/>
        <v>1345.1363799999999</v>
      </c>
      <c r="CF71" s="849">
        <f t="shared" si="95"/>
        <v>1548.6631775999999</v>
      </c>
      <c r="CG71" s="849">
        <f t="shared" si="95"/>
        <v>1676.0192944319999</v>
      </c>
      <c r="CH71" s="849">
        <f t="shared" si="95"/>
        <v>1759.8202591536001</v>
      </c>
      <c r="CI71" s="343"/>
      <c r="EX71" s="1261" t="s">
        <v>1053</v>
      </c>
    </row>
    <row r="72" spans="1:154">
      <c r="A72" s="9"/>
      <c r="B72" s="9"/>
      <c r="C72" s="9"/>
      <c r="D72" s="9"/>
      <c r="E72" s="9"/>
      <c r="F72" s="9"/>
      <c r="G72" s="9"/>
      <c r="H72" s="257" t="s">
        <v>1161</v>
      </c>
      <c r="I72" s="73"/>
      <c r="J72" s="73"/>
      <c r="K72" s="73"/>
      <c r="L72" s="66"/>
      <c r="M72" s="66"/>
      <c r="N72" s="66"/>
      <c r="O72" s="66"/>
      <c r="Q72" s="310"/>
      <c r="R72" s="310"/>
      <c r="S72" s="310"/>
      <c r="T72" s="310"/>
      <c r="U72" s="311"/>
      <c r="V72" s="310"/>
      <c r="W72" s="310"/>
      <c r="X72" s="310"/>
      <c r="Y72" s="310"/>
      <c r="Z72" s="311"/>
      <c r="AA72" s="315"/>
      <c r="AB72" s="315"/>
      <c r="AC72" s="315"/>
      <c r="AD72" s="315"/>
      <c r="AE72" s="311"/>
      <c r="AF72" s="315"/>
      <c r="AG72" s="315"/>
      <c r="AH72" s="315"/>
      <c r="AI72" s="315"/>
      <c r="AJ72" s="311"/>
      <c r="AK72" s="315"/>
      <c r="AL72" s="315"/>
      <c r="AM72" s="315"/>
      <c r="AN72" s="315"/>
      <c r="AO72" s="410"/>
      <c r="AP72" s="905">
        <v>0</v>
      </c>
      <c r="AQ72" s="905">
        <v>5.6</v>
      </c>
      <c r="AR72" s="905">
        <v>0.6</v>
      </c>
      <c r="AS72" s="905">
        <v>5.4</v>
      </c>
      <c r="AT72" s="410"/>
      <c r="AU72" s="905"/>
      <c r="AV72" s="905"/>
      <c r="AW72" s="905"/>
      <c r="AX72" s="391"/>
      <c r="AY72" s="410"/>
      <c r="AZ72" s="391"/>
      <c r="BA72" s="905"/>
      <c r="BB72" s="905"/>
      <c r="BC72" s="391"/>
      <c r="BD72" s="410"/>
      <c r="BE72" s="391"/>
      <c r="BF72" s="391"/>
      <c r="BG72" s="391">
        <v>4.4000000000000004</v>
      </c>
      <c r="BH72" s="391">
        <v>4.5999999999999996</v>
      </c>
      <c r="BI72" s="410">
        <f>SUM(BE72:BH72)</f>
        <v>9</v>
      </c>
      <c r="BJ72" s="1069">
        <v>15.2</v>
      </c>
      <c r="BK72" s="1069">
        <v>9.9</v>
      </c>
      <c r="BL72" s="1069">
        <v>13</v>
      </c>
      <c r="BM72" s="1069">
        <v>9.6</v>
      </c>
      <c r="BN72" s="410">
        <f>SUM(BJ72:BM72)</f>
        <v>47.7</v>
      </c>
      <c r="BO72" s="1069">
        <v>29.7</v>
      </c>
      <c r="BP72" s="1069">
        <v>26</v>
      </c>
      <c r="BQ72" s="1069">
        <v>32.9</v>
      </c>
      <c r="BR72" s="1069">
        <v>55.8</v>
      </c>
      <c r="BS72" s="410">
        <f>SUM(BO72:BR72)</f>
        <v>144.39999999999998</v>
      </c>
      <c r="BT72" s="391">
        <v>47.7</v>
      </c>
      <c r="BU72" s="1069">
        <v>66.8</v>
      </c>
      <c r="BV72" s="1069">
        <v>83.8</v>
      </c>
      <c r="BW72" s="1069">
        <v>92.1</v>
      </c>
      <c r="BX72" s="410">
        <f>SUM(BT72:BW72)</f>
        <v>290.39999999999998</v>
      </c>
      <c r="BY72" s="391">
        <f>95</f>
        <v>95</v>
      </c>
      <c r="BZ72" s="811">
        <f t="shared" ref="BZ72:CB73" si="96">BU72*(1+BZ302)</f>
        <v>123.58</v>
      </c>
      <c r="CA72" s="811">
        <f t="shared" si="96"/>
        <v>142.45999999999998</v>
      </c>
      <c r="CB72" s="811">
        <f t="shared" si="96"/>
        <v>151.96499999999997</v>
      </c>
      <c r="CC72" s="410">
        <f>SUM(BY72:CB72)</f>
        <v>513.00499999999988</v>
      </c>
      <c r="CD72" s="410">
        <f t="shared" ref="CD72:CH73" si="97">CC72*(1+CD302)</f>
        <v>682.29664999999989</v>
      </c>
      <c r="CE72" s="410">
        <f t="shared" si="97"/>
        <v>818.75597999999979</v>
      </c>
      <c r="CF72" s="410">
        <f t="shared" si="97"/>
        <v>917.00669759999982</v>
      </c>
      <c r="CG72" s="410">
        <f t="shared" si="97"/>
        <v>981.1971664319999</v>
      </c>
      <c r="CH72" s="410">
        <f t="shared" si="97"/>
        <v>1030.2570247536</v>
      </c>
      <c r="CI72" s="343"/>
    </row>
    <row r="73" spans="1:154">
      <c r="A73" s="9"/>
      <c r="B73" s="9"/>
      <c r="C73" s="9"/>
      <c r="D73" s="9"/>
      <c r="E73" s="9"/>
      <c r="F73" s="9"/>
      <c r="G73" s="9"/>
      <c r="H73" s="73" t="s">
        <v>232</v>
      </c>
      <c r="I73" s="73"/>
      <c r="J73" s="73"/>
      <c r="K73" s="73"/>
      <c r="L73" s="66"/>
      <c r="M73" s="66"/>
      <c r="N73" s="66"/>
      <c r="O73" s="66"/>
      <c r="Q73" s="310"/>
      <c r="R73" s="310"/>
      <c r="S73" s="310"/>
      <c r="T73" s="310"/>
      <c r="U73" s="311"/>
      <c r="V73" s="310"/>
      <c r="W73" s="310"/>
      <c r="X73" s="310"/>
      <c r="Y73" s="310"/>
      <c r="Z73" s="311"/>
      <c r="AA73" s="315"/>
      <c r="AB73" s="315"/>
      <c r="AC73" s="315"/>
      <c r="AD73" s="315"/>
      <c r="AE73" s="311"/>
      <c r="AF73" s="315"/>
      <c r="AG73" s="315"/>
      <c r="AH73" s="315"/>
      <c r="AI73" s="315"/>
      <c r="AJ73" s="311"/>
      <c r="AK73" s="315"/>
      <c r="AL73" s="315"/>
      <c r="AM73" s="315"/>
      <c r="AN73" s="315"/>
      <c r="AO73" s="410"/>
      <c r="AP73" s="905">
        <v>0</v>
      </c>
      <c r="AQ73" s="905">
        <v>0</v>
      </c>
      <c r="AR73" s="905">
        <v>2.2000000000000002</v>
      </c>
      <c r="AS73" s="905">
        <v>1.3</v>
      </c>
      <c r="AT73" s="410"/>
      <c r="AU73" s="905"/>
      <c r="AV73" s="905"/>
      <c r="AW73" s="905"/>
      <c r="AX73" s="391"/>
      <c r="AY73" s="410"/>
      <c r="AZ73" s="391"/>
      <c r="BA73" s="905"/>
      <c r="BB73" s="905"/>
      <c r="BC73" s="391"/>
      <c r="BD73" s="410"/>
      <c r="BE73" s="391"/>
      <c r="BF73" s="391"/>
      <c r="BG73" s="391">
        <v>0.1</v>
      </c>
      <c r="BH73" s="391">
        <v>1</v>
      </c>
      <c r="BI73" s="410">
        <f>SUM(BE73:BH73)</f>
        <v>1.1000000000000001</v>
      </c>
      <c r="BJ73" s="1069">
        <v>4.0999999999999996</v>
      </c>
      <c r="BK73" s="1069">
        <v>1.2</v>
      </c>
      <c r="BL73" s="1069">
        <v>2.4</v>
      </c>
      <c r="BM73" s="1069">
        <v>5</v>
      </c>
      <c r="BN73" s="410">
        <f>SUM(BJ73:BM73)</f>
        <v>12.7</v>
      </c>
      <c r="BO73" s="1069">
        <v>8.5</v>
      </c>
      <c r="BP73" s="1069">
        <v>14.1</v>
      </c>
      <c r="BQ73" s="1069">
        <v>14.6</v>
      </c>
      <c r="BR73" s="1069">
        <v>20.399999999999999</v>
      </c>
      <c r="BS73" s="410">
        <f>SUM(BO73:BR73)</f>
        <v>57.6</v>
      </c>
      <c r="BT73" s="391">
        <v>26.2</v>
      </c>
      <c r="BU73" s="1069">
        <v>36.299999999999997</v>
      </c>
      <c r="BV73" s="1069">
        <v>43.4</v>
      </c>
      <c r="BW73" s="1069">
        <v>51.1</v>
      </c>
      <c r="BX73" s="410">
        <f>SUM(BT73:BW73)</f>
        <v>157</v>
      </c>
      <c r="BY73" s="391">
        <f>56</f>
        <v>56</v>
      </c>
      <c r="BZ73" s="811">
        <f t="shared" si="96"/>
        <v>70.784999999999997</v>
      </c>
      <c r="CA73" s="811">
        <f t="shared" si="96"/>
        <v>78.12</v>
      </c>
      <c r="CB73" s="811">
        <f t="shared" si="96"/>
        <v>84.314999999999998</v>
      </c>
      <c r="CC73" s="410">
        <f>SUM(BY73:CB73)</f>
        <v>289.22000000000003</v>
      </c>
      <c r="CD73" s="410">
        <f t="shared" si="97"/>
        <v>404.90800000000002</v>
      </c>
      <c r="CE73" s="410">
        <f t="shared" si="97"/>
        <v>526.38040000000001</v>
      </c>
      <c r="CF73" s="410">
        <f t="shared" si="97"/>
        <v>631.65647999999999</v>
      </c>
      <c r="CG73" s="410">
        <f t="shared" si="97"/>
        <v>694.82212800000002</v>
      </c>
      <c r="CH73" s="410">
        <f t="shared" si="97"/>
        <v>729.56323440000006</v>
      </c>
      <c r="CI73" s="343"/>
    </row>
    <row r="74" spans="1:154">
      <c r="A74" s="9"/>
      <c r="B74" s="9"/>
      <c r="C74" s="9"/>
      <c r="D74" s="9"/>
      <c r="E74" s="9"/>
      <c r="F74" s="9"/>
      <c r="G74" s="9"/>
      <c r="H74" s="18" t="s">
        <v>796</v>
      </c>
      <c r="I74" s="73"/>
      <c r="J74" s="73"/>
      <c r="K74" s="73"/>
      <c r="L74" s="66"/>
      <c r="M74" s="66"/>
      <c r="N74" s="66"/>
      <c r="O74" s="66"/>
      <c r="Q74" s="310"/>
      <c r="R74" s="310"/>
      <c r="S74" s="310"/>
      <c r="T74" s="310"/>
      <c r="U74" s="311"/>
      <c r="V74" s="310"/>
      <c r="W74" s="310"/>
      <c r="X74" s="310"/>
      <c r="Y74" s="310"/>
      <c r="Z74" s="311"/>
      <c r="AA74" s="315"/>
      <c r="AB74" s="315"/>
      <c r="AC74" s="315"/>
      <c r="AD74" s="315"/>
      <c r="AE74" s="311"/>
      <c r="AF74" s="315"/>
      <c r="AG74" s="315"/>
      <c r="AH74" s="315"/>
      <c r="AI74" s="315"/>
      <c r="AJ74" s="311"/>
      <c r="AK74" s="315"/>
      <c r="AL74" s="315"/>
      <c r="AM74" s="315"/>
      <c r="AN74" s="315"/>
      <c r="AO74" s="410"/>
      <c r="AP74" s="905"/>
      <c r="AQ74" s="905"/>
      <c r="AR74" s="905"/>
      <c r="AS74" s="905"/>
      <c r="AT74" s="410"/>
      <c r="AU74" s="905"/>
      <c r="AV74" s="905"/>
      <c r="AW74" s="905"/>
      <c r="AX74" s="391"/>
      <c r="AY74" s="345"/>
      <c r="AZ74" s="391"/>
      <c r="BA74" s="905"/>
      <c r="BB74" s="905"/>
      <c r="BC74" s="391"/>
      <c r="BD74" s="410"/>
      <c r="BE74" s="391"/>
      <c r="BF74" s="391"/>
      <c r="BG74" s="391"/>
      <c r="BH74" s="420">
        <f t="shared" ref="BH74:BR74" si="98">BH75+BH76</f>
        <v>10.199999999999999</v>
      </c>
      <c r="BI74" s="849">
        <f>BI75+BI76</f>
        <v>10.199999999999999</v>
      </c>
      <c r="BJ74" s="936">
        <f t="shared" si="98"/>
        <v>18.3</v>
      </c>
      <c r="BK74" s="936">
        <f t="shared" si="98"/>
        <v>44.3</v>
      </c>
      <c r="BL74" s="936">
        <f>BL75+BL76</f>
        <v>73.7</v>
      </c>
      <c r="BM74" s="936">
        <f>BM75+BM76</f>
        <v>112.5</v>
      </c>
      <c r="BN74" s="849">
        <f t="shared" si="98"/>
        <v>248.8</v>
      </c>
      <c r="BO74" s="936">
        <f t="shared" si="98"/>
        <v>143.6</v>
      </c>
      <c r="BP74" s="936">
        <f t="shared" si="98"/>
        <v>201.3</v>
      </c>
      <c r="BQ74" s="936">
        <f t="shared" si="98"/>
        <v>243.6</v>
      </c>
      <c r="BR74" s="936">
        <f t="shared" si="98"/>
        <v>337.1</v>
      </c>
      <c r="BS74" s="849">
        <f t="shared" ref="BS74:CH74" si="99">BS75+BS76</f>
        <v>925.6</v>
      </c>
      <c r="BT74" s="936">
        <f t="shared" si="99"/>
        <v>372.9</v>
      </c>
      <c r="BU74" s="936">
        <f t="shared" si="99"/>
        <v>480.2</v>
      </c>
      <c r="BV74" s="936">
        <f t="shared" si="99"/>
        <v>527.69999999999993</v>
      </c>
      <c r="BW74" s="936">
        <f t="shared" si="99"/>
        <v>649</v>
      </c>
      <c r="BX74" s="849">
        <f t="shared" si="99"/>
        <v>2029.7999999999997</v>
      </c>
      <c r="BY74" s="936">
        <f t="shared" si="99"/>
        <v>678.30000000000007</v>
      </c>
      <c r="BZ74" s="936">
        <f t="shared" si="99"/>
        <v>742.81299999999999</v>
      </c>
      <c r="CA74" s="936">
        <f t="shared" si="99"/>
        <v>803.03</v>
      </c>
      <c r="CB74" s="936">
        <f t="shared" si="99"/>
        <v>886.39599999999996</v>
      </c>
      <c r="CC74" s="849">
        <f t="shared" si="99"/>
        <v>3110.5389999999998</v>
      </c>
      <c r="CD74" s="849">
        <f t="shared" si="99"/>
        <v>4161.7422800000004</v>
      </c>
      <c r="CE74" s="849">
        <f t="shared" si="99"/>
        <v>4944.8657248</v>
      </c>
      <c r="CF74" s="849">
        <f t="shared" si="99"/>
        <v>5490.5281731840005</v>
      </c>
      <c r="CG74" s="849">
        <f t="shared" si="99"/>
        <v>5840.0911770432003</v>
      </c>
      <c r="CH74" s="849">
        <f t="shared" si="99"/>
        <v>6048.3100142424964</v>
      </c>
      <c r="CI74" s="343"/>
      <c r="EX74" s="1261" t="s">
        <v>796</v>
      </c>
    </row>
    <row r="75" spans="1:154">
      <c r="A75" s="9"/>
      <c r="B75" s="9"/>
      <c r="C75" s="9"/>
      <c r="D75" s="9"/>
      <c r="E75" s="9"/>
      <c r="F75" s="9"/>
      <c r="G75" s="9"/>
      <c r="H75" s="257" t="s">
        <v>1162</v>
      </c>
      <c r="I75" s="73"/>
      <c r="J75" s="73"/>
      <c r="K75" s="73"/>
      <c r="L75" s="66"/>
      <c r="M75" s="66"/>
      <c r="N75" s="66"/>
      <c r="O75" s="66"/>
      <c r="Q75" s="310"/>
      <c r="R75" s="310"/>
      <c r="S75" s="310"/>
      <c r="T75" s="310"/>
      <c r="U75" s="311"/>
      <c r="V75" s="310"/>
      <c r="W75" s="310"/>
      <c r="X75" s="310"/>
      <c r="Y75" s="310"/>
      <c r="Z75" s="311"/>
      <c r="AA75" s="315"/>
      <c r="AB75" s="315"/>
      <c r="AC75" s="315"/>
      <c r="AD75" s="315"/>
      <c r="AE75" s="311"/>
      <c r="AF75" s="315"/>
      <c r="AG75" s="315"/>
      <c r="AH75" s="315"/>
      <c r="AI75" s="315"/>
      <c r="AJ75" s="311"/>
      <c r="AK75" s="315"/>
      <c r="AL75" s="315"/>
      <c r="AM75" s="315"/>
      <c r="AN75" s="315"/>
      <c r="AO75" s="410"/>
      <c r="AP75" s="905"/>
      <c r="AQ75" s="905"/>
      <c r="AR75" s="905"/>
      <c r="AS75" s="905"/>
      <c r="AT75" s="410"/>
      <c r="AU75" s="905"/>
      <c r="AV75" s="905"/>
      <c r="AW75" s="905"/>
      <c r="AX75" s="391"/>
      <c r="AY75" s="410"/>
      <c r="AZ75" s="391"/>
      <c r="BA75" s="905"/>
      <c r="BB75" s="905"/>
      <c r="BC75" s="391"/>
      <c r="BD75" s="410"/>
      <c r="BE75" s="391"/>
      <c r="BF75" s="391"/>
      <c r="BG75" s="391"/>
      <c r="BH75" s="391">
        <v>10.199999999999999</v>
      </c>
      <c r="BI75" s="410">
        <f>SUM(BE75:BH75)</f>
        <v>10.199999999999999</v>
      </c>
      <c r="BJ75" s="1069">
        <v>14.9</v>
      </c>
      <c r="BK75" s="1069">
        <v>37.299999999999997</v>
      </c>
      <c r="BL75" s="1069">
        <v>63.2</v>
      </c>
      <c r="BM75" s="1069">
        <v>92.4</v>
      </c>
      <c r="BN75" s="410">
        <f>SUM(BJ75:BM75)</f>
        <v>207.8</v>
      </c>
      <c r="BO75" s="1069">
        <v>119.4</v>
      </c>
      <c r="BP75" s="1069">
        <v>161.4</v>
      </c>
      <c r="BQ75" s="1069">
        <v>188.7</v>
      </c>
      <c r="BR75" s="1069">
        <v>268.10000000000002</v>
      </c>
      <c r="BS75" s="410">
        <f>SUM(BO75:BR75)</f>
        <v>737.6</v>
      </c>
      <c r="BT75" s="391">
        <v>296.3</v>
      </c>
      <c r="BU75" s="1069">
        <v>380.9</v>
      </c>
      <c r="BV75" s="1069">
        <v>412.9</v>
      </c>
      <c r="BW75" s="1069">
        <v>519.79999999999995</v>
      </c>
      <c r="BX75" s="410">
        <f>SUM(BT75:BW75)</f>
        <v>1609.8999999999999</v>
      </c>
      <c r="BY75" s="391">
        <f>528.2</f>
        <v>528.20000000000005</v>
      </c>
      <c r="BZ75" s="811">
        <f t="shared" ref="BZ75:CB76" si="100">BU75*(1+BZ305)</f>
        <v>578.96799999999996</v>
      </c>
      <c r="CA75" s="811">
        <f t="shared" si="100"/>
        <v>619.34999999999991</v>
      </c>
      <c r="CB75" s="811">
        <f t="shared" si="100"/>
        <v>686.13599999999997</v>
      </c>
      <c r="CC75" s="410">
        <f>SUM(BY75:CB75)</f>
        <v>2412.654</v>
      </c>
      <c r="CD75" s="410">
        <f t="shared" ref="CD75:CH76" si="101">CC75*(1+CD305)</f>
        <v>3184.7032800000002</v>
      </c>
      <c r="CE75" s="410">
        <f t="shared" si="101"/>
        <v>3694.2558048000001</v>
      </c>
      <c r="CF75" s="410">
        <f t="shared" si="101"/>
        <v>3989.7962691840003</v>
      </c>
      <c r="CG75" s="410">
        <f t="shared" si="101"/>
        <v>4189.2860826432006</v>
      </c>
      <c r="CH75" s="410">
        <f t="shared" si="101"/>
        <v>4314.9646651224966</v>
      </c>
      <c r="CI75" s="343"/>
    </row>
    <row r="76" spans="1:154">
      <c r="A76" s="9"/>
      <c r="B76" s="9"/>
      <c r="C76" s="9"/>
      <c r="D76" s="9"/>
      <c r="E76" s="9"/>
      <c r="F76" s="9"/>
      <c r="G76" s="9"/>
      <c r="H76" s="257" t="s">
        <v>232</v>
      </c>
      <c r="I76" s="73"/>
      <c r="J76" s="73"/>
      <c r="K76" s="73"/>
      <c r="L76" s="66"/>
      <c r="M76" s="66"/>
      <c r="N76" s="66"/>
      <c r="O76" s="66"/>
      <c r="Q76" s="310"/>
      <c r="R76" s="310"/>
      <c r="S76" s="310"/>
      <c r="T76" s="310"/>
      <c r="U76" s="311"/>
      <c r="V76" s="310"/>
      <c r="W76" s="310"/>
      <c r="X76" s="310"/>
      <c r="Y76" s="310"/>
      <c r="Z76" s="311"/>
      <c r="AA76" s="315"/>
      <c r="AB76" s="315"/>
      <c r="AC76" s="315"/>
      <c r="AD76" s="315"/>
      <c r="AE76" s="311"/>
      <c r="AF76" s="315"/>
      <c r="AG76" s="315"/>
      <c r="AH76" s="315"/>
      <c r="AI76" s="315"/>
      <c r="AJ76" s="311"/>
      <c r="AK76" s="315"/>
      <c r="AL76" s="315"/>
      <c r="AM76" s="315"/>
      <c r="AN76" s="315"/>
      <c r="AO76" s="410"/>
      <c r="AP76" s="905"/>
      <c r="AQ76" s="905"/>
      <c r="AR76" s="905"/>
      <c r="AS76" s="905"/>
      <c r="AT76" s="410"/>
      <c r="AU76" s="905"/>
      <c r="AV76" s="905"/>
      <c r="AW76" s="905"/>
      <c r="AX76" s="391"/>
      <c r="AY76" s="410"/>
      <c r="AZ76" s="391"/>
      <c r="BA76" s="905"/>
      <c r="BB76" s="905"/>
      <c r="BC76" s="391"/>
      <c r="BD76" s="410"/>
      <c r="BE76" s="391"/>
      <c r="BF76" s="391"/>
      <c r="BG76" s="391"/>
      <c r="BH76" s="391">
        <v>0</v>
      </c>
      <c r="BI76" s="410">
        <f>SUM(BE76:BH76)</f>
        <v>0</v>
      </c>
      <c r="BJ76" s="1069">
        <v>3.4</v>
      </c>
      <c r="BK76" s="1069">
        <v>7</v>
      </c>
      <c r="BL76" s="1069">
        <v>10.5</v>
      </c>
      <c r="BM76" s="1069">
        <v>20.100000000000001</v>
      </c>
      <c r="BN76" s="410">
        <f>SUM(BJ76:BM76)</f>
        <v>41</v>
      </c>
      <c r="BO76" s="1069">
        <v>24.2</v>
      </c>
      <c r="BP76" s="1069">
        <v>39.9</v>
      </c>
      <c r="BQ76" s="1069">
        <v>54.9</v>
      </c>
      <c r="BR76" s="1069">
        <v>69</v>
      </c>
      <c r="BS76" s="410">
        <f>SUM(BO76:BR76)</f>
        <v>188</v>
      </c>
      <c r="BT76" s="391">
        <v>76.599999999999994</v>
      </c>
      <c r="BU76" s="1069">
        <v>99.3</v>
      </c>
      <c r="BV76" s="1069">
        <v>114.8</v>
      </c>
      <c r="BW76" s="1069">
        <v>129.19999999999999</v>
      </c>
      <c r="BX76" s="410">
        <f>SUM(BT76:BW76)</f>
        <v>419.9</v>
      </c>
      <c r="BY76" s="391">
        <f>150.1</f>
        <v>150.1</v>
      </c>
      <c r="BZ76" s="811">
        <f t="shared" si="100"/>
        <v>163.845</v>
      </c>
      <c r="CA76" s="811">
        <f t="shared" si="100"/>
        <v>183.68</v>
      </c>
      <c r="CB76" s="811">
        <f t="shared" si="100"/>
        <v>200.26</v>
      </c>
      <c r="CC76" s="410">
        <f>SUM(BY76:CB76)</f>
        <v>697.88499999999999</v>
      </c>
      <c r="CD76" s="410">
        <f t="shared" si="101"/>
        <v>977.03899999999987</v>
      </c>
      <c r="CE76" s="410">
        <f t="shared" si="101"/>
        <v>1250.6099199999999</v>
      </c>
      <c r="CF76" s="410">
        <f t="shared" si="101"/>
        <v>1500.7319039999998</v>
      </c>
      <c r="CG76" s="410">
        <f t="shared" si="101"/>
        <v>1650.8050943999999</v>
      </c>
      <c r="CH76" s="410">
        <f t="shared" si="101"/>
        <v>1733.34534912</v>
      </c>
      <c r="CI76" s="343"/>
    </row>
    <row r="77" spans="1:154">
      <c r="A77" s="9"/>
      <c r="B77" s="9"/>
      <c r="C77" s="9"/>
      <c r="D77" s="9"/>
      <c r="E77" s="9"/>
      <c r="F77" s="9"/>
      <c r="G77" s="9"/>
      <c r="H77" s="18" t="s">
        <v>1055</v>
      </c>
      <c r="I77" s="73"/>
      <c r="J77" s="73"/>
      <c r="K77" s="73"/>
      <c r="L77" s="66"/>
      <c r="M77" s="66"/>
      <c r="N77" s="66"/>
      <c r="O77" s="66"/>
      <c r="Q77" s="310"/>
      <c r="R77" s="310"/>
      <c r="S77" s="310"/>
      <c r="T77" s="310"/>
      <c r="U77" s="311"/>
      <c r="V77" s="310"/>
      <c r="W77" s="310"/>
      <c r="X77" s="310"/>
      <c r="Y77" s="310"/>
      <c r="Z77" s="311"/>
      <c r="AA77" s="315"/>
      <c r="AB77" s="315"/>
      <c r="AC77" s="315"/>
      <c r="AD77" s="315"/>
      <c r="AE77" s="311"/>
      <c r="AF77" s="315"/>
      <c r="AG77" s="315"/>
      <c r="AH77" s="315"/>
      <c r="AI77" s="315"/>
      <c r="AJ77" s="311"/>
      <c r="AK77" s="315"/>
      <c r="AL77" s="315"/>
      <c r="AM77" s="315"/>
      <c r="AN77" s="315"/>
      <c r="AO77" s="410"/>
      <c r="AP77" s="905"/>
      <c r="AQ77" s="905"/>
      <c r="AR77" s="905"/>
      <c r="AS77" s="905"/>
      <c r="AT77" s="410"/>
      <c r="AU77" s="905"/>
      <c r="AV77" s="905"/>
      <c r="AW77" s="905"/>
      <c r="AX77" s="391"/>
      <c r="AY77" s="410"/>
      <c r="AZ77" s="391"/>
      <c r="BA77" s="905"/>
      <c r="BB77" s="905"/>
      <c r="BC77" s="391"/>
      <c r="BD77" s="410"/>
      <c r="BE77" s="391"/>
      <c r="BF77" s="391"/>
      <c r="BG77" s="391"/>
      <c r="BH77" s="420">
        <f t="shared" ref="BH77:CH77" si="102">BH78+BH79</f>
        <v>0</v>
      </c>
      <c r="BI77" s="849">
        <f t="shared" si="102"/>
        <v>0</v>
      </c>
      <c r="BJ77" s="936">
        <f t="shared" si="102"/>
        <v>0</v>
      </c>
      <c r="BK77" s="936">
        <f t="shared" si="102"/>
        <v>0</v>
      </c>
      <c r="BL77" s="936">
        <f t="shared" si="102"/>
        <v>3.8</v>
      </c>
      <c r="BM77" s="936">
        <f t="shared" si="102"/>
        <v>7.3</v>
      </c>
      <c r="BN77" s="849">
        <f t="shared" si="102"/>
        <v>11.1</v>
      </c>
      <c r="BO77" s="936">
        <f t="shared" si="102"/>
        <v>10.9</v>
      </c>
      <c r="BP77" s="936">
        <f t="shared" si="102"/>
        <v>16.3</v>
      </c>
      <c r="BQ77" s="936">
        <f t="shared" si="102"/>
        <v>19.399999999999999</v>
      </c>
      <c r="BR77" s="936">
        <f t="shared" si="102"/>
        <v>39.5</v>
      </c>
      <c r="BS77" s="849">
        <f t="shared" si="102"/>
        <v>86.1</v>
      </c>
      <c r="BT77" s="936">
        <f t="shared" si="102"/>
        <v>46</v>
      </c>
      <c r="BU77" s="936">
        <f t="shared" si="102"/>
        <v>86.6</v>
      </c>
      <c r="BV77" s="936">
        <f t="shared" si="102"/>
        <v>145.69999999999999</v>
      </c>
      <c r="BW77" s="936">
        <f t="shared" si="102"/>
        <v>153.80000000000001</v>
      </c>
      <c r="BX77" s="849">
        <f t="shared" si="102"/>
        <v>432.1</v>
      </c>
      <c r="BY77" s="936">
        <f t="shared" si="102"/>
        <v>166</v>
      </c>
      <c r="BZ77" s="936">
        <f t="shared" si="102"/>
        <v>192.11</v>
      </c>
      <c r="CA77" s="936">
        <f t="shared" si="102"/>
        <v>207.03</v>
      </c>
      <c r="CB77" s="936">
        <f t="shared" si="102"/>
        <v>221.04</v>
      </c>
      <c r="CC77" s="849">
        <f t="shared" si="102"/>
        <v>786.18000000000006</v>
      </c>
      <c r="CD77" s="849">
        <f t="shared" si="102"/>
        <v>783.58500000000004</v>
      </c>
      <c r="CE77" s="849">
        <f t="shared" si="102"/>
        <v>679.64437499999997</v>
      </c>
      <c r="CF77" s="849">
        <f t="shared" si="102"/>
        <v>633.84601499999997</v>
      </c>
      <c r="CG77" s="849">
        <f t="shared" si="102"/>
        <v>592.62749099999996</v>
      </c>
      <c r="CH77" s="849">
        <f t="shared" si="102"/>
        <v>555.53081940000004</v>
      </c>
      <c r="EX77" s="1261" t="s">
        <v>1055</v>
      </c>
    </row>
    <row r="78" spans="1:154">
      <c r="A78" s="9"/>
      <c r="B78" s="9"/>
      <c r="C78" s="9"/>
      <c r="D78" s="9"/>
      <c r="E78" s="9"/>
      <c r="F78" s="9"/>
      <c r="G78" s="9"/>
      <c r="H78" s="257" t="s">
        <v>231</v>
      </c>
      <c r="I78" s="73"/>
      <c r="J78" s="73"/>
      <c r="K78" s="73"/>
      <c r="L78" s="66"/>
      <c r="M78" s="66"/>
      <c r="N78" s="66"/>
      <c r="O78" s="66"/>
      <c r="Q78" s="310"/>
      <c r="R78" s="310"/>
      <c r="S78" s="310"/>
      <c r="T78" s="310"/>
      <c r="U78" s="311"/>
      <c r="V78" s="310"/>
      <c r="W78" s="310"/>
      <c r="X78" s="310"/>
      <c r="Y78" s="310"/>
      <c r="Z78" s="311"/>
      <c r="AA78" s="315"/>
      <c r="AB78" s="315"/>
      <c r="AC78" s="315"/>
      <c r="AD78" s="315"/>
      <c r="AE78" s="311"/>
      <c r="AF78" s="315"/>
      <c r="AG78" s="315"/>
      <c r="AH78" s="315"/>
      <c r="AI78" s="315"/>
      <c r="AJ78" s="311"/>
      <c r="AK78" s="315"/>
      <c r="AL78" s="315"/>
      <c r="AM78" s="315"/>
      <c r="AN78" s="315"/>
      <c r="AO78" s="410"/>
      <c r="AP78" s="905"/>
      <c r="AQ78" s="905"/>
      <c r="AR78" s="905"/>
      <c r="AS78" s="905"/>
      <c r="AT78" s="410"/>
      <c r="AU78" s="905"/>
      <c r="AV78" s="905"/>
      <c r="AW78" s="905"/>
      <c r="AX78" s="391"/>
      <c r="AY78" s="410"/>
      <c r="AZ78" s="391"/>
      <c r="BA78" s="905"/>
      <c r="BB78" s="905"/>
      <c r="BC78" s="391"/>
      <c r="BD78" s="410"/>
      <c r="BE78" s="391"/>
      <c r="BF78" s="391"/>
      <c r="BG78" s="391"/>
      <c r="BH78" s="391"/>
      <c r="BI78" s="410"/>
      <c r="BJ78" s="1069"/>
      <c r="BK78" s="1069"/>
      <c r="BL78" s="1069"/>
      <c r="BM78" s="1069">
        <v>0</v>
      </c>
      <c r="BN78" s="410"/>
      <c r="BO78" s="1069">
        <v>0</v>
      </c>
      <c r="BP78" s="1069">
        <v>0</v>
      </c>
      <c r="BQ78" s="1069">
        <v>0</v>
      </c>
      <c r="BR78" s="1069">
        <v>15.8</v>
      </c>
      <c r="BS78" s="410">
        <f>SUM(BO78:BR78)</f>
        <v>15.8</v>
      </c>
      <c r="BT78" s="391">
        <v>22</v>
      </c>
      <c r="BU78" s="1069">
        <v>59.5</v>
      </c>
      <c r="BV78" s="1069">
        <v>115.2</v>
      </c>
      <c r="BW78" s="1069">
        <v>114.4</v>
      </c>
      <c r="BX78" s="410">
        <f>SUM(BT78:BW78)</f>
        <v>311.10000000000002</v>
      </c>
      <c r="BY78" s="391">
        <f>126.7</f>
        <v>126.7</v>
      </c>
      <c r="BZ78" s="811">
        <f t="shared" ref="BZ78:CB79" si="103">BU78*(1+BZ308)</f>
        <v>148.75</v>
      </c>
      <c r="CA78" s="811">
        <f t="shared" si="103"/>
        <v>161.28</v>
      </c>
      <c r="CB78" s="811">
        <f t="shared" si="103"/>
        <v>165.88</v>
      </c>
      <c r="CC78" s="410">
        <f>SUM(BY78:CB78)</f>
        <v>602.61</v>
      </c>
      <c r="CD78" s="410">
        <f t="shared" ref="CD78:CH79" si="104">CC78*(1+CD308)</f>
        <v>572.47950000000003</v>
      </c>
      <c r="CE78" s="410">
        <f t="shared" si="104"/>
        <v>457.98360000000002</v>
      </c>
      <c r="CF78" s="410">
        <f t="shared" si="104"/>
        <v>412.18524000000002</v>
      </c>
      <c r="CG78" s="410">
        <f t="shared" si="104"/>
        <v>370.96671600000002</v>
      </c>
      <c r="CH78" s="410">
        <f t="shared" si="104"/>
        <v>333.87004440000004</v>
      </c>
    </row>
    <row r="79" spans="1:154">
      <c r="A79" s="9"/>
      <c r="B79" s="9"/>
      <c r="C79" s="9"/>
      <c r="D79" s="9"/>
      <c r="E79" s="9"/>
      <c r="F79" s="9"/>
      <c r="G79" s="9"/>
      <c r="H79" s="257" t="s">
        <v>232</v>
      </c>
      <c r="I79" s="73"/>
      <c r="J79" s="73"/>
      <c r="K79" s="73"/>
      <c r="L79" s="66"/>
      <c r="M79" s="66"/>
      <c r="N79" s="66"/>
      <c r="O79" s="66"/>
      <c r="Q79" s="310"/>
      <c r="R79" s="310"/>
      <c r="S79" s="310"/>
      <c r="T79" s="310"/>
      <c r="U79" s="311"/>
      <c r="V79" s="310"/>
      <c r="W79" s="310"/>
      <c r="X79" s="310"/>
      <c r="Y79" s="310"/>
      <c r="Z79" s="311"/>
      <c r="AA79" s="315"/>
      <c r="AB79" s="315"/>
      <c r="AC79" s="315"/>
      <c r="AD79" s="315"/>
      <c r="AE79" s="311"/>
      <c r="AF79" s="315"/>
      <c r="AG79" s="315"/>
      <c r="AH79" s="315"/>
      <c r="AI79" s="315"/>
      <c r="AJ79" s="311"/>
      <c r="AK79" s="315"/>
      <c r="AL79" s="315"/>
      <c r="AM79" s="315"/>
      <c r="AN79" s="315"/>
      <c r="AO79" s="410"/>
      <c r="AP79" s="905"/>
      <c r="AQ79" s="905"/>
      <c r="AR79" s="905"/>
      <c r="AS79" s="905"/>
      <c r="AT79" s="410"/>
      <c r="AU79" s="905"/>
      <c r="AV79" s="905"/>
      <c r="AW79" s="905"/>
      <c r="AX79" s="391"/>
      <c r="AY79" s="410"/>
      <c r="AZ79" s="391"/>
      <c r="BA79" s="905"/>
      <c r="BB79" s="905"/>
      <c r="BC79" s="391"/>
      <c r="BD79" s="410"/>
      <c r="BE79" s="391"/>
      <c r="BF79" s="391"/>
      <c r="BG79" s="391"/>
      <c r="BH79" s="391"/>
      <c r="BI79" s="410"/>
      <c r="BJ79" s="1069"/>
      <c r="BK79" s="1069"/>
      <c r="BL79" s="1069">
        <v>3.8</v>
      </c>
      <c r="BM79" s="1069">
        <v>7.3</v>
      </c>
      <c r="BN79" s="410">
        <f>SUM(BJ79:BM79)</f>
        <v>11.1</v>
      </c>
      <c r="BO79" s="1069">
        <v>10.9</v>
      </c>
      <c r="BP79" s="1069">
        <v>16.3</v>
      </c>
      <c r="BQ79" s="1069">
        <v>19.399999999999999</v>
      </c>
      <c r="BR79" s="1069">
        <v>23.7</v>
      </c>
      <c r="BS79" s="410">
        <f>SUM(BO79:BR79)</f>
        <v>70.3</v>
      </c>
      <c r="BT79" s="391">
        <v>24</v>
      </c>
      <c r="BU79" s="1069">
        <v>27.1</v>
      </c>
      <c r="BV79" s="1069">
        <v>30.5</v>
      </c>
      <c r="BW79" s="1069">
        <v>39.4</v>
      </c>
      <c r="BX79" s="410">
        <f>SUM(BT79:BW79)</f>
        <v>121</v>
      </c>
      <c r="BY79" s="391">
        <f>39.3</f>
        <v>39.299999999999997</v>
      </c>
      <c r="BZ79" s="811">
        <f t="shared" si="103"/>
        <v>43.360000000000007</v>
      </c>
      <c r="CA79" s="811">
        <f t="shared" si="103"/>
        <v>45.75</v>
      </c>
      <c r="CB79" s="811">
        <f t="shared" si="103"/>
        <v>55.16</v>
      </c>
      <c r="CC79" s="410">
        <f>SUM(BY79:CB79)</f>
        <v>183.57</v>
      </c>
      <c r="CD79" s="410">
        <f t="shared" si="104"/>
        <v>211.10549999999998</v>
      </c>
      <c r="CE79" s="410">
        <f t="shared" si="104"/>
        <v>221.66077499999997</v>
      </c>
      <c r="CF79" s="410">
        <f t="shared" si="104"/>
        <v>221.66077499999997</v>
      </c>
      <c r="CG79" s="410">
        <f t="shared" si="104"/>
        <v>221.66077499999997</v>
      </c>
      <c r="CH79" s="410">
        <f t="shared" si="104"/>
        <v>221.66077499999997</v>
      </c>
    </row>
    <row r="80" spans="1:154" s="37" customFormat="1">
      <c r="A80" s="9"/>
      <c r="B80" s="9"/>
      <c r="C80" s="9"/>
      <c r="D80" s="9"/>
      <c r="E80" s="9"/>
      <c r="F80" s="9"/>
      <c r="G80" s="9"/>
      <c r="H80" s="270" t="s">
        <v>298</v>
      </c>
      <c r="I80" s="270"/>
      <c r="J80" s="270"/>
      <c r="K80" s="270"/>
      <c r="L80" s="136">
        <v>12.8</v>
      </c>
      <c r="M80" s="136">
        <v>18.399999999999999</v>
      </c>
      <c r="N80" s="136">
        <v>20.8</v>
      </c>
      <c r="O80" s="136">
        <v>13.5</v>
      </c>
      <c r="P80" s="270">
        <v>65.5</v>
      </c>
      <c r="Q80" s="136">
        <f t="shared" ref="Q80:AJ80" si="105">Q81+Q82</f>
        <v>15.6</v>
      </c>
      <c r="R80" s="136">
        <f t="shared" si="105"/>
        <v>16.600000000000001</v>
      </c>
      <c r="S80" s="136">
        <f t="shared" si="105"/>
        <v>21</v>
      </c>
      <c r="T80" s="136">
        <f t="shared" si="105"/>
        <v>13.9</v>
      </c>
      <c r="U80" s="270">
        <f t="shared" si="105"/>
        <v>67.100000000000009</v>
      </c>
      <c r="V80" s="136">
        <f t="shared" si="105"/>
        <v>17.600000000000001</v>
      </c>
      <c r="W80" s="136">
        <f t="shared" si="105"/>
        <v>17.7</v>
      </c>
      <c r="X80" s="136">
        <f t="shared" si="105"/>
        <v>23.7</v>
      </c>
      <c r="Y80" s="136">
        <f t="shared" si="105"/>
        <v>18.600000000000001</v>
      </c>
      <c r="Z80" s="270">
        <f t="shared" si="105"/>
        <v>77.599999999999994</v>
      </c>
      <c r="AA80" s="136">
        <f t="shared" si="105"/>
        <v>18.399999999999999</v>
      </c>
      <c r="AB80" s="136">
        <f t="shared" si="105"/>
        <v>17.600000000000001</v>
      </c>
      <c r="AC80" s="136">
        <f t="shared" si="105"/>
        <v>22.1</v>
      </c>
      <c r="AD80" s="136">
        <f t="shared" si="105"/>
        <v>18.100000000000001</v>
      </c>
      <c r="AE80" s="270">
        <f t="shared" si="105"/>
        <v>76.199999999999989</v>
      </c>
      <c r="AF80" s="136">
        <f t="shared" si="105"/>
        <v>19.400000000000002</v>
      </c>
      <c r="AG80" s="136">
        <f t="shared" si="105"/>
        <v>21.68</v>
      </c>
      <c r="AH80" s="136">
        <f t="shared" si="105"/>
        <v>24.1</v>
      </c>
      <c r="AI80" s="136">
        <f t="shared" si="105"/>
        <v>16.7</v>
      </c>
      <c r="AJ80" s="270">
        <f t="shared" si="105"/>
        <v>81.88</v>
      </c>
      <c r="AK80" s="136">
        <f t="shared" ref="AK80:AT80" si="106">AK81+AK82</f>
        <v>18.5</v>
      </c>
      <c r="AL80" s="136">
        <f t="shared" si="106"/>
        <v>20.8</v>
      </c>
      <c r="AM80" s="136">
        <f t="shared" si="106"/>
        <v>32.799999999999997</v>
      </c>
      <c r="AN80" s="136">
        <f t="shared" si="106"/>
        <v>23.3</v>
      </c>
      <c r="AO80" s="428">
        <f t="shared" si="106"/>
        <v>95.4</v>
      </c>
      <c r="AP80" s="420">
        <f t="shared" si="106"/>
        <v>21.2</v>
      </c>
      <c r="AQ80" s="420">
        <f>AQ81+AQ82</f>
        <v>21.700000000000003</v>
      </c>
      <c r="AR80" s="420">
        <f t="shared" si="106"/>
        <v>30</v>
      </c>
      <c r="AS80" s="420">
        <f>AS81+AS82</f>
        <v>23.3</v>
      </c>
      <c r="AT80" s="849">
        <f t="shared" si="106"/>
        <v>96.200000000000017</v>
      </c>
      <c r="AU80" s="420">
        <f t="shared" ref="AU80:BH80" si="107">AU81+AU82</f>
        <v>144.59999999999997</v>
      </c>
      <c r="AV80" s="420">
        <f t="shared" si="107"/>
        <v>112.09999999999994</v>
      </c>
      <c r="AW80" s="420">
        <f t="shared" si="107"/>
        <v>105.79999999999998</v>
      </c>
      <c r="AX80" s="420">
        <f t="shared" si="107"/>
        <v>94.999999999999957</v>
      </c>
      <c r="AY80" s="849">
        <f t="shared" si="107"/>
        <v>457.49999999999989</v>
      </c>
      <c r="AZ80" s="420">
        <f t="shared" si="107"/>
        <v>99.600000000000023</v>
      </c>
      <c r="BA80" s="420">
        <f t="shared" si="107"/>
        <v>59.899999999999935</v>
      </c>
      <c r="BB80" s="420">
        <f t="shared" si="107"/>
        <v>77.899999999999906</v>
      </c>
      <c r="BC80" s="420">
        <f t="shared" si="107"/>
        <v>59.199999999999996</v>
      </c>
      <c r="BD80" s="428">
        <f t="shared" si="107"/>
        <v>296.59999999999985</v>
      </c>
      <c r="BE80" s="420">
        <f t="shared" si="107"/>
        <v>44.899999999999963</v>
      </c>
      <c r="BF80" s="420">
        <f t="shared" si="107"/>
        <v>38.299999999999791</v>
      </c>
      <c r="BG80" s="420">
        <f>BG81+BG82</f>
        <v>46.899999999999842</v>
      </c>
      <c r="BH80" s="420">
        <f t="shared" si="107"/>
        <v>36.799999999999969</v>
      </c>
      <c r="BI80" s="428">
        <f t="shared" ref="BI80:CH80" si="108">BI81+BI82</f>
        <v>166.89999999999958</v>
      </c>
      <c r="BJ80" s="420">
        <f t="shared" si="108"/>
        <v>36.599999999999909</v>
      </c>
      <c r="BK80" s="420">
        <f t="shared" si="108"/>
        <v>35.099999999999881</v>
      </c>
      <c r="BL80" s="420">
        <f t="shared" si="108"/>
        <v>53.40000000000002</v>
      </c>
      <c r="BM80" s="420">
        <f t="shared" si="108"/>
        <v>33.10000000000008</v>
      </c>
      <c r="BN80" s="428">
        <f t="shared" si="108"/>
        <v>158.19999999999987</v>
      </c>
      <c r="BO80" s="420">
        <f t="shared" si="108"/>
        <v>52.300000000000146</v>
      </c>
      <c r="BP80" s="420">
        <f t="shared" si="108"/>
        <v>38.100000000000037</v>
      </c>
      <c r="BQ80" s="420">
        <f t="shared" si="108"/>
        <v>52.599999999999923</v>
      </c>
      <c r="BR80" s="420">
        <f t="shared" si="108"/>
        <v>32.700000000000102</v>
      </c>
      <c r="BS80" s="428">
        <f t="shared" si="108"/>
        <v>175.70000000000022</v>
      </c>
      <c r="BT80" s="420">
        <f t="shared" si="108"/>
        <v>41.400000000000048</v>
      </c>
      <c r="BU80" s="420">
        <f t="shared" si="108"/>
        <v>39.199999999999967</v>
      </c>
      <c r="BV80" s="420">
        <f t="shared" si="108"/>
        <v>53.60000000000008</v>
      </c>
      <c r="BW80" s="420">
        <f t="shared" si="108"/>
        <v>37.100000000000115</v>
      </c>
      <c r="BX80" s="428">
        <f t="shared" si="108"/>
        <v>171.30000000000018</v>
      </c>
      <c r="BY80" s="420">
        <f t="shared" si="108"/>
        <v>65.900000000000006</v>
      </c>
      <c r="BZ80" s="420">
        <f t="shared" si="108"/>
        <v>52.76</v>
      </c>
      <c r="CA80" s="420">
        <f t="shared" si="108"/>
        <v>64.829999999999984</v>
      </c>
      <c r="CB80" s="420">
        <f t="shared" si="108"/>
        <v>48.370000000000118</v>
      </c>
      <c r="CC80" s="428">
        <f t="shared" si="108"/>
        <v>231.8600000000001</v>
      </c>
      <c r="CD80" s="428">
        <f t="shared" si="108"/>
        <v>237.92080000000013</v>
      </c>
      <c r="CE80" s="428">
        <f t="shared" si="108"/>
        <v>242.64822400000014</v>
      </c>
      <c r="CF80" s="428">
        <f t="shared" si="108"/>
        <v>245.89438848000015</v>
      </c>
      <c r="CG80" s="428">
        <f t="shared" si="108"/>
        <v>247.54993236480016</v>
      </c>
      <c r="CH80" s="428">
        <f t="shared" si="108"/>
        <v>247.54993236480016</v>
      </c>
      <c r="EX80" s="15" t="s">
        <v>1126</v>
      </c>
    </row>
    <row r="81" spans="1:228" s="56" customFormat="1" ht="13.5">
      <c r="A81" s="9"/>
      <c r="B81" s="9"/>
      <c r="C81" s="9"/>
      <c r="D81" s="9"/>
      <c r="E81" s="9"/>
      <c r="F81" s="9"/>
      <c r="G81" s="302"/>
      <c r="H81" s="257" t="s">
        <v>231</v>
      </c>
      <c r="I81" s="257"/>
      <c r="J81" s="257"/>
      <c r="K81" s="257"/>
      <c r="L81" s="263">
        <v>9.1999999999999993</v>
      </c>
      <c r="M81" s="263">
        <v>14.8</v>
      </c>
      <c r="N81" s="263">
        <v>16.8</v>
      </c>
      <c r="O81" s="263">
        <v>10</v>
      </c>
      <c r="P81" s="80">
        <v>50.8</v>
      </c>
      <c r="Q81" s="263">
        <v>11.6</v>
      </c>
      <c r="R81" s="263">
        <v>13</v>
      </c>
      <c r="S81" s="263">
        <v>16</v>
      </c>
      <c r="T81" s="263">
        <v>10.3</v>
      </c>
      <c r="U81" s="80">
        <f>SUM(Q81:T81)</f>
        <v>50.900000000000006</v>
      </c>
      <c r="V81" s="263">
        <v>13.6</v>
      </c>
      <c r="W81" s="263">
        <v>13</v>
      </c>
      <c r="X81" s="263">
        <v>19.399999999999999</v>
      </c>
      <c r="Y81" s="263">
        <v>14.1</v>
      </c>
      <c r="Z81" s="80">
        <f>SUM(V81:Y81)</f>
        <v>60.1</v>
      </c>
      <c r="AA81" s="263">
        <v>13.8</v>
      </c>
      <c r="AB81" s="263">
        <v>13</v>
      </c>
      <c r="AC81" s="263">
        <v>17.5</v>
      </c>
      <c r="AD81" s="263">
        <v>13.8</v>
      </c>
      <c r="AE81" s="79">
        <f>SUM(AA81:AD81)</f>
        <v>58.099999999999994</v>
      </c>
      <c r="AF81" s="263">
        <v>15.8</v>
      </c>
      <c r="AG81" s="263">
        <v>17.100000000000001</v>
      </c>
      <c r="AH81" s="263">
        <v>20.100000000000001</v>
      </c>
      <c r="AI81" s="263">
        <v>12.7</v>
      </c>
      <c r="AJ81" s="79">
        <f>SUM(AF81:AI81)</f>
        <v>65.7</v>
      </c>
      <c r="AK81" s="263">
        <v>15.4</v>
      </c>
      <c r="AL81" s="263">
        <v>17.2</v>
      </c>
      <c r="AM81" s="263">
        <v>28.3</v>
      </c>
      <c r="AN81" s="263">
        <v>19.3</v>
      </c>
      <c r="AO81" s="410">
        <f>SUM(AK81:AN81)</f>
        <v>80.2</v>
      </c>
      <c r="AP81" s="391">
        <v>17.8</v>
      </c>
      <c r="AQ81" s="391">
        <v>18.100000000000001</v>
      </c>
      <c r="AR81" s="391">
        <v>26.2</v>
      </c>
      <c r="AS81" s="391">
        <v>18.100000000000001</v>
      </c>
      <c r="AT81" s="410">
        <f>SUM(AP81:AS81)</f>
        <v>80.200000000000017</v>
      </c>
      <c r="AU81" s="392">
        <f t="shared" ref="AU81:AX82" si="109">AU48-AU51-AU54-AU57-AU60-AU63-AU66-AU69</f>
        <v>71.799999999999955</v>
      </c>
      <c r="AV81" s="392">
        <f t="shared" si="109"/>
        <v>39.399999999999949</v>
      </c>
      <c r="AW81" s="392">
        <f t="shared" si="109"/>
        <v>37.299999999999997</v>
      </c>
      <c r="AX81" s="392">
        <f t="shared" si="109"/>
        <v>16.999999999999989</v>
      </c>
      <c r="AY81" s="410">
        <f>SUM(AU81:AX81)</f>
        <v>165.49999999999989</v>
      </c>
      <c r="AZ81" s="392">
        <f t="shared" ref="AZ81:BC82" si="110">AZ48-AZ51-AZ54-AZ57-AZ60-AZ63-AZ66-AZ69</f>
        <v>23.400000000000084</v>
      </c>
      <c r="BA81" s="392">
        <f t="shared" si="110"/>
        <v>40.899999999999935</v>
      </c>
      <c r="BB81" s="392">
        <f t="shared" si="110"/>
        <v>26.199999999999953</v>
      </c>
      <c r="BC81" s="392">
        <f t="shared" si="110"/>
        <v>27.799999999999905</v>
      </c>
      <c r="BD81" s="410">
        <f>SUM(AZ81:BC81)</f>
        <v>118.29999999999987</v>
      </c>
      <c r="BE81" s="392">
        <f t="shared" ref="BE81:BG82" si="111">BE48-BE51-BE54-BE57-BE60-BE63-BE66-BE69-BE72</f>
        <v>22.800000000000022</v>
      </c>
      <c r="BF81" s="392">
        <f t="shared" si="111"/>
        <v>24.499999999999879</v>
      </c>
      <c r="BG81" s="392">
        <f t="shared" si="111"/>
        <v>30.299999999999898</v>
      </c>
      <c r="BH81" s="392">
        <f>BH48-BH51-BH54-BH57-BH60-BH63-BH66-BH69-BH72-BH75</f>
        <v>23.500000000000025</v>
      </c>
      <c r="BI81" s="410">
        <f>SUM(BE81:BH81)</f>
        <v>101.09999999999982</v>
      </c>
      <c r="BJ81" s="392">
        <f t="shared" ref="BJ81:BM82" si="112">BJ48-BJ51-BJ54-BJ57-BJ60-BJ63-BJ66-BJ69-BJ72-BJ75-BJ78</f>
        <v>25.699999999999996</v>
      </c>
      <c r="BK81" s="392">
        <f t="shared" si="112"/>
        <v>24.800000000000004</v>
      </c>
      <c r="BL81" s="392">
        <f t="shared" si="112"/>
        <v>41.899999999999963</v>
      </c>
      <c r="BM81" s="392">
        <f t="shared" si="112"/>
        <v>23.09999999999998</v>
      </c>
      <c r="BN81" s="410">
        <f>SUM(BJ81:BM81)</f>
        <v>115.49999999999994</v>
      </c>
      <c r="BO81" s="392">
        <f t="shared" ref="BO81:BQ82" si="113">BO48-BO51-BO54-BO57-BO60-BO63-BO66-BO69-BO72-BO75-BO78</f>
        <v>29.200000000000131</v>
      </c>
      <c r="BP81" s="392">
        <f t="shared" si="113"/>
        <v>30.099999999999966</v>
      </c>
      <c r="BQ81" s="392">
        <f t="shared" si="113"/>
        <v>44.299999999999869</v>
      </c>
      <c r="BR81" s="392">
        <f>BR48-BR51-BR54-BR57-BR60-BR63-BR66-BR69-BR72-BR75-BR78</f>
        <v>25.200000000000113</v>
      </c>
      <c r="BS81" s="410">
        <f>SUM(BO81:BR81)</f>
        <v>128.80000000000007</v>
      </c>
      <c r="BT81" s="392">
        <f t="shared" ref="BT81:BW82" si="114">BT48-BT51-BT54-BT57-BT60-BT63-BT66-BT69-BT72-BT75-BT78</f>
        <v>32.699999999999989</v>
      </c>
      <c r="BU81" s="392">
        <f t="shared" si="114"/>
        <v>30.999999999999943</v>
      </c>
      <c r="BV81" s="392">
        <f t="shared" si="114"/>
        <v>44.600000000000179</v>
      </c>
      <c r="BW81" s="392">
        <f t="shared" si="114"/>
        <v>28.700000000000131</v>
      </c>
      <c r="BX81" s="410">
        <f>SUM(BT81:BW81)</f>
        <v>137.00000000000023</v>
      </c>
      <c r="BY81" s="392">
        <f>BY48-BY51-BY54-BY57-BY60-BY63-BY66-BY69-BY72-BY75-BY78</f>
        <v>38.40000000000002</v>
      </c>
      <c r="BZ81" s="383">
        <f t="shared" ref="BZ81:CB82" si="115">BU81*(1+BZ311)</f>
        <v>34.719999999999942</v>
      </c>
      <c r="CA81" s="383">
        <f t="shared" si="115"/>
        <v>46.83000000000019</v>
      </c>
      <c r="CB81" s="383">
        <f t="shared" si="115"/>
        <v>31.570000000000146</v>
      </c>
      <c r="CC81" s="410">
        <f>SUM(BY81:CB81)</f>
        <v>151.52000000000029</v>
      </c>
      <c r="CD81" s="410">
        <f t="shared" ref="CD81:CH82" si="116">CC81*(1+CD311)</f>
        <v>157.58080000000032</v>
      </c>
      <c r="CE81" s="410">
        <f t="shared" si="116"/>
        <v>162.30822400000034</v>
      </c>
      <c r="CF81" s="410">
        <f t="shared" si="116"/>
        <v>165.55438848000034</v>
      </c>
      <c r="CG81" s="410">
        <f t="shared" si="116"/>
        <v>167.20993236480035</v>
      </c>
      <c r="CH81" s="410">
        <f t="shared" si="116"/>
        <v>167.20993236480035</v>
      </c>
    </row>
    <row r="82" spans="1:228" s="56" customFormat="1" ht="13.5">
      <c r="A82" s="9"/>
      <c r="B82" s="9"/>
      <c r="C82" s="9"/>
      <c r="D82" s="9"/>
      <c r="E82" s="9"/>
      <c r="F82" s="9"/>
      <c r="G82" s="302"/>
      <c r="H82" s="257" t="s">
        <v>232</v>
      </c>
      <c r="I82" s="257"/>
      <c r="J82" s="257"/>
      <c r="K82" s="257"/>
      <c r="L82" s="263">
        <v>3.6</v>
      </c>
      <c r="M82" s="263">
        <v>3.6</v>
      </c>
      <c r="N82" s="263">
        <v>4</v>
      </c>
      <c r="O82" s="263">
        <v>3.5</v>
      </c>
      <c r="P82" s="80">
        <v>14.7</v>
      </c>
      <c r="Q82" s="263">
        <v>4</v>
      </c>
      <c r="R82" s="263">
        <v>3.6</v>
      </c>
      <c r="S82" s="263">
        <v>5</v>
      </c>
      <c r="T82" s="263">
        <v>3.6</v>
      </c>
      <c r="U82" s="80">
        <f>SUM(Q82:T82)</f>
        <v>16.2</v>
      </c>
      <c r="V82" s="263">
        <v>4</v>
      </c>
      <c r="W82" s="263">
        <v>4.7</v>
      </c>
      <c r="X82" s="263">
        <v>4.3</v>
      </c>
      <c r="Y82" s="263">
        <v>4.5</v>
      </c>
      <c r="Z82" s="80">
        <f>SUM(V82:Y82)</f>
        <v>17.5</v>
      </c>
      <c r="AA82" s="263">
        <v>4.5999999999999996</v>
      </c>
      <c r="AB82" s="263">
        <v>4.5999999999999996</v>
      </c>
      <c r="AC82" s="263">
        <v>4.5999999999999996</v>
      </c>
      <c r="AD82" s="263">
        <v>4.3</v>
      </c>
      <c r="AE82" s="79">
        <f>SUM(AA82:AD82)</f>
        <v>18.099999999999998</v>
      </c>
      <c r="AF82" s="263">
        <v>3.6</v>
      </c>
      <c r="AG82" s="263">
        <v>4.58</v>
      </c>
      <c r="AH82" s="263">
        <v>4</v>
      </c>
      <c r="AI82" s="263">
        <v>4</v>
      </c>
      <c r="AJ82" s="79">
        <f>SUM(AF82:AI82)</f>
        <v>16.18</v>
      </c>
      <c r="AK82" s="263">
        <v>3.1</v>
      </c>
      <c r="AL82" s="263">
        <v>3.6</v>
      </c>
      <c r="AM82" s="263">
        <v>4.5</v>
      </c>
      <c r="AN82" s="263">
        <v>4</v>
      </c>
      <c r="AO82" s="410">
        <f>SUM(AK82:AN82)</f>
        <v>15.2</v>
      </c>
      <c r="AP82" s="391">
        <v>3.4</v>
      </c>
      <c r="AQ82" s="391">
        <v>3.6</v>
      </c>
      <c r="AR82" s="391">
        <v>3.8</v>
      </c>
      <c r="AS82" s="391">
        <v>5.2</v>
      </c>
      <c r="AT82" s="410">
        <f>SUM(AP82:AS82)</f>
        <v>16</v>
      </c>
      <c r="AU82" s="392">
        <f t="shared" si="109"/>
        <v>72.800000000000026</v>
      </c>
      <c r="AV82" s="392">
        <f t="shared" si="109"/>
        <v>72.699999999999989</v>
      </c>
      <c r="AW82" s="392">
        <f t="shared" si="109"/>
        <v>68.499999999999986</v>
      </c>
      <c r="AX82" s="392">
        <f t="shared" si="109"/>
        <v>77.999999999999972</v>
      </c>
      <c r="AY82" s="410">
        <f>SUM(AU82:AX82)</f>
        <v>292</v>
      </c>
      <c r="AZ82" s="392">
        <f t="shared" si="110"/>
        <v>76.199999999999946</v>
      </c>
      <c r="BA82" s="392">
        <f t="shared" si="110"/>
        <v>19.000000000000004</v>
      </c>
      <c r="BB82" s="392">
        <f t="shared" si="110"/>
        <v>51.699999999999953</v>
      </c>
      <c r="BC82" s="392">
        <f t="shared" si="110"/>
        <v>31.400000000000091</v>
      </c>
      <c r="BD82" s="410">
        <f>SUM(AZ82:BC82)</f>
        <v>178.29999999999998</v>
      </c>
      <c r="BE82" s="392">
        <f t="shared" si="111"/>
        <v>22.099999999999945</v>
      </c>
      <c r="BF82" s="392">
        <f t="shared" si="111"/>
        <v>13.799999999999912</v>
      </c>
      <c r="BG82" s="392">
        <f t="shared" si="111"/>
        <v>16.599999999999945</v>
      </c>
      <c r="BH82" s="392">
        <f>BH49-BH52-BH55-BH58-BH61-BH64-BH67-BH70-BH73-BH76</f>
        <v>13.299999999999947</v>
      </c>
      <c r="BI82" s="410">
        <f>SUM(BE82:BH82)</f>
        <v>65.799999999999756</v>
      </c>
      <c r="BJ82" s="392">
        <f t="shared" si="112"/>
        <v>10.899999999999913</v>
      </c>
      <c r="BK82" s="392">
        <f t="shared" si="112"/>
        <v>10.29999999999988</v>
      </c>
      <c r="BL82" s="392">
        <f t="shared" si="112"/>
        <v>11.50000000000006</v>
      </c>
      <c r="BM82" s="392">
        <f t="shared" si="112"/>
        <v>10.000000000000096</v>
      </c>
      <c r="BN82" s="410">
        <f>SUM(BJ82:BM82)</f>
        <v>42.699999999999946</v>
      </c>
      <c r="BO82" s="392">
        <f t="shared" si="113"/>
        <v>23.100000000000016</v>
      </c>
      <c r="BP82" s="392">
        <f t="shared" si="113"/>
        <v>8.0000000000000746</v>
      </c>
      <c r="BQ82" s="392">
        <f t="shared" si="113"/>
        <v>8.300000000000054</v>
      </c>
      <c r="BR82" s="392">
        <f>BR49-BR52-BR55-BR58-BR61-BR64-BR67-BR70-BR73-BR76-BR79</f>
        <v>7.4999999999999893</v>
      </c>
      <c r="BS82" s="410">
        <f>SUM(BO82:BR82)</f>
        <v>46.900000000000134</v>
      </c>
      <c r="BT82" s="392">
        <f t="shared" si="114"/>
        <v>8.7000000000000597</v>
      </c>
      <c r="BU82" s="392">
        <f t="shared" si="114"/>
        <v>8.2000000000000242</v>
      </c>
      <c r="BV82" s="392">
        <f t="shared" si="114"/>
        <v>8.9999999999999005</v>
      </c>
      <c r="BW82" s="392">
        <f t="shared" si="114"/>
        <v>8.3999999999999844</v>
      </c>
      <c r="BX82" s="410">
        <f>SUM(BT82:BW82)</f>
        <v>34.299999999999969</v>
      </c>
      <c r="BY82" s="392">
        <f>BY49-BY52-BY55-BY58-BY61-BY64-BY67-BY70-BY73-BY76-BY79</f>
        <v>27.499999999999986</v>
      </c>
      <c r="BZ82" s="383">
        <f t="shared" si="115"/>
        <v>18.040000000000056</v>
      </c>
      <c r="CA82" s="383">
        <f t="shared" si="115"/>
        <v>17.999999999999801</v>
      </c>
      <c r="CB82" s="383">
        <f t="shared" si="115"/>
        <v>16.799999999999969</v>
      </c>
      <c r="CC82" s="410">
        <f>SUM(BY82:CB82)</f>
        <v>80.339999999999804</v>
      </c>
      <c r="CD82" s="410">
        <f t="shared" si="116"/>
        <v>80.339999999999804</v>
      </c>
      <c r="CE82" s="410">
        <f t="shared" si="116"/>
        <v>80.339999999999804</v>
      </c>
      <c r="CF82" s="410">
        <f t="shared" si="116"/>
        <v>80.339999999999804</v>
      </c>
      <c r="CG82" s="410">
        <f t="shared" si="116"/>
        <v>80.339999999999804</v>
      </c>
      <c r="CH82" s="410">
        <f t="shared" si="116"/>
        <v>80.339999999999804</v>
      </c>
    </row>
    <row r="83" spans="1:228" s="950" customFormat="1" ht="12.75" hidden="1" customHeight="1">
      <c r="A83" s="946"/>
      <c r="B83" s="946"/>
      <c r="C83" s="946"/>
      <c r="D83" s="946"/>
      <c r="E83" s="946"/>
      <c r="F83" s="946"/>
      <c r="G83" s="285"/>
      <c r="H83" s="977" t="s">
        <v>302</v>
      </c>
      <c r="I83" s="978"/>
      <c r="J83" s="947"/>
      <c r="K83" s="947"/>
      <c r="L83" s="948">
        <v>168.7</v>
      </c>
      <c r="M83" s="948">
        <v>105</v>
      </c>
      <c r="N83" s="948">
        <v>64.3</v>
      </c>
      <c r="O83" s="948">
        <v>155</v>
      </c>
      <c r="P83" s="947">
        <v>493</v>
      </c>
      <c r="Q83" s="948">
        <f t="shared" ref="Q83:Z83" si="117">Q88+Q91</f>
        <v>189</v>
      </c>
      <c r="R83" s="948">
        <f t="shared" si="117"/>
        <v>92.6</v>
      </c>
      <c r="S83" s="948">
        <f t="shared" si="117"/>
        <v>77</v>
      </c>
      <c r="T83" s="948">
        <f t="shared" si="117"/>
        <v>89.800000000000011</v>
      </c>
      <c r="U83" s="947">
        <f t="shared" si="117"/>
        <v>448.40000000000003</v>
      </c>
      <c r="V83" s="948">
        <f t="shared" si="117"/>
        <v>86.199999999999989</v>
      </c>
      <c r="W83" s="948">
        <f t="shared" si="117"/>
        <v>93.3</v>
      </c>
      <c r="X83" s="948">
        <f t="shared" si="117"/>
        <v>97.9</v>
      </c>
      <c r="Y83" s="948">
        <f t="shared" si="117"/>
        <v>93.2</v>
      </c>
      <c r="Z83" s="947">
        <f t="shared" si="117"/>
        <v>370.59999999999997</v>
      </c>
      <c r="AA83" s="948">
        <f>AA84+AA91</f>
        <v>55.6</v>
      </c>
      <c r="AB83" s="948">
        <f>AB84+AB91</f>
        <v>51.7</v>
      </c>
      <c r="AC83" s="948">
        <f>AC84+AC91</f>
        <v>49.5</v>
      </c>
      <c r="AD83" s="948">
        <f>AD84+AD91</f>
        <v>42.1</v>
      </c>
      <c r="AE83" s="668">
        <f>SUM(AA83:AD83)</f>
        <v>198.9</v>
      </c>
      <c r="AF83" s="948">
        <f>AF84+AF91</f>
        <v>40</v>
      </c>
      <c r="AG83" s="948">
        <f>AG84+AG91</f>
        <v>43.14</v>
      </c>
      <c r="AH83" s="948">
        <f>AH84+AH91</f>
        <v>41.5</v>
      </c>
      <c r="AI83" s="948">
        <f>AI84+AI91</f>
        <v>46.2</v>
      </c>
      <c r="AJ83" s="668">
        <f>SUM(AF83:AI83)</f>
        <v>170.84</v>
      </c>
      <c r="AK83" s="948">
        <f>AK84+AK91</f>
        <v>41.7</v>
      </c>
      <c r="AL83" s="948">
        <f>AL84+AL91</f>
        <v>44.2</v>
      </c>
      <c r="AM83" s="948">
        <f>AM84+AM91</f>
        <v>45.2</v>
      </c>
      <c r="AN83" s="948">
        <f>AN84+AN91</f>
        <v>58.4</v>
      </c>
      <c r="AO83" s="944">
        <f>SUM(AK83:AN83)</f>
        <v>189.50000000000003</v>
      </c>
      <c r="AP83" s="949">
        <f>AP84+AP91</f>
        <v>55.8</v>
      </c>
      <c r="AQ83" s="949">
        <f>AQ84+AQ91</f>
        <v>45.9</v>
      </c>
      <c r="AR83" s="949">
        <f>AR84+AR91</f>
        <v>39.9</v>
      </c>
      <c r="AS83" s="949">
        <f>AS84+AS91</f>
        <v>38.4</v>
      </c>
      <c r="AT83" s="944">
        <f>SUM(AP83:AS83)</f>
        <v>180</v>
      </c>
      <c r="AU83" s="949">
        <f>AU84+AU91</f>
        <v>26.1</v>
      </c>
      <c r="AV83" s="949">
        <f>AV84+AV91</f>
        <v>21.7</v>
      </c>
      <c r="AW83" s="949">
        <f>AW84+AW91</f>
        <v>19.899999999999999</v>
      </c>
      <c r="AX83" s="949">
        <f>AX84+AX91</f>
        <v>22</v>
      </c>
      <c r="AY83" s="944">
        <f>SUM(AU83:AX83)</f>
        <v>89.699999999999989</v>
      </c>
      <c r="AZ83" s="949">
        <f>AZ84+AZ91</f>
        <v>14.6</v>
      </c>
      <c r="BA83" s="949">
        <f>BA84+BA91</f>
        <v>13.6</v>
      </c>
      <c r="BB83" s="949">
        <f>BB84+BB91</f>
        <v>14.3</v>
      </c>
      <c r="BC83" s="949">
        <f>BC84+BC91</f>
        <v>0</v>
      </c>
      <c r="BD83" s="944">
        <f>BD84+BD91</f>
        <v>42.5</v>
      </c>
      <c r="BE83" s="949"/>
      <c r="BF83" s="949"/>
      <c r="BG83" s="949"/>
      <c r="BH83" s="949"/>
      <c r="BI83" s="944">
        <f>BI84+BI91</f>
        <v>0</v>
      </c>
      <c r="BJ83" s="949"/>
      <c r="BK83" s="949"/>
      <c r="BL83" s="949"/>
      <c r="BM83" s="949"/>
      <c r="BN83" s="944">
        <f>BN84+BN91</f>
        <v>0</v>
      </c>
      <c r="BO83" s="949"/>
      <c r="BP83" s="949"/>
      <c r="BQ83" s="949"/>
      <c r="BR83" s="949"/>
      <c r="BS83" s="944">
        <f>BS84+BS91</f>
        <v>0</v>
      </c>
      <c r="BT83" s="949"/>
      <c r="BU83" s="949"/>
      <c r="BV83" s="949"/>
      <c r="BW83" s="949"/>
      <c r="BX83" s="944">
        <f>BX84+BX91</f>
        <v>0</v>
      </c>
      <c r="BY83" s="949"/>
      <c r="BZ83" s="949"/>
      <c r="CA83" s="949"/>
      <c r="CB83" s="949"/>
      <c r="CC83" s="944">
        <f t="shared" ref="CC83:CH83" si="118">CC84+CC91</f>
        <v>0</v>
      </c>
      <c r="CD83" s="944" t="e">
        <f t="shared" si="118"/>
        <v>#REF!</v>
      </c>
      <c r="CE83" s="944" t="e">
        <f t="shared" si="118"/>
        <v>#REF!</v>
      </c>
      <c r="CF83" s="944" t="e">
        <f t="shared" si="118"/>
        <v>#REF!</v>
      </c>
      <c r="CG83" s="944" t="e">
        <f t="shared" si="118"/>
        <v>#REF!</v>
      </c>
      <c r="CH83" s="944" t="e">
        <f t="shared" si="118"/>
        <v>#REF!</v>
      </c>
    </row>
    <row r="84" spans="1:228" s="955" customFormat="1" ht="12.75" hidden="1" customHeight="1">
      <c r="A84" s="946"/>
      <c r="B84" s="946"/>
      <c r="C84" s="946"/>
      <c r="D84" s="946"/>
      <c r="E84" s="946"/>
      <c r="F84" s="946"/>
      <c r="G84" s="285"/>
      <c r="H84" s="939" t="s">
        <v>1163</v>
      </c>
      <c r="I84" s="971"/>
      <c r="J84" s="951"/>
      <c r="K84" s="951"/>
      <c r="L84" s="952"/>
      <c r="M84" s="952"/>
      <c r="N84" s="952"/>
      <c r="O84" s="952"/>
      <c r="P84" s="951"/>
      <c r="Q84" s="952"/>
      <c r="R84" s="952"/>
      <c r="S84" s="952"/>
      <c r="T84" s="952"/>
      <c r="U84" s="951"/>
      <c r="V84" s="952"/>
      <c r="W84" s="952"/>
      <c r="X84" s="952"/>
      <c r="Y84" s="952"/>
      <c r="Z84" s="951"/>
      <c r="AA84" s="953">
        <v>0</v>
      </c>
      <c r="AB84" s="953">
        <v>0</v>
      </c>
      <c r="AC84" s="953">
        <v>0</v>
      </c>
      <c r="AD84" s="953">
        <v>0</v>
      </c>
      <c r="AE84" s="290">
        <f>SUM(AA84:AD84)</f>
        <v>0</v>
      </c>
      <c r="AF84" s="953">
        <v>0</v>
      </c>
      <c r="AG84" s="953">
        <v>-0.01</v>
      </c>
      <c r="AH84" s="954">
        <v>0</v>
      </c>
      <c r="AI84" s="954">
        <v>0</v>
      </c>
      <c r="AJ84" s="290">
        <f>SUM(AF84:AI84)</f>
        <v>-0.01</v>
      </c>
      <c r="AK84" s="940">
        <v>0</v>
      </c>
      <c r="AL84" s="940">
        <v>0</v>
      </c>
      <c r="AM84" s="940">
        <v>0</v>
      </c>
      <c r="AN84" s="940">
        <v>0</v>
      </c>
      <c r="AO84" s="891"/>
      <c r="AP84" s="940">
        <v>0</v>
      </c>
      <c r="AQ84" s="940">
        <v>0</v>
      </c>
      <c r="AR84" s="940">
        <v>0</v>
      </c>
      <c r="AS84" s="940">
        <v>0</v>
      </c>
      <c r="AT84" s="891"/>
      <c r="AU84" s="940">
        <v>0</v>
      </c>
      <c r="AV84" s="940">
        <v>0</v>
      </c>
      <c r="AW84" s="940">
        <v>0</v>
      </c>
      <c r="AX84" s="940">
        <v>0</v>
      </c>
      <c r="AY84" s="891"/>
      <c r="AZ84" s="940">
        <v>0</v>
      </c>
      <c r="BA84" s="890"/>
      <c r="BB84" s="890"/>
      <c r="BC84" s="890"/>
      <c r="BD84" s="891"/>
      <c r="BE84" s="890"/>
      <c r="BF84" s="890"/>
      <c r="BG84" s="890"/>
      <c r="BH84" s="890"/>
      <c r="BI84" s="891"/>
      <c r="BJ84" s="919"/>
      <c r="BK84" s="919"/>
      <c r="BL84" s="919"/>
      <c r="BM84" s="919"/>
      <c r="BN84" s="891"/>
      <c r="BO84" s="890"/>
      <c r="BP84" s="890"/>
      <c r="BQ84" s="890"/>
      <c r="BR84" s="890"/>
      <c r="BS84" s="891"/>
      <c r="BT84" s="890"/>
      <c r="BU84" s="890"/>
      <c r="BV84" s="890"/>
      <c r="BW84" s="890"/>
      <c r="BX84" s="891"/>
      <c r="BY84" s="890"/>
      <c r="BZ84" s="890"/>
      <c r="CA84" s="890"/>
      <c r="CB84" s="890"/>
      <c r="CC84" s="891"/>
      <c r="CD84" s="891"/>
      <c r="CE84" s="891"/>
      <c r="CF84" s="891"/>
      <c r="CG84" s="891"/>
      <c r="CH84" s="891"/>
    </row>
    <row r="85" spans="1:228" s="821" customFormat="1" ht="12.75" hidden="1" customHeight="1">
      <c r="A85" s="956"/>
      <c r="B85" s="956"/>
      <c r="C85" s="956"/>
      <c r="D85" s="956"/>
      <c r="E85" s="956"/>
      <c r="F85" s="956"/>
      <c r="G85" s="285"/>
      <c r="H85" s="939" t="s">
        <v>303</v>
      </c>
      <c r="I85" s="957"/>
      <c r="J85" s="945"/>
      <c r="K85" s="945"/>
      <c r="L85" s="954">
        <v>514</v>
      </c>
      <c r="M85" s="954">
        <v>512</v>
      </c>
      <c r="N85" s="954">
        <v>562</v>
      </c>
      <c r="O85" s="954">
        <v>590</v>
      </c>
      <c r="P85" s="958">
        <v>2158</v>
      </c>
      <c r="Q85" s="818"/>
      <c r="R85" s="818"/>
      <c r="S85" s="818"/>
      <c r="T85" s="818"/>
      <c r="U85" s="958"/>
      <c r="V85" s="818"/>
      <c r="W85" s="818"/>
      <c r="X85" s="818"/>
      <c r="Y85" s="818"/>
      <c r="Z85" s="958"/>
      <c r="AA85" s="818"/>
      <c r="AB85" s="818"/>
      <c r="AC85" s="818"/>
      <c r="AD85" s="818"/>
      <c r="AE85" s="958"/>
      <c r="AF85" s="818"/>
      <c r="AG85" s="818"/>
      <c r="AH85" s="954"/>
      <c r="AI85" s="954"/>
      <c r="AJ85" s="958"/>
      <c r="AK85" s="954"/>
      <c r="AL85" s="954"/>
      <c r="AM85" s="954"/>
      <c r="AN85" s="954"/>
      <c r="AO85" s="704"/>
      <c r="AP85" s="959"/>
      <c r="AQ85" s="959"/>
      <c r="AR85" s="959"/>
      <c r="AS85" s="959"/>
      <c r="AT85" s="704"/>
      <c r="AU85" s="959"/>
      <c r="AV85" s="959"/>
      <c r="AW85" s="960"/>
      <c r="AX85" s="960"/>
      <c r="AY85" s="704"/>
      <c r="AZ85" s="960"/>
      <c r="BA85" s="960"/>
      <c r="BB85" s="960"/>
      <c r="BC85" s="960"/>
      <c r="BD85" s="704">
        <f t="shared" ref="BD85:BD91" si="119">SUM(AZ85:BC85)</f>
        <v>0</v>
      </c>
      <c r="BE85" s="960"/>
      <c r="BF85" s="960"/>
      <c r="BG85" s="960"/>
      <c r="BH85" s="960"/>
      <c r="BI85" s="704"/>
      <c r="BJ85" s="960"/>
      <c r="BK85" s="960"/>
      <c r="BL85" s="960"/>
      <c r="BM85" s="960"/>
      <c r="BN85" s="704"/>
      <c r="BO85" s="960"/>
      <c r="BP85" s="960"/>
      <c r="BQ85" s="960"/>
      <c r="BR85" s="960"/>
      <c r="BS85" s="704"/>
      <c r="BT85" s="960"/>
      <c r="BU85" s="960"/>
      <c r="BV85" s="960"/>
      <c r="BW85" s="960"/>
      <c r="BX85" s="704"/>
      <c r="BY85" s="960"/>
      <c r="BZ85" s="960"/>
      <c r="CA85" s="960"/>
      <c r="CB85" s="960"/>
      <c r="CC85" s="704"/>
      <c r="CD85" s="704"/>
      <c r="CE85" s="704"/>
      <c r="CF85" s="704"/>
      <c r="CG85" s="704"/>
      <c r="CH85" s="704"/>
    </row>
    <row r="86" spans="1:228" s="821" customFormat="1" ht="12.75" hidden="1" customHeight="1">
      <c r="A86" s="956"/>
      <c r="B86" s="956"/>
      <c r="C86" s="956"/>
      <c r="D86" s="956"/>
      <c r="E86" s="956"/>
      <c r="F86" s="956"/>
      <c r="G86" s="285"/>
      <c r="H86" s="6" t="s">
        <v>1163</v>
      </c>
      <c r="I86" s="957"/>
      <c r="J86" s="945"/>
      <c r="K86" s="945"/>
      <c r="L86" s="818"/>
      <c r="M86" s="818"/>
      <c r="N86" s="818"/>
      <c r="O86" s="818"/>
      <c r="P86" s="958">
        <v>1783</v>
      </c>
      <c r="Q86" s="818"/>
      <c r="R86" s="818"/>
      <c r="S86" s="818"/>
      <c r="T86" s="818"/>
      <c r="U86" s="958"/>
      <c r="V86" s="818"/>
      <c r="W86" s="818"/>
      <c r="X86" s="818"/>
      <c r="Y86" s="818"/>
      <c r="Z86" s="958"/>
      <c r="AA86" s="818"/>
      <c r="AB86" s="818"/>
      <c r="AC86" s="818"/>
      <c r="AD86" s="818"/>
      <c r="AE86" s="958"/>
      <c r="AF86" s="818"/>
      <c r="AG86" s="818"/>
      <c r="AH86" s="954"/>
      <c r="AI86" s="954"/>
      <c r="AJ86" s="958"/>
      <c r="AK86" s="954"/>
      <c r="AL86" s="954"/>
      <c r="AM86" s="954"/>
      <c r="AN86" s="954"/>
      <c r="AO86" s="704"/>
      <c r="AP86" s="959"/>
      <c r="AQ86" s="959"/>
      <c r="AR86" s="959"/>
      <c r="AS86" s="959"/>
      <c r="AT86" s="704"/>
      <c r="AU86" s="959"/>
      <c r="AV86" s="959"/>
      <c r="AW86" s="960"/>
      <c r="AX86" s="960"/>
      <c r="AY86" s="704"/>
      <c r="AZ86" s="960"/>
      <c r="BA86" s="960"/>
      <c r="BB86" s="960"/>
      <c r="BC86" s="960"/>
      <c r="BD86" s="704">
        <f t="shared" si="119"/>
        <v>0</v>
      </c>
      <c r="BE86" s="960"/>
      <c r="BF86" s="960"/>
      <c r="BG86" s="960"/>
      <c r="BH86" s="960"/>
      <c r="BI86" s="704"/>
      <c r="BJ86" s="960"/>
      <c r="BK86" s="960"/>
      <c r="BL86" s="960"/>
      <c r="BM86" s="960"/>
      <c r="BN86" s="704"/>
      <c r="BO86" s="960"/>
      <c r="BP86" s="960"/>
      <c r="BQ86" s="960"/>
      <c r="BR86" s="960"/>
      <c r="BS86" s="704"/>
      <c r="BT86" s="960"/>
      <c r="BU86" s="960"/>
      <c r="BV86" s="960"/>
      <c r="BW86" s="960"/>
      <c r="BX86" s="704"/>
      <c r="BY86" s="960"/>
      <c r="BZ86" s="960"/>
      <c r="CA86" s="960"/>
      <c r="CB86" s="960"/>
      <c r="CC86" s="704"/>
      <c r="CD86" s="704"/>
      <c r="CE86" s="704"/>
      <c r="CF86" s="704"/>
      <c r="CG86" s="704"/>
      <c r="CH86" s="704"/>
    </row>
    <row r="87" spans="1:228" s="821" customFormat="1" ht="12.75" hidden="1" customHeight="1">
      <c r="A87" s="956"/>
      <c r="B87" s="956"/>
      <c r="C87" s="956"/>
      <c r="D87" s="956"/>
      <c r="E87" s="956"/>
      <c r="F87" s="956"/>
      <c r="G87" s="285"/>
      <c r="H87" s="961" t="s">
        <v>304</v>
      </c>
      <c r="I87" s="962"/>
      <c r="J87" s="963"/>
      <c r="K87" s="963"/>
      <c r="L87" s="964"/>
      <c r="M87" s="964"/>
      <c r="N87" s="964"/>
      <c r="O87" s="964"/>
      <c r="P87" s="965">
        <v>0.19949523275378578</v>
      </c>
      <c r="Q87" s="966"/>
      <c r="R87" s="966"/>
      <c r="S87" s="966"/>
      <c r="T87" s="966"/>
      <c r="U87" s="965"/>
      <c r="V87" s="966"/>
      <c r="W87" s="966"/>
      <c r="X87" s="966"/>
      <c r="Y87" s="818"/>
      <c r="Z87" s="965"/>
      <c r="AA87" s="966"/>
      <c r="AB87" s="966"/>
      <c r="AC87" s="966"/>
      <c r="AD87" s="966"/>
      <c r="AE87" s="967"/>
      <c r="AF87" s="818"/>
      <c r="AG87" s="818"/>
      <c r="AH87" s="954"/>
      <c r="AI87" s="954"/>
      <c r="AJ87" s="967"/>
      <c r="AK87" s="954"/>
      <c r="AL87" s="954"/>
      <c r="AM87" s="954"/>
      <c r="AN87" s="954"/>
      <c r="AO87" s="968"/>
      <c r="AP87" s="959"/>
      <c r="AQ87" s="959"/>
      <c r="AR87" s="959"/>
      <c r="AS87" s="959"/>
      <c r="AT87" s="783"/>
      <c r="AU87" s="959"/>
      <c r="AV87" s="959"/>
      <c r="AW87" s="960"/>
      <c r="AX87" s="960"/>
      <c r="AY87" s="783"/>
      <c r="AZ87" s="969"/>
      <c r="BA87" s="969"/>
      <c r="BB87" s="969"/>
      <c r="BC87" s="969"/>
      <c r="BD87" s="970">
        <f t="shared" si="119"/>
        <v>0</v>
      </c>
      <c r="BE87" s="969"/>
      <c r="BF87" s="969"/>
      <c r="BG87" s="969"/>
      <c r="BH87" s="969"/>
      <c r="BI87" s="783"/>
      <c r="BJ87" s="969"/>
      <c r="BK87" s="969"/>
      <c r="BL87" s="969"/>
      <c r="BM87" s="969"/>
      <c r="BN87" s="783"/>
      <c r="BO87" s="969"/>
      <c r="BP87" s="969"/>
      <c r="BQ87" s="969"/>
      <c r="BR87" s="969"/>
      <c r="BS87" s="783"/>
      <c r="BT87" s="969"/>
      <c r="BU87" s="969"/>
      <c r="BV87" s="969"/>
      <c r="BW87" s="969"/>
      <c r="BX87" s="783"/>
      <c r="BY87" s="969"/>
      <c r="BZ87" s="969"/>
      <c r="CA87" s="969"/>
      <c r="CB87" s="969"/>
      <c r="CC87" s="783"/>
      <c r="CD87" s="783"/>
      <c r="CE87" s="783"/>
      <c r="CF87" s="783"/>
      <c r="CG87" s="783"/>
      <c r="CH87" s="783"/>
    </row>
    <row r="88" spans="1:228" s="950" customFormat="1" ht="12.75" hidden="1" customHeight="1">
      <c r="A88" s="956"/>
      <c r="B88" s="956"/>
      <c r="C88" s="956"/>
      <c r="D88" s="956"/>
      <c r="E88" s="956"/>
      <c r="F88" s="956"/>
      <c r="G88" s="285"/>
      <c r="H88" s="961" t="s">
        <v>630</v>
      </c>
      <c r="I88" s="971"/>
      <c r="J88" s="951"/>
      <c r="K88" s="951"/>
      <c r="L88" s="954">
        <v>138</v>
      </c>
      <c r="M88" s="954">
        <v>71.5</v>
      </c>
      <c r="N88" s="954">
        <v>29.8</v>
      </c>
      <c r="O88" s="954">
        <v>116.4</v>
      </c>
      <c r="P88" s="958">
        <v>355.7</v>
      </c>
      <c r="Q88" s="954">
        <v>151.4</v>
      </c>
      <c r="R88" s="954">
        <v>50.9</v>
      </c>
      <c r="S88" s="954">
        <v>34.700000000000003</v>
      </c>
      <c r="T88" s="954">
        <v>42.1</v>
      </c>
      <c r="U88" s="958">
        <f>SUM(Q88:T88)</f>
        <v>279.10000000000002</v>
      </c>
      <c r="V88" s="954">
        <v>40.799999999999997</v>
      </c>
      <c r="W88" s="954">
        <v>40.799999999999997</v>
      </c>
      <c r="X88" s="954">
        <v>40.799999999999997</v>
      </c>
      <c r="Y88" s="954">
        <v>28.5</v>
      </c>
      <c r="Z88" s="958">
        <f>SUM(V88:Y88)</f>
        <v>150.89999999999998</v>
      </c>
      <c r="AA88" s="954"/>
      <c r="AB88" s="954"/>
      <c r="AC88" s="954"/>
      <c r="AD88" s="954"/>
      <c r="AE88" s="958"/>
      <c r="AF88" s="954"/>
      <c r="AG88" s="954"/>
      <c r="AH88" s="954"/>
      <c r="AI88" s="954"/>
      <c r="AJ88" s="958"/>
      <c r="AK88" s="954"/>
      <c r="AL88" s="954"/>
      <c r="AM88" s="954"/>
      <c r="AN88" s="954"/>
      <c r="AO88" s="704"/>
      <c r="AP88" s="959"/>
      <c r="AQ88" s="959"/>
      <c r="AR88" s="959"/>
      <c r="AS88" s="959"/>
      <c r="AT88" s="704"/>
      <c r="AU88" s="959"/>
      <c r="AV88" s="959"/>
      <c r="AW88" s="960"/>
      <c r="AX88" s="960"/>
      <c r="AY88" s="704"/>
      <c r="AZ88" s="960"/>
      <c r="BA88" s="960"/>
      <c r="BB88" s="960"/>
      <c r="BC88" s="960"/>
      <c r="BD88" s="704">
        <f t="shared" si="119"/>
        <v>0</v>
      </c>
      <c r="BE88" s="960"/>
      <c r="BF88" s="960"/>
      <c r="BG88" s="960"/>
      <c r="BH88" s="960"/>
      <c r="BI88" s="704"/>
      <c r="BJ88" s="960"/>
      <c r="BK88" s="960"/>
      <c r="BL88" s="960"/>
      <c r="BM88" s="960"/>
      <c r="BN88" s="704"/>
      <c r="BO88" s="960"/>
      <c r="BP88" s="960"/>
      <c r="BQ88" s="960"/>
      <c r="BR88" s="960"/>
      <c r="BS88" s="704"/>
      <c r="BT88" s="960"/>
      <c r="BU88" s="960"/>
      <c r="BV88" s="960"/>
      <c r="BW88" s="960"/>
      <c r="BX88" s="704"/>
      <c r="BY88" s="960"/>
      <c r="BZ88" s="960"/>
      <c r="CA88" s="960"/>
      <c r="CB88" s="960"/>
      <c r="CC88" s="704"/>
      <c r="CD88" s="704"/>
      <c r="CE88" s="704"/>
      <c r="CF88" s="704"/>
      <c r="CG88" s="704"/>
      <c r="CH88" s="704"/>
    </row>
    <row r="89" spans="1:228" s="821" customFormat="1" ht="12.75" hidden="1" customHeight="1">
      <c r="A89" s="956"/>
      <c r="B89" s="956"/>
      <c r="C89" s="956"/>
      <c r="D89" s="956"/>
      <c r="E89" s="956"/>
      <c r="F89" s="956"/>
      <c r="G89" s="285"/>
      <c r="H89" s="6" t="s">
        <v>1164</v>
      </c>
      <c r="I89" s="957"/>
      <c r="J89" s="945"/>
      <c r="K89" s="945"/>
      <c r="L89" s="818"/>
      <c r="M89" s="818"/>
      <c r="N89" s="818"/>
      <c r="O89" s="818"/>
      <c r="P89" s="958">
        <v>375</v>
      </c>
      <c r="Q89" s="818"/>
      <c r="R89" s="818"/>
      <c r="S89" s="818"/>
      <c r="T89" s="818"/>
      <c r="U89" s="958"/>
      <c r="V89" s="818"/>
      <c r="W89" s="818"/>
      <c r="X89" s="818"/>
      <c r="Y89" s="954"/>
      <c r="Z89" s="958"/>
      <c r="AA89" s="954"/>
      <c r="AB89" s="954"/>
      <c r="AC89" s="954"/>
      <c r="AD89" s="954"/>
      <c r="AE89" s="958"/>
      <c r="AF89" s="818"/>
      <c r="AG89" s="818"/>
      <c r="AH89" s="954"/>
      <c r="AI89" s="954"/>
      <c r="AJ89" s="958"/>
      <c r="AK89" s="954"/>
      <c r="AL89" s="954"/>
      <c r="AM89" s="954"/>
      <c r="AN89" s="954"/>
      <c r="AO89" s="704"/>
      <c r="AP89" s="959"/>
      <c r="AQ89" s="959"/>
      <c r="AR89" s="959"/>
      <c r="AS89" s="959"/>
      <c r="AT89" s="704"/>
      <c r="AU89" s="959"/>
      <c r="AV89" s="959"/>
      <c r="AW89" s="960"/>
      <c r="AX89" s="960"/>
      <c r="AY89" s="704"/>
      <c r="AZ89" s="960"/>
      <c r="BA89" s="960"/>
      <c r="BB89" s="960"/>
      <c r="BC89" s="960"/>
      <c r="BD89" s="704">
        <f t="shared" si="119"/>
        <v>0</v>
      </c>
      <c r="BE89" s="960"/>
      <c r="BF89" s="960"/>
      <c r="BG89" s="960"/>
      <c r="BH89" s="960"/>
      <c r="BI89" s="704"/>
      <c r="BJ89" s="960"/>
      <c r="BK89" s="960"/>
      <c r="BL89" s="960"/>
      <c r="BM89" s="960"/>
      <c r="BN89" s="704"/>
      <c r="BO89" s="960"/>
      <c r="BP89" s="960"/>
      <c r="BQ89" s="960"/>
      <c r="BR89" s="960"/>
      <c r="BS89" s="704"/>
      <c r="BT89" s="960"/>
      <c r="BU89" s="960"/>
      <c r="BV89" s="960"/>
      <c r="BW89" s="960"/>
      <c r="BX89" s="704"/>
      <c r="BY89" s="960"/>
      <c r="BZ89" s="960"/>
      <c r="CA89" s="960"/>
      <c r="CB89" s="960"/>
      <c r="CC89" s="704"/>
      <c r="CD89" s="704"/>
      <c r="CE89" s="704"/>
      <c r="CF89" s="704"/>
      <c r="CG89" s="704"/>
      <c r="CH89" s="704"/>
    </row>
    <row r="90" spans="1:228" s="821" customFormat="1" ht="12.75" hidden="1" customHeight="1">
      <c r="A90" s="956"/>
      <c r="B90" s="956"/>
      <c r="C90" s="956"/>
      <c r="D90" s="956"/>
      <c r="E90" s="956"/>
      <c r="F90" s="956"/>
      <c r="G90" s="285"/>
      <c r="H90" s="961" t="s">
        <v>631</v>
      </c>
      <c r="I90" s="962"/>
      <c r="J90" s="963"/>
      <c r="K90" s="963"/>
      <c r="L90" s="964"/>
      <c r="M90" s="964"/>
      <c r="N90" s="964"/>
      <c r="O90" s="964"/>
      <c r="P90" s="965">
        <v>0.36613333333333337</v>
      </c>
      <c r="Q90" s="966"/>
      <c r="R90" s="966"/>
      <c r="S90" s="966"/>
      <c r="T90" s="966"/>
      <c r="U90" s="965"/>
      <c r="V90" s="966"/>
      <c r="W90" s="966"/>
      <c r="X90" s="966"/>
      <c r="Y90" s="966"/>
      <c r="Z90" s="965"/>
      <c r="AA90" s="966"/>
      <c r="AB90" s="966"/>
      <c r="AC90" s="966"/>
      <c r="AD90" s="966"/>
      <c r="AE90" s="967"/>
      <c r="AF90" s="966"/>
      <c r="AG90" s="966"/>
      <c r="AH90" s="954"/>
      <c r="AI90" s="954"/>
      <c r="AJ90" s="967"/>
      <c r="AK90" s="954"/>
      <c r="AL90" s="954"/>
      <c r="AM90" s="954"/>
      <c r="AN90" s="954"/>
      <c r="AO90" s="968"/>
      <c r="AP90" s="959"/>
      <c r="AQ90" s="959"/>
      <c r="AR90" s="959"/>
      <c r="AS90" s="959"/>
      <c r="AT90" s="783"/>
      <c r="AU90" s="959"/>
      <c r="AV90" s="959"/>
      <c r="AW90" s="969"/>
      <c r="AX90" s="969"/>
      <c r="AY90" s="783"/>
      <c r="AZ90" s="969"/>
      <c r="BA90" s="969"/>
      <c r="BB90" s="969"/>
      <c r="BC90" s="969"/>
      <c r="BD90" s="970">
        <f t="shared" si="119"/>
        <v>0</v>
      </c>
      <c r="BE90" s="969"/>
      <c r="BF90" s="969"/>
      <c r="BG90" s="969"/>
      <c r="BH90" s="969"/>
      <c r="BI90" s="783"/>
      <c r="BJ90" s="969"/>
      <c r="BK90" s="969"/>
      <c r="BL90" s="969"/>
      <c r="BM90" s="969"/>
      <c r="BN90" s="783"/>
      <c r="BO90" s="969"/>
      <c r="BP90" s="969"/>
      <c r="BQ90" s="969"/>
      <c r="BR90" s="969"/>
      <c r="BS90" s="783"/>
      <c r="BT90" s="969"/>
      <c r="BU90" s="969"/>
      <c r="BV90" s="969"/>
      <c r="BW90" s="969"/>
      <c r="BX90" s="783"/>
      <c r="BY90" s="969"/>
      <c r="BZ90" s="969"/>
      <c r="CA90" s="969"/>
      <c r="CB90" s="969"/>
      <c r="CC90" s="783"/>
      <c r="CD90" s="783"/>
      <c r="CE90" s="783"/>
      <c r="CF90" s="783"/>
      <c r="CG90" s="783"/>
      <c r="CH90" s="783"/>
    </row>
    <row r="91" spans="1:228" s="950" customFormat="1" ht="12.75" hidden="1" customHeight="1">
      <c r="A91" s="972"/>
      <c r="B91" s="972"/>
      <c r="C91" s="972"/>
      <c r="D91" s="972"/>
      <c r="E91" s="972"/>
      <c r="F91" s="972"/>
      <c r="G91" s="285"/>
      <c r="H91" s="939" t="s">
        <v>1164</v>
      </c>
      <c r="I91" s="971"/>
      <c r="J91" s="951"/>
      <c r="K91" s="951"/>
      <c r="L91" s="954">
        <v>30.7</v>
      </c>
      <c r="M91" s="954">
        <v>33.5</v>
      </c>
      <c r="N91" s="954">
        <v>34.5</v>
      </c>
      <c r="O91" s="954">
        <v>38.6</v>
      </c>
      <c r="P91" s="958">
        <v>137.30000000000001</v>
      </c>
      <c r="Q91" s="954">
        <v>37.6</v>
      </c>
      <c r="R91" s="954">
        <v>41.7</v>
      </c>
      <c r="S91" s="954">
        <v>42.3</v>
      </c>
      <c r="T91" s="954">
        <v>47.7</v>
      </c>
      <c r="U91" s="973">
        <f>SUM(Q91:T91)</f>
        <v>169.3</v>
      </c>
      <c r="V91" s="954">
        <v>45.4</v>
      </c>
      <c r="W91" s="954">
        <v>52.5</v>
      </c>
      <c r="X91" s="954">
        <v>57.1</v>
      </c>
      <c r="Y91" s="954">
        <v>64.7</v>
      </c>
      <c r="Z91" s="973">
        <f>SUM(V91:Y91)</f>
        <v>219.7</v>
      </c>
      <c r="AA91" s="954">
        <v>55.6</v>
      </c>
      <c r="AB91" s="954">
        <v>51.7</v>
      </c>
      <c r="AC91" s="954">
        <v>49.5</v>
      </c>
      <c r="AD91" s="954">
        <v>42.1</v>
      </c>
      <c r="AE91" s="973">
        <f>SUM(AA91:AD91)</f>
        <v>198.9</v>
      </c>
      <c r="AF91" s="954">
        <v>40</v>
      </c>
      <c r="AG91" s="954">
        <v>43.15</v>
      </c>
      <c r="AH91" s="954">
        <v>41.5</v>
      </c>
      <c r="AI91" s="954">
        <v>46.2</v>
      </c>
      <c r="AJ91" s="973">
        <f>SUM(AF91:AI91)</f>
        <v>170.85000000000002</v>
      </c>
      <c r="AK91" s="954">
        <v>41.7</v>
      </c>
      <c r="AL91" s="954">
        <v>44.2</v>
      </c>
      <c r="AM91" s="954">
        <v>45.2</v>
      </c>
      <c r="AN91" s="954">
        <v>58.4</v>
      </c>
      <c r="AO91" s="704">
        <f>SUM(AK91:AN91)</f>
        <v>189.50000000000003</v>
      </c>
      <c r="AP91" s="959">
        <v>55.8</v>
      </c>
      <c r="AQ91" s="959">
        <v>45.9</v>
      </c>
      <c r="AR91" s="959">
        <v>39.9</v>
      </c>
      <c r="AS91" s="959">
        <v>38.4</v>
      </c>
      <c r="AT91" s="704">
        <f>SUM(AP91:AS91)</f>
        <v>180</v>
      </c>
      <c r="AU91" s="959">
        <v>26.1</v>
      </c>
      <c r="AV91" s="959">
        <v>21.7</v>
      </c>
      <c r="AW91" s="959">
        <v>19.899999999999999</v>
      </c>
      <c r="AX91" s="959">
        <v>22</v>
      </c>
      <c r="AY91" s="704">
        <f>SUM(AU91:AX91)</f>
        <v>89.699999999999989</v>
      </c>
      <c r="AZ91" s="959">
        <v>14.6</v>
      </c>
      <c r="BA91" s="959">
        <v>13.6</v>
      </c>
      <c r="BB91" s="959">
        <v>14.3</v>
      </c>
      <c r="BC91" s="943">
        <v>0</v>
      </c>
      <c r="BD91" s="704">
        <f t="shared" si="119"/>
        <v>42.5</v>
      </c>
      <c r="BE91" s="960"/>
      <c r="BF91" s="960"/>
      <c r="BG91" s="960"/>
      <c r="BH91" s="960"/>
      <c r="BI91" s="704">
        <f>SUM(BE91:BH91)</f>
        <v>0</v>
      </c>
      <c r="BJ91" s="960"/>
      <c r="BK91" s="960"/>
      <c r="BL91" s="960"/>
      <c r="BM91" s="960"/>
      <c r="BN91" s="704">
        <f>SUM(BJ91:BM91)</f>
        <v>0</v>
      </c>
      <c r="BO91" s="960"/>
      <c r="BP91" s="960"/>
      <c r="BQ91" s="960"/>
      <c r="BR91" s="960"/>
      <c r="BS91" s="704">
        <f>SUM(BO91:BR91)</f>
        <v>0</v>
      </c>
      <c r="BT91" s="960"/>
      <c r="BU91" s="960"/>
      <c r="BV91" s="960"/>
      <c r="BW91" s="960"/>
      <c r="BX91" s="704">
        <f>SUM(BT91:BW91)</f>
        <v>0</v>
      </c>
      <c r="BY91" s="960"/>
      <c r="BZ91" s="960"/>
      <c r="CA91" s="960"/>
      <c r="CB91" s="960"/>
      <c r="CC91" s="704">
        <f>SUM(BY91:CB91)</f>
        <v>0</v>
      </c>
      <c r="CD91" s="704" t="e">
        <f>SUM(#REF!)</f>
        <v>#REF!</v>
      </c>
      <c r="CE91" s="704" t="e">
        <f>SUM(#REF!)</f>
        <v>#REF!</v>
      </c>
      <c r="CF91" s="704" t="e">
        <f>SUM(#REF!)</f>
        <v>#REF!</v>
      </c>
      <c r="CG91" s="704" t="e">
        <f>SUM(#REF!)</f>
        <v>#REF!</v>
      </c>
      <c r="CH91" s="704" t="e">
        <f>SUM(#REF!)</f>
        <v>#REF!</v>
      </c>
      <c r="HT91" s="704"/>
    </row>
    <row r="92" spans="1:228" s="292" customFormat="1" ht="12.75" hidden="1" customHeight="1">
      <c r="A92" s="285"/>
      <c r="B92" s="285"/>
      <c r="C92" s="285"/>
      <c r="D92" s="285"/>
      <c r="E92" s="285"/>
      <c r="F92" s="285"/>
      <c r="G92" s="285"/>
      <c r="H92" s="977" t="s">
        <v>237</v>
      </c>
      <c r="I92" s="957"/>
      <c r="J92" s="942"/>
      <c r="K92" s="942"/>
      <c r="L92" s="288"/>
      <c r="M92" s="288"/>
      <c r="N92" s="288"/>
      <c r="O92" s="288"/>
      <c r="P92" s="298"/>
      <c r="Q92" s="288"/>
      <c r="R92" s="288"/>
      <c r="S92" s="288"/>
      <c r="T92" s="288"/>
      <c r="U92" s="298"/>
      <c r="V92" s="288"/>
      <c r="W92" s="288"/>
      <c r="X92" s="288"/>
      <c r="Y92" s="288"/>
      <c r="Z92" s="298"/>
      <c r="AA92" s="288"/>
      <c r="AB92" s="288"/>
      <c r="AC92" s="288"/>
      <c r="AD92" s="288"/>
      <c r="AE92" s="291"/>
      <c r="AF92" s="288"/>
      <c r="AG92" s="288"/>
      <c r="AH92" s="288"/>
      <c r="AI92" s="288"/>
      <c r="AJ92" s="291"/>
      <c r="AK92" s="288"/>
      <c r="AL92" s="288"/>
      <c r="AM92" s="288"/>
      <c r="AN92" s="288"/>
      <c r="AO92" s="785"/>
      <c r="AP92" s="884"/>
      <c r="AQ92" s="884"/>
      <c r="AR92" s="884"/>
      <c r="AS92" s="884"/>
      <c r="AT92" s="785"/>
      <c r="AU92" s="706">
        <f t="shared" ref="AU92:BD92" si="120">AU93+AU94</f>
        <v>17.7</v>
      </c>
      <c r="AV92" s="706">
        <f t="shared" si="120"/>
        <v>21.3</v>
      </c>
      <c r="AW92" s="706">
        <f t="shared" si="120"/>
        <v>30.1</v>
      </c>
      <c r="AX92" s="706">
        <f t="shared" si="120"/>
        <v>10.8</v>
      </c>
      <c r="AY92" s="944">
        <f t="shared" si="120"/>
        <v>79.900000000000006</v>
      </c>
      <c r="AZ92" s="706">
        <f t="shared" si="120"/>
        <v>19.400000000000002</v>
      </c>
      <c r="BA92" s="706">
        <f t="shared" si="120"/>
        <v>24.7</v>
      </c>
      <c r="BB92" s="706">
        <f t="shared" si="120"/>
        <v>30.299999999999997</v>
      </c>
      <c r="BC92" s="706">
        <f t="shared" si="120"/>
        <v>0</v>
      </c>
      <c r="BD92" s="944">
        <f t="shared" si="120"/>
        <v>74.400000000000006</v>
      </c>
      <c r="BE92" s="786"/>
      <c r="BF92" s="786"/>
      <c r="BG92" s="786"/>
      <c r="BH92" s="786"/>
      <c r="BI92" s="944">
        <f>BI93+BI94</f>
        <v>0</v>
      </c>
      <c r="BJ92" s="786"/>
      <c r="BK92" s="786"/>
      <c r="BL92" s="786"/>
      <c r="BM92" s="786"/>
      <c r="BN92" s="944">
        <f>BN93+BN94</f>
        <v>0</v>
      </c>
      <c r="BO92" s="786"/>
      <c r="BP92" s="786"/>
      <c r="BQ92" s="786"/>
      <c r="BR92" s="786"/>
      <c r="BS92" s="944">
        <f>BS93+BS94</f>
        <v>0</v>
      </c>
      <c r="BT92" s="786"/>
      <c r="BU92" s="786"/>
      <c r="BV92" s="786"/>
      <c r="BW92" s="786"/>
      <c r="BX92" s="944">
        <f>BX93+BX94</f>
        <v>0</v>
      </c>
      <c r="BY92" s="786"/>
      <c r="BZ92" s="786"/>
      <c r="CA92" s="786"/>
      <c r="CB92" s="786"/>
      <c r="CC92" s="944">
        <f t="shared" ref="CC92:CH92" si="121">CC93+CC94</f>
        <v>0</v>
      </c>
      <c r="CD92" s="944" t="e">
        <f t="shared" si="121"/>
        <v>#REF!</v>
      </c>
      <c r="CE92" s="944" t="e">
        <f t="shared" si="121"/>
        <v>#REF!</v>
      </c>
      <c r="CF92" s="944" t="e">
        <f t="shared" si="121"/>
        <v>#REF!</v>
      </c>
      <c r="CG92" s="944" t="e">
        <f t="shared" si="121"/>
        <v>#REF!</v>
      </c>
      <c r="CH92" s="944" t="e">
        <f t="shared" si="121"/>
        <v>#REF!</v>
      </c>
      <c r="HT92" s="944"/>
    </row>
    <row r="93" spans="1:228" s="292" customFormat="1" ht="12.75" hidden="1" customHeight="1">
      <c r="A93" s="285"/>
      <c r="B93" s="285"/>
      <c r="C93" s="285"/>
      <c r="D93" s="285"/>
      <c r="E93" s="285"/>
      <c r="F93" s="285"/>
      <c r="G93" s="285"/>
      <c r="H93" s="939" t="s">
        <v>1165</v>
      </c>
      <c r="I93" s="957"/>
      <c r="J93" s="942"/>
      <c r="K93" s="942"/>
      <c r="L93" s="288"/>
      <c r="M93" s="288"/>
      <c r="N93" s="288"/>
      <c r="O93" s="288"/>
      <c r="P93" s="298"/>
      <c r="Q93" s="288"/>
      <c r="R93" s="288"/>
      <c r="S93" s="288"/>
      <c r="T93" s="288"/>
      <c r="U93" s="298"/>
      <c r="V93" s="288"/>
      <c r="W93" s="288"/>
      <c r="X93" s="288"/>
      <c r="Y93" s="288"/>
      <c r="Z93" s="298"/>
      <c r="AA93" s="288"/>
      <c r="AB93" s="288"/>
      <c r="AC93" s="288"/>
      <c r="AD93" s="288"/>
      <c r="AE93" s="291"/>
      <c r="AF93" s="288"/>
      <c r="AG93" s="288"/>
      <c r="AH93" s="288"/>
      <c r="AI93" s="288"/>
      <c r="AJ93" s="291"/>
      <c r="AK93" s="288"/>
      <c r="AL93" s="288"/>
      <c r="AM93" s="288"/>
      <c r="AN93" s="288"/>
      <c r="AO93" s="785"/>
      <c r="AP93" s="884"/>
      <c r="AQ93" s="884"/>
      <c r="AR93" s="884"/>
      <c r="AS93" s="884"/>
      <c r="AT93" s="785"/>
      <c r="AU93" s="884">
        <v>15.5</v>
      </c>
      <c r="AV93" s="884">
        <v>19.8</v>
      </c>
      <c r="AW93" s="884">
        <v>28.1</v>
      </c>
      <c r="AX93" s="884">
        <v>8.6</v>
      </c>
      <c r="AY93" s="785">
        <f>SUM(AU93:AX93)</f>
        <v>72</v>
      </c>
      <c r="AZ93" s="884">
        <v>16.8</v>
      </c>
      <c r="BA93" s="884">
        <v>22.2</v>
      </c>
      <c r="BB93" s="884">
        <v>28.4</v>
      </c>
      <c r="BC93" s="943"/>
      <c r="BD93" s="785">
        <f>SUM(AZ93:BC93)</f>
        <v>67.400000000000006</v>
      </c>
      <c r="BE93" s="786"/>
      <c r="BF93" s="786"/>
      <c r="BG93" s="786"/>
      <c r="BH93" s="786"/>
      <c r="BI93" s="785">
        <f>SUM(BE93:BH93)</f>
        <v>0</v>
      </c>
      <c r="BJ93" s="786"/>
      <c r="BK93" s="786"/>
      <c r="BL93" s="786"/>
      <c r="BM93" s="786"/>
      <c r="BN93" s="785">
        <f>SUM(BJ93:BM93)</f>
        <v>0</v>
      </c>
      <c r="BO93" s="786"/>
      <c r="BP93" s="786"/>
      <c r="BQ93" s="786"/>
      <c r="BR93" s="786"/>
      <c r="BS93" s="785">
        <f>SUM(BO93:BR93)</f>
        <v>0</v>
      </c>
      <c r="BT93" s="786"/>
      <c r="BU93" s="786"/>
      <c r="BV93" s="786"/>
      <c r="BW93" s="786"/>
      <c r="BX93" s="785">
        <f>SUM(BT93:BW93)</f>
        <v>0</v>
      </c>
      <c r="BY93" s="786"/>
      <c r="BZ93" s="786"/>
      <c r="CA93" s="786"/>
      <c r="CB93" s="786"/>
      <c r="CC93" s="785">
        <f>SUM(BY93:CB93)</f>
        <v>0</v>
      </c>
      <c r="CD93" s="785" t="e">
        <f>SUM(#REF!)</f>
        <v>#REF!</v>
      </c>
      <c r="CE93" s="785" t="e">
        <f>SUM(#REF!)</f>
        <v>#REF!</v>
      </c>
      <c r="CF93" s="785" t="e">
        <f>SUM(#REF!)</f>
        <v>#REF!</v>
      </c>
      <c r="CG93" s="785" t="e">
        <f>SUM(#REF!)</f>
        <v>#REF!</v>
      </c>
      <c r="CH93" s="785" t="e">
        <f>SUM(#REF!)</f>
        <v>#REF!</v>
      </c>
      <c r="HT93" s="785"/>
    </row>
    <row r="94" spans="1:228" s="292" customFormat="1" ht="12.75" hidden="1" customHeight="1">
      <c r="A94" s="285"/>
      <c r="B94" s="285"/>
      <c r="C94" s="285"/>
      <c r="D94" s="285"/>
      <c r="E94" s="285"/>
      <c r="F94" s="285"/>
      <c r="G94" s="285"/>
      <c r="H94" s="939" t="s">
        <v>232</v>
      </c>
      <c r="I94" s="957"/>
      <c r="J94" s="942"/>
      <c r="K94" s="942"/>
      <c r="L94" s="288"/>
      <c r="M94" s="288"/>
      <c r="N94" s="288"/>
      <c r="O94" s="288"/>
      <c r="P94" s="298"/>
      <c r="Q94" s="288"/>
      <c r="R94" s="288"/>
      <c r="S94" s="288"/>
      <c r="T94" s="288"/>
      <c r="U94" s="298"/>
      <c r="V94" s="288"/>
      <c r="W94" s="288"/>
      <c r="X94" s="288"/>
      <c r="Y94" s="288"/>
      <c r="Z94" s="298"/>
      <c r="AA94" s="288"/>
      <c r="AB94" s="288"/>
      <c r="AC94" s="288"/>
      <c r="AD94" s="288"/>
      <c r="AE94" s="291"/>
      <c r="AF94" s="288"/>
      <c r="AG94" s="288"/>
      <c r="AH94" s="288"/>
      <c r="AI94" s="288"/>
      <c r="AJ94" s="291"/>
      <c r="AK94" s="288"/>
      <c r="AL94" s="288"/>
      <c r="AM94" s="288"/>
      <c r="AN94" s="288"/>
      <c r="AO94" s="785"/>
      <c r="AP94" s="884"/>
      <c r="AQ94" s="884"/>
      <c r="AR94" s="884"/>
      <c r="AS94" s="884"/>
      <c r="AT94" s="785"/>
      <c r="AU94" s="884">
        <v>2.2000000000000002</v>
      </c>
      <c r="AV94" s="884">
        <v>1.5</v>
      </c>
      <c r="AW94" s="884">
        <v>2</v>
      </c>
      <c r="AX94" s="884">
        <v>2.2000000000000002</v>
      </c>
      <c r="AY94" s="785">
        <f>SUM(AU94:AX94)</f>
        <v>7.9</v>
      </c>
      <c r="AZ94" s="884">
        <v>2.6</v>
      </c>
      <c r="BA94" s="884">
        <v>2.5</v>
      </c>
      <c r="BB94" s="884">
        <v>1.9</v>
      </c>
      <c r="BC94" s="943"/>
      <c r="BD94" s="785">
        <f>SUM(AZ94:BC94)</f>
        <v>7</v>
      </c>
      <c r="BE94" s="786"/>
      <c r="BF94" s="786"/>
      <c r="BG94" s="786"/>
      <c r="BH94" s="786"/>
      <c r="BI94" s="785">
        <f>SUM(BE94:BH94)</f>
        <v>0</v>
      </c>
      <c r="BJ94" s="786"/>
      <c r="BK94" s="786"/>
      <c r="BL94" s="786"/>
      <c r="BM94" s="786"/>
      <c r="BN94" s="785">
        <f>SUM(BJ94:BM94)</f>
        <v>0</v>
      </c>
      <c r="BO94" s="786"/>
      <c r="BP94" s="786"/>
      <c r="BQ94" s="786"/>
      <c r="BR94" s="786"/>
      <c r="BS94" s="785">
        <f>SUM(BO94:BR94)</f>
        <v>0</v>
      </c>
      <c r="BT94" s="786"/>
      <c r="BU94" s="786"/>
      <c r="BV94" s="786"/>
      <c r="BW94" s="786"/>
      <c r="BX94" s="785">
        <f>SUM(BT94:BW94)</f>
        <v>0</v>
      </c>
      <c r="BY94" s="786"/>
      <c r="BZ94" s="786"/>
      <c r="CA94" s="786"/>
      <c r="CB94" s="786"/>
      <c r="CC94" s="785">
        <f>SUM(BY94:CB94)</f>
        <v>0</v>
      </c>
      <c r="CD94" s="785" t="e">
        <f>SUM(#REF!)</f>
        <v>#REF!</v>
      </c>
      <c r="CE94" s="785" t="e">
        <f>SUM(#REF!)</f>
        <v>#REF!</v>
      </c>
      <c r="CF94" s="785" t="e">
        <f>SUM(#REF!)</f>
        <v>#REF!</v>
      </c>
      <c r="CG94" s="785" t="e">
        <f>SUM(#REF!)</f>
        <v>#REF!</v>
      </c>
      <c r="CH94" s="785" t="e">
        <f>SUM(#REF!)</f>
        <v>#REF!</v>
      </c>
      <c r="HT94" s="785"/>
    </row>
    <row r="95" spans="1:228" s="135" customFormat="1" ht="12.75" hidden="1" customHeight="1">
      <c r="A95" s="214"/>
      <c r="B95" s="214"/>
      <c r="C95" s="214"/>
      <c r="D95" s="214"/>
      <c r="E95" s="214"/>
      <c r="F95" s="214"/>
      <c r="G95" s="9"/>
      <c r="H95" s="306" t="s">
        <v>261</v>
      </c>
      <c r="I95" s="306"/>
      <c r="J95" s="141"/>
      <c r="K95" s="141"/>
      <c r="L95" s="144">
        <v>0</v>
      </c>
      <c r="M95" s="144">
        <v>3.4</v>
      </c>
      <c r="N95" s="144">
        <v>10.7</v>
      </c>
      <c r="O95" s="144">
        <v>25.7</v>
      </c>
      <c r="P95" s="1">
        <v>39.799999999999997</v>
      </c>
      <c r="Q95" s="4">
        <f t="shared" ref="Q95:X95" si="122">Q102+Q103</f>
        <v>35.799999999999997</v>
      </c>
      <c r="R95" s="4">
        <f t="shared" si="122"/>
        <v>52.1</v>
      </c>
      <c r="S95" s="4">
        <f t="shared" si="122"/>
        <v>62.1</v>
      </c>
      <c r="T95" s="4">
        <f t="shared" si="122"/>
        <v>68.900000000000006</v>
      </c>
      <c r="U95" s="3">
        <f t="shared" si="122"/>
        <v>218.9</v>
      </c>
      <c r="V95" s="4">
        <f t="shared" si="122"/>
        <v>71.5</v>
      </c>
      <c r="W95" s="4">
        <f t="shared" si="122"/>
        <v>80</v>
      </c>
      <c r="X95" s="4">
        <f t="shared" si="122"/>
        <v>87.100000000000009</v>
      </c>
      <c r="Y95" s="4">
        <f>Y102+Y103</f>
        <v>92.1</v>
      </c>
      <c r="Z95" s="3">
        <f>Z102+Z103</f>
        <v>330.70000000000005</v>
      </c>
      <c r="AA95" s="136">
        <f t="shared" ref="AA95:AT95" si="123">AA96+AA103</f>
        <v>16.5</v>
      </c>
      <c r="AB95" s="136">
        <f t="shared" si="123"/>
        <v>22.7</v>
      </c>
      <c r="AC95" s="136">
        <f t="shared" si="123"/>
        <v>26</v>
      </c>
      <c r="AD95" s="136">
        <f t="shared" si="123"/>
        <v>31.5</v>
      </c>
      <c r="AE95" s="141">
        <f t="shared" si="123"/>
        <v>96.7</v>
      </c>
      <c r="AF95" s="136">
        <f t="shared" si="123"/>
        <v>27.3</v>
      </c>
      <c r="AG95" s="136">
        <f t="shared" si="123"/>
        <v>34.729999999999997</v>
      </c>
      <c r="AH95" s="136">
        <f t="shared" si="123"/>
        <v>38</v>
      </c>
      <c r="AI95" s="136">
        <f t="shared" si="123"/>
        <v>47.6</v>
      </c>
      <c r="AJ95" s="141">
        <f t="shared" si="123"/>
        <v>147.63000000000002</v>
      </c>
      <c r="AK95" s="136">
        <f t="shared" si="123"/>
        <v>43.2</v>
      </c>
      <c r="AL95" s="136">
        <f t="shared" si="123"/>
        <v>43.800000000000004</v>
      </c>
      <c r="AM95" s="136">
        <f t="shared" si="123"/>
        <v>39.1</v>
      </c>
      <c r="AN95" s="136">
        <f t="shared" si="123"/>
        <v>42.1</v>
      </c>
      <c r="AO95" s="428">
        <f t="shared" si="123"/>
        <v>168.20000000000005</v>
      </c>
      <c r="AP95" s="420">
        <f t="shared" si="123"/>
        <v>40.799999999999997</v>
      </c>
      <c r="AQ95" s="420">
        <f t="shared" si="123"/>
        <v>44.800000000000004</v>
      </c>
      <c r="AR95" s="420">
        <f t="shared" si="123"/>
        <v>46.4</v>
      </c>
      <c r="AS95" s="420">
        <f t="shared" si="123"/>
        <v>47.7</v>
      </c>
      <c r="AT95" s="428">
        <f t="shared" si="123"/>
        <v>179.7</v>
      </c>
      <c r="AU95" s="420">
        <f>AU96+AU103</f>
        <v>48.499999999999993</v>
      </c>
      <c r="AV95" s="420">
        <f>AV96+AV103</f>
        <v>53.199999999999996</v>
      </c>
      <c r="AW95" s="420">
        <f>AW96+AW103</f>
        <v>49.4</v>
      </c>
      <c r="AX95" s="420">
        <f>AX96+AX103</f>
        <v>56.7</v>
      </c>
      <c r="AY95" s="428">
        <f>AY96+AY103</f>
        <v>207.79999999999998</v>
      </c>
      <c r="AZ95" s="881"/>
      <c r="BA95" s="881"/>
      <c r="BB95" s="881"/>
      <c r="BC95" s="881"/>
      <c r="BD95" s="883"/>
      <c r="BE95" s="420"/>
      <c r="BF95" s="420"/>
      <c r="BG95" s="420"/>
      <c r="BH95" s="420"/>
      <c r="BI95" s="878">
        <f>BI96+BI103</f>
        <v>0</v>
      </c>
      <c r="BJ95" s="879"/>
      <c r="BK95" s="879"/>
      <c r="BL95" s="879"/>
      <c r="BM95" s="879"/>
      <c r="BN95" s="878">
        <f>BN96+BN103</f>
        <v>0</v>
      </c>
      <c r="BO95" s="879"/>
      <c r="BP95" s="879"/>
      <c r="BQ95" s="879"/>
      <c r="BR95" s="879"/>
      <c r="BS95" s="878">
        <f>BS96+BS103</f>
        <v>0</v>
      </c>
      <c r="BT95" s="879"/>
      <c r="BU95" s="879"/>
      <c r="BV95" s="879"/>
      <c r="BW95" s="879"/>
      <c r="BX95" s="878">
        <f>BX96+BX103</f>
        <v>0</v>
      </c>
      <c r="BY95" s="879"/>
      <c r="BZ95" s="879"/>
      <c r="CA95" s="879"/>
      <c r="CB95" s="879"/>
      <c r="CC95" s="878">
        <f t="shared" ref="CC95:CH95" si="124">CC96+CC103</f>
        <v>0</v>
      </c>
      <c r="CD95" s="878">
        <f t="shared" si="124"/>
        <v>0</v>
      </c>
      <c r="CE95" s="878">
        <f t="shared" si="124"/>
        <v>0</v>
      </c>
      <c r="CF95" s="878">
        <f t="shared" si="124"/>
        <v>0</v>
      </c>
      <c r="CG95" s="878">
        <f t="shared" si="124"/>
        <v>0</v>
      </c>
      <c r="CH95" s="878">
        <f t="shared" si="124"/>
        <v>0</v>
      </c>
    </row>
    <row r="96" spans="1:228" s="225" customFormat="1" ht="12.75" hidden="1" customHeight="1">
      <c r="A96" s="219"/>
      <c r="B96" s="219"/>
      <c r="C96" s="219"/>
      <c r="D96" s="219"/>
      <c r="E96" s="219"/>
      <c r="F96" s="219"/>
      <c r="G96" s="9"/>
      <c r="H96" s="283" t="s">
        <v>1166</v>
      </c>
      <c r="I96" s="283"/>
      <c r="J96" s="277"/>
      <c r="K96" s="277"/>
      <c r="L96" s="272"/>
      <c r="M96" s="272"/>
      <c r="N96" s="272"/>
      <c r="O96" s="272"/>
      <c r="P96" s="80"/>
      <c r="Q96" s="271"/>
      <c r="R96" s="271"/>
      <c r="S96" s="271"/>
      <c r="T96" s="271"/>
      <c r="U96" s="699"/>
      <c r="V96" s="271"/>
      <c r="W96" s="271"/>
      <c r="X96" s="271"/>
      <c r="Y96" s="271"/>
      <c r="Z96" s="699"/>
      <c r="AA96" s="272">
        <v>6</v>
      </c>
      <c r="AB96" s="272">
        <v>5.5</v>
      </c>
      <c r="AC96" s="272">
        <v>4.7</v>
      </c>
      <c r="AD96" s="272">
        <v>7.6</v>
      </c>
      <c r="AE96" s="273">
        <f>SUM(AA96:AD96)</f>
        <v>23.799999999999997</v>
      </c>
      <c r="AF96" s="272">
        <v>3.6</v>
      </c>
      <c r="AG96" s="272">
        <v>4.0999999999999996</v>
      </c>
      <c r="AH96" s="272">
        <v>3.4</v>
      </c>
      <c r="AI96" s="272">
        <v>7.7</v>
      </c>
      <c r="AJ96" s="273">
        <f>SUM(AF96:AI96)</f>
        <v>18.8</v>
      </c>
      <c r="AK96" s="272">
        <v>5</v>
      </c>
      <c r="AL96" s="272">
        <v>5.7</v>
      </c>
      <c r="AM96" s="272">
        <v>2.7</v>
      </c>
      <c r="AN96" s="272">
        <v>3.9</v>
      </c>
      <c r="AO96" s="880">
        <f>SUM(AK96:AN96)</f>
        <v>17.299999999999997</v>
      </c>
      <c r="AP96" s="397">
        <v>3.4</v>
      </c>
      <c r="AQ96" s="397">
        <v>2.6</v>
      </c>
      <c r="AR96" s="397">
        <v>3.6</v>
      </c>
      <c r="AS96" s="397">
        <v>3</v>
      </c>
      <c r="AT96" s="880">
        <f>SUM(AP96:AS96)</f>
        <v>12.6</v>
      </c>
      <c r="AU96" s="397">
        <v>4.8</v>
      </c>
      <c r="AV96" s="397">
        <v>5.8</v>
      </c>
      <c r="AW96" s="397">
        <v>4.4000000000000004</v>
      </c>
      <c r="AX96" s="397">
        <v>4.7</v>
      </c>
      <c r="AY96" s="882">
        <f>SUM(AU96:AX96)</f>
        <v>19.7</v>
      </c>
      <c r="AZ96" s="881"/>
      <c r="BA96" s="881"/>
      <c r="BB96" s="881"/>
      <c r="BC96" s="881"/>
      <c r="BD96" s="883">
        <f>BD98*BD101</f>
        <v>0</v>
      </c>
      <c r="BE96" s="388"/>
      <c r="BF96" s="388"/>
      <c r="BG96" s="388"/>
      <c r="BH96" s="388"/>
      <c r="BI96" s="883">
        <f>BI98*BI101</f>
        <v>0</v>
      </c>
      <c r="BJ96" s="881"/>
      <c r="BK96" s="881"/>
      <c r="BL96" s="881"/>
      <c r="BM96" s="881"/>
      <c r="BN96" s="883">
        <f>BN98*BN101</f>
        <v>0</v>
      </c>
      <c r="BO96" s="881"/>
      <c r="BP96" s="881"/>
      <c r="BQ96" s="881"/>
      <c r="BR96" s="881"/>
      <c r="BS96" s="883">
        <f>BS98*BS101</f>
        <v>0</v>
      </c>
      <c r="BT96" s="881"/>
      <c r="BU96" s="881"/>
      <c r="BV96" s="881"/>
      <c r="BW96" s="881"/>
      <c r="BX96" s="883">
        <f>BX98*BX101</f>
        <v>0</v>
      </c>
      <c r="BY96" s="881"/>
      <c r="BZ96" s="881"/>
      <c r="CA96" s="881"/>
      <c r="CB96" s="881"/>
      <c r="CC96" s="883">
        <f t="shared" ref="CC96:CH96" si="125">CC98*CC101</f>
        <v>0</v>
      </c>
      <c r="CD96" s="883">
        <f t="shared" si="125"/>
        <v>0</v>
      </c>
      <c r="CE96" s="883">
        <f t="shared" si="125"/>
        <v>0</v>
      </c>
      <c r="CF96" s="883">
        <f t="shared" si="125"/>
        <v>0</v>
      </c>
      <c r="CG96" s="883">
        <f t="shared" si="125"/>
        <v>0</v>
      </c>
      <c r="CH96" s="883">
        <f t="shared" si="125"/>
        <v>0</v>
      </c>
    </row>
    <row r="97" spans="1:154 16356:16356" s="292" customFormat="1" ht="12.75" hidden="1" customHeight="1">
      <c r="A97" s="284"/>
      <c r="B97" s="284"/>
      <c r="C97" s="284"/>
      <c r="D97" s="284"/>
      <c r="E97" s="284"/>
      <c r="F97" s="284"/>
      <c r="G97" s="285"/>
      <c r="H97" s="939" t="s">
        <v>424</v>
      </c>
      <c r="I97" s="939"/>
      <c r="J97" s="286"/>
      <c r="K97" s="286"/>
      <c r="L97" s="287"/>
      <c r="M97" s="288">
        <v>7.47</v>
      </c>
      <c r="N97" s="288">
        <v>18.100000000000001</v>
      </c>
      <c r="O97" s="288">
        <v>49.7</v>
      </c>
      <c r="P97" s="291">
        <f>P98+P103</f>
        <v>75.27</v>
      </c>
      <c r="Q97" s="288">
        <v>68</v>
      </c>
      <c r="R97" s="288">
        <v>99</v>
      </c>
      <c r="S97" s="288">
        <v>126.4</v>
      </c>
      <c r="T97" s="288">
        <v>137</v>
      </c>
      <c r="U97" s="291">
        <f>U98+U103</f>
        <v>430.4</v>
      </c>
      <c r="V97" s="288">
        <v>146.5</v>
      </c>
      <c r="W97" s="288">
        <v>155.19999999999999</v>
      </c>
      <c r="X97" s="288">
        <v>164.8</v>
      </c>
      <c r="Y97" s="288">
        <v>183.6</v>
      </c>
      <c r="Z97" s="291">
        <f>Z98+Z103</f>
        <v>650.1</v>
      </c>
      <c r="AA97" s="288">
        <v>169</v>
      </c>
      <c r="AB97" s="288">
        <v>194.7</v>
      </c>
      <c r="AC97" s="288">
        <v>201.2</v>
      </c>
      <c r="AD97" s="288">
        <v>186.6</v>
      </c>
      <c r="AE97" s="291">
        <f>AE98+AE103</f>
        <v>751.49999999999989</v>
      </c>
      <c r="AF97" s="288">
        <v>181.4</v>
      </c>
      <c r="AG97" s="288">
        <v>205.7</v>
      </c>
      <c r="AH97" s="288">
        <v>205.7</v>
      </c>
      <c r="AI97" s="288">
        <v>203.6</v>
      </c>
      <c r="AJ97" s="291">
        <f>AJ98+AJ103</f>
        <v>796.43</v>
      </c>
      <c r="AK97" s="288">
        <v>188</v>
      </c>
      <c r="AL97" s="288">
        <v>178.8</v>
      </c>
      <c r="AM97" s="288">
        <v>168.8</v>
      </c>
      <c r="AN97" s="288">
        <v>174.6</v>
      </c>
      <c r="AO97" s="785">
        <f>SUM(AK97:AN97)</f>
        <v>710.2</v>
      </c>
      <c r="AP97" s="884">
        <f>AP98+AP103</f>
        <v>165.4</v>
      </c>
      <c r="AQ97" s="884">
        <v>171.2</v>
      </c>
      <c r="AR97" s="884">
        <v>171</v>
      </c>
      <c r="AS97" s="884">
        <v>177.3</v>
      </c>
      <c r="AT97" s="785">
        <f>SUM(AP97:AS97)</f>
        <v>684.90000000000009</v>
      </c>
      <c r="AU97" s="786">
        <f t="shared" ref="AU97:BD97" si="126">AU98+AU103</f>
        <v>43.699999999999996</v>
      </c>
      <c r="AV97" s="786">
        <f t="shared" si="126"/>
        <v>47.4</v>
      </c>
      <c r="AW97" s="786">
        <f t="shared" si="126"/>
        <v>45</v>
      </c>
      <c r="AX97" s="786">
        <f t="shared" si="126"/>
        <v>52</v>
      </c>
      <c r="AY97" s="785">
        <f t="shared" si="126"/>
        <v>188.1</v>
      </c>
      <c r="AZ97" s="881"/>
      <c r="BA97" s="881"/>
      <c r="BB97" s="881"/>
      <c r="BC97" s="881"/>
      <c r="BD97" s="885">
        <f t="shared" si="126"/>
        <v>0</v>
      </c>
      <c r="BE97" s="786"/>
      <c r="BF97" s="786"/>
      <c r="BG97" s="786"/>
      <c r="BH97" s="786"/>
      <c r="BI97" s="885">
        <f>BI98+BI103</f>
        <v>0</v>
      </c>
      <c r="BJ97" s="886"/>
      <c r="BK97" s="886"/>
      <c r="BL97" s="886"/>
      <c r="BM97" s="886"/>
      <c r="BN97" s="885">
        <f>BN98+BN103</f>
        <v>0</v>
      </c>
      <c r="BO97" s="886"/>
      <c r="BP97" s="886"/>
      <c r="BQ97" s="886"/>
      <c r="BR97" s="886"/>
      <c r="BS97" s="885">
        <f>BS98+BS103</f>
        <v>0</v>
      </c>
      <c r="BT97" s="886"/>
      <c r="BU97" s="886"/>
      <c r="BV97" s="886"/>
      <c r="BW97" s="886"/>
      <c r="BX97" s="885">
        <f>BX98+BX103</f>
        <v>0</v>
      </c>
      <c r="BY97" s="886"/>
      <c r="BZ97" s="886"/>
      <c r="CA97" s="886"/>
      <c r="CB97" s="886"/>
      <c r="CC97" s="885">
        <f t="shared" ref="CC97:CH97" si="127">CC98+CC103</f>
        <v>0</v>
      </c>
      <c r="CD97" s="885">
        <f t="shared" si="127"/>
        <v>0</v>
      </c>
      <c r="CE97" s="885">
        <f t="shared" si="127"/>
        <v>0</v>
      </c>
      <c r="CF97" s="885">
        <f t="shared" si="127"/>
        <v>0</v>
      </c>
      <c r="CG97" s="885">
        <f t="shared" si="127"/>
        <v>0</v>
      </c>
      <c r="CH97" s="885">
        <f t="shared" si="127"/>
        <v>0</v>
      </c>
    </row>
    <row r="98" spans="1:154 16356:16356" s="292" customFormat="1" ht="12.75" hidden="1" customHeight="1">
      <c r="A98" s="284"/>
      <c r="B98" s="284"/>
      <c r="C98" s="284"/>
      <c r="D98" s="284"/>
      <c r="E98" s="284"/>
      <c r="F98" s="284"/>
      <c r="G98" s="285"/>
      <c r="H98" s="6" t="s">
        <v>1167</v>
      </c>
      <c r="I98" s="939"/>
      <c r="J98" s="286"/>
      <c r="K98" s="286"/>
      <c r="L98" s="293"/>
      <c r="M98" s="288">
        <v>7.47</v>
      </c>
      <c r="N98" s="288">
        <v>18.100000000000001</v>
      </c>
      <c r="O98" s="288">
        <v>49.7</v>
      </c>
      <c r="P98" s="289">
        <v>75.27</v>
      </c>
      <c r="Q98" s="288">
        <v>68</v>
      </c>
      <c r="R98" s="288">
        <v>99</v>
      </c>
      <c r="S98" s="288">
        <v>126.4</v>
      </c>
      <c r="T98" s="288">
        <v>137</v>
      </c>
      <c r="U98" s="289">
        <f>SUM(Q98:T98)</f>
        <v>430.4</v>
      </c>
      <c r="V98" s="288">
        <v>146.5</v>
      </c>
      <c r="W98" s="288">
        <v>152.1</v>
      </c>
      <c r="X98" s="288">
        <v>161.1</v>
      </c>
      <c r="Y98" s="288">
        <v>176.3</v>
      </c>
      <c r="Z98" s="289">
        <f>SUM(V98:Y98)</f>
        <v>636</v>
      </c>
      <c r="AA98" s="288">
        <v>158.5</v>
      </c>
      <c r="AB98" s="288">
        <v>177.5</v>
      </c>
      <c r="AC98" s="288">
        <v>179.9</v>
      </c>
      <c r="AD98" s="288">
        <v>162.69999999999999</v>
      </c>
      <c r="AE98" s="290">
        <f>SUM(AA98:AD98)</f>
        <v>678.59999999999991</v>
      </c>
      <c r="AF98" s="288">
        <v>157.69999999999999</v>
      </c>
      <c r="AG98" s="288">
        <v>175.1</v>
      </c>
      <c r="AH98" s="288">
        <v>171.1</v>
      </c>
      <c r="AI98" s="288">
        <v>163.69999999999999</v>
      </c>
      <c r="AJ98" s="290">
        <f>SUM(AF98:AI98)</f>
        <v>667.59999999999991</v>
      </c>
      <c r="AK98" s="288">
        <v>149.80000000000001</v>
      </c>
      <c r="AL98" s="288">
        <v>140.69999999999999</v>
      </c>
      <c r="AM98" s="288">
        <v>132.4</v>
      </c>
      <c r="AN98" s="288">
        <v>136.4</v>
      </c>
      <c r="AO98" s="887">
        <f>SUM(AK98:AN98)</f>
        <v>559.29999999999995</v>
      </c>
      <c r="AP98" s="884">
        <v>128</v>
      </c>
      <c r="AQ98" s="884">
        <v>129</v>
      </c>
      <c r="AR98" s="884">
        <v>128.1</v>
      </c>
      <c r="AS98" s="884">
        <v>132.6</v>
      </c>
      <c r="AT98" s="887">
        <f>SUM(AP98:AS98)</f>
        <v>517.70000000000005</v>
      </c>
      <c r="AU98" s="886">
        <f>AP98*(1+AU328)</f>
        <v>0</v>
      </c>
      <c r="AV98" s="886">
        <f>AQ98*(1+AV328)</f>
        <v>0</v>
      </c>
      <c r="AW98" s="886">
        <f>AR98*(1+AW328)</f>
        <v>0</v>
      </c>
      <c r="AX98" s="886">
        <f>AS98*(1+AX328)</f>
        <v>0</v>
      </c>
      <c r="AY98" s="888">
        <f>SUM(AU98:AX98)</f>
        <v>0</v>
      </c>
      <c r="AZ98" s="886"/>
      <c r="BA98" s="886"/>
      <c r="BB98" s="886"/>
      <c r="BC98" s="886"/>
      <c r="BD98" s="885">
        <f>AY98*(1+BD328)</f>
        <v>0</v>
      </c>
      <c r="BE98" s="786"/>
      <c r="BF98" s="786"/>
      <c r="BG98" s="786"/>
      <c r="BH98" s="786"/>
      <c r="BI98" s="885">
        <f>BD98*(1+BI328)</f>
        <v>0</v>
      </c>
      <c r="BJ98" s="886"/>
      <c r="BK98" s="886"/>
      <c r="BL98" s="886"/>
      <c r="BM98" s="886"/>
      <c r="BN98" s="885">
        <f>BI98*(1+BN328)</f>
        <v>0</v>
      </c>
      <c r="BO98" s="886"/>
      <c r="BP98" s="886"/>
      <c r="BQ98" s="886"/>
      <c r="BR98" s="886"/>
      <c r="BS98" s="889">
        <f>BN98*(1+BS328)</f>
        <v>0</v>
      </c>
      <c r="BT98" s="886"/>
      <c r="BU98" s="886"/>
      <c r="BV98" s="886"/>
      <c r="BW98" s="886"/>
      <c r="BX98" s="885">
        <f>BS98*(1+BX328)</f>
        <v>0</v>
      </c>
      <c r="BY98" s="886"/>
      <c r="BZ98" s="886"/>
      <c r="CA98" s="886"/>
      <c r="CB98" s="886"/>
      <c r="CC98" s="885">
        <f>BX98*(1+CC328)</f>
        <v>0</v>
      </c>
      <c r="CD98" s="885">
        <f>CC98*(1+CD328)</f>
        <v>0</v>
      </c>
      <c r="CE98" s="885">
        <f>CD98*(1+CE328)</f>
        <v>0</v>
      </c>
      <c r="CF98" s="885">
        <f>CE98*(1+CF328)</f>
        <v>0</v>
      </c>
      <c r="CG98" s="885">
        <f>CF98*(1+CG328)</f>
        <v>0</v>
      </c>
      <c r="CH98" s="885">
        <f>CG98*(1+CH328)</f>
        <v>0</v>
      </c>
    </row>
    <row r="99" spans="1:154 16356:16356" s="292" customFormat="1" ht="12.75" hidden="1" customHeight="1">
      <c r="A99" s="294"/>
      <c r="B99" s="294"/>
      <c r="C99" s="294"/>
      <c r="D99" s="294"/>
      <c r="E99" s="294"/>
      <c r="F99" s="294"/>
      <c r="G99" s="285"/>
      <c r="H99" s="5" t="s">
        <v>154</v>
      </c>
      <c r="I99" s="939"/>
      <c r="J99" s="286"/>
      <c r="K99" s="286"/>
      <c r="L99" s="287"/>
      <c r="M99" s="295"/>
      <c r="N99" s="295"/>
      <c r="O99" s="295"/>
      <c r="P99" s="296"/>
      <c r="Q99" s="295"/>
      <c r="R99" s="295"/>
      <c r="S99" s="295"/>
      <c r="T99" s="295"/>
      <c r="U99" s="296"/>
      <c r="V99" s="295"/>
      <c r="W99" s="295"/>
      <c r="X99" s="295"/>
      <c r="Y99" s="295"/>
      <c r="Z99" s="296"/>
      <c r="AA99" s="297">
        <f t="shared" ref="AA99:AS99" si="128">AA100/AA98</f>
        <v>0.83659305993690847</v>
      </c>
      <c r="AB99" s="297">
        <f t="shared" si="128"/>
        <v>0.88450704225352117</v>
      </c>
      <c r="AC99" s="297">
        <f t="shared" si="128"/>
        <v>0.924958310172318</v>
      </c>
      <c r="AD99" s="297">
        <f t="shared" si="128"/>
        <v>0.87891825445605409</v>
      </c>
      <c r="AE99" s="296">
        <f t="shared" si="128"/>
        <v>0.88269967580312425</v>
      </c>
      <c r="AF99" s="297">
        <f t="shared" si="128"/>
        <v>0.89029803424223219</v>
      </c>
      <c r="AG99" s="297">
        <f t="shared" si="128"/>
        <v>0.91262135922330112</v>
      </c>
      <c r="AH99" s="297">
        <f t="shared" si="128"/>
        <v>0.90940970192869663</v>
      </c>
      <c r="AI99" s="297">
        <f t="shared" si="128"/>
        <v>0.89065363469761771</v>
      </c>
      <c r="AJ99" s="296">
        <f>AJ100/AJ98</f>
        <v>0.9011384062312765</v>
      </c>
      <c r="AK99" s="297">
        <f t="shared" si="128"/>
        <v>0.96795727636849127</v>
      </c>
      <c r="AL99" s="297">
        <f t="shared" si="128"/>
        <v>0.8983653162757641</v>
      </c>
      <c r="AM99" s="297">
        <f t="shared" si="128"/>
        <v>0.9607250755287009</v>
      </c>
      <c r="AN99" s="297">
        <f t="shared" si="128"/>
        <v>0.92668621700879761</v>
      </c>
      <c r="AO99" s="848">
        <f>AO100/AO98</f>
        <v>0.93867334167709648</v>
      </c>
      <c r="AP99" s="847">
        <f t="shared" si="128"/>
        <v>0.953125</v>
      </c>
      <c r="AQ99" s="847">
        <f t="shared" si="128"/>
        <v>0.91782945736434118</v>
      </c>
      <c r="AR99" s="847">
        <f t="shared" si="128"/>
        <v>0.94145199063231855</v>
      </c>
      <c r="AS99" s="847">
        <f t="shared" si="128"/>
        <v>0.94419306184012075</v>
      </c>
      <c r="AT99" s="848">
        <f>AT100/AT98</f>
        <v>0.93915395016418768</v>
      </c>
      <c r="AU99" s="890"/>
      <c r="AV99" s="890"/>
      <c r="AW99" s="890"/>
      <c r="AX99" s="890"/>
      <c r="AY99" s="891"/>
      <c r="AZ99" s="892"/>
      <c r="BA99" s="892"/>
      <c r="BB99" s="892"/>
      <c r="BC99" s="892"/>
      <c r="BD99" s="893"/>
      <c r="BE99" s="847"/>
      <c r="BF99" s="847"/>
      <c r="BG99" s="847"/>
      <c r="BH99" s="847"/>
      <c r="BI99" s="893"/>
      <c r="BJ99" s="892"/>
      <c r="BK99" s="892"/>
      <c r="BL99" s="892"/>
      <c r="BM99" s="892"/>
      <c r="BN99" s="893"/>
      <c r="BO99" s="892"/>
      <c r="BP99" s="892"/>
      <c r="BQ99" s="892"/>
      <c r="BR99" s="892"/>
      <c r="BS99" s="893"/>
      <c r="BT99" s="892"/>
      <c r="BU99" s="892"/>
      <c r="BV99" s="892"/>
      <c r="BW99" s="892"/>
      <c r="BX99" s="893"/>
      <c r="BY99" s="892"/>
      <c r="BZ99" s="892"/>
      <c r="CA99" s="892"/>
      <c r="CB99" s="892"/>
      <c r="CC99" s="893"/>
      <c r="CD99" s="893"/>
      <c r="CE99" s="893"/>
      <c r="CF99" s="893"/>
      <c r="CG99" s="893"/>
      <c r="CH99" s="893"/>
    </row>
    <row r="100" spans="1:154 16356:16356" s="292" customFormat="1" ht="12.75" hidden="1" customHeight="1">
      <c r="A100" s="294"/>
      <c r="B100" s="294"/>
      <c r="C100" s="294"/>
      <c r="D100" s="294"/>
      <c r="E100" s="294"/>
      <c r="F100" s="294"/>
      <c r="G100" s="285"/>
      <c r="H100" s="5" t="s">
        <v>155</v>
      </c>
      <c r="I100" s="6"/>
      <c r="J100" s="286"/>
      <c r="K100" s="286"/>
      <c r="L100" s="287"/>
      <c r="M100" s="287"/>
      <c r="N100" s="287"/>
      <c r="O100" s="287"/>
      <c r="P100" s="298"/>
      <c r="Q100" s="287"/>
      <c r="R100" s="287"/>
      <c r="S100" s="287"/>
      <c r="T100" s="287"/>
      <c r="U100" s="298"/>
      <c r="V100" s="287"/>
      <c r="W100" s="287"/>
      <c r="X100" s="287"/>
      <c r="Y100" s="287"/>
      <c r="Z100" s="714"/>
      <c r="AA100" s="299">
        <f>2*AA223</f>
        <v>132.6</v>
      </c>
      <c r="AB100" s="299">
        <f>2*AB223</f>
        <v>157</v>
      </c>
      <c r="AC100" s="299">
        <f>2*AC223</f>
        <v>166.4</v>
      </c>
      <c r="AD100" s="299">
        <f>2*AD223</f>
        <v>143</v>
      </c>
      <c r="AE100" s="289">
        <f>SUM(AA100:AD100)</f>
        <v>599</v>
      </c>
      <c r="AF100" s="299">
        <f>2*AF223</f>
        <v>140.4</v>
      </c>
      <c r="AG100" s="299">
        <f>2*AG223</f>
        <v>159.80000000000001</v>
      </c>
      <c r="AH100" s="299">
        <f>2*AH223</f>
        <v>155.6</v>
      </c>
      <c r="AI100" s="299">
        <f>2*AI223</f>
        <v>145.80000000000001</v>
      </c>
      <c r="AJ100" s="289">
        <f>SUM(AF100:AI100)</f>
        <v>601.60000000000014</v>
      </c>
      <c r="AK100" s="299">
        <f>2*AK223</f>
        <v>145</v>
      </c>
      <c r="AL100" s="299">
        <f>2*AL223</f>
        <v>126.4</v>
      </c>
      <c r="AM100" s="299">
        <f>2*AM223</f>
        <v>127.2</v>
      </c>
      <c r="AN100" s="299">
        <f>2*AN223</f>
        <v>126.4</v>
      </c>
      <c r="AO100" s="887">
        <f>SUM(AK100:AN100)</f>
        <v>525</v>
      </c>
      <c r="AP100" s="894">
        <f>2*AP223</f>
        <v>122</v>
      </c>
      <c r="AQ100" s="894">
        <f>2*AQ223</f>
        <v>118.4</v>
      </c>
      <c r="AR100" s="894">
        <f>2*AR223</f>
        <v>120.6</v>
      </c>
      <c r="AS100" s="894">
        <f>2*AS223</f>
        <v>125.2</v>
      </c>
      <c r="AT100" s="895">
        <f>SUM(AP100:AS100)</f>
        <v>486.2</v>
      </c>
      <c r="AU100" s="886">
        <f>AU98*AU99</f>
        <v>0</v>
      </c>
      <c r="AV100" s="886">
        <f>AV98*AV99</f>
        <v>0</v>
      </c>
      <c r="AW100" s="886">
        <f>AW98*AW99</f>
        <v>0</v>
      </c>
      <c r="AX100" s="886">
        <f>AX98*AX99</f>
        <v>0</v>
      </c>
      <c r="AY100" s="888">
        <f>SUM(AU100:AX100)</f>
        <v>0</v>
      </c>
      <c r="AZ100" s="886"/>
      <c r="BA100" s="886"/>
      <c r="BB100" s="886"/>
      <c r="BC100" s="886"/>
      <c r="BD100" s="885">
        <f>BD98*BD99</f>
        <v>0</v>
      </c>
      <c r="BE100" s="786"/>
      <c r="BF100" s="786"/>
      <c r="BG100" s="786"/>
      <c r="BH100" s="786"/>
      <c r="BI100" s="885">
        <f>BI98*BI99</f>
        <v>0</v>
      </c>
      <c r="BJ100" s="886"/>
      <c r="BK100" s="886"/>
      <c r="BL100" s="886"/>
      <c r="BM100" s="886"/>
      <c r="BN100" s="885">
        <f>BN98*BN99</f>
        <v>0</v>
      </c>
      <c r="BO100" s="886"/>
      <c r="BP100" s="886"/>
      <c r="BQ100" s="886"/>
      <c r="BR100" s="886"/>
      <c r="BS100" s="885">
        <f>BS98*BS99</f>
        <v>0</v>
      </c>
      <c r="BT100" s="886"/>
      <c r="BU100" s="886"/>
      <c r="BV100" s="886"/>
      <c r="BW100" s="886"/>
      <c r="BX100" s="885">
        <f>BX98*BX99</f>
        <v>0</v>
      </c>
      <c r="BY100" s="886"/>
      <c r="BZ100" s="886"/>
      <c r="CA100" s="886"/>
      <c r="CB100" s="886"/>
      <c r="CC100" s="885">
        <f t="shared" ref="CC100:CH100" si="129">CC98*CC99</f>
        <v>0</v>
      </c>
      <c r="CD100" s="885">
        <f t="shared" si="129"/>
        <v>0</v>
      </c>
      <c r="CE100" s="885">
        <f t="shared" si="129"/>
        <v>0</v>
      </c>
      <c r="CF100" s="885">
        <f t="shared" si="129"/>
        <v>0</v>
      </c>
      <c r="CG100" s="885">
        <f t="shared" si="129"/>
        <v>0</v>
      </c>
      <c r="CH100" s="885">
        <f t="shared" si="129"/>
        <v>0</v>
      </c>
    </row>
    <row r="101" spans="1:154 16356:16356" s="292" customFormat="1" ht="12.75" hidden="1" customHeight="1">
      <c r="A101" s="294"/>
      <c r="B101" s="294"/>
      <c r="C101" s="294"/>
      <c r="D101" s="294"/>
      <c r="E101" s="294"/>
      <c r="F101" s="294"/>
      <c r="G101" s="285"/>
      <c r="H101" s="5" t="s">
        <v>603</v>
      </c>
      <c r="I101" s="6"/>
      <c r="J101" s="286"/>
      <c r="K101" s="286"/>
      <c r="L101" s="287"/>
      <c r="M101" s="287"/>
      <c r="N101" s="287"/>
      <c r="O101" s="287"/>
      <c r="P101" s="298"/>
      <c r="Q101" s="287"/>
      <c r="R101" s="287"/>
      <c r="S101" s="287"/>
      <c r="T101" s="287"/>
      <c r="U101" s="298"/>
      <c r="V101" s="287"/>
      <c r="W101" s="287"/>
      <c r="X101" s="287"/>
      <c r="Y101" s="287"/>
      <c r="Z101" s="298"/>
      <c r="AA101" s="297">
        <f t="shared" ref="AA101:AK101" si="130">AA96/AA98</f>
        <v>3.7854889589905363E-2</v>
      </c>
      <c r="AB101" s="297">
        <f t="shared" si="130"/>
        <v>3.0985915492957747E-2</v>
      </c>
      <c r="AC101" s="297">
        <f t="shared" si="130"/>
        <v>2.6125625347415232E-2</v>
      </c>
      <c r="AD101" s="297">
        <f t="shared" si="130"/>
        <v>4.6711739397664417E-2</v>
      </c>
      <c r="AE101" s="296">
        <f t="shared" si="130"/>
        <v>3.5072207486000588E-2</v>
      </c>
      <c r="AF101" s="297">
        <f t="shared" si="130"/>
        <v>2.2828154724159798E-2</v>
      </c>
      <c r="AG101" s="297">
        <f t="shared" si="130"/>
        <v>2.3415191319246145E-2</v>
      </c>
      <c r="AH101" s="297">
        <f t="shared" si="130"/>
        <v>1.9871420222092345E-2</v>
      </c>
      <c r="AI101" s="297">
        <f t="shared" si="130"/>
        <v>4.7037263286499702E-2</v>
      </c>
      <c r="AJ101" s="296">
        <f>AJ96/AJ98</f>
        <v>2.8160575194727387E-2</v>
      </c>
      <c r="AK101" s="297">
        <f t="shared" si="130"/>
        <v>3.3377837116154871E-2</v>
      </c>
      <c r="AL101" s="297">
        <f t="shared" ref="AL101:AS101" si="131">AL96/AL98</f>
        <v>4.0511727078891266E-2</v>
      </c>
      <c r="AM101" s="297">
        <f t="shared" si="131"/>
        <v>2.0392749244712991E-2</v>
      </c>
      <c r="AN101" s="297">
        <f t="shared" si="131"/>
        <v>2.8592375366568914E-2</v>
      </c>
      <c r="AO101" s="848">
        <f t="shared" si="131"/>
        <v>3.0931521544788124E-2</v>
      </c>
      <c r="AP101" s="847">
        <f t="shared" si="131"/>
        <v>2.6562499999999999E-2</v>
      </c>
      <c r="AQ101" s="847">
        <f t="shared" si="131"/>
        <v>2.0155038759689922E-2</v>
      </c>
      <c r="AR101" s="847">
        <f t="shared" si="131"/>
        <v>2.8103044496487123E-2</v>
      </c>
      <c r="AS101" s="847">
        <f t="shared" si="131"/>
        <v>2.2624434389140271E-2</v>
      </c>
      <c r="AT101" s="848">
        <f>AT96/AT98</f>
        <v>2.4338419934324895E-2</v>
      </c>
      <c r="AU101" s="890"/>
      <c r="AV101" s="890"/>
      <c r="AW101" s="890"/>
      <c r="AX101" s="890"/>
      <c r="AY101" s="891"/>
      <c r="AZ101" s="886"/>
      <c r="BA101" s="886"/>
      <c r="BB101" s="886"/>
      <c r="BC101" s="886"/>
      <c r="BD101" s="893"/>
      <c r="BE101" s="786"/>
      <c r="BF101" s="786"/>
      <c r="BG101" s="786"/>
      <c r="BH101" s="786"/>
      <c r="BI101" s="893"/>
      <c r="BJ101" s="886"/>
      <c r="BK101" s="886"/>
      <c r="BL101" s="886"/>
      <c r="BM101" s="886"/>
      <c r="BN101" s="893"/>
      <c r="BO101" s="886"/>
      <c r="BP101" s="886"/>
      <c r="BQ101" s="886"/>
      <c r="BR101" s="886"/>
      <c r="BS101" s="893"/>
      <c r="BT101" s="886"/>
      <c r="BU101" s="886"/>
      <c r="BV101" s="886"/>
      <c r="BW101" s="886"/>
      <c r="BX101" s="893"/>
      <c r="BY101" s="886"/>
      <c r="BZ101" s="886"/>
      <c r="CA101" s="886"/>
      <c r="CB101" s="886"/>
      <c r="CC101" s="893"/>
      <c r="CD101" s="893"/>
      <c r="CE101" s="893"/>
      <c r="CF101" s="893"/>
      <c r="CG101" s="893"/>
      <c r="CH101" s="893"/>
    </row>
    <row r="102" spans="1:154 16356:16356" s="292" customFormat="1" ht="12.75" hidden="1" customHeight="1">
      <c r="A102" s="294"/>
      <c r="B102" s="294"/>
      <c r="C102" s="294"/>
      <c r="D102" s="294"/>
      <c r="E102" s="294"/>
      <c r="F102" s="294"/>
      <c r="G102" s="285"/>
      <c r="H102" s="300" t="s">
        <v>733</v>
      </c>
      <c r="I102" s="278"/>
      <c r="J102" s="301"/>
      <c r="K102" s="301"/>
      <c r="L102" s="258"/>
      <c r="M102" s="263">
        <v>3.4</v>
      </c>
      <c r="N102" s="263">
        <v>10.7</v>
      </c>
      <c r="O102" s="263">
        <v>25.7</v>
      </c>
      <c r="P102" s="259">
        <v>39.799999999999997</v>
      </c>
      <c r="Q102" s="263">
        <v>35.799999999999997</v>
      </c>
      <c r="R102" s="263">
        <v>52.1</v>
      </c>
      <c r="S102" s="263">
        <v>62.1</v>
      </c>
      <c r="T102" s="263">
        <v>68.900000000000006</v>
      </c>
      <c r="U102" s="79">
        <v>218.9</v>
      </c>
      <c r="V102" s="263">
        <v>71.5</v>
      </c>
      <c r="W102" s="263">
        <v>76.900000000000006</v>
      </c>
      <c r="X102" s="263">
        <v>83.4</v>
      </c>
      <c r="Y102" s="263">
        <v>84.8</v>
      </c>
      <c r="Z102" s="79">
        <v>316.60000000000002</v>
      </c>
      <c r="AA102" s="2"/>
      <c r="AB102" s="2"/>
      <c r="AC102" s="2"/>
      <c r="AD102" s="2"/>
      <c r="AE102" s="2"/>
      <c r="AF102" s="2"/>
      <c r="AG102" s="2"/>
      <c r="AH102" s="2"/>
      <c r="AI102" s="2"/>
      <c r="AJ102" s="2"/>
      <c r="AK102" s="2"/>
      <c r="AL102" s="2"/>
      <c r="AM102" s="2"/>
      <c r="AN102" s="2"/>
      <c r="AO102" s="896"/>
      <c r="AP102" s="896"/>
      <c r="AQ102" s="896"/>
      <c r="AR102" s="896"/>
      <c r="AS102" s="897"/>
      <c r="AT102" s="896"/>
      <c r="AU102" s="897"/>
      <c r="AV102" s="897"/>
      <c r="AW102" s="897"/>
      <c r="AX102" s="897"/>
      <c r="AY102" s="897"/>
      <c r="AZ102" s="898"/>
      <c r="BA102" s="898"/>
      <c r="BB102" s="898"/>
      <c r="BC102" s="898"/>
      <c r="BD102" s="897"/>
      <c r="BE102" s="898"/>
      <c r="BF102" s="898"/>
      <c r="BG102" s="898"/>
      <c r="BH102" s="898"/>
      <c r="BI102" s="899"/>
      <c r="BJ102" s="900"/>
      <c r="BK102" s="900"/>
      <c r="BL102" s="900"/>
      <c r="BM102" s="900"/>
      <c r="BN102" s="899"/>
      <c r="BO102" s="900"/>
      <c r="BP102" s="900"/>
      <c r="BQ102" s="900"/>
      <c r="BR102" s="900"/>
      <c r="BS102" s="899"/>
      <c r="BT102" s="900"/>
      <c r="BU102" s="900"/>
      <c r="BV102" s="900"/>
      <c r="BW102" s="900"/>
      <c r="BX102" s="899"/>
      <c r="BY102" s="900"/>
      <c r="BZ102" s="900"/>
      <c r="CA102" s="900"/>
      <c r="CB102" s="900"/>
      <c r="CC102" s="899"/>
      <c r="CD102" s="899"/>
      <c r="CE102" s="899"/>
      <c r="CF102" s="899"/>
      <c r="CG102" s="899"/>
      <c r="CH102" s="899"/>
    </row>
    <row r="103" spans="1:154 16356:16356" s="135" customFormat="1" ht="12.75" hidden="1" customHeight="1">
      <c r="A103" s="220"/>
      <c r="B103" s="220"/>
      <c r="C103" s="220"/>
      <c r="D103" s="220"/>
      <c r="E103" s="220"/>
      <c r="F103" s="220"/>
      <c r="G103" s="9"/>
      <c r="H103" s="283" t="s">
        <v>1168</v>
      </c>
      <c r="I103" s="283"/>
      <c r="J103" s="277"/>
      <c r="K103" s="277"/>
      <c r="L103" s="272"/>
      <c r="M103" s="272"/>
      <c r="N103" s="272"/>
      <c r="O103" s="272"/>
      <c r="P103" s="80"/>
      <c r="Q103" s="272"/>
      <c r="R103" s="272"/>
      <c r="S103" s="272"/>
      <c r="T103" s="272"/>
      <c r="U103" s="80"/>
      <c r="V103" s="258"/>
      <c r="W103" s="263">
        <v>3.1</v>
      </c>
      <c r="X103" s="263">
        <v>3.7</v>
      </c>
      <c r="Y103" s="263">
        <v>7.3</v>
      </c>
      <c r="Z103" s="763">
        <f>SUM(V103:Y103)</f>
        <v>14.100000000000001</v>
      </c>
      <c r="AA103" s="272">
        <v>10.5</v>
      </c>
      <c r="AB103" s="272">
        <v>17.2</v>
      </c>
      <c r="AC103" s="272">
        <v>21.3</v>
      </c>
      <c r="AD103" s="272">
        <v>23.9</v>
      </c>
      <c r="AE103" s="762">
        <f>SUM(AA103:AD103)</f>
        <v>72.900000000000006</v>
      </c>
      <c r="AF103" s="272">
        <v>23.7</v>
      </c>
      <c r="AG103" s="272">
        <v>30.63</v>
      </c>
      <c r="AH103" s="272">
        <v>34.6</v>
      </c>
      <c r="AI103" s="272">
        <v>39.9</v>
      </c>
      <c r="AJ103" s="762">
        <f>SUM(AF103:AI103)</f>
        <v>128.83000000000001</v>
      </c>
      <c r="AK103" s="272">
        <v>38.200000000000003</v>
      </c>
      <c r="AL103" s="272">
        <v>38.1</v>
      </c>
      <c r="AM103" s="272">
        <v>36.4</v>
      </c>
      <c r="AN103" s="272">
        <v>38.200000000000003</v>
      </c>
      <c r="AO103" s="877">
        <f>SUM(AK103:AN103)</f>
        <v>150.90000000000003</v>
      </c>
      <c r="AP103" s="397">
        <v>37.4</v>
      </c>
      <c r="AQ103" s="397">
        <v>42.2</v>
      </c>
      <c r="AR103" s="397">
        <v>42.8</v>
      </c>
      <c r="AS103" s="397">
        <f>41.1+3.6</f>
        <v>44.7</v>
      </c>
      <c r="AT103" s="877">
        <f>SUM(AP103:AS103)</f>
        <v>167.1</v>
      </c>
      <c r="AU103" s="397">
        <f>38.3+5.4</f>
        <v>43.699999999999996</v>
      </c>
      <c r="AV103" s="397">
        <f>40.5+6.9</f>
        <v>47.4</v>
      </c>
      <c r="AW103" s="397">
        <f>37.7+7.3</f>
        <v>45</v>
      </c>
      <c r="AX103" s="391">
        <f>42.1+9.9</f>
        <v>52</v>
      </c>
      <c r="AY103" s="877">
        <f>SUM(AU103:AX103)</f>
        <v>188.1</v>
      </c>
      <c r="AZ103" s="940">
        <v>57.6</v>
      </c>
      <c r="BA103" s="886"/>
      <c r="BB103" s="886"/>
      <c r="BC103" s="886"/>
      <c r="BD103" s="893"/>
      <c r="BE103" s="388"/>
      <c r="BF103" s="388"/>
      <c r="BG103" s="388"/>
      <c r="BH103" s="388"/>
      <c r="BI103" s="870">
        <f>BD103*(1+BI333)</f>
        <v>0</v>
      </c>
      <c r="BJ103" s="881"/>
      <c r="BK103" s="881"/>
      <c r="BL103" s="881"/>
      <c r="BM103" s="881"/>
      <c r="BN103" s="870">
        <f>BI103*(1+BN333)</f>
        <v>0</v>
      </c>
      <c r="BO103" s="881"/>
      <c r="BP103" s="881"/>
      <c r="BQ103" s="881"/>
      <c r="BR103" s="881"/>
      <c r="BS103" s="901">
        <f>BN103*(1+BS333)</f>
        <v>0</v>
      </c>
      <c r="BT103" s="881"/>
      <c r="BU103" s="881"/>
      <c r="BV103" s="881"/>
      <c r="BW103" s="881"/>
      <c r="BX103" s="870">
        <f>BS103*(1+BX333)</f>
        <v>0</v>
      </c>
      <c r="BY103" s="881"/>
      <c r="BZ103" s="881"/>
      <c r="CA103" s="881"/>
      <c r="CB103" s="881"/>
      <c r="CC103" s="870">
        <f>BX103*(1+CC333)</f>
        <v>0</v>
      </c>
      <c r="CD103" s="870">
        <f>CC103*(1+CD333)</f>
        <v>0</v>
      </c>
      <c r="CE103" s="870">
        <f>CD103*(1+CE333)</f>
        <v>0</v>
      </c>
      <c r="CF103" s="870">
        <f>CE103*(1+CF333)</f>
        <v>0</v>
      </c>
      <c r="CG103" s="870">
        <f>CF103*(1+CG333)</f>
        <v>0</v>
      </c>
      <c r="CH103" s="870">
        <f>CG103*(1+CH333)</f>
        <v>0</v>
      </c>
    </row>
    <row r="104" spans="1:154 16356:16356" ht="13.5">
      <c r="A104" s="9"/>
      <c r="B104" s="9"/>
      <c r="C104" s="9"/>
      <c r="D104" s="9"/>
      <c r="E104" s="9"/>
      <c r="F104" s="9"/>
      <c r="G104" s="302"/>
      <c r="H104" s="259"/>
      <c r="I104" s="259"/>
      <c r="J104" s="259"/>
      <c r="K104" s="259"/>
      <c r="L104" s="258"/>
      <c r="M104" s="258"/>
      <c r="N104" s="258"/>
      <c r="O104" s="258"/>
      <c r="P104" s="79"/>
      <c r="Q104" s="258"/>
      <c r="R104" s="258"/>
      <c r="S104" s="258"/>
      <c r="T104" s="258"/>
      <c r="U104" s="79"/>
      <c r="V104" s="258"/>
      <c r="W104" s="258"/>
      <c r="X104" s="258"/>
      <c r="Y104" s="258"/>
      <c r="Z104" s="79"/>
      <c r="AA104" s="258"/>
      <c r="AB104" s="258"/>
      <c r="AC104" s="258"/>
      <c r="AD104" s="258"/>
      <c r="AE104" s="79"/>
      <c r="AF104" s="258"/>
      <c r="AG104" s="713"/>
      <c r="AH104" s="258"/>
      <c r="AI104" s="258"/>
      <c r="AJ104" s="79"/>
      <c r="AK104" s="258"/>
      <c r="AL104" s="258"/>
      <c r="AM104" s="258"/>
      <c r="AN104" s="258"/>
      <c r="AO104" s="410"/>
      <c r="AP104" s="383"/>
      <c r="AQ104" s="383"/>
      <c r="AR104" s="383"/>
      <c r="AS104" s="383"/>
      <c r="AT104" s="410"/>
      <c r="AU104" s="383"/>
      <c r="AV104" s="383"/>
      <c r="AW104" s="383"/>
      <c r="AX104" s="902"/>
      <c r="AY104" s="410"/>
      <c r="AZ104" s="383"/>
      <c r="BA104" s="383"/>
      <c r="BB104" s="383"/>
      <c r="BC104" s="383"/>
      <c r="BD104" s="410"/>
      <c r="BE104" s="383"/>
      <c r="BF104" s="383"/>
      <c r="BG104" s="383"/>
      <c r="BH104" s="383"/>
      <c r="BI104" s="410"/>
      <c r="BJ104" s="383"/>
      <c r="BK104" s="383"/>
      <c r="BL104" s="383"/>
      <c r="BM104" s="383"/>
      <c r="BN104" s="410"/>
      <c r="BO104" s="383"/>
      <c r="BP104" s="383"/>
      <c r="BQ104" s="383"/>
      <c r="BR104" s="383"/>
      <c r="BS104" s="699"/>
      <c r="BT104" s="188"/>
      <c r="BU104" s="188"/>
      <c r="BV104" s="188"/>
      <c r="BW104" s="188"/>
      <c r="BX104" s="699"/>
      <c r="BY104" s="188"/>
      <c r="BZ104" s="188"/>
      <c r="CA104" s="188"/>
      <c r="CB104" s="188"/>
      <c r="CC104" s="699"/>
      <c r="CD104" s="699"/>
      <c r="CE104" s="699"/>
      <c r="CF104" s="699"/>
      <c r="CG104" s="699"/>
      <c r="CH104" s="699"/>
      <c r="XEB104" s="699"/>
    </row>
    <row r="105" spans="1:154 16356:16356" ht="12.75" customHeight="1" thickBot="1">
      <c r="A105" s="40"/>
      <c r="B105" s="40"/>
      <c r="C105" s="40"/>
      <c r="D105" s="40"/>
      <c r="E105" s="40"/>
      <c r="F105" s="40"/>
      <c r="G105" s="9"/>
      <c r="H105" s="41" t="s">
        <v>150</v>
      </c>
      <c r="I105" s="42"/>
      <c r="J105" s="42"/>
      <c r="K105" s="42"/>
      <c r="L105" s="43" t="str">
        <f>"1Q:" &amp; RIGHT(YEAR(L$4),2) &amp; IF(L$4&lt;=LatestRpQ, "A", "E")</f>
        <v>1Q:05A</v>
      </c>
      <c r="M105" s="43" t="str">
        <f>"2Q:" &amp; RIGHT(YEAR(M$4),2) &amp; IF(M$4&lt;=LatestRpQ, "A", "E")</f>
        <v>2Q:05A</v>
      </c>
      <c r="N105" s="43" t="str">
        <f>"3Q:" &amp; RIGHT(YEAR(N$4),2) &amp; IF(N$4&lt;=LatestRpQ, "A", "E")</f>
        <v>3Q:05A</v>
      </c>
      <c r="O105" s="43" t="str">
        <f>"4Q:" &amp; RIGHT(YEAR(O$4),2) &amp; IF(O$4&lt;=LatestRpQ, "A", "E")</f>
        <v>4Q:05A</v>
      </c>
      <c r="P105" s="44" t="str">
        <f>YEAR(P$4) &amp; IF(P$4&lt;=LatestRpQ, "A", "E")</f>
        <v>2005A</v>
      </c>
      <c r="Q105" s="43" t="str">
        <f>"1Q:" &amp; RIGHT(YEAR(Q$4),2) &amp; IF(Q$4&lt;=LatestRpQ, "A", "E")</f>
        <v>1Q:06A</v>
      </c>
      <c r="R105" s="43" t="str">
        <f>"2Q:" &amp; RIGHT(YEAR(R$4),2) &amp; IF(R$4&lt;=LatestRpQ, "A", "E")</f>
        <v>2Q:06A</v>
      </c>
      <c r="S105" s="43" t="str">
        <f>"3Q:" &amp; RIGHT(YEAR(S$4),2) &amp; IF(S$4&lt;=LatestRpQ, "A", "E")</f>
        <v>3Q:06A</v>
      </c>
      <c r="T105" s="43" t="str">
        <f>"4Q:" &amp; RIGHT(YEAR(T$4),2) &amp; IF(T$4&lt;=LatestRpQ, "A", "E")</f>
        <v>4Q:06A</v>
      </c>
      <c r="U105" s="44" t="str">
        <f>YEAR(U$4) &amp; IF(U$4&lt;=LatestRpQ, "A", "E")</f>
        <v>2006A</v>
      </c>
      <c r="V105" s="43" t="str">
        <f>"1Q:" &amp; RIGHT(YEAR(V$4),2) &amp; IF(V$4&lt;=LatestRpQ, "A", "E")</f>
        <v>1Q:07A</v>
      </c>
      <c r="W105" s="43" t="str">
        <f>"2Q:" &amp; RIGHT(YEAR(W$4),2) &amp; IF(W$4&lt;=LatestRpQ, "A", "E")</f>
        <v>2Q:07A</v>
      </c>
      <c r="X105" s="43" t="str">
        <f>"3Q:" &amp; RIGHT(YEAR(X$4),2) &amp; IF(X$4&lt;=LatestRpQ, "A", "E")</f>
        <v>3Q:07A</v>
      </c>
      <c r="Y105" s="43" t="str">
        <f>"4Q:" &amp; RIGHT(YEAR(Y$4),2) &amp; IF(Y$4&lt;=LatestRpQ, "A", "E")</f>
        <v>4Q:07A</v>
      </c>
      <c r="Z105" s="44" t="str">
        <f>YEAR(Z$4) &amp; IF(Z$4&lt;=LatestRpQ, "A", "E")</f>
        <v>2007A</v>
      </c>
      <c r="AA105" s="43" t="str">
        <f>"1Q:" &amp; RIGHT(YEAR(AA$4),2) &amp; IF(AA$4&lt;=LatestRpQ, "A", "E")</f>
        <v>1Q:08A</v>
      </c>
      <c r="AB105" s="43" t="str">
        <f>"2Q:" &amp; RIGHT(YEAR(AB$4),2) &amp; IF(AB$4&lt;=LatestRpQ, "A", "E")</f>
        <v>2Q:08A</v>
      </c>
      <c r="AC105" s="43" t="str">
        <f>"3Q:" &amp; RIGHT(YEAR(AC$4),2) &amp; IF(AC$4&lt;=LatestRpQ, "A", "E")</f>
        <v>3Q:08A</v>
      </c>
      <c r="AD105" s="43" t="str">
        <f>"4Q:" &amp; RIGHT(YEAR(AD$4),2) &amp; IF(AD$4&lt;=LatestRpQ, "A", "E")</f>
        <v>4Q:08A</v>
      </c>
      <c r="AE105" s="44" t="str">
        <f>YEAR(AE$4) &amp; IF(AE$4&lt;=LatestRpQ, "A", "E")</f>
        <v>2008A</v>
      </c>
      <c r="AF105" s="43" t="str">
        <f>"1Q:" &amp; RIGHT(YEAR(AF$4),2) &amp; IF(AF$4&lt;=LatestRpQ, "A", "E")</f>
        <v>1Q:09A</v>
      </c>
      <c r="AG105" s="43" t="str">
        <f>"2Q:" &amp; RIGHT(YEAR(AG$4),2) &amp; IF(AG$4&lt;=LatestRpQ, "A", "E")</f>
        <v>2Q:09A</v>
      </c>
      <c r="AH105" s="43" t="str">
        <f>"3Q:" &amp; RIGHT(YEAR(AH$4),2) &amp; IF(AH$4&lt;=LatestRpQ, "A", "E")</f>
        <v>3Q:09A</v>
      </c>
      <c r="AI105" s="43" t="str">
        <f>"4Q:" &amp; RIGHT(YEAR(AI$4),2) &amp; IF(AI$4&lt;=LatestRpQ, "A", "E")</f>
        <v>4Q:09A</v>
      </c>
      <c r="AJ105" s="44" t="str">
        <f>YEAR(AJ$4) &amp; IF(AJ$4&lt;=LatestRpQ, "A", "E")</f>
        <v>2009A</v>
      </c>
      <c r="AK105" s="43" t="str">
        <f>"1Q:" &amp; RIGHT(YEAR(AK$4),2) &amp; IF(AK$4&lt;=LatestRpQ, "A", "E")</f>
        <v>1Q:10A</v>
      </c>
      <c r="AL105" s="43" t="str">
        <f>"2Q:" &amp; RIGHT(YEAR(AL$4),2) &amp; IF(AL$4&lt;=LatestRpQ, "A", "E")</f>
        <v>2Q:10A</v>
      </c>
      <c r="AM105" s="43" t="str">
        <f>"3Q:" &amp; RIGHT(YEAR(AM$4),2) &amp; IF(AM$4&lt;=LatestRpQ, "A", "E")</f>
        <v>3Q:10A</v>
      </c>
      <c r="AN105" s="43" t="str">
        <f>"4Q:" &amp; RIGHT(YEAR(AN$4),2) &amp; IF(AN$4&lt;=LatestRpQ, "A", "E")</f>
        <v>4Q:10A</v>
      </c>
      <c r="AO105" s="44" t="str">
        <f>YEAR(AO$4) &amp; IF(AO$4&lt;=LatestRpQ, "A", "E")</f>
        <v>2010A</v>
      </c>
      <c r="AP105" s="43" t="str">
        <f>"1Q:" &amp; RIGHT(YEAR(AP$4),2) &amp; IF(AP$4&lt;=LatestRpQ, "A", "E")</f>
        <v>1Q:11A</v>
      </c>
      <c r="AQ105" s="43" t="str">
        <f>"2Q:" &amp; RIGHT(YEAR(AQ$4),2) &amp; IF(AQ$4&lt;=LatestRpQ, "A", "E")</f>
        <v>2Q:11A</v>
      </c>
      <c r="AR105" s="43" t="str">
        <f>"3Q:" &amp; RIGHT(YEAR(AR$4),2) &amp; IF(AR$4&lt;=LatestRpQ, "A", "E")</f>
        <v>3Q:11A</v>
      </c>
      <c r="AS105" s="43" t="str">
        <f>"4Q:" &amp; RIGHT(YEAR(AS$4),2) &amp; IF(AS$4&lt;=LatestRpQ, "A", "E")</f>
        <v>4Q:11A</v>
      </c>
      <c r="AT105" s="44" t="str">
        <f>YEAR(AT$4) &amp; IF(AT$4&lt;=LatestRpQ, "A", "E")</f>
        <v>2011A</v>
      </c>
      <c r="AU105" s="43" t="str">
        <f>"1Q:" &amp; RIGHT(YEAR(AU$4),2) &amp; IF(AU$4&lt;=LatestRpQ, "A", "E")</f>
        <v>1Q:12A</v>
      </c>
      <c r="AV105" s="43" t="str">
        <f>"2Q:" &amp; RIGHT(YEAR(AV$4),2) &amp; IF(AV$4&lt;=LatestRpQ, "A", "E")</f>
        <v>2Q:12A</v>
      </c>
      <c r="AW105" s="43" t="str">
        <f>"3Q:" &amp; RIGHT(YEAR(AW$4),2) &amp; IF(AW$4&lt;=LatestRpQ, "A", "E")</f>
        <v>3Q:12A</v>
      </c>
      <c r="AX105" s="43" t="str">
        <f>"4Q:" &amp; RIGHT(YEAR(AX$4),2) &amp; IF(AX$4&lt;=LatestRpQ, "A", "E")</f>
        <v>4Q:12A</v>
      </c>
      <c r="AY105" s="44" t="str">
        <f>YEAR(AY$4) &amp; IF(AY$4&lt;=LatestRpQ, "A", "E")</f>
        <v>2012A</v>
      </c>
      <c r="AZ105" s="43" t="str">
        <f>"1Q:" &amp; RIGHT(YEAR(AZ$4),2) &amp; IF(AZ$4&lt;=LatestRpQ, "A", "E")</f>
        <v>1Q:13A</v>
      </c>
      <c r="BA105" s="43" t="str">
        <f>"2Q:" &amp; RIGHT(YEAR(BA$4),2) &amp; IF(BA$4&lt;=LatestRpQ, "A", "E")</f>
        <v>2Q:13A</v>
      </c>
      <c r="BB105" s="43" t="str">
        <f>"3Q:" &amp; RIGHT(YEAR(BB$4),2) &amp; IF(BB$4&lt;=LatestRpQ, "A", "E")</f>
        <v>3Q:13A</v>
      </c>
      <c r="BC105" s="43" t="str">
        <f>"4Q:" &amp; RIGHT(YEAR(BC$4),2) &amp; IF(BC$4&lt;=LatestRpQ, "A", "E")</f>
        <v>4Q:13A</v>
      </c>
      <c r="BD105" s="761" t="str">
        <f>YEAR(BD$4) &amp; IF(BD$4&lt;=LatestRpQ, "A", "E")</f>
        <v>2013A</v>
      </c>
      <c r="BE105" s="43" t="str">
        <f>"1Q:" &amp; RIGHT(YEAR(BE$4),2) &amp; IF(BE$4&lt;=LatestRpQ, "A", "E")</f>
        <v>1Q:14A</v>
      </c>
      <c r="BF105" s="43" t="str">
        <f>"2Q:" &amp; RIGHT(YEAR(BF$4),2) &amp; IF(BF$4&lt;=LatestRpQ, "A", "E")</f>
        <v>2Q:14A</v>
      </c>
      <c r="BG105" s="43" t="str">
        <f>"3Q:" &amp; RIGHT(YEAR(BG$4),2) &amp; IF(BG$4&lt;=LatestRpQ, "A", "E")</f>
        <v>3Q:14A</v>
      </c>
      <c r="BH105" s="43" t="str">
        <f>"4Q:" &amp; RIGHT(YEAR(BH$4),2) &amp; IF(BH$4&lt;=LatestRpQ, "A", "E")</f>
        <v>4Q:14A</v>
      </c>
      <c r="BI105" s="44" t="str">
        <f>YEAR(BI$4) &amp; IF(BI$4&lt;=LatestRpQ, "A", "E")</f>
        <v>2014A</v>
      </c>
      <c r="BJ105" s="43" t="str">
        <f>"1Q:" &amp; RIGHT(YEAR(BJ$4),2) &amp; IF(BJ$4&lt;=LatestRpQ, "A", "E")</f>
        <v>1Q:15A</v>
      </c>
      <c r="BK105" s="43" t="str">
        <f>"2Q:" &amp; RIGHT(YEAR(BK$4),2) &amp; IF(BK$4&lt;=LatestRpQ, "A", "E")</f>
        <v>2Q:15A</v>
      </c>
      <c r="BL105" s="43" t="str">
        <f>"3Q:" &amp; RIGHT(YEAR(BL$4),2) &amp; IF(BL$4&lt;=LatestRpQ, "A", "E")</f>
        <v>3Q:15A</v>
      </c>
      <c r="BM105" s="43" t="str">
        <f>"4Q:" &amp; RIGHT(YEAR(BM$4),2) &amp; IF(BM$4&lt;=LatestRpQ, "A", "E")</f>
        <v>4Q:15A</v>
      </c>
      <c r="BN105" s="44" t="str">
        <f>YEAR(BN$4) &amp; IF(BN$4&lt;=LatestRpQ, "A", "E")</f>
        <v>2015A</v>
      </c>
      <c r="BO105" s="43" t="str">
        <f>"1Q:" &amp; RIGHT(YEAR(BO$4),2) &amp; IF(BO$4&lt;=LatestRpQ, "A", "E")</f>
        <v>1Q:16A</v>
      </c>
      <c r="BP105" s="43" t="str">
        <f>"2Q:" &amp; RIGHT(YEAR(BP$4),2) &amp; IF(BP$4&lt;=LatestRpQ, "A", "E")</f>
        <v>2Q:16A</v>
      </c>
      <c r="BQ105" s="43" t="str">
        <f>"3Q:" &amp; RIGHT(YEAR(BQ$4),2) &amp; IF(BQ$4&lt;=LatestRpQ, "A", "E")</f>
        <v>3Q:16A</v>
      </c>
      <c r="BR105" s="43" t="str">
        <f>"4Q:" &amp; RIGHT(YEAR(BR$4),2) &amp; IF(BR$4&lt;=LatestRpQ, "A", "E")</f>
        <v>4Q:16A</v>
      </c>
      <c r="BS105" s="44" t="str">
        <f>YEAR(BS$4) &amp; IF(BS$4&lt;=LatestRpQ, "A", "E")</f>
        <v>2016A</v>
      </c>
      <c r="BT105" s="43" t="str">
        <f>"1Q:" &amp; RIGHT(YEAR(BT$4),2) &amp; IF(BT$4&lt;=LatestRpQ, "A", "E")</f>
        <v>1Q:17A</v>
      </c>
      <c r="BU105" s="43" t="str">
        <f>"2Q:" &amp; RIGHT(YEAR(BU$4),2) &amp; IF(BU$4&lt;=LatestRpQ, "A", "E")</f>
        <v>2Q:17A</v>
      </c>
      <c r="BV105" s="43" t="str">
        <f>"3Q:" &amp; RIGHT(YEAR(BV$4),2) &amp; IF(BV$4&lt;=LatestRpQ, "A", "E")</f>
        <v>3Q:17A</v>
      </c>
      <c r="BW105" s="43" t="str">
        <f>"4Q:" &amp; RIGHT(YEAR(BW$4),2) &amp; IF(BW$4&lt;=LatestRpQ, "A", "E")</f>
        <v>4Q:17A</v>
      </c>
      <c r="BX105" s="44" t="str">
        <f>YEAR(BX$4) &amp; IF(BX$4&lt;=LatestRpQ, "A", "E")</f>
        <v>2017A</v>
      </c>
      <c r="BY105" s="43" t="str">
        <f>"1Q:" &amp; RIGHT(YEAR(BY$4),2) &amp; IF(BY$4&lt;=LatestRpQ, "A", "E")</f>
        <v>1Q:18A</v>
      </c>
      <c r="BZ105" s="43" t="str">
        <f>"2Q:" &amp; RIGHT(YEAR(BZ$4),2) &amp; IF(BZ$4&lt;=LatestRpQ, "A", "E")</f>
        <v>2Q:18E</v>
      </c>
      <c r="CA105" s="43" t="str">
        <f>"3Q:" &amp; RIGHT(YEAR(CA$4),2) &amp; IF(CA$4&lt;=LatestRpQ, "A", "E")</f>
        <v>3Q:18E</v>
      </c>
      <c r="CB105" s="43" t="str">
        <f>"4Q:" &amp; RIGHT(YEAR(CB$4),2) &amp; IF(CB$4&lt;=LatestRpQ, "A", "E")</f>
        <v>4Q:18E</v>
      </c>
      <c r="CC105" s="44" t="str">
        <f t="shared" ref="CC105:CH105" si="132">YEAR(CC$4) &amp; IF(CC$4&lt;=LatestRpQ, "A", "E")</f>
        <v>2018E</v>
      </c>
      <c r="CD105" s="44" t="str">
        <f t="shared" si="132"/>
        <v>2019E</v>
      </c>
      <c r="CE105" s="44" t="str">
        <f t="shared" si="132"/>
        <v>2020E</v>
      </c>
      <c r="CF105" s="44" t="str">
        <f t="shared" si="132"/>
        <v>2021E</v>
      </c>
      <c r="CG105" s="44" t="str">
        <f t="shared" si="132"/>
        <v>2022E</v>
      </c>
      <c r="CH105" s="44" t="str">
        <f t="shared" si="132"/>
        <v>2023E</v>
      </c>
    </row>
    <row r="106" spans="1:154 16356:16356" s="37" customFormat="1" ht="12.75" customHeight="1">
      <c r="A106" s="9"/>
      <c r="B106" s="9"/>
      <c r="C106" s="9"/>
      <c r="D106" s="9"/>
      <c r="E106" s="9"/>
      <c r="F106" s="9"/>
      <c r="G106" s="302"/>
      <c r="H106" s="260" t="s">
        <v>736</v>
      </c>
      <c r="I106" s="260"/>
      <c r="J106" s="260"/>
      <c r="K106" s="260"/>
      <c r="L106" s="261">
        <v>400.9</v>
      </c>
      <c r="M106" s="261">
        <v>454.4</v>
      </c>
      <c r="N106" s="261">
        <v>456.9</v>
      </c>
      <c r="O106" s="261">
        <v>488.8</v>
      </c>
      <c r="P106" s="262">
        <v>1801</v>
      </c>
      <c r="Q106" s="261">
        <f t="shared" ref="Q106:AT106" si="133">Q112+Q115+Q121+Q133</f>
        <v>469.09999999999997</v>
      </c>
      <c r="R106" s="261">
        <f t="shared" si="133"/>
        <v>496.70000000000005</v>
      </c>
      <c r="S106" s="261">
        <f t="shared" si="133"/>
        <v>511.8</v>
      </c>
      <c r="T106" s="261">
        <f t="shared" si="133"/>
        <v>542.69999999999993</v>
      </c>
      <c r="U106" s="262">
        <f t="shared" si="133"/>
        <v>2020.3</v>
      </c>
      <c r="V106" s="261">
        <f t="shared" si="133"/>
        <v>564.79999999999995</v>
      </c>
      <c r="W106" s="261">
        <f t="shared" si="133"/>
        <v>602.70000000000005</v>
      </c>
      <c r="X106" s="261">
        <f t="shared" si="133"/>
        <v>609.4</v>
      </c>
      <c r="Y106" s="261">
        <f t="shared" si="133"/>
        <v>669.6</v>
      </c>
      <c r="Z106" s="262">
        <f t="shared" si="133"/>
        <v>2446.5</v>
      </c>
      <c r="AA106" s="261">
        <f t="shared" si="133"/>
        <v>698.9</v>
      </c>
      <c r="AB106" s="261">
        <f t="shared" si="133"/>
        <v>736.5</v>
      </c>
      <c r="AC106" s="261">
        <f t="shared" si="133"/>
        <v>779.9</v>
      </c>
      <c r="AD106" s="261">
        <f t="shared" si="133"/>
        <v>746.1</v>
      </c>
      <c r="AE106" s="262">
        <f t="shared" si="133"/>
        <v>2961.4</v>
      </c>
      <c r="AF106" s="261">
        <f t="shared" si="133"/>
        <v>729.00000000000011</v>
      </c>
      <c r="AG106" s="261">
        <f t="shared" si="133"/>
        <v>762.42</v>
      </c>
      <c r="AH106" s="261">
        <f t="shared" si="133"/>
        <v>816</v>
      </c>
      <c r="AI106" s="261">
        <f t="shared" si="133"/>
        <v>854.2</v>
      </c>
      <c r="AJ106" s="262">
        <f t="shared" si="133"/>
        <v>3161.62</v>
      </c>
      <c r="AK106" s="261">
        <f t="shared" si="133"/>
        <v>831.99999999999989</v>
      </c>
      <c r="AL106" s="261">
        <f t="shared" si="133"/>
        <v>866.69999999999993</v>
      </c>
      <c r="AM106" s="261">
        <f t="shared" si="133"/>
        <v>903.4</v>
      </c>
      <c r="AN106" s="261">
        <f t="shared" si="133"/>
        <v>827.59999999999991</v>
      </c>
      <c r="AO106" s="709">
        <f t="shared" si="133"/>
        <v>3429.7000000000003</v>
      </c>
      <c r="AP106" s="708">
        <f t="shared" si="133"/>
        <v>763</v>
      </c>
      <c r="AQ106" s="708">
        <f t="shared" si="133"/>
        <v>743.8</v>
      </c>
      <c r="AR106" s="708">
        <f t="shared" si="133"/>
        <v>736.7</v>
      </c>
      <c r="AS106" s="708">
        <f t="shared" si="133"/>
        <v>757.2</v>
      </c>
      <c r="AT106" s="709">
        <f t="shared" si="133"/>
        <v>3000.6999999999994</v>
      </c>
      <c r="AU106" s="708">
        <f t="shared" ref="AU106:BH106" si="134">AU107+AU108</f>
        <v>803.9</v>
      </c>
      <c r="AV106" s="708">
        <f t="shared" si="134"/>
        <v>846.7</v>
      </c>
      <c r="AW106" s="708">
        <f t="shared" si="134"/>
        <v>791.7</v>
      </c>
      <c r="AX106" s="708">
        <f t="shared" si="134"/>
        <v>839.2</v>
      </c>
      <c r="AY106" s="709">
        <f t="shared" si="134"/>
        <v>3281.5</v>
      </c>
      <c r="AZ106" s="708">
        <f t="shared" si="134"/>
        <v>764.2</v>
      </c>
      <c r="BA106" s="708">
        <f t="shared" si="134"/>
        <v>808.09999999999991</v>
      </c>
      <c r="BB106" s="708">
        <f t="shared" si="134"/>
        <v>821.8</v>
      </c>
      <c r="BC106" s="708">
        <f t="shared" si="134"/>
        <v>874.5</v>
      </c>
      <c r="BD106" s="709">
        <f t="shared" si="134"/>
        <v>3268.6000000000004</v>
      </c>
      <c r="BE106" s="708">
        <f>BE107+BE108</f>
        <v>764.3</v>
      </c>
      <c r="BF106" s="708">
        <f t="shared" si="134"/>
        <v>858.40000000000009</v>
      </c>
      <c r="BG106" s="708">
        <f>BG107+BG108</f>
        <v>882.40000000000009</v>
      </c>
      <c r="BH106" s="708">
        <f t="shared" si="134"/>
        <v>887.9</v>
      </c>
      <c r="BI106" s="709">
        <f>BI107+BI108</f>
        <v>3393</v>
      </c>
      <c r="BJ106" s="708">
        <f>BJ107+BJ108</f>
        <v>759</v>
      </c>
      <c r="BK106" s="708">
        <f>BK107+BK108</f>
        <v>922.59999999999991</v>
      </c>
      <c r="BL106" s="708">
        <f t="shared" ref="BL106:BR106" si="135">BL107+BL108</f>
        <v>861.3</v>
      </c>
      <c r="BM106" s="708">
        <f>BM107+BM108</f>
        <v>966.9</v>
      </c>
      <c r="BN106" s="709">
        <f>BN107+BN108</f>
        <v>3509.8</v>
      </c>
      <c r="BO106" s="708">
        <f t="shared" si="135"/>
        <v>894.5</v>
      </c>
      <c r="BP106" s="708">
        <f t="shared" si="135"/>
        <v>970.5</v>
      </c>
      <c r="BQ106" s="708">
        <f t="shared" si="135"/>
        <v>947.3</v>
      </c>
      <c r="BR106" s="708">
        <f t="shared" si="135"/>
        <v>909.5</v>
      </c>
      <c r="BS106" s="709">
        <f t="shared" ref="BS106:CH106" si="136">BS107+BS108</f>
        <v>3709.9000000000005</v>
      </c>
      <c r="BT106" s="708">
        <f t="shared" si="136"/>
        <v>887.1</v>
      </c>
      <c r="BU106" s="708">
        <f t="shared" si="136"/>
        <v>955.80000000000007</v>
      </c>
      <c r="BV106" s="708">
        <f t="shared" si="136"/>
        <v>957.6</v>
      </c>
      <c r="BW106" s="708">
        <f t="shared" si="136"/>
        <v>1011.4000000000001</v>
      </c>
      <c r="BX106" s="709">
        <f t="shared" si="136"/>
        <v>3811.9000000000005</v>
      </c>
      <c r="BY106" s="708">
        <f t="shared" si="136"/>
        <v>956.5</v>
      </c>
      <c r="BZ106" s="708">
        <f t="shared" si="136"/>
        <v>1028.645</v>
      </c>
      <c r="CA106" s="708">
        <f t="shared" si="136"/>
        <v>1075.0720000000001</v>
      </c>
      <c r="CB106" s="708">
        <f t="shared" si="136"/>
        <v>1134.5889999999999</v>
      </c>
      <c r="CC106" s="709">
        <f t="shared" si="136"/>
        <v>4194.8059999999996</v>
      </c>
      <c r="CD106" s="709">
        <f t="shared" si="136"/>
        <v>4591.0032499999998</v>
      </c>
      <c r="CE106" s="709">
        <f t="shared" si="136"/>
        <v>4777.1799975000004</v>
      </c>
      <c r="CF106" s="709">
        <f t="shared" si="136"/>
        <v>4543.0010610999998</v>
      </c>
      <c r="CG106" s="709">
        <f t="shared" si="136"/>
        <v>3951.9254266305002</v>
      </c>
      <c r="CH106" s="709">
        <f t="shared" si="136"/>
        <v>3413.7135914481851</v>
      </c>
      <c r="EX106" s="1261" t="s">
        <v>736</v>
      </c>
    </row>
    <row r="107" spans="1:154 16356:16356" s="56" customFormat="1" ht="12.75" customHeight="1">
      <c r="A107" s="9"/>
      <c r="B107" s="9"/>
      <c r="C107" s="9"/>
      <c r="D107" s="9"/>
      <c r="E107" s="9"/>
      <c r="F107" s="9"/>
      <c r="G107" s="9"/>
      <c r="H107" s="257" t="s">
        <v>231</v>
      </c>
      <c r="I107" s="257"/>
      <c r="J107" s="257"/>
      <c r="K107" s="257"/>
      <c r="L107" s="272">
        <v>190.6</v>
      </c>
      <c r="M107" s="272">
        <v>223.8</v>
      </c>
      <c r="N107" s="272">
        <v>226.6</v>
      </c>
      <c r="O107" s="272">
        <v>241.4</v>
      </c>
      <c r="P107" s="80">
        <v>882.4</v>
      </c>
      <c r="Q107" s="143">
        <f t="shared" ref="Q107:AT107" si="137">Q113+Q116+Q122+Q134</f>
        <v>227.6</v>
      </c>
      <c r="R107" s="143">
        <f t="shared" si="137"/>
        <v>237.7</v>
      </c>
      <c r="S107" s="143">
        <f t="shared" si="137"/>
        <v>242.9</v>
      </c>
      <c r="T107" s="143">
        <f t="shared" si="137"/>
        <v>251.7</v>
      </c>
      <c r="U107" s="80">
        <f t="shared" si="137"/>
        <v>959.9</v>
      </c>
      <c r="V107" s="143">
        <f t="shared" si="137"/>
        <v>266.79999999999995</v>
      </c>
      <c r="W107" s="143">
        <f t="shared" si="137"/>
        <v>273.20000000000005</v>
      </c>
      <c r="X107" s="143">
        <f t="shared" si="137"/>
        <v>277.3</v>
      </c>
      <c r="Y107" s="143">
        <f t="shared" si="137"/>
        <v>300.8</v>
      </c>
      <c r="Z107" s="80">
        <f t="shared" si="137"/>
        <v>1118.0999999999999</v>
      </c>
      <c r="AA107" s="143">
        <f t="shared" si="137"/>
        <v>319.90000000000003</v>
      </c>
      <c r="AB107" s="143">
        <f t="shared" si="137"/>
        <v>331.59999999999997</v>
      </c>
      <c r="AC107" s="143">
        <f t="shared" si="137"/>
        <v>361.2</v>
      </c>
      <c r="AD107" s="143">
        <f t="shared" si="137"/>
        <v>358.59999999999997</v>
      </c>
      <c r="AE107" s="80">
        <f t="shared" si="137"/>
        <v>1371.3</v>
      </c>
      <c r="AF107" s="143">
        <f t="shared" si="137"/>
        <v>364.00000000000006</v>
      </c>
      <c r="AG107" s="143">
        <f t="shared" si="137"/>
        <v>410.8</v>
      </c>
      <c r="AH107" s="143">
        <f t="shared" si="137"/>
        <v>424.4</v>
      </c>
      <c r="AI107" s="143">
        <f t="shared" si="137"/>
        <v>431.5</v>
      </c>
      <c r="AJ107" s="80">
        <f t="shared" si="137"/>
        <v>1630.6999999999998</v>
      </c>
      <c r="AK107" s="143">
        <f t="shared" si="137"/>
        <v>412</v>
      </c>
      <c r="AL107" s="143">
        <f t="shared" si="137"/>
        <v>460</v>
      </c>
      <c r="AM107" s="143">
        <f t="shared" si="137"/>
        <v>483.7</v>
      </c>
      <c r="AN107" s="143">
        <f t="shared" si="137"/>
        <v>390.4</v>
      </c>
      <c r="AO107" s="699">
        <f t="shared" si="137"/>
        <v>1746.1000000000001</v>
      </c>
      <c r="AP107" s="388">
        <f t="shared" si="137"/>
        <v>319.40000000000003</v>
      </c>
      <c r="AQ107" s="388">
        <f t="shared" si="137"/>
        <v>287.10000000000002</v>
      </c>
      <c r="AR107" s="388">
        <f t="shared" si="137"/>
        <v>270.89999999999998</v>
      </c>
      <c r="AS107" s="388">
        <f t="shared" si="137"/>
        <v>275.5</v>
      </c>
      <c r="AT107" s="699">
        <f t="shared" si="137"/>
        <v>1152.8999999999999</v>
      </c>
      <c r="AU107" s="391">
        <v>359.4</v>
      </c>
      <c r="AV107" s="391">
        <v>371.4</v>
      </c>
      <c r="AW107" s="391">
        <v>349.1</v>
      </c>
      <c r="AX107" s="391">
        <v>351.5</v>
      </c>
      <c r="AY107" s="699">
        <f>AY113+AY116+AY122+AY134+AY125</f>
        <v>1431.4</v>
      </c>
      <c r="AZ107" s="391">
        <v>338.2</v>
      </c>
      <c r="BA107" s="397">
        <v>371.7</v>
      </c>
      <c r="BB107" s="397">
        <v>372.8</v>
      </c>
      <c r="BC107" s="397">
        <v>406.2</v>
      </c>
      <c r="BD107" s="699">
        <f>BD113+BD116+BD122+BD134+BD125</f>
        <v>1488.8999999999999</v>
      </c>
      <c r="BE107" s="391">
        <v>310.60000000000002</v>
      </c>
      <c r="BF107" s="391">
        <v>403.1</v>
      </c>
      <c r="BG107" s="391">
        <v>412.8</v>
      </c>
      <c r="BH107" s="391">
        <v>443.9</v>
      </c>
      <c r="BI107" s="699">
        <f>BI113+BI116+BI119+BI122+BI125+BI134</f>
        <v>1570.4</v>
      </c>
      <c r="BJ107" s="1070">
        <v>364.6</v>
      </c>
      <c r="BK107" s="1070">
        <v>519.9</v>
      </c>
      <c r="BL107" s="1070">
        <v>437.2</v>
      </c>
      <c r="BM107" s="1070">
        <v>518.29999999999995</v>
      </c>
      <c r="BN107" s="699">
        <f>BN113+BN116+BN119+BN122+BN125+BN134</f>
        <v>1840.0000000000002</v>
      </c>
      <c r="BO107" s="1070">
        <v>477.4</v>
      </c>
      <c r="BP107" s="1070">
        <v>521.5</v>
      </c>
      <c r="BQ107" s="1070">
        <v>503</v>
      </c>
      <c r="BR107" s="1070">
        <v>473</v>
      </c>
      <c r="BS107" s="699">
        <f>BS113+BS116+BS119+BS122+BS125+BS128+BS134</f>
        <v>1963.5000000000002</v>
      </c>
      <c r="BT107" s="1070">
        <v>463.8</v>
      </c>
      <c r="BU107" s="1070">
        <v>519.70000000000005</v>
      </c>
      <c r="BV107" s="1070">
        <v>509.3</v>
      </c>
      <c r="BW107" s="1070">
        <v>557.6</v>
      </c>
      <c r="BX107" s="699">
        <f>BX113+BX116+BX119+BX122+BX125+BX128+BX134+BX131+BX110</f>
        <v>2050.4000000000005</v>
      </c>
      <c r="BY107" s="1070">
        <f>510.2</f>
        <v>510.2</v>
      </c>
      <c r="BZ107" s="388">
        <f t="shared" ref="BZ107:CB108" si="138">BZ113+BZ116+BZ119+BZ122+BZ125+BZ128+BZ134+BZ131+BZ110</f>
        <v>570.88700000000006</v>
      </c>
      <c r="CA107" s="388">
        <f t="shared" si="138"/>
        <v>604.19500000000005</v>
      </c>
      <c r="CB107" s="388">
        <f t="shared" si="138"/>
        <v>650.43999999999994</v>
      </c>
      <c r="CC107" s="699">
        <f t="shared" ref="CC107:CH107" si="139">CC113+CC116+CC119+CC122+CC125+CC128+CC134+CC131+CC110</f>
        <v>2335.7219999999998</v>
      </c>
      <c r="CD107" s="699">
        <f t="shared" si="139"/>
        <v>2619.7285000000002</v>
      </c>
      <c r="CE107" s="699">
        <f t="shared" si="139"/>
        <v>2751.8780270000002</v>
      </c>
      <c r="CF107" s="699">
        <f t="shared" si="139"/>
        <v>2716.4557833500003</v>
      </c>
      <c r="CG107" s="699">
        <f t="shared" si="139"/>
        <v>2205.5023319930001</v>
      </c>
      <c r="CH107" s="699">
        <f t="shared" si="139"/>
        <v>1705.8237707675603</v>
      </c>
    </row>
    <row r="108" spans="1:154 16356:16356" s="56" customFormat="1" ht="12.75" customHeight="1">
      <c r="A108" s="9"/>
      <c r="B108" s="9"/>
      <c r="C108" s="9"/>
      <c r="D108" s="9"/>
      <c r="E108" s="9"/>
      <c r="F108" s="9"/>
      <c r="G108" s="9"/>
      <c r="H108" s="257" t="s">
        <v>232</v>
      </c>
      <c r="I108" s="257"/>
      <c r="J108" s="257"/>
      <c r="K108" s="257"/>
      <c r="L108" s="272">
        <v>210.3</v>
      </c>
      <c r="M108" s="272">
        <v>230.6</v>
      </c>
      <c r="N108" s="272">
        <v>230.3</v>
      </c>
      <c r="O108" s="272">
        <v>247.4</v>
      </c>
      <c r="P108" s="80">
        <v>918.6</v>
      </c>
      <c r="Q108" s="143">
        <f t="shared" ref="Q108:AT108" si="140">Q114+Q117+Q123+Q135</f>
        <v>241.5</v>
      </c>
      <c r="R108" s="143">
        <f t="shared" si="140"/>
        <v>259</v>
      </c>
      <c r="S108" s="143">
        <f t="shared" si="140"/>
        <v>268.89999999999998</v>
      </c>
      <c r="T108" s="143">
        <f t="shared" si="140"/>
        <v>291</v>
      </c>
      <c r="U108" s="80">
        <f t="shared" si="140"/>
        <v>1060.4000000000001</v>
      </c>
      <c r="V108" s="143">
        <f t="shared" si="140"/>
        <v>298</v>
      </c>
      <c r="W108" s="143">
        <f t="shared" si="140"/>
        <v>329.5</v>
      </c>
      <c r="X108" s="143">
        <f t="shared" si="140"/>
        <v>332.1</v>
      </c>
      <c r="Y108" s="143">
        <f t="shared" si="140"/>
        <v>368.8</v>
      </c>
      <c r="Z108" s="80">
        <f t="shared" si="140"/>
        <v>1328.4</v>
      </c>
      <c r="AA108" s="143">
        <f t="shared" si="140"/>
        <v>379</v>
      </c>
      <c r="AB108" s="143">
        <f t="shared" si="140"/>
        <v>404.90000000000003</v>
      </c>
      <c r="AC108" s="143">
        <f t="shared" si="140"/>
        <v>418.7</v>
      </c>
      <c r="AD108" s="143">
        <f t="shared" si="140"/>
        <v>387.5</v>
      </c>
      <c r="AE108" s="80">
        <f t="shared" si="140"/>
        <v>1590.1000000000001</v>
      </c>
      <c r="AF108" s="143">
        <f t="shared" si="140"/>
        <v>365.00000000000006</v>
      </c>
      <c r="AG108" s="143">
        <f t="shared" si="140"/>
        <v>351.62</v>
      </c>
      <c r="AH108" s="143">
        <f t="shared" si="140"/>
        <v>391.6</v>
      </c>
      <c r="AI108" s="143">
        <f t="shared" si="140"/>
        <v>422.7</v>
      </c>
      <c r="AJ108" s="80">
        <f t="shared" si="140"/>
        <v>1530.92</v>
      </c>
      <c r="AK108" s="143">
        <f t="shared" si="140"/>
        <v>420.00000000000006</v>
      </c>
      <c r="AL108" s="143">
        <f t="shared" si="140"/>
        <v>406.7</v>
      </c>
      <c r="AM108" s="143">
        <f t="shared" si="140"/>
        <v>419.70000000000005</v>
      </c>
      <c r="AN108" s="143">
        <f t="shared" si="140"/>
        <v>437.2</v>
      </c>
      <c r="AO108" s="699">
        <f t="shared" si="140"/>
        <v>1683.6</v>
      </c>
      <c r="AP108" s="388">
        <f t="shared" si="140"/>
        <v>443.59999999999997</v>
      </c>
      <c r="AQ108" s="388">
        <f t="shared" si="140"/>
        <v>456.7</v>
      </c>
      <c r="AR108" s="388">
        <f t="shared" si="140"/>
        <v>465.79999999999995</v>
      </c>
      <c r="AS108" s="388">
        <f t="shared" si="140"/>
        <v>481.7</v>
      </c>
      <c r="AT108" s="699">
        <f t="shared" si="140"/>
        <v>1847.8</v>
      </c>
      <c r="AU108" s="391">
        <v>444.5</v>
      </c>
      <c r="AV108" s="391">
        <v>475.3</v>
      </c>
      <c r="AW108" s="391">
        <v>442.6</v>
      </c>
      <c r="AX108" s="391">
        <v>487.7</v>
      </c>
      <c r="AY108" s="699">
        <f>AY114+AY117+AY123+AY135+AY126</f>
        <v>1850.1000000000001</v>
      </c>
      <c r="AZ108" s="391">
        <v>426</v>
      </c>
      <c r="BA108" s="397">
        <v>436.4</v>
      </c>
      <c r="BB108" s="397">
        <v>449</v>
      </c>
      <c r="BC108" s="397">
        <v>468.3</v>
      </c>
      <c r="BD108" s="699">
        <f>BD114+BD117+BD123+BD135+BD126</f>
        <v>1779.7000000000003</v>
      </c>
      <c r="BE108" s="391">
        <v>453.7</v>
      </c>
      <c r="BF108" s="391">
        <v>455.3</v>
      </c>
      <c r="BG108" s="391">
        <v>469.6</v>
      </c>
      <c r="BH108" s="391">
        <v>444</v>
      </c>
      <c r="BI108" s="699">
        <f>BI114+BI117+BI120+BI123+BI126+BI135</f>
        <v>1822.6000000000001</v>
      </c>
      <c r="BJ108" s="1070">
        <v>394.4</v>
      </c>
      <c r="BK108" s="1070">
        <v>402.7</v>
      </c>
      <c r="BL108" s="1070">
        <v>424.1</v>
      </c>
      <c r="BM108" s="1070">
        <v>448.6</v>
      </c>
      <c r="BN108" s="699">
        <f>BN114+BN117+BN120+BN123+BN126+BN135</f>
        <v>1669.8</v>
      </c>
      <c r="BO108" s="1070">
        <v>417.1</v>
      </c>
      <c r="BP108" s="1070">
        <v>449</v>
      </c>
      <c r="BQ108" s="1070">
        <v>444.3</v>
      </c>
      <c r="BR108" s="1070">
        <v>436.5</v>
      </c>
      <c r="BS108" s="699">
        <f>BS114+BS117+BS120+BS123+BS126+BS129+BS135</f>
        <v>1746.4</v>
      </c>
      <c r="BT108" s="1070">
        <v>423.3</v>
      </c>
      <c r="BU108" s="1070">
        <v>436.1</v>
      </c>
      <c r="BV108" s="1070">
        <v>448.3</v>
      </c>
      <c r="BW108" s="1070">
        <v>453.8</v>
      </c>
      <c r="BX108" s="699">
        <f>BX114+BX117+BX120+BX123+BX126+BX129+BX135+BX132+BX111</f>
        <v>1761.5</v>
      </c>
      <c r="BY108" s="1070">
        <f>446.3</f>
        <v>446.3</v>
      </c>
      <c r="BZ108" s="388">
        <f t="shared" si="138"/>
        <v>457.75800000000004</v>
      </c>
      <c r="CA108" s="388">
        <f t="shared" si="138"/>
        <v>470.87699999999995</v>
      </c>
      <c r="CB108" s="388">
        <f t="shared" si="138"/>
        <v>484.14900000000006</v>
      </c>
      <c r="CC108" s="699">
        <f t="shared" ref="CC108:CH108" si="141">CC114+CC117+CC120+CC123+CC126+CC129+CC135+CC132+CC111</f>
        <v>1859.0840000000001</v>
      </c>
      <c r="CD108" s="699">
        <f t="shared" si="141"/>
        <v>1971.2747499999998</v>
      </c>
      <c r="CE108" s="699">
        <f t="shared" si="141"/>
        <v>2025.3019705000002</v>
      </c>
      <c r="CF108" s="699">
        <f t="shared" si="141"/>
        <v>1826.54527775</v>
      </c>
      <c r="CG108" s="699">
        <f t="shared" si="141"/>
        <v>1746.4230946375001</v>
      </c>
      <c r="CH108" s="699">
        <f t="shared" si="141"/>
        <v>1707.889820680625</v>
      </c>
    </row>
    <row r="109" spans="1:154 16356:16356" s="63" customFormat="1" ht="13.5">
      <c r="A109" s="302"/>
      <c r="B109" s="302"/>
      <c r="C109" s="302"/>
      <c r="D109" s="302"/>
      <c r="E109" s="302"/>
      <c r="F109" s="302"/>
      <c r="G109" s="302"/>
      <c r="H109" s="266" t="s">
        <v>1072</v>
      </c>
      <c r="BE109" s="996"/>
      <c r="BF109" s="996"/>
      <c r="BG109" s="996"/>
      <c r="BH109" s="996"/>
      <c r="BJ109" s="258"/>
      <c r="BK109" s="258"/>
      <c r="BL109" s="258"/>
      <c r="BM109" s="258"/>
      <c r="BN109" s="264"/>
      <c r="BO109" s="258"/>
      <c r="BP109" s="258"/>
      <c r="BQ109" s="258"/>
      <c r="BR109" s="258"/>
      <c r="BS109" s="264"/>
      <c r="BT109" s="258"/>
      <c r="BU109" s="258"/>
      <c r="BV109" s="258"/>
      <c r="BW109" s="1100">
        <f t="shared" ref="BW109:CC109" si="142">BW110+BW111</f>
        <v>21</v>
      </c>
      <c r="BX109" s="264">
        <f t="shared" si="142"/>
        <v>21</v>
      </c>
      <c r="BY109" s="1100">
        <f>BY110+BY111</f>
        <v>29.7</v>
      </c>
      <c r="BZ109" s="1100">
        <f t="shared" si="142"/>
        <v>52</v>
      </c>
      <c r="CA109" s="1100">
        <f t="shared" si="142"/>
        <v>75</v>
      </c>
      <c r="CB109" s="1100">
        <f t="shared" si="142"/>
        <v>100.3</v>
      </c>
      <c r="CC109" s="264">
        <f t="shared" si="142"/>
        <v>257</v>
      </c>
      <c r="CD109" s="264">
        <f>CD110+CD111</f>
        <v>548</v>
      </c>
      <c r="CE109" s="264">
        <f>CE110+CE111</f>
        <v>794</v>
      </c>
      <c r="CF109" s="264">
        <f>CF110+CF111</f>
        <v>1023.5999999999999</v>
      </c>
      <c r="CG109" s="264">
        <f>CG110+CG111</f>
        <v>1181.8799999999999</v>
      </c>
      <c r="CH109" s="264">
        <f>CH110+CH111</f>
        <v>1267.56</v>
      </c>
      <c r="EX109" s="1261" t="s">
        <v>1072</v>
      </c>
    </row>
    <row r="110" spans="1:154 16356:16356" s="63" customFormat="1" ht="13.5">
      <c r="A110" s="302"/>
      <c r="B110" s="302"/>
      <c r="C110" s="302"/>
      <c r="D110" s="302"/>
      <c r="E110" s="302"/>
      <c r="F110" s="302"/>
      <c r="G110" s="302"/>
      <c r="H110" s="613" t="s">
        <v>231</v>
      </c>
      <c r="BE110" s="996"/>
      <c r="BF110" s="996"/>
      <c r="BG110" s="996"/>
      <c r="BH110" s="996"/>
      <c r="BJ110" s="258"/>
      <c r="BK110" s="258"/>
      <c r="BL110" s="258"/>
      <c r="BM110" s="258"/>
      <c r="BN110" s="78"/>
      <c r="BO110" s="258"/>
      <c r="BP110" s="258"/>
      <c r="BQ110" s="258"/>
      <c r="BR110" s="258"/>
      <c r="BS110" s="79"/>
      <c r="BT110" s="258"/>
      <c r="BU110" s="258"/>
      <c r="BV110" s="258"/>
      <c r="BW110" s="1068">
        <v>21</v>
      </c>
      <c r="BX110" s="79">
        <f>SUM(BT110:BW110)</f>
        <v>21</v>
      </c>
      <c r="BY110" s="1068">
        <f>29.7</f>
        <v>29.7</v>
      </c>
      <c r="BZ110" s="1101">
        <v>50</v>
      </c>
      <c r="CA110" s="1101">
        <v>70</v>
      </c>
      <c r="CB110" s="383">
        <f>BW110*(1+CB340)</f>
        <v>90.3</v>
      </c>
      <c r="CC110" s="79">
        <f>SUM(BY110:CB110)</f>
        <v>240</v>
      </c>
      <c r="CD110" s="79">
        <f>CC110*(1+'REV-ANNUAL'!CD340)</f>
        <v>480</v>
      </c>
      <c r="CE110" s="79">
        <f>CD110*(1+'REV-ANNUAL'!CE340)</f>
        <v>624</v>
      </c>
      <c r="CF110" s="79">
        <f>CE110*(1+'REV-ANNUAL'!CF340)</f>
        <v>717.59999999999991</v>
      </c>
      <c r="CG110" s="79">
        <f>CF110*(1+'REV-ANNUAL'!CG340)</f>
        <v>753.4799999999999</v>
      </c>
      <c r="CH110" s="79">
        <f>CG110*(1+'REV-ANNUAL'!CH340)</f>
        <v>753.4799999999999</v>
      </c>
    </row>
    <row r="111" spans="1:154 16356:16356" s="63" customFormat="1" ht="13.5">
      <c r="A111" s="302"/>
      <c r="B111" s="302"/>
      <c r="C111" s="302"/>
      <c r="D111" s="302"/>
      <c r="E111" s="302"/>
      <c r="F111" s="302"/>
      <c r="G111" s="302"/>
      <c r="H111" s="613" t="s">
        <v>232</v>
      </c>
      <c r="BE111" s="996"/>
      <c r="BF111" s="996"/>
      <c r="BG111" s="996"/>
      <c r="BH111" s="996"/>
      <c r="BJ111" s="258"/>
      <c r="BK111" s="258"/>
      <c r="BL111" s="258"/>
      <c r="BM111" s="258"/>
      <c r="BN111" s="78"/>
      <c r="BO111" s="258"/>
      <c r="BP111" s="258"/>
      <c r="BQ111" s="258"/>
      <c r="BR111" s="258"/>
      <c r="BS111" s="79"/>
      <c r="BT111" s="258"/>
      <c r="BU111" s="258"/>
      <c r="BV111" s="258"/>
      <c r="BW111" s="1068">
        <v>0</v>
      </c>
      <c r="BX111" s="79">
        <f>SUM(BT111:BW111)</f>
        <v>0</v>
      </c>
      <c r="BY111" s="1068">
        <f>0</f>
        <v>0</v>
      </c>
      <c r="BZ111" s="1101">
        <v>2</v>
      </c>
      <c r="CA111" s="1101">
        <v>5</v>
      </c>
      <c r="CB111" s="1101">
        <v>10</v>
      </c>
      <c r="CC111" s="79">
        <f>SUM(BY111:CB111)</f>
        <v>17</v>
      </c>
      <c r="CD111" s="79">
        <f>CC111*(1+'REV-ANNUAL'!CD341)</f>
        <v>68</v>
      </c>
      <c r="CE111" s="79">
        <f>CD111*(1+'REV-ANNUAL'!CE341)</f>
        <v>170</v>
      </c>
      <c r="CF111" s="79">
        <f>CE111*(1+'REV-ANNUAL'!CF341)</f>
        <v>306</v>
      </c>
      <c r="CG111" s="79">
        <f>CF111*(1+'REV-ANNUAL'!CG341)</f>
        <v>428.4</v>
      </c>
      <c r="CH111" s="79">
        <f>CG111*(1+'REV-ANNUAL'!CH341)</f>
        <v>514.07999999999993</v>
      </c>
    </row>
    <row r="112" spans="1:154 16356:16356" s="15" customFormat="1" ht="12.75" customHeight="1">
      <c r="A112" s="9"/>
      <c r="B112" s="9"/>
      <c r="C112" s="9"/>
      <c r="D112" s="9"/>
      <c r="E112" s="9"/>
      <c r="F112" s="9"/>
      <c r="G112" s="9"/>
      <c r="H112" s="266" t="s">
        <v>737</v>
      </c>
      <c r="I112" s="266"/>
      <c r="J112" s="266"/>
      <c r="K112" s="266"/>
      <c r="L112" s="265">
        <v>304.60000000000002</v>
      </c>
      <c r="M112" s="265">
        <v>343</v>
      </c>
      <c r="N112" s="265">
        <v>334.3</v>
      </c>
      <c r="O112" s="265">
        <v>352.6</v>
      </c>
      <c r="P112" s="264">
        <v>1334.5</v>
      </c>
      <c r="Q112" s="265">
        <f t="shared" ref="Q112:AJ112" si="143">Q113+Q114</f>
        <v>338.79999999999995</v>
      </c>
      <c r="R112" s="265">
        <f t="shared" si="143"/>
        <v>343.5</v>
      </c>
      <c r="S112" s="265">
        <f t="shared" si="143"/>
        <v>354.6</v>
      </c>
      <c r="T112" s="265">
        <f t="shared" si="143"/>
        <v>371.29999999999995</v>
      </c>
      <c r="U112" s="264">
        <f t="shared" si="143"/>
        <v>1408.2</v>
      </c>
      <c r="V112" s="265">
        <f t="shared" si="143"/>
        <v>376.9</v>
      </c>
      <c r="W112" s="265">
        <f t="shared" si="143"/>
        <v>395.6</v>
      </c>
      <c r="X112" s="265">
        <f t="shared" si="143"/>
        <v>394.4</v>
      </c>
      <c r="Y112" s="265">
        <f t="shared" si="143"/>
        <v>425.5</v>
      </c>
      <c r="Z112" s="264">
        <f t="shared" si="143"/>
        <v>1592.4</v>
      </c>
      <c r="AA112" s="265">
        <f t="shared" si="143"/>
        <v>426.2</v>
      </c>
      <c r="AB112" s="265">
        <f t="shared" si="143"/>
        <v>440.1</v>
      </c>
      <c r="AC112" s="265">
        <f t="shared" si="143"/>
        <v>440.1</v>
      </c>
      <c r="AD112" s="265">
        <f t="shared" si="143"/>
        <v>413.2</v>
      </c>
      <c r="AE112" s="264">
        <f t="shared" si="143"/>
        <v>1719.6000000000001</v>
      </c>
      <c r="AF112" s="265">
        <f t="shared" si="143"/>
        <v>367.70000000000005</v>
      </c>
      <c r="AG112" s="265">
        <f t="shared" si="143"/>
        <v>353.23</v>
      </c>
      <c r="AH112" s="265">
        <f t="shared" si="143"/>
        <v>331.8</v>
      </c>
      <c r="AI112" s="265">
        <f t="shared" si="143"/>
        <v>310.39999999999998</v>
      </c>
      <c r="AJ112" s="264">
        <f t="shared" si="143"/>
        <v>1363.13</v>
      </c>
      <c r="AK112" s="265">
        <f t="shared" ref="AK112:AT112" si="144">AK113+AK114</f>
        <v>287.79999999999995</v>
      </c>
      <c r="AL112" s="265">
        <f t="shared" si="144"/>
        <v>293.39999999999998</v>
      </c>
      <c r="AM112" s="265">
        <f t="shared" si="144"/>
        <v>324.60000000000002</v>
      </c>
      <c r="AN112" s="265">
        <f t="shared" si="144"/>
        <v>243.2</v>
      </c>
      <c r="AO112" s="703">
        <f t="shared" si="144"/>
        <v>1149</v>
      </c>
      <c r="AP112" s="455">
        <f t="shared" si="144"/>
        <v>156.1</v>
      </c>
      <c r="AQ112" s="455">
        <f t="shared" si="144"/>
        <v>112.5</v>
      </c>
      <c r="AR112" s="455">
        <f t="shared" si="144"/>
        <v>90.899999999999991</v>
      </c>
      <c r="AS112" s="455">
        <f>AS113+AS114</f>
        <v>92.6</v>
      </c>
      <c r="AT112" s="703">
        <f t="shared" si="144"/>
        <v>452.1</v>
      </c>
      <c r="AU112" s="455">
        <f t="shared" ref="AU112:BH112" si="145">AU113+AU114</f>
        <v>84.9</v>
      </c>
      <c r="AV112" s="455">
        <f t="shared" si="145"/>
        <v>76.099999999999994</v>
      </c>
      <c r="AW112" s="455">
        <f t="shared" si="145"/>
        <v>61.6</v>
      </c>
      <c r="AX112" s="455">
        <f t="shared" si="145"/>
        <v>67.300000000000011</v>
      </c>
      <c r="AY112" s="703">
        <f t="shared" si="145"/>
        <v>289.89999999999998</v>
      </c>
      <c r="AZ112" s="455">
        <f t="shared" si="145"/>
        <v>52.7</v>
      </c>
      <c r="BA112" s="455">
        <f t="shared" si="145"/>
        <v>47.5</v>
      </c>
      <c r="BB112" s="455">
        <f t="shared" si="145"/>
        <v>44.3</v>
      </c>
      <c r="BC112" s="455">
        <f t="shared" si="145"/>
        <v>48.6</v>
      </c>
      <c r="BD112" s="703">
        <f t="shared" si="145"/>
        <v>193.1</v>
      </c>
      <c r="BE112" s="455">
        <f>BE113+BE114</f>
        <v>41.7</v>
      </c>
      <c r="BF112" s="455">
        <f t="shared" si="145"/>
        <v>39.799999999999997</v>
      </c>
      <c r="BG112" s="455">
        <f>BG113+BG114</f>
        <v>38</v>
      </c>
      <c r="BH112" s="455">
        <f t="shared" si="145"/>
        <v>33.1</v>
      </c>
      <c r="BI112" s="703">
        <f t="shared" ref="BI112:BX112" si="146">BI113+BI114</f>
        <v>152.59999999999997</v>
      </c>
      <c r="BJ112" s="455">
        <f t="shared" si="146"/>
        <v>30.2</v>
      </c>
      <c r="BK112" s="455">
        <f t="shared" si="146"/>
        <v>36</v>
      </c>
      <c r="BL112" s="455">
        <f t="shared" si="146"/>
        <v>35.699999999999996</v>
      </c>
      <c r="BM112" s="455">
        <f t="shared" si="146"/>
        <v>45.5</v>
      </c>
      <c r="BN112" s="703">
        <f t="shared" si="146"/>
        <v>147.39999999999998</v>
      </c>
      <c r="BO112" s="455">
        <f t="shared" si="146"/>
        <v>29.5</v>
      </c>
      <c r="BP112" s="455">
        <f t="shared" si="146"/>
        <v>32</v>
      </c>
      <c r="BQ112" s="455">
        <f t="shared" si="146"/>
        <v>28.1</v>
      </c>
      <c r="BR112" s="455">
        <f t="shared" si="146"/>
        <v>21.5</v>
      </c>
      <c r="BS112" s="703">
        <f t="shared" si="146"/>
        <v>111.1</v>
      </c>
      <c r="BT112" s="455">
        <f t="shared" si="146"/>
        <v>25.8</v>
      </c>
      <c r="BU112" s="455">
        <f t="shared" si="146"/>
        <v>27.8</v>
      </c>
      <c r="BV112" s="455">
        <f t="shared" si="146"/>
        <v>26.9</v>
      </c>
      <c r="BW112" s="455">
        <f t="shared" si="146"/>
        <v>30.4</v>
      </c>
      <c r="BX112" s="703">
        <f t="shared" si="146"/>
        <v>110.89999999999999</v>
      </c>
      <c r="BY112" s="866"/>
      <c r="BZ112" s="866"/>
      <c r="CA112" s="866"/>
      <c r="CB112" s="866"/>
      <c r="CC112" s="867"/>
      <c r="CD112" s="867"/>
      <c r="CE112" s="867"/>
      <c r="CF112" s="867"/>
      <c r="CG112" s="867"/>
      <c r="CH112" s="867"/>
      <c r="EX112" s="1261" t="s">
        <v>737</v>
      </c>
    </row>
    <row r="113" spans="1:154" ht="12.75" customHeight="1">
      <c r="A113" s="9"/>
      <c r="B113" s="9"/>
      <c r="C113" s="9"/>
      <c r="D113" s="9"/>
      <c r="E113" s="9"/>
      <c r="F113" s="9"/>
      <c r="G113" s="9"/>
      <c r="H113" s="257" t="s">
        <v>1169</v>
      </c>
      <c r="I113" s="257"/>
      <c r="J113" s="257"/>
      <c r="K113" s="257"/>
      <c r="L113" s="263">
        <v>126.9</v>
      </c>
      <c r="M113" s="263">
        <v>154.5</v>
      </c>
      <c r="N113" s="263">
        <v>149.69999999999999</v>
      </c>
      <c r="O113" s="263">
        <v>154.9</v>
      </c>
      <c r="P113" s="79">
        <v>586</v>
      </c>
      <c r="Q113" s="263">
        <v>149.69999999999999</v>
      </c>
      <c r="R113" s="263">
        <v>150</v>
      </c>
      <c r="S113" s="263">
        <v>153</v>
      </c>
      <c r="T113" s="263">
        <v>157.1</v>
      </c>
      <c r="U113" s="79">
        <f>SUM(Q113:T113)</f>
        <v>609.79999999999995</v>
      </c>
      <c r="V113" s="263">
        <v>162.69999999999999</v>
      </c>
      <c r="W113" s="263">
        <v>165.8</v>
      </c>
      <c r="X113" s="263">
        <v>166.5</v>
      </c>
      <c r="Y113" s="263">
        <v>175</v>
      </c>
      <c r="Z113" s="79">
        <f>SUM(V113:Y113)</f>
        <v>670</v>
      </c>
      <c r="AA113" s="263">
        <v>175.7</v>
      </c>
      <c r="AB113" s="263">
        <v>183.3</v>
      </c>
      <c r="AC113" s="263">
        <v>189.2</v>
      </c>
      <c r="AD113" s="263">
        <v>186.5</v>
      </c>
      <c r="AE113" s="79">
        <f>SUM(AA113:AD113)</f>
        <v>734.7</v>
      </c>
      <c r="AF113" s="263">
        <v>169.4</v>
      </c>
      <c r="AG113" s="263">
        <v>195.6</v>
      </c>
      <c r="AH113" s="263">
        <v>191</v>
      </c>
      <c r="AI113" s="263">
        <v>191.3</v>
      </c>
      <c r="AJ113" s="79">
        <f>SUM(AF113:AI113)</f>
        <v>747.3</v>
      </c>
      <c r="AK113" s="263">
        <v>173.7</v>
      </c>
      <c r="AL113" s="263">
        <v>189.8</v>
      </c>
      <c r="AM113" s="263">
        <v>219.7</v>
      </c>
      <c r="AN113" s="263">
        <v>140.1</v>
      </c>
      <c r="AO113" s="846">
        <f>SUM(AK113:AN113)</f>
        <v>723.30000000000007</v>
      </c>
      <c r="AP113" s="391">
        <v>59.3</v>
      </c>
      <c r="AQ113" s="391">
        <v>17.2</v>
      </c>
      <c r="AR113" s="391">
        <v>-4.2</v>
      </c>
      <c r="AS113" s="391">
        <v>-1.7</v>
      </c>
      <c r="AT113" s="410">
        <f>SUM(AP113:AS113)</f>
        <v>70.599999999999994</v>
      </c>
      <c r="AU113" s="391">
        <v>13.5</v>
      </c>
      <c r="AV113" s="391">
        <v>5.0999999999999996</v>
      </c>
      <c r="AW113" s="391">
        <v>-0.5</v>
      </c>
      <c r="AX113" s="391">
        <v>-0.1</v>
      </c>
      <c r="AY113" s="410">
        <f>SUM(AU113:AX113)</f>
        <v>18</v>
      </c>
      <c r="AZ113" s="391">
        <v>0.5</v>
      </c>
      <c r="BA113" s="391">
        <v>0</v>
      </c>
      <c r="BB113" s="391">
        <v>0</v>
      </c>
      <c r="BC113" s="391">
        <v>-0.1</v>
      </c>
      <c r="BD113" s="410">
        <f>SUM(AZ113:BC113)</f>
        <v>0.4</v>
      </c>
      <c r="BE113" s="391">
        <v>0</v>
      </c>
      <c r="BF113" s="391">
        <v>-0.1</v>
      </c>
      <c r="BG113" s="391">
        <v>-0.1</v>
      </c>
      <c r="BH113" s="391">
        <v>-0.1</v>
      </c>
      <c r="BI113" s="410">
        <f>SUM(BE113:BH113)</f>
        <v>-0.30000000000000004</v>
      </c>
      <c r="BJ113" s="1068">
        <v>-0.1</v>
      </c>
      <c r="BK113" s="1068">
        <v>4.5</v>
      </c>
      <c r="BL113" s="1068">
        <v>7.3</v>
      </c>
      <c r="BM113" s="1068">
        <v>14.6</v>
      </c>
      <c r="BN113" s="410">
        <f>SUM(BJ113:BM113)</f>
        <v>26.299999999999997</v>
      </c>
      <c r="BO113" s="1068">
        <v>0.7</v>
      </c>
      <c r="BP113" s="1068">
        <v>2</v>
      </c>
      <c r="BQ113" s="1068">
        <v>-0.2</v>
      </c>
      <c r="BR113" s="1068">
        <v>-4.8</v>
      </c>
      <c r="BS113" s="410">
        <f>SUM(BO113:BR113)</f>
        <v>-2.2999999999999998</v>
      </c>
      <c r="BT113" s="1070">
        <v>0</v>
      </c>
      <c r="BU113" s="1068">
        <v>1.8</v>
      </c>
      <c r="BV113" s="1068">
        <v>-1.1000000000000001</v>
      </c>
      <c r="BW113" s="1068">
        <v>2.9</v>
      </c>
      <c r="BX113" s="410">
        <f>SUM(BT113:BW113)</f>
        <v>3.5999999999999996</v>
      </c>
      <c r="BY113" s="1210"/>
      <c r="BZ113" s="871"/>
      <c r="CA113" s="871"/>
      <c r="CB113" s="871"/>
      <c r="CC113" s="870"/>
      <c r="CD113" s="870"/>
      <c r="CE113" s="870"/>
      <c r="CF113" s="870"/>
      <c r="CG113" s="870"/>
      <c r="CH113" s="870"/>
    </row>
    <row r="114" spans="1:154" ht="12.75" customHeight="1">
      <c r="A114" s="9"/>
      <c r="B114" s="9"/>
      <c r="C114" s="9"/>
      <c r="D114" s="9"/>
      <c r="E114" s="9"/>
      <c r="F114" s="9"/>
      <c r="G114" s="9"/>
      <c r="H114" s="257" t="s">
        <v>1170</v>
      </c>
      <c r="I114" s="257"/>
      <c r="J114" s="257"/>
      <c r="K114" s="257"/>
      <c r="L114" s="263">
        <v>177.7</v>
      </c>
      <c r="M114" s="263">
        <v>188.5</v>
      </c>
      <c r="N114" s="263">
        <v>184.6</v>
      </c>
      <c r="O114" s="263">
        <v>197.7</v>
      </c>
      <c r="P114" s="79">
        <v>748.5</v>
      </c>
      <c r="Q114" s="263">
        <v>189.1</v>
      </c>
      <c r="R114" s="263">
        <v>193.5</v>
      </c>
      <c r="S114" s="263">
        <v>201.6</v>
      </c>
      <c r="T114" s="263">
        <v>214.2</v>
      </c>
      <c r="U114" s="79">
        <f>SUM(Q114:T114)</f>
        <v>798.40000000000009</v>
      </c>
      <c r="V114" s="263">
        <v>214.2</v>
      </c>
      <c r="W114" s="263">
        <v>229.8</v>
      </c>
      <c r="X114" s="263">
        <v>227.9</v>
      </c>
      <c r="Y114" s="263">
        <v>250.5</v>
      </c>
      <c r="Z114" s="79">
        <f>SUM(V114:Y114)</f>
        <v>922.4</v>
      </c>
      <c r="AA114" s="263">
        <v>250.5</v>
      </c>
      <c r="AB114" s="263">
        <v>256.8</v>
      </c>
      <c r="AC114" s="263">
        <v>250.9</v>
      </c>
      <c r="AD114" s="263">
        <v>226.7</v>
      </c>
      <c r="AE114" s="79">
        <f>SUM(AA114:AD114)</f>
        <v>984.90000000000009</v>
      </c>
      <c r="AF114" s="263">
        <v>198.3</v>
      </c>
      <c r="AG114" s="263">
        <v>157.63</v>
      </c>
      <c r="AH114" s="263">
        <v>140.80000000000001</v>
      </c>
      <c r="AI114" s="263">
        <v>119.1</v>
      </c>
      <c r="AJ114" s="268">
        <f>SUM(AF114:AI114)</f>
        <v>615.83000000000004</v>
      </c>
      <c r="AK114" s="263">
        <v>114.1</v>
      </c>
      <c r="AL114" s="263">
        <v>103.6</v>
      </c>
      <c r="AM114" s="263">
        <v>104.9</v>
      </c>
      <c r="AN114" s="263">
        <v>103.1</v>
      </c>
      <c r="AO114" s="846">
        <f>SUM(AK114:AN114)</f>
        <v>425.70000000000005</v>
      </c>
      <c r="AP114" s="391">
        <v>96.8</v>
      </c>
      <c r="AQ114" s="391">
        <v>95.3</v>
      </c>
      <c r="AR114" s="391">
        <v>95.1</v>
      </c>
      <c r="AS114" s="391">
        <v>94.3</v>
      </c>
      <c r="AT114" s="410">
        <f>SUM(AP114:AS114)</f>
        <v>381.5</v>
      </c>
      <c r="AU114" s="391">
        <v>71.400000000000006</v>
      </c>
      <c r="AV114" s="391">
        <v>71</v>
      </c>
      <c r="AW114" s="391">
        <v>62.1</v>
      </c>
      <c r="AX114" s="391">
        <v>67.400000000000006</v>
      </c>
      <c r="AY114" s="410">
        <f>SUM(AU114:AX114)</f>
        <v>271.89999999999998</v>
      </c>
      <c r="AZ114" s="391">
        <v>52.2</v>
      </c>
      <c r="BA114" s="391">
        <v>47.5</v>
      </c>
      <c r="BB114" s="391">
        <v>44.3</v>
      </c>
      <c r="BC114" s="391">
        <v>48.7</v>
      </c>
      <c r="BD114" s="410">
        <f>SUM(AZ114:BC114)</f>
        <v>192.7</v>
      </c>
      <c r="BE114" s="391">
        <v>41.7</v>
      </c>
      <c r="BF114" s="391">
        <v>39.9</v>
      </c>
      <c r="BG114" s="391">
        <v>38.1</v>
      </c>
      <c r="BH114" s="391">
        <v>33.200000000000003</v>
      </c>
      <c r="BI114" s="410">
        <f>SUM(BE114:BH114)</f>
        <v>152.89999999999998</v>
      </c>
      <c r="BJ114" s="1068">
        <v>30.3</v>
      </c>
      <c r="BK114" s="1068">
        <v>31.5</v>
      </c>
      <c r="BL114" s="1068">
        <v>28.4</v>
      </c>
      <c r="BM114" s="1068">
        <v>30.9</v>
      </c>
      <c r="BN114" s="410">
        <f>SUM(BJ114:BM114)</f>
        <v>121.1</v>
      </c>
      <c r="BO114" s="1068">
        <v>28.8</v>
      </c>
      <c r="BP114" s="1068">
        <v>30</v>
      </c>
      <c r="BQ114" s="1068">
        <v>28.3</v>
      </c>
      <c r="BR114" s="1068">
        <v>26.3</v>
      </c>
      <c r="BS114" s="410">
        <f>SUM(BO114:BR114)</f>
        <v>113.39999999999999</v>
      </c>
      <c r="BT114" s="1070">
        <v>25.8</v>
      </c>
      <c r="BU114" s="1068">
        <v>26</v>
      </c>
      <c r="BV114" s="1068">
        <v>28</v>
      </c>
      <c r="BW114" s="1068">
        <v>27.5</v>
      </c>
      <c r="BX114" s="410">
        <f>SUM(BT114:BW114)</f>
        <v>107.3</v>
      </c>
      <c r="BY114" s="1210"/>
      <c r="BZ114" s="871"/>
      <c r="CA114" s="871"/>
      <c r="CB114" s="871"/>
      <c r="CC114" s="870"/>
      <c r="CD114" s="870"/>
      <c r="CE114" s="870"/>
      <c r="CF114" s="870"/>
      <c r="CG114" s="870"/>
      <c r="CH114" s="870"/>
    </row>
    <row r="115" spans="1:154" s="15" customFormat="1" ht="12.75" customHeight="1">
      <c r="A115" s="9"/>
      <c r="B115" s="9"/>
      <c r="C115" s="9"/>
      <c r="D115" s="9"/>
      <c r="E115" s="9"/>
      <c r="F115" s="9"/>
      <c r="G115" s="9"/>
      <c r="H115" s="266" t="s">
        <v>738</v>
      </c>
      <c r="I115" s="266"/>
      <c r="J115" s="266"/>
      <c r="K115" s="266"/>
      <c r="L115" s="265">
        <v>93.9</v>
      </c>
      <c r="M115" s="265">
        <v>111.1</v>
      </c>
      <c r="N115" s="265">
        <v>122.3</v>
      </c>
      <c r="O115" s="265">
        <v>135.9</v>
      </c>
      <c r="P115" s="266">
        <v>463.2</v>
      </c>
      <c r="Q115" s="265">
        <f t="shared" ref="Q115:AJ115" si="147">Q116+Q117</f>
        <v>130.10000000000002</v>
      </c>
      <c r="R115" s="265">
        <f t="shared" si="147"/>
        <v>153.10000000000002</v>
      </c>
      <c r="S115" s="265">
        <f t="shared" si="147"/>
        <v>157.19999999999999</v>
      </c>
      <c r="T115" s="265">
        <f t="shared" si="147"/>
        <v>171.39999999999998</v>
      </c>
      <c r="U115" s="266">
        <f t="shared" si="147"/>
        <v>611.79999999999995</v>
      </c>
      <c r="V115" s="265">
        <f t="shared" si="147"/>
        <v>187.89999999999998</v>
      </c>
      <c r="W115" s="265">
        <f t="shared" si="147"/>
        <v>207.10000000000002</v>
      </c>
      <c r="X115" s="265">
        <f t="shared" si="147"/>
        <v>215</v>
      </c>
      <c r="Y115" s="265">
        <f t="shared" si="147"/>
        <v>244.1</v>
      </c>
      <c r="Z115" s="266">
        <f t="shared" si="147"/>
        <v>854.1</v>
      </c>
      <c r="AA115" s="265">
        <f t="shared" si="147"/>
        <v>247.2</v>
      </c>
      <c r="AB115" s="265">
        <f t="shared" si="147"/>
        <v>275</v>
      </c>
      <c r="AC115" s="265">
        <f t="shared" si="147"/>
        <v>313.89999999999998</v>
      </c>
      <c r="AD115" s="265">
        <f t="shared" si="147"/>
        <v>318.7</v>
      </c>
      <c r="AE115" s="266">
        <f t="shared" si="147"/>
        <v>1154.8</v>
      </c>
      <c r="AF115" s="265">
        <f t="shared" si="147"/>
        <v>335.20000000000005</v>
      </c>
      <c r="AG115" s="265">
        <f t="shared" si="147"/>
        <v>385.3</v>
      </c>
      <c r="AH115" s="265">
        <f t="shared" si="147"/>
        <v>461.9</v>
      </c>
      <c r="AI115" s="265">
        <f t="shared" si="147"/>
        <v>523.6</v>
      </c>
      <c r="AJ115" s="266">
        <f t="shared" si="147"/>
        <v>1706</v>
      </c>
      <c r="AK115" s="265">
        <f t="shared" ref="AK115:AT115" si="148">AK116+AK117</f>
        <v>527.29999999999995</v>
      </c>
      <c r="AL115" s="265">
        <f t="shared" si="148"/>
        <v>551.9</v>
      </c>
      <c r="AM115" s="265">
        <f t="shared" si="148"/>
        <v>560.29999999999995</v>
      </c>
      <c r="AN115" s="265">
        <f t="shared" si="148"/>
        <v>569.1</v>
      </c>
      <c r="AO115" s="703">
        <f t="shared" si="148"/>
        <v>2208.6</v>
      </c>
      <c r="AP115" s="455">
        <f t="shared" si="148"/>
        <v>579.9</v>
      </c>
      <c r="AQ115" s="455">
        <f>AQ116+AQ117</f>
        <v>613.4</v>
      </c>
      <c r="AR115" s="455">
        <f t="shared" si="148"/>
        <v>629.70000000000005</v>
      </c>
      <c r="AS115" s="455">
        <f>AS116+AS117</f>
        <v>638.20000000000005</v>
      </c>
      <c r="AT115" s="703">
        <f t="shared" si="148"/>
        <v>2461.1999999999998</v>
      </c>
      <c r="AU115" s="455">
        <f t="shared" ref="AU115:BH115" si="149">AU116+AU117</f>
        <v>606.79999999999995</v>
      </c>
      <c r="AV115" s="455">
        <f t="shared" si="149"/>
        <v>659.5</v>
      </c>
      <c r="AW115" s="455">
        <f t="shared" si="149"/>
        <v>643.6</v>
      </c>
      <c r="AX115" s="455">
        <f t="shared" si="149"/>
        <v>684.3</v>
      </c>
      <c r="AY115" s="703">
        <f t="shared" si="149"/>
        <v>2594.2000000000003</v>
      </c>
      <c r="AZ115" s="455">
        <f t="shared" si="149"/>
        <v>616.79999999999995</v>
      </c>
      <c r="BA115" s="455">
        <f t="shared" si="149"/>
        <v>669.4</v>
      </c>
      <c r="BB115" s="455">
        <f t="shared" si="149"/>
        <v>690.5</v>
      </c>
      <c r="BC115" s="455">
        <f t="shared" si="149"/>
        <v>726.2</v>
      </c>
      <c r="BD115" s="703">
        <f t="shared" si="149"/>
        <v>2702.9</v>
      </c>
      <c r="BE115" s="455">
        <f>BE116+BE117</f>
        <v>632</v>
      </c>
      <c r="BF115" s="455">
        <f t="shared" si="149"/>
        <v>711.6</v>
      </c>
      <c r="BG115" s="455">
        <f>BG116+BG117</f>
        <v>723.4</v>
      </c>
      <c r="BH115" s="455">
        <f t="shared" si="149"/>
        <v>725</v>
      </c>
      <c r="BI115" s="703">
        <f t="shared" ref="BI115:CH115" si="150">BI116+BI117</f>
        <v>2792</v>
      </c>
      <c r="BJ115" s="455">
        <f t="shared" si="150"/>
        <v>573</v>
      </c>
      <c r="BK115" s="455">
        <f t="shared" si="150"/>
        <v>664.3</v>
      </c>
      <c r="BL115" s="455">
        <f t="shared" si="150"/>
        <v>628.5</v>
      </c>
      <c r="BM115" s="455">
        <f t="shared" si="150"/>
        <v>627.20000000000005</v>
      </c>
      <c r="BN115" s="703">
        <f t="shared" si="150"/>
        <v>2493</v>
      </c>
      <c r="BO115" s="455">
        <f t="shared" si="150"/>
        <v>564.20000000000005</v>
      </c>
      <c r="BP115" s="455">
        <f t="shared" si="150"/>
        <v>607.1</v>
      </c>
      <c r="BQ115" s="455">
        <f t="shared" si="150"/>
        <v>570.4</v>
      </c>
      <c r="BR115" s="455">
        <f t="shared" si="150"/>
        <v>541.5</v>
      </c>
      <c r="BS115" s="703">
        <f t="shared" si="150"/>
        <v>2283.1999999999998</v>
      </c>
      <c r="BT115" s="455">
        <f t="shared" si="150"/>
        <v>489.90000000000003</v>
      </c>
      <c r="BU115" s="455">
        <f t="shared" si="150"/>
        <v>532.90000000000009</v>
      </c>
      <c r="BV115" s="455">
        <f t="shared" si="150"/>
        <v>514.5</v>
      </c>
      <c r="BW115" s="455">
        <f t="shared" si="150"/>
        <v>525.20000000000005</v>
      </c>
      <c r="BX115" s="703">
        <f t="shared" si="150"/>
        <v>2062.5</v>
      </c>
      <c r="BY115" s="455">
        <f t="shared" si="150"/>
        <v>499.6</v>
      </c>
      <c r="BZ115" s="455">
        <f t="shared" si="150"/>
        <v>538.38599999999997</v>
      </c>
      <c r="CA115" s="455">
        <f t="shared" si="150"/>
        <v>540.53</v>
      </c>
      <c r="CB115" s="455">
        <f t="shared" si="150"/>
        <v>552.44000000000005</v>
      </c>
      <c r="CC115" s="703">
        <f t="shared" si="150"/>
        <v>2130.9560000000001</v>
      </c>
      <c r="CD115" s="703">
        <f t="shared" si="150"/>
        <v>2186.5088000000005</v>
      </c>
      <c r="CE115" s="703">
        <f t="shared" si="150"/>
        <v>2084.5188000000003</v>
      </c>
      <c r="CF115" s="703">
        <f t="shared" si="150"/>
        <v>1600.6939200000002</v>
      </c>
      <c r="CG115" s="703">
        <f t="shared" si="150"/>
        <v>855.42156000000011</v>
      </c>
      <c r="CH115" s="703">
        <f t="shared" si="150"/>
        <v>250.76595599999999</v>
      </c>
      <c r="EX115" s="1261" t="s">
        <v>738</v>
      </c>
    </row>
    <row r="116" spans="1:154" ht="12.75" customHeight="1">
      <c r="A116" s="9"/>
      <c r="B116" s="9"/>
      <c r="C116" s="9"/>
      <c r="D116" s="9"/>
      <c r="E116" s="9"/>
      <c r="F116" s="9"/>
      <c r="G116" s="9"/>
      <c r="H116" s="257" t="s">
        <v>1031</v>
      </c>
      <c r="I116" s="257"/>
      <c r="J116" s="257"/>
      <c r="K116" s="257"/>
      <c r="L116" s="263">
        <v>63.6</v>
      </c>
      <c r="M116" s="263">
        <v>69.3</v>
      </c>
      <c r="N116" s="263">
        <v>76.900000000000006</v>
      </c>
      <c r="O116" s="263">
        <v>86.5</v>
      </c>
      <c r="P116" s="259">
        <v>296.3</v>
      </c>
      <c r="Q116" s="263">
        <v>77.900000000000006</v>
      </c>
      <c r="R116" s="263">
        <v>87.7</v>
      </c>
      <c r="S116" s="263">
        <v>89.9</v>
      </c>
      <c r="T116" s="263">
        <v>94.6</v>
      </c>
      <c r="U116" s="259">
        <f>SUM(Q116:T116)</f>
        <v>350.1</v>
      </c>
      <c r="V116" s="263">
        <v>104.1</v>
      </c>
      <c r="W116" s="263">
        <v>107.4</v>
      </c>
      <c r="X116" s="263">
        <v>110.8</v>
      </c>
      <c r="Y116" s="263">
        <v>125.8</v>
      </c>
      <c r="Z116" s="259">
        <f>SUM(V116:Y116)</f>
        <v>448.1</v>
      </c>
      <c r="AA116" s="263">
        <v>121.9</v>
      </c>
      <c r="AB116" s="263">
        <v>129.6</v>
      </c>
      <c r="AC116" s="263">
        <v>149.30000000000001</v>
      </c>
      <c r="AD116" s="263">
        <v>161.19999999999999</v>
      </c>
      <c r="AE116" s="79">
        <f>SUM(AA116:AD116)</f>
        <v>562</v>
      </c>
      <c r="AF116" s="263">
        <v>172.8</v>
      </c>
      <c r="AG116" s="263">
        <v>198.5</v>
      </c>
      <c r="AH116" s="263">
        <v>215.5</v>
      </c>
      <c r="AI116" s="263">
        <v>228.8</v>
      </c>
      <c r="AJ116" s="79">
        <f>SUM(AF116:AI116)</f>
        <v>815.59999999999991</v>
      </c>
      <c r="AK116" s="263">
        <v>222.7</v>
      </c>
      <c r="AL116" s="263">
        <v>253.6</v>
      </c>
      <c r="AM116" s="263">
        <v>245.5</v>
      </c>
      <c r="AN116" s="263">
        <v>235.3</v>
      </c>
      <c r="AO116" s="410">
        <f>SUM(AK116:AN116)</f>
        <v>957.09999999999991</v>
      </c>
      <c r="AP116" s="391">
        <v>233</v>
      </c>
      <c r="AQ116" s="391">
        <v>251.9</v>
      </c>
      <c r="AR116" s="391">
        <v>258.89999999999998</v>
      </c>
      <c r="AS116" s="391">
        <v>250.8</v>
      </c>
      <c r="AT116" s="410">
        <f>SUM(AP116:AS116)</f>
        <v>994.59999999999991</v>
      </c>
      <c r="AU116" s="391">
        <v>256.60000000000002</v>
      </c>
      <c r="AV116" s="391">
        <v>279.3</v>
      </c>
      <c r="AW116" s="391">
        <v>288.8</v>
      </c>
      <c r="AX116" s="391">
        <v>297.60000000000002</v>
      </c>
      <c r="AY116" s="410">
        <f>SUM(AU116:AX116)</f>
        <v>1122.3000000000002</v>
      </c>
      <c r="AZ116" s="391">
        <v>262.10000000000002</v>
      </c>
      <c r="BA116" s="391">
        <v>304.89999999999998</v>
      </c>
      <c r="BB116" s="391">
        <v>310</v>
      </c>
      <c r="BC116" s="391">
        <v>332</v>
      </c>
      <c r="BD116" s="410">
        <f>SUM(AZ116:BC116)</f>
        <v>1209</v>
      </c>
      <c r="BE116" s="391">
        <v>245.8</v>
      </c>
      <c r="BF116" s="391">
        <v>321</v>
      </c>
      <c r="BG116" s="391">
        <v>320.39999999999998</v>
      </c>
      <c r="BH116" s="391">
        <v>342.3</v>
      </c>
      <c r="BI116" s="410">
        <f>SUM(BE116:BH116)</f>
        <v>1229.5</v>
      </c>
      <c r="BJ116" s="1068">
        <v>252.7</v>
      </c>
      <c r="BK116" s="1068">
        <v>330</v>
      </c>
      <c r="BL116" s="1068">
        <v>296.7</v>
      </c>
      <c r="BM116" s="1068">
        <v>283</v>
      </c>
      <c r="BN116" s="410">
        <f>SUM(BJ116:BM116)</f>
        <v>1162.4000000000001</v>
      </c>
      <c r="BO116" s="1068">
        <v>263.10000000000002</v>
      </c>
      <c r="BP116" s="1068">
        <v>291</v>
      </c>
      <c r="BQ116" s="1068">
        <v>277</v>
      </c>
      <c r="BR116" s="1068">
        <v>269.8</v>
      </c>
      <c r="BS116" s="410">
        <f>SUM(BO116:BR116)</f>
        <v>1100.9000000000001</v>
      </c>
      <c r="BT116" s="1070">
        <v>227.3</v>
      </c>
      <c r="BU116" s="1068">
        <v>274.3</v>
      </c>
      <c r="BV116" s="1068">
        <v>260.3</v>
      </c>
      <c r="BW116" s="1068">
        <v>272.39999999999998</v>
      </c>
      <c r="BX116" s="410">
        <f>SUM(BT116:BW116)</f>
        <v>1034.3000000000002</v>
      </c>
      <c r="BY116" s="1068">
        <f>245.3</f>
        <v>245.3</v>
      </c>
      <c r="BZ116" s="383">
        <f t="shared" ref="BZ116:CB117" si="151">BU116*(1+BZ346)</f>
        <v>279.786</v>
      </c>
      <c r="CA116" s="383">
        <f t="shared" si="151"/>
        <v>286.33000000000004</v>
      </c>
      <c r="CB116" s="383">
        <f t="shared" si="151"/>
        <v>299.64</v>
      </c>
      <c r="CC116" s="410">
        <f>SUM(BY116:CB116)</f>
        <v>1111.056</v>
      </c>
      <c r="CD116" s="410">
        <f t="shared" ref="CD116:CH117" si="152">CC116*(1+CD346)</f>
        <v>1166.6088000000002</v>
      </c>
      <c r="CE116" s="410">
        <f t="shared" si="152"/>
        <v>1166.6088000000002</v>
      </c>
      <c r="CF116" s="410">
        <f t="shared" si="152"/>
        <v>1049.9479200000003</v>
      </c>
      <c r="CG116" s="1209">
        <f t="shared" si="152"/>
        <v>524.97396000000015</v>
      </c>
      <c r="CH116" s="410">
        <f t="shared" si="152"/>
        <v>52.497396000000002</v>
      </c>
    </row>
    <row r="117" spans="1:154" ht="12.75" customHeight="1">
      <c r="A117" s="9"/>
      <c r="B117" s="9"/>
      <c r="C117" s="9"/>
      <c r="D117" s="9"/>
      <c r="E117" s="9"/>
      <c r="F117" s="9"/>
      <c r="G117" s="9"/>
      <c r="H117" s="257" t="s">
        <v>232</v>
      </c>
      <c r="I117" s="257"/>
      <c r="J117" s="257"/>
      <c r="K117" s="257"/>
      <c r="L117" s="263">
        <v>30.3</v>
      </c>
      <c r="M117" s="263">
        <v>41.8</v>
      </c>
      <c r="N117" s="263">
        <v>45.4</v>
      </c>
      <c r="O117" s="263">
        <v>49.4</v>
      </c>
      <c r="P117" s="259">
        <v>166.9</v>
      </c>
      <c r="Q117" s="263">
        <v>52.2</v>
      </c>
      <c r="R117" s="263">
        <v>65.400000000000006</v>
      </c>
      <c r="S117" s="263">
        <v>67.3</v>
      </c>
      <c r="T117" s="263">
        <v>76.8</v>
      </c>
      <c r="U117" s="259">
        <f>SUM(Q117:T117)</f>
        <v>261.7</v>
      </c>
      <c r="V117" s="263">
        <v>83.8</v>
      </c>
      <c r="W117" s="263">
        <v>99.7</v>
      </c>
      <c r="X117" s="263">
        <v>104.2</v>
      </c>
      <c r="Y117" s="263">
        <v>118.3</v>
      </c>
      <c r="Z117" s="259">
        <f>SUM(V117:Y117)</f>
        <v>406</v>
      </c>
      <c r="AA117" s="263">
        <v>125.3</v>
      </c>
      <c r="AB117" s="263">
        <v>145.4</v>
      </c>
      <c r="AC117" s="263">
        <v>164.6</v>
      </c>
      <c r="AD117" s="263">
        <v>157.5</v>
      </c>
      <c r="AE117" s="79">
        <f>SUM(AA117:AD117)</f>
        <v>592.79999999999995</v>
      </c>
      <c r="AF117" s="263">
        <v>162.4</v>
      </c>
      <c r="AG117" s="263">
        <v>186.8</v>
      </c>
      <c r="AH117" s="263">
        <v>246.4</v>
      </c>
      <c r="AI117" s="263">
        <v>294.8</v>
      </c>
      <c r="AJ117" s="79">
        <f>SUM(AF117:AI117)</f>
        <v>890.40000000000009</v>
      </c>
      <c r="AK117" s="263">
        <v>304.60000000000002</v>
      </c>
      <c r="AL117" s="263">
        <v>298.3</v>
      </c>
      <c r="AM117" s="263">
        <v>314.8</v>
      </c>
      <c r="AN117" s="263">
        <v>333.8</v>
      </c>
      <c r="AO117" s="410">
        <f>SUM(AK117:AN117)</f>
        <v>1251.5</v>
      </c>
      <c r="AP117" s="391">
        <v>346.9</v>
      </c>
      <c r="AQ117" s="391">
        <v>361.5</v>
      </c>
      <c r="AR117" s="391">
        <v>370.8</v>
      </c>
      <c r="AS117" s="391">
        <v>387.4</v>
      </c>
      <c r="AT117" s="410">
        <f>SUM(AP117:AS117)</f>
        <v>1466.6</v>
      </c>
      <c r="AU117" s="391">
        <v>350.2</v>
      </c>
      <c r="AV117" s="391">
        <v>380.2</v>
      </c>
      <c r="AW117" s="391">
        <v>354.8</v>
      </c>
      <c r="AX117" s="391">
        <v>386.7</v>
      </c>
      <c r="AY117" s="410">
        <f>SUM(AU117:AX117)</f>
        <v>1471.9</v>
      </c>
      <c r="AZ117" s="391">
        <v>354.7</v>
      </c>
      <c r="BA117" s="391">
        <v>364.5</v>
      </c>
      <c r="BB117" s="391">
        <v>380.5</v>
      </c>
      <c r="BC117" s="391">
        <v>394.2</v>
      </c>
      <c r="BD117" s="410">
        <f>SUM(AZ117:BC117)</f>
        <v>1493.9</v>
      </c>
      <c r="BE117" s="391">
        <v>386.2</v>
      </c>
      <c r="BF117" s="391">
        <v>390.6</v>
      </c>
      <c r="BG117" s="391">
        <v>403</v>
      </c>
      <c r="BH117" s="391">
        <v>382.7</v>
      </c>
      <c r="BI117" s="410">
        <f>SUM(BE117:BH117)</f>
        <v>1562.5</v>
      </c>
      <c r="BJ117" s="1068">
        <v>320.3</v>
      </c>
      <c r="BK117" s="1068">
        <v>334.3</v>
      </c>
      <c r="BL117" s="1068">
        <v>331.8</v>
      </c>
      <c r="BM117" s="1068">
        <v>344.2</v>
      </c>
      <c r="BN117" s="846">
        <f>SUM(BJ117:BM117)</f>
        <v>1330.6000000000001</v>
      </c>
      <c r="BO117" s="1068">
        <v>301.10000000000002</v>
      </c>
      <c r="BP117" s="1068">
        <v>316.10000000000002</v>
      </c>
      <c r="BQ117" s="1068">
        <v>293.39999999999998</v>
      </c>
      <c r="BR117" s="1068">
        <v>271.7</v>
      </c>
      <c r="BS117" s="410">
        <f>SUM(BO117:BR117)</f>
        <v>1182.3</v>
      </c>
      <c r="BT117" s="1070">
        <v>262.60000000000002</v>
      </c>
      <c r="BU117" s="1068">
        <v>258.60000000000002</v>
      </c>
      <c r="BV117" s="1068">
        <v>254.2</v>
      </c>
      <c r="BW117" s="1068">
        <v>252.8</v>
      </c>
      <c r="BX117" s="410">
        <f>SUM(BT117:BW117)</f>
        <v>1028.2</v>
      </c>
      <c r="BY117" s="1068">
        <f>254.3</f>
        <v>254.3</v>
      </c>
      <c r="BZ117" s="383">
        <f t="shared" si="151"/>
        <v>258.60000000000002</v>
      </c>
      <c r="CA117" s="383">
        <f t="shared" si="151"/>
        <v>254.2</v>
      </c>
      <c r="CB117" s="383">
        <f t="shared" si="151"/>
        <v>252.8</v>
      </c>
      <c r="CC117" s="410">
        <f>SUM(BY117:CB117)</f>
        <v>1019.9000000000001</v>
      </c>
      <c r="CD117" s="410">
        <f t="shared" si="152"/>
        <v>1019.9000000000001</v>
      </c>
      <c r="CE117" s="846">
        <f t="shared" si="152"/>
        <v>917.91000000000008</v>
      </c>
      <c r="CF117" s="410">
        <f t="shared" si="152"/>
        <v>550.74599999999998</v>
      </c>
      <c r="CG117" s="410">
        <f t="shared" si="152"/>
        <v>330.44759999999997</v>
      </c>
      <c r="CH117" s="410">
        <f t="shared" si="152"/>
        <v>198.26855999999998</v>
      </c>
    </row>
    <row r="118" spans="1:154" s="15" customFormat="1" ht="12.75" customHeight="1">
      <c r="A118" s="9"/>
      <c r="B118" s="9"/>
      <c r="C118" s="9"/>
      <c r="D118" s="9"/>
      <c r="E118" s="9"/>
      <c r="F118" s="9"/>
      <c r="G118" s="9"/>
      <c r="H118" s="266" t="s">
        <v>770</v>
      </c>
      <c r="I118" s="266"/>
      <c r="J118" s="266"/>
      <c r="K118" s="266"/>
      <c r="L118" s="265"/>
      <c r="M118" s="265"/>
      <c r="N118" s="265"/>
      <c r="O118" s="265"/>
      <c r="P118" s="266"/>
      <c r="Q118" s="265"/>
      <c r="R118" s="265"/>
      <c r="S118" s="265"/>
      <c r="T118" s="265"/>
      <c r="U118" s="266"/>
      <c r="V118" s="265"/>
      <c r="W118" s="265"/>
      <c r="X118" s="265"/>
      <c r="Y118" s="265"/>
      <c r="Z118" s="266"/>
      <c r="AA118" s="265"/>
      <c r="AB118" s="265"/>
      <c r="AC118" s="265"/>
      <c r="AD118" s="265"/>
      <c r="AE118" s="266"/>
      <c r="AF118" s="265"/>
      <c r="AG118" s="265"/>
      <c r="AH118" s="265"/>
      <c r="AI118" s="265"/>
      <c r="AJ118" s="266"/>
      <c r="AK118" s="265"/>
      <c r="AL118" s="265"/>
      <c r="AM118" s="265"/>
      <c r="AN118" s="265"/>
      <c r="AO118" s="703"/>
      <c r="AP118" s="455"/>
      <c r="AQ118" s="455"/>
      <c r="AR118" s="455"/>
      <c r="AS118" s="455"/>
      <c r="AT118" s="703"/>
      <c r="AU118" s="455"/>
      <c r="AV118" s="455"/>
      <c r="AW118" s="455"/>
      <c r="AX118" s="455"/>
      <c r="AY118" s="703"/>
      <c r="AZ118" s="455"/>
      <c r="BA118" s="455"/>
      <c r="BB118" s="455"/>
      <c r="BC118" s="455"/>
      <c r="BD118" s="703"/>
      <c r="BE118" s="455"/>
      <c r="BF118" s="455">
        <f t="shared" ref="BF118:CH118" si="153">BF119+BF120</f>
        <v>13.7</v>
      </c>
      <c r="BG118" s="455">
        <f t="shared" si="153"/>
        <v>28.4</v>
      </c>
      <c r="BH118" s="455">
        <f t="shared" si="153"/>
        <v>33.6</v>
      </c>
      <c r="BI118" s="703">
        <f t="shared" si="153"/>
        <v>75.699999999999989</v>
      </c>
      <c r="BJ118" s="455">
        <f t="shared" si="153"/>
        <v>67.5</v>
      </c>
      <c r="BK118" s="455">
        <f t="shared" si="153"/>
        <v>87.7</v>
      </c>
      <c r="BL118" s="455">
        <f t="shared" si="153"/>
        <v>111.2</v>
      </c>
      <c r="BM118" s="455">
        <f t="shared" si="153"/>
        <v>117.5</v>
      </c>
      <c r="BN118" s="703">
        <f t="shared" si="153"/>
        <v>383.9</v>
      </c>
      <c r="BO118" s="455">
        <f t="shared" si="153"/>
        <v>131</v>
      </c>
      <c r="BP118" s="455">
        <f t="shared" si="153"/>
        <v>147</v>
      </c>
      <c r="BQ118" s="455">
        <f t="shared" si="153"/>
        <v>159</v>
      </c>
      <c r="BR118" s="455">
        <f t="shared" si="153"/>
        <v>177.1</v>
      </c>
      <c r="BS118" s="703">
        <f t="shared" si="153"/>
        <v>614.1</v>
      </c>
      <c r="BT118" s="455">
        <f t="shared" si="153"/>
        <v>171.3</v>
      </c>
      <c r="BU118" s="455">
        <f t="shared" si="153"/>
        <v>186.3</v>
      </c>
      <c r="BV118" s="455">
        <f t="shared" si="153"/>
        <v>196</v>
      </c>
      <c r="BW118" s="455">
        <f t="shared" si="153"/>
        <v>204.8</v>
      </c>
      <c r="BX118" s="703">
        <f t="shared" si="153"/>
        <v>758.40000000000009</v>
      </c>
      <c r="BY118" s="455">
        <f t="shared" si="153"/>
        <v>183.6</v>
      </c>
      <c r="BZ118" s="455">
        <f t="shared" si="153"/>
        <v>194.24100000000001</v>
      </c>
      <c r="CA118" s="455">
        <f t="shared" si="153"/>
        <v>204.41000000000003</v>
      </c>
      <c r="CB118" s="455">
        <f t="shared" si="153"/>
        <v>215.23200000000003</v>
      </c>
      <c r="CC118" s="703">
        <f t="shared" si="153"/>
        <v>797.48300000000006</v>
      </c>
      <c r="CD118" s="703">
        <f t="shared" si="153"/>
        <v>837.35715000000005</v>
      </c>
      <c r="CE118" s="703">
        <f t="shared" si="153"/>
        <v>868.46383050000009</v>
      </c>
      <c r="CF118" s="703">
        <f t="shared" si="153"/>
        <v>884.17699125000013</v>
      </c>
      <c r="CG118" s="703">
        <f t="shared" si="153"/>
        <v>890.77651876500022</v>
      </c>
      <c r="CH118" s="703">
        <f t="shared" si="153"/>
        <v>890.77651876500022</v>
      </c>
      <c r="EX118" s="1261" t="s">
        <v>770</v>
      </c>
    </row>
    <row r="119" spans="1:154" ht="12.75" customHeight="1">
      <c r="A119" s="9"/>
      <c r="B119" s="9"/>
      <c r="C119" s="9"/>
      <c r="D119" s="9"/>
      <c r="E119" s="9"/>
      <c r="F119" s="9"/>
      <c r="G119" s="9"/>
      <c r="H119" s="257" t="s">
        <v>1162</v>
      </c>
      <c r="I119" s="257"/>
      <c r="J119" s="257"/>
      <c r="K119" s="257"/>
      <c r="L119" s="263"/>
      <c r="M119" s="263"/>
      <c r="N119" s="263"/>
      <c r="O119" s="263"/>
      <c r="P119" s="259"/>
      <c r="Q119" s="263"/>
      <c r="R119" s="263"/>
      <c r="S119" s="263"/>
      <c r="T119" s="263"/>
      <c r="U119" s="259"/>
      <c r="V119" s="263"/>
      <c r="W119" s="263"/>
      <c r="X119" s="263"/>
      <c r="Y119" s="263"/>
      <c r="Z119" s="259"/>
      <c r="AA119" s="263"/>
      <c r="AB119" s="263"/>
      <c r="AC119" s="263"/>
      <c r="AD119" s="263"/>
      <c r="AE119" s="79"/>
      <c r="AF119" s="263"/>
      <c r="AG119" s="263"/>
      <c r="AH119" s="263"/>
      <c r="AI119" s="263"/>
      <c r="AJ119" s="79"/>
      <c r="AK119" s="263"/>
      <c r="AL119" s="263"/>
      <c r="AM119" s="263"/>
      <c r="AN119" s="263"/>
      <c r="AO119" s="410"/>
      <c r="AP119" s="391"/>
      <c r="AQ119" s="391"/>
      <c r="AR119" s="391"/>
      <c r="AS119" s="391"/>
      <c r="AT119" s="410"/>
      <c r="AU119" s="391"/>
      <c r="AV119" s="391"/>
      <c r="AW119" s="391"/>
      <c r="AX119" s="391"/>
      <c r="AY119" s="410"/>
      <c r="AZ119" s="391"/>
      <c r="BA119" s="391"/>
      <c r="BB119" s="391"/>
      <c r="BC119" s="391"/>
      <c r="BD119" s="410"/>
      <c r="BE119" s="391"/>
      <c r="BF119" s="391">
        <v>13.7</v>
      </c>
      <c r="BG119" s="391">
        <v>28.4</v>
      </c>
      <c r="BH119" s="391">
        <v>33.6</v>
      </c>
      <c r="BI119" s="410">
        <f>SUM(BE119:BH119)</f>
        <v>75.699999999999989</v>
      </c>
      <c r="BJ119" s="1068">
        <v>62.3</v>
      </c>
      <c r="BK119" s="1068">
        <v>70.400000000000006</v>
      </c>
      <c r="BL119" s="1068">
        <v>75.900000000000006</v>
      </c>
      <c r="BM119" s="1068">
        <v>69.099999999999994</v>
      </c>
      <c r="BN119" s="410">
        <f>SUM(BJ119:BM119)</f>
        <v>277.7</v>
      </c>
      <c r="BO119" s="1068">
        <v>71.599999999999994</v>
      </c>
      <c r="BP119" s="1068">
        <v>67.900000000000006</v>
      </c>
      <c r="BQ119" s="1068">
        <v>67</v>
      </c>
      <c r="BR119" s="1068">
        <v>63.6</v>
      </c>
      <c r="BS119" s="410">
        <f>SUM(BO119:BR119)</f>
        <v>270.10000000000002</v>
      </c>
      <c r="BT119" s="1070">
        <v>66.2</v>
      </c>
      <c r="BU119" s="1068">
        <v>68.7</v>
      </c>
      <c r="BV119" s="1068">
        <v>69.5</v>
      </c>
      <c r="BW119" s="1068">
        <v>74.400000000000006</v>
      </c>
      <c r="BX119" s="410">
        <f>SUM(BT119:BW119)</f>
        <v>278.8</v>
      </c>
      <c r="BY119" s="1068">
        <f>68.3</f>
        <v>68.3</v>
      </c>
      <c r="BZ119" s="383">
        <f t="shared" ref="BZ119:CB120" si="154">BU119*(1+BZ349)</f>
        <v>70.76100000000001</v>
      </c>
      <c r="CA119" s="383">
        <f t="shared" si="154"/>
        <v>71.585000000000008</v>
      </c>
      <c r="CB119" s="383">
        <f t="shared" si="154"/>
        <v>74.400000000000006</v>
      </c>
      <c r="CC119" s="410">
        <f>SUM(BY119:CB119)</f>
        <v>285.04600000000005</v>
      </c>
      <c r="CD119" s="410">
        <f t="shared" ref="CD119:CH120" si="155">CC119*(1+CD349)</f>
        <v>299.29830000000004</v>
      </c>
      <c r="CE119" s="410">
        <f t="shared" si="155"/>
        <v>314.26321500000006</v>
      </c>
      <c r="CF119" s="410">
        <f t="shared" si="155"/>
        <v>329.9763757500001</v>
      </c>
      <c r="CG119" s="410">
        <f t="shared" si="155"/>
        <v>336.57590326500014</v>
      </c>
      <c r="CH119" s="410">
        <f t="shared" si="155"/>
        <v>336.57590326500014</v>
      </c>
    </row>
    <row r="120" spans="1:154" ht="12.75" customHeight="1">
      <c r="A120" s="9"/>
      <c r="B120" s="9"/>
      <c r="C120" s="9"/>
      <c r="D120" s="9"/>
      <c r="E120" s="9"/>
      <c r="F120" s="9"/>
      <c r="G120" s="9"/>
      <c r="H120" s="257" t="s">
        <v>232</v>
      </c>
      <c r="I120" s="257"/>
      <c r="J120" s="257"/>
      <c r="K120" s="257"/>
      <c r="L120" s="263"/>
      <c r="M120" s="263"/>
      <c r="N120" s="263"/>
      <c r="O120" s="263"/>
      <c r="P120" s="259"/>
      <c r="Q120" s="263"/>
      <c r="R120" s="263"/>
      <c r="S120" s="263"/>
      <c r="T120" s="263"/>
      <c r="U120" s="259"/>
      <c r="V120" s="263"/>
      <c r="W120" s="263"/>
      <c r="X120" s="263"/>
      <c r="Y120" s="263"/>
      <c r="Z120" s="259"/>
      <c r="AA120" s="263"/>
      <c r="AB120" s="263"/>
      <c r="AC120" s="263"/>
      <c r="AD120" s="263"/>
      <c r="AE120" s="79"/>
      <c r="AF120" s="263"/>
      <c r="AG120" s="263"/>
      <c r="AH120" s="263"/>
      <c r="AI120" s="263"/>
      <c r="AJ120" s="79"/>
      <c r="AK120" s="263"/>
      <c r="AL120" s="263"/>
      <c r="AM120" s="263"/>
      <c r="AN120" s="263"/>
      <c r="AO120" s="410"/>
      <c r="AP120" s="391"/>
      <c r="AQ120" s="391"/>
      <c r="AR120" s="391"/>
      <c r="AS120" s="391"/>
      <c r="AT120" s="410"/>
      <c r="AU120" s="391"/>
      <c r="AV120" s="391"/>
      <c r="AW120" s="391"/>
      <c r="AX120" s="391"/>
      <c r="AY120" s="410"/>
      <c r="AZ120" s="391"/>
      <c r="BA120" s="391"/>
      <c r="BB120" s="391"/>
      <c r="BC120" s="391"/>
      <c r="BD120" s="410"/>
      <c r="BE120" s="391"/>
      <c r="BF120" s="391">
        <v>0</v>
      </c>
      <c r="BG120" s="391">
        <v>0</v>
      </c>
      <c r="BH120" s="391">
        <v>0</v>
      </c>
      <c r="BI120" s="410">
        <f>SUM(BE120:BH120)</f>
        <v>0</v>
      </c>
      <c r="BJ120" s="1068">
        <v>5.2</v>
      </c>
      <c r="BK120" s="1068">
        <v>17.3</v>
      </c>
      <c r="BL120" s="1068">
        <v>35.299999999999997</v>
      </c>
      <c r="BM120" s="1068">
        <v>48.4</v>
      </c>
      <c r="BN120" s="410">
        <f>SUM(BJ120:BM120)</f>
        <v>106.19999999999999</v>
      </c>
      <c r="BO120" s="1068">
        <v>59.4</v>
      </c>
      <c r="BP120" s="1068">
        <v>79.099999999999994</v>
      </c>
      <c r="BQ120" s="1068">
        <v>92</v>
      </c>
      <c r="BR120" s="1068">
        <v>113.5</v>
      </c>
      <c r="BS120" s="410">
        <f>SUM(BO120:BR120)</f>
        <v>344</v>
      </c>
      <c r="BT120" s="1070">
        <v>105.1</v>
      </c>
      <c r="BU120" s="1068">
        <v>117.6</v>
      </c>
      <c r="BV120" s="1068">
        <v>126.5</v>
      </c>
      <c r="BW120" s="1068">
        <v>130.4</v>
      </c>
      <c r="BX120" s="410">
        <f>SUM(BT120:BW120)</f>
        <v>479.6</v>
      </c>
      <c r="BY120" s="1068">
        <f>115.3</f>
        <v>115.3</v>
      </c>
      <c r="BZ120" s="383">
        <f t="shared" si="154"/>
        <v>123.48</v>
      </c>
      <c r="CA120" s="383">
        <f t="shared" si="154"/>
        <v>132.82500000000002</v>
      </c>
      <c r="CB120" s="383">
        <f t="shared" si="154"/>
        <v>140.83200000000002</v>
      </c>
      <c r="CC120" s="410">
        <f>SUM(BY120:CB120)</f>
        <v>512.43700000000001</v>
      </c>
      <c r="CD120" s="410">
        <f t="shared" si="155"/>
        <v>538.05885000000001</v>
      </c>
      <c r="CE120" s="410">
        <f t="shared" si="155"/>
        <v>554.20061550000003</v>
      </c>
      <c r="CF120" s="410">
        <f t="shared" si="155"/>
        <v>554.20061550000003</v>
      </c>
      <c r="CG120" s="410">
        <f t="shared" si="155"/>
        <v>554.20061550000003</v>
      </c>
      <c r="CH120" s="410">
        <f t="shared" si="155"/>
        <v>554.20061550000003</v>
      </c>
    </row>
    <row r="121" spans="1:154" ht="12.75" customHeight="1">
      <c r="A121" s="9"/>
      <c r="B121" s="9"/>
      <c r="C121" s="9"/>
      <c r="D121" s="9"/>
      <c r="E121" s="9"/>
      <c r="F121" s="9"/>
      <c r="G121" s="9"/>
      <c r="H121" s="266" t="s">
        <v>769</v>
      </c>
      <c r="I121" s="266"/>
      <c r="J121" s="266"/>
      <c r="K121" s="266"/>
      <c r="L121" s="263"/>
      <c r="M121" s="263"/>
      <c r="N121" s="263"/>
      <c r="O121" s="263"/>
      <c r="P121" s="259"/>
      <c r="Q121" s="263"/>
      <c r="R121" s="263"/>
      <c r="S121" s="263"/>
      <c r="T121" s="263"/>
      <c r="U121" s="259"/>
      <c r="V121" s="263"/>
      <c r="W121" s="263"/>
      <c r="X121" s="263"/>
      <c r="Y121" s="263"/>
      <c r="Z121" s="259"/>
      <c r="AA121" s="136">
        <f t="shared" ref="AA121:AJ121" si="156">AA122+AA123</f>
        <v>25.5</v>
      </c>
      <c r="AB121" s="136">
        <f t="shared" si="156"/>
        <v>21.4</v>
      </c>
      <c r="AC121" s="136">
        <f t="shared" si="156"/>
        <v>25.9</v>
      </c>
      <c r="AD121" s="136">
        <f t="shared" si="156"/>
        <v>14.2</v>
      </c>
      <c r="AE121" s="141">
        <f t="shared" si="156"/>
        <v>87.000000000000014</v>
      </c>
      <c r="AF121" s="136">
        <f t="shared" si="156"/>
        <v>26.1</v>
      </c>
      <c r="AG121" s="136">
        <f t="shared" si="156"/>
        <v>23.89</v>
      </c>
      <c r="AH121" s="136">
        <f t="shared" si="156"/>
        <v>22.299999999999997</v>
      </c>
      <c r="AI121" s="136">
        <f t="shared" si="156"/>
        <v>20.200000000000003</v>
      </c>
      <c r="AJ121" s="141">
        <f t="shared" si="156"/>
        <v>92.49</v>
      </c>
      <c r="AK121" s="136">
        <f t="shared" ref="AK121:AT121" si="157">AK122+AK123</f>
        <v>16.899999999999999</v>
      </c>
      <c r="AL121" s="136">
        <f t="shared" si="157"/>
        <v>21.400000000000002</v>
      </c>
      <c r="AM121" s="136">
        <f t="shared" si="157"/>
        <v>18.5</v>
      </c>
      <c r="AN121" s="136">
        <f t="shared" si="157"/>
        <v>15</v>
      </c>
      <c r="AO121" s="703">
        <f t="shared" si="157"/>
        <v>71.8</v>
      </c>
      <c r="AP121" s="420">
        <f t="shared" si="157"/>
        <v>27.1</v>
      </c>
      <c r="AQ121" s="420">
        <f>AQ122+AQ123</f>
        <v>18</v>
      </c>
      <c r="AR121" s="420">
        <f t="shared" si="157"/>
        <v>16.2</v>
      </c>
      <c r="AS121" s="420">
        <f>AS122+AS123</f>
        <v>26.4</v>
      </c>
      <c r="AT121" s="703">
        <f t="shared" si="157"/>
        <v>87.699999999999989</v>
      </c>
      <c r="AU121" s="420">
        <f t="shared" ref="AU121:BH121" si="158">AU122+AU123</f>
        <v>34</v>
      </c>
      <c r="AV121" s="420">
        <f t="shared" si="158"/>
        <v>28.7</v>
      </c>
      <c r="AW121" s="420">
        <f t="shared" si="158"/>
        <v>6.2</v>
      </c>
      <c r="AX121" s="420">
        <f t="shared" si="158"/>
        <v>7.5</v>
      </c>
      <c r="AY121" s="703">
        <f t="shared" si="158"/>
        <v>76.400000000000006</v>
      </c>
      <c r="AZ121" s="420">
        <f t="shared" si="158"/>
        <v>25.2</v>
      </c>
      <c r="BA121" s="420">
        <f t="shared" si="158"/>
        <v>12.5</v>
      </c>
      <c r="BB121" s="420">
        <f t="shared" si="158"/>
        <v>6.2</v>
      </c>
      <c r="BC121" s="420">
        <f t="shared" si="158"/>
        <v>14.7</v>
      </c>
      <c r="BD121" s="703">
        <f t="shared" si="158"/>
        <v>58.600000000000009</v>
      </c>
      <c r="BE121" s="420">
        <f>BE122+BE123</f>
        <v>13.2</v>
      </c>
      <c r="BF121" s="420">
        <f t="shared" si="158"/>
        <v>12.4</v>
      </c>
      <c r="BG121" s="455">
        <f t="shared" si="158"/>
        <v>8.8000000000000007</v>
      </c>
      <c r="BH121" s="455">
        <f t="shared" si="158"/>
        <v>11.7</v>
      </c>
      <c r="BI121" s="703">
        <f t="shared" ref="BI121:BN121" si="159">BI122+BI123</f>
        <v>46.100000000000009</v>
      </c>
      <c r="BJ121" s="455">
        <f t="shared" si="159"/>
        <v>13.8</v>
      </c>
      <c r="BK121" s="455">
        <f t="shared" si="159"/>
        <v>11</v>
      </c>
      <c r="BL121" s="455">
        <f t="shared" si="159"/>
        <v>-2.2999999999999998</v>
      </c>
      <c r="BM121" s="455">
        <f t="shared" si="159"/>
        <v>0</v>
      </c>
      <c r="BN121" s="703">
        <f t="shared" si="159"/>
        <v>22.5</v>
      </c>
      <c r="BO121" s="866"/>
      <c r="BP121" s="866"/>
      <c r="BQ121" s="866"/>
      <c r="BR121" s="866"/>
      <c r="BS121" s="867"/>
      <c r="BT121" s="866"/>
      <c r="BU121" s="866"/>
      <c r="BV121" s="866"/>
      <c r="BW121" s="866"/>
      <c r="BX121" s="867"/>
      <c r="BY121" s="866"/>
      <c r="BZ121" s="866"/>
      <c r="CA121" s="866"/>
      <c r="CB121" s="866"/>
      <c r="CC121" s="867"/>
      <c r="CD121" s="867"/>
      <c r="CE121" s="867"/>
      <c r="CF121" s="867"/>
      <c r="CG121" s="867"/>
      <c r="CH121" s="867"/>
      <c r="EX121" s="1261" t="s">
        <v>1127</v>
      </c>
    </row>
    <row r="122" spans="1:154" ht="12.75" customHeight="1">
      <c r="A122" s="9"/>
      <c r="B122" s="9"/>
      <c r="C122" s="9"/>
      <c r="D122" s="9"/>
      <c r="E122" s="9"/>
      <c r="F122" s="9"/>
      <c r="G122" s="9"/>
      <c r="H122" s="257" t="s">
        <v>1171</v>
      </c>
      <c r="I122" s="257"/>
      <c r="J122" s="257"/>
      <c r="K122" s="257"/>
      <c r="L122" s="263"/>
      <c r="M122" s="263"/>
      <c r="N122" s="263"/>
      <c r="O122" s="263"/>
      <c r="P122" s="259"/>
      <c r="Q122" s="263"/>
      <c r="R122" s="263"/>
      <c r="S122" s="263"/>
      <c r="T122" s="263"/>
      <c r="U122" s="259"/>
      <c r="V122" s="263"/>
      <c r="W122" s="263"/>
      <c r="X122" s="263"/>
      <c r="Y122" s="263"/>
      <c r="Z122" s="259"/>
      <c r="AA122" s="272">
        <v>22.3</v>
      </c>
      <c r="AB122" s="272">
        <v>18.7</v>
      </c>
      <c r="AC122" s="272">
        <f>22.7</f>
        <v>22.7</v>
      </c>
      <c r="AD122" s="272">
        <f>10+0.9</f>
        <v>10.9</v>
      </c>
      <c r="AE122" s="80">
        <f>SUM(AA122:AD122)</f>
        <v>74.600000000000009</v>
      </c>
      <c r="AF122" s="272">
        <v>21.8</v>
      </c>
      <c r="AG122" s="272">
        <v>16.7</v>
      </c>
      <c r="AH122" s="272">
        <v>17.899999999999999</v>
      </c>
      <c r="AI122" s="272">
        <v>11.4</v>
      </c>
      <c r="AJ122" s="80">
        <f>SUM(AF122:AI122)</f>
        <v>67.8</v>
      </c>
      <c r="AK122" s="272">
        <v>15.6</v>
      </c>
      <c r="AL122" s="272">
        <v>16.600000000000001</v>
      </c>
      <c r="AM122" s="272">
        <v>18.5</v>
      </c>
      <c r="AN122" s="272">
        <v>15</v>
      </c>
      <c r="AO122" s="410">
        <f>SUM(AK122:AN122)</f>
        <v>65.7</v>
      </c>
      <c r="AP122" s="397">
        <v>27.1</v>
      </c>
      <c r="AQ122" s="397">
        <v>18</v>
      </c>
      <c r="AR122" s="397">
        <v>16.2</v>
      </c>
      <c r="AS122" s="397">
        <v>26.4</v>
      </c>
      <c r="AT122" s="410">
        <f>SUM(AP122:AS122)</f>
        <v>87.699999999999989</v>
      </c>
      <c r="AU122" s="397">
        <v>34</v>
      </c>
      <c r="AV122" s="397">
        <v>28.7</v>
      </c>
      <c r="AW122" s="397">
        <v>6.2</v>
      </c>
      <c r="AX122" s="391">
        <v>0.2</v>
      </c>
      <c r="AY122" s="410">
        <f>SUM(AU122:AX122)</f>
        <v>69.100000000000009</v>
      </c>
      <c r="AZ122" s="391">
        <v>25.2</v>
      </c>
      <c r="BA122" s="391">
        <v>12.5</v>
      </c>
      <c r="BB122" s="391">
        <v>6.2</v>
      </c>
      <c r="BC122" s="391">
        <v>14.7</v>
      </c>
      <c r="BD122" s="410">
        <f>SUM(AZ122:BC122)</f>
        <v>58.600000000000009</v>
      </c>
      <c r="BE122" s="391">
        <v>13.2</v>
      </c>
      <c r="BF122" s="391">
        <v>12.4</v>
      </c>
      <c r="BG122" s="391">
        <v>8.8000000000000007</v>
      </c>
      <c r="BH122" s="391">
        <v>11.7</v>
      </c>
      <c r="BI122" s="410">
        <f>SUM(BE122:BH122)</f>
        <v>46.100000000000009</v>
      </c>
      <c r="BJ122" s="1068">
        <v>0</v>
      </c>
      <c r="BK122" s="1068">
        <v>11</v>
      </c>
      <c r="BL122" s="1068">
        <v>-2.2999999999999998</v>
      </c>
      <c r="BM122" s="1068">
        <v>0</v>
      </c>
      <c r="BN122" s="410">
        <f>SUM(BJ122:BM122)</f>
        <v>8.6999999999999993</v>
      </c>
      <c r="BO122" s="1210"/>
      <c r="BP122" s="1210"/>
      <c r="BQ122" s="1210"/>
      <c r="BR122" s="1210"/>
      <c r="BS122" s="870"/>
      <c r="BT122" s="871"/>
      <c r="BU122" s="871"/>
      <c r="BV122" s="871"/>
      <c r="BW122" s="871"/>
      <c r="BX122" s="870"/>
      <c r="BY122" s="871"/>
      <c r="BZ122" s="871"/>
      <c r="CA122" s="871"/>
      <c r="CB122" s="871"/>
      <c r="CC122" s="870"/>
      <c r="CD122" s="870"/>
      <c r="CE122" s="870"/>
      <c r="CF122" s="870"/>
      <c r="CG122" s="870"/>
      <c r="CH122" s="870"/>
    </row>
    <row r="123" spans="1:154" ht="12.75" customHeight="1">
      <c r="A123" s="9"/>
      <c r="B123" s="9"/>
      <c r="C123" s="9"/>
      <c r="D123" s="9"/>
      <c r="E123" s="9"/>
      <c r="F123" s="9"/>
      <c r="G123" s="9"/>
      <c r="H123" s="257" t="s">
        <v>232</v>
      </c>
      <c r="I123" s="257"/>
      <c r="J123" s="257"/>
      <c r="K123" s="257"/>
      <c r="L123" s="263"/>
      <c r="M123" s="263"/>
      <c r="N123" s="263"/>
      <c r="O123" s="263"/>
      <c r="P123" s="259"/>
      <c r="Q123" s="263"/>
      <c r="R123" s="263"/>
      <c r="S123" s="263"/>
      <c r="T123" s="263"/>
      <c r="U123" s="259"/>
      <c r="V123" s="263"/>
      <c r="W123" s="263"/>
      <c r="X123" s="263"/>
      <c r="Y123" s="263"/>
      <c r="Z123" s="259"/>
      <c r="AA123" s="272">
        <v>3.2</v>
      </c>
      <c r="AB123" s="272">
        <v>2.7</v>
      </c>
      <c r="AC123" s="272">
        <v>3.2</v>
      </c>
      <c r="AD123" s="272">
        <f>1.5+1.8</f>
        <v>3.3</v>
      </c>
      <c r="AE123" s="80">
        <f>SUM(AA123:AD123)</f>
        <v>12.400000000000002</v>
      </c>
      <c r="AF123" s="272">
        <v>4.3</v>
      </c>
      <c r="AG123" s="272">
        <v>7.19</v>
      </c>
      <c r="AH123" s="272">
        <v>4.4000000000000004</v>
      </c>
      <c r="AI123" s="272">
        <v>8.8000000000000007</v>
      </c>
      <c r="AJ123" s="80">
        <f>SUM(AF123:AI123)</f>
        <v>24.69</v>
      </c>
      <c r="AK123" s="272">
        <v>1.3</v>
      </c>
      <c r="AL123" s="272">
        <v>4.8</v>
      </c>
      <c r="AM123" s="272">
        <v>0</v>
      </c>
      <c r="AN123" s="272">
        <v>0</v>
      </c>
      <c r="AO123" s="410">
        <f>SUM(AK123:AN123)</f>
        <v>6.1</v>
      </c>
      <c r="AP123" s="397">
        <v>0</v>
      </c>
      <c r="AQ123" s="397">
        <v>0</v>
      </c>
      <c r="AR123" s="397">
        <v>0</v>
      </c>
      <c r="AS123" s="397">
        <v>0</v>
      </c>
      <c r="AT123" s="410">
        <f>SUM(AP123:AS123)</f>
        <v>0</v>
      </c>
      <c r="AU123" s="397">
        <v>0</v>
      </c>
      <c r="AV123" s="397">
        <v>0</v>
      </c>
      <c r="AW123" s="397">
        <v>0</v>
      </c>
      <c r="AX123" s="391">
        <v>7.3</v>
      </c>
      <c r="AY123" s="410">
        <f>SUM(AU123:AX123)</f>
        <v>7.3</v>
      </c>
      <c r="AZ123" s="391">
        <v>0</v>
      </c>
      <c r="BA123" s="391">
        <v>0</v>
      </c>
      <c r="BB123" s="391">
        <v>0</v>
      </c>
      <c r="BC123" s="391">
        <v>0</v>
      </c>
      <c r="BD123" s="410">
        <f>SUM(AZ123:BC123)</f>
        <v>0</v>
      </c>
      <c r="BE123" s="391">
        <v>0</v>
      </c>
      <c r="BF123" s="391">
        <v>0</v>
      </c>
      <c r="BG123" s="391">
        <v>0</v>
      </c>
      <c r="BH123" s="391">
        <v>0</v>
      </c>
      <c r="BI123" s="410">
        <f>SUM(BE123:BH123)</f>
        <v>0</v>
      </c>
      <c r="BJ123" s="1068">
        <v>13.8</v>
      </c>
      <c r="BK123" s="1068">
        <v>0</v>
      </c>
      <c r="BL123" s="1068">
        <v>0</v>
      </c>
      <c r="BM123" s="1068">
        <v>0</v>
      </c>
      <c r="BN123" s="410">
        <f>SUM(BJ123:BM123)</f>
        <v>13.8</v>
      </c>
      <c r="BO123" s="1210"/>
      <c r="BP123" s="1210"/>
      <c r="BQ123" s="1210"/>
      <c r="BR123" s="1210"/>
      <c r="BS123" s="870"/>
      <c r="BT123" s="871"/>
      <c r="BU123" s="871"/>
      <c r="BV123" s="871"/>
      <c r="BW123" s="871"/>
      <c r="BX123" s="870"/>
      <c r="BY123" s="871"/>
      <c r="BZ123" s="871"/>
      <c r="CA123" s="871"/>
      <c r="CB123" s="871"/>
      <c r="CC123" s="870"/>
      <c r="CD123" s="870"/>
      <c r="CE123" s="870"/>
      <c r="CF123" s="870"/>
      <c r="CG123" s="870"/>
      <c r="CH123" s="870"/>
    </row>
    <row r="124" spans="1:154" s="14" customFormat="1">
      <c r="A124" s="9"/>
      <c r="B124" s="9"/>
      <c r="C124" s="9"/>
      <c r="D124" s="9"/>
      <c r="E124" s="9"/>
      <c r="F124" s="9"/>
      <c r="G124" s="9"/>
      <c r="H124" s="266" t="s">
        <v>816</v>
      </c>
      <c r="I124" s="18"/>
      <c r="J124" s="18"/>
      <c r="K124" s="18"/>
      <c r="L124" s="66"/>
      <c r="M124" s="66"/>
      <c r="N124" s="66"/>
      <c r="O124" s="66"/>
      <c r="Q124" s="136">
        <f t="shared" ref="Q124:AJ124" si="160">Q125+Q126</f>
        <v>0</v>
      </c>
      <c r="R124" s="136">
        <f t="shared" si="160"/>
        <v>0</v>
      </c>
      <c r="S124" s="136">
        <f t="shared" si="160"/>
        <v>0</v>
      </c>
      <c r="T124" s="136">
        <f t="shared" si="160"/>
        <v>0</v>
      </c>
      <c r="U124" s="270">
        <f t="shared" si="160"/>
        <v>0</v>
      </c>
      <c r="V124" s="136">
        <f t="shared" si="160"/>
        <v>0</v>
      </c>
      <c r="W124" s="136">
        <f t="shared" si="160"/>
        <v>0</v>
      </c>
      <c r="X124" s="136">
        <f t="shared" si="160"/>
        <v>0</v>
      </c>
      <c r="Y124" s="136">
        <f t="shared" si="160"/>
        <v>0</v>
      </c>
      <c r="Z124" s="270">
        <f t="shared" si="160"/>
        <v>0</v>
      </c>
      <c r="AA124" s="136">
        <f t="shared" si="160"/>
        <v>77.5</v>
      </c>
      <c r="AB124" s="136">
        <f t="shared" si="160"/>
        <v>79.400000000000006</v>
      </c>
      <c r="AC124" s="136">
        <f t="shared" si="160"/>
        <v>73.3</v>
      </c>
      <c r="AD124" s="136">
        <f t="shared" si="160"/>
        <v>72.599999999999994</v>
      </c>
      <c r="AE124" s="270">
        <f t="shared" si="160"/>
        <v>302.8</v>
      </c>
      <c r="AF124" s="136">
        <f t="shared" si="160"/>
        <v>68</v>
      </c>
      <c r="AG124" s="136">
        <f t="shared" si="160"/>
        <v>75.8</v>
      </c>
      <c r="AH124" s="136">
        <f t="shared" si="160"/>
        <v>79.599999999999994</v>
      </c>
      <c r="AI124" s="136">
        <f t="shared" si="160"/>
        <v>74.8</v>
      </c>
      <c r="AJ124" s="270">
        <f t="shared" si="160"/>
        <v>298.2</v>
      </c>
      <c r="AK124" s="136">
        <f t="shared" ref="AK124:AT124" si="161">AK125+AK126</f>
        <v>75.400000000000006</v>
      </c>
      <c r="AL124" s="136">
        <f t="shared" si="161"/>
        <v>82.3</v>
      </c>
      <c r="AM124" s="136">
        <f t="shared" si="161"/>
        <v>76.900000000000006</v>
      </c>
      <c r="AN124" s="136">
        <f t="shared" si="161"/>
        <v>79.5</v>
      </c>
      <c r="AO124" s="428">
        <f t="shared" si="161"/>
        <v>314.10000000000002</v>
      </c>
      <c r="AP124" s="420">
        <f t="shared" si="161"/>
        <v>76.900000000000006</v>
      </c>
      <c r="AQ124" s="420">
        <f>AQ125+AQ126</f>
        <v>82.1</v>
      </c>
      <c r="AR124" s="420">
        <f t="shared" si="161"/>
        <v>81.099999999999994</v>
      </c>
      <c r="AS124" s="420">
        <f>AS125+AS126</f>
        <v>81.5</v>
      </c>
      <c r="AT124" s="428">
        <f t="shared" si="161"/>
        <v>321.59999999999997</v>
      </c>
      <c r="AU124" s="420">
        <f t="shared" ref="AU124:BH124" si="162">AU125+AU126</f>
        <v>79.3</v>
      </c>
      <c r="AV124" s="420">
        <f t="shared" si="162"/>
        <v>81.3</v>
      </c>
      <c r="AW124" s="420">
        <f t="shared" si="162"/>
        <v>80.400000000000006</v>
      </c>
      <c r="AX124" s="420">
        <f t="shared" si="162"/>
        <v>79.5</v>
      </c>
      <c r="AY124" s="428">
        <f t="shared" si="162"/>
        <v>320.5</v>
      </c>
      <c r="AZ124" s="420">
        <f t="shared" si="162"/>
        <v>69.7</v>
      </c>
      <c r="BA124" s="420">
        <f t="shared" si="162"/>
        <v>79.3</v>
      </c>
      <c r="BB124" s="420">
        <f t="shared" si="162"/>
        <v>81</v>
      </c>
      <c r="BC124" s="420">
        <f t="shared" si="162"/>
        <v>85.3</v>
      </c>
      <c r="BD124" s="849">
        <f t="shared" si="162"/>
        <v>315.3</v>
      </c>
      <c r="BE124" s="420">
        <f>BE125+BE126</f>
        <v>77.7</v>
      </c>
      <c r="BF124" s="420">
        <f t="shared" si="162"/>
        <v>81.099999999999994</v>
      </c>
      <c r="BG124" s="420">
        <f t="shared" si="162"/>
        <v>84.1</v>
      </c>
      <c r="BH124" s="420">
        <f t="shared" si="162"/>
        <v>84.4</v>
      </c>
      <c r="BI124" s="849">
        <f t="shared" ref="BI124:CH124" si="163">BI125+BI126</f>
        <v>327.3</v>
      </c>
      <c r="BJ124" s="420">
        <f t="shared" si="163"/>
        <v>74.400000000000006</v>
      </c>
      <c r="BK124" s="420">
        <f t="shared" si="163"/>
        <v>123.6</v>
      </c>
      <c r="BL124" s="420">
        <f t="shared" si="163"/>
        <v>88.2</v>
      </c>
      <c r="BM124" s="420">
        <f t="shared" si="163"/>
        <v>176.2</v>
      </c>
      <c r="BN124" s="849">
        <f t="shared" si="163"/>
        <v>462.40000000000003</v>
      </c>
      <c r="BO124" s="420">
        <f t="shared" si="163"/>
        <v>168.10000000000002</v>
      </c>
      <c r="BP124" s="420">
        <f t="shared" si="163"/>
        <v>180.60000000000002</v>
      </c>
      <c r="BQ124" s="420">
        <f t="shared" si="163"/>
        <v>184.6</v>
      </c>
      <c r="BR124" s="420">
        <f t="shared" si="163"/>
        <v>153.69999999999999</v>
      </c>
      <c r="BS124" s="849">
        <f t="shared" si="163"/>
        <v>687</v>
      </c>
      <c r="BT124" s="420">
        <f t="shared" si="163"/>
        <v>154.39999999999998</v>
      </c>
      <c r="BU124" s="420">
        <f t="shared" si="163"/>
        <v>159.1</v>
      </c>
      <c r="BV124" s="420">
        <f t="shared" si="163"/>
        <v>163.4</v>
      </c>
      <c r="BW124" s="420">
        <f t="shared" si="163"/>
        <v>168.9</v>
      </c>
      <c r="BX124" s="849">
        <f t="shared" si="163"/>
        <v>645.80000000000007</v>
      </c>
      <c r="BY124" s="420">
        <f t="shared" si="163"/>
        <v>149.6</v>
      </c>
      <c r="BZ124" s="420">
        <f t="shared" si="163"/>
        <v>145.27799999999999</v>
      </c>
      <c r="CA124" s="420">
        <f t="shared" si="163"/>
        <v>149.25200000000001</v>
      </c>
      <c r="CB124" s="420">
        <f t="shared" si="163"/>
        <v>154.042</v>
      </c>
      <c r="CC124" s="849">
        <f t="shared" si="163"/>
        <v>598.17199999999991</v>
      </c>
      <c r="CD124" s="849">
        <f t="shared" si="163"/>
        <v>543.63589999999999</v>
      </c>
      <c r="CE124" s="849">
        <f t="shared" si="163"/>
        <v>494.28935499999994</v>
      </c>
      <c r="CF124" s="849">
        <f t="shared" si="163"/>
        <v>449.62661224999994</v>
      </c>
      <c r="CG124" s="849">
        <f t="shared" si="163"/>
        <v>409.1918341375</v>
      </c>
      <c r="CH124" s="849">
        <f t="shared" si="163"/>
        <v>372.57413968062497</v>
      </c>
      <c r="EX124" s="1261" t="s">
        <v>816</v>
      </c>
    </row>
    <row r="125" spans="1:154">
      <c r="A125" s="9"/>
      <c r="B125" s="9"/>
      <c r="C125" s="9"/>
      <c r="D125" s="9"/>
      <c r="E125" s="9"/>
      <c r="F125" s="9"/>
      <c r="G125" s="9"/>
      <c r="H125" s="73" t="s">
        <v>1171</v>
      </c>
      <c r="I125" s="73"/>
      <c r="J125" s="73"/>
      <c r="K125" s="73"/>
      <c r="L125" s="66"/>
      <c r="M125" s="66"/>
      <c r="N125" s="66"/>
      <c r="O125" s="66"/>
      <c r="Q125" s="310"/>
      <c r="R125" s="310"/>
      <c r="S125" s="310"/>
      <c r="T125" s="310"/>
      <c r="U125" s="311">
        <f>SUM(Q125:T125)</f>
        <v>0</v>
      </c>
      <c r="V125" s="310"/>
      <c r="W125" s="310"/>
      <c r="X125" s="310"/>
      <c r="Y125" s="310"/>
      <c r="Z125" s="311">
        <f>SUM(V125:Y125)</f>
        <v>0</v>
      </c>
      <c r="AA125" s="315">
        <v>60.7</v>
      </c>
      <c r="AB125" s="315">
        <v>63.1</v>
      </c>
      <c r="AC125" s="315">
        <v>59.7</v>
      </c>
      <c r="AD125" s="315">
        <v>58.9</v>
      </c>
      <c r="AE125" s="311">
        <f>SUM(AA125:AD125)</f>
        <v>242.4</v>
      </c>
      <c r="AF125" s="315">
        <v>52.6</v>
      </c>
      <c r="AG125" s="315">
        <v>55.6</v>
      </c>
      <c r="AH125" s="315">
        <v>58.5</v>
      </c>
      <c r="AI125" s="315">
        <v>51.4</v>
      </c>
      <c r="AJ125" s="311">
        <f>SUM(AF125:AI125)</f>
        <v>218.1</v>
      </c>
      <c r="AK125" s="315">
        <v>54.8</v>
      </c>
      <c r="AL125" s="315">
        <v>54.8</v>
      </c>
      <c r="AM125" s="315">
        <v>50.6</v>
      </c>
      <c r="AN125" s="315">
        <v>54.8</v>
      </c>
      <c r="AO125" s="410">
        <f>SUM(AK125:AN125)</f>
        <v>215</v>
      </c>
      <c r="AP125" s="905">
        <v>51.5</v>
      </c>
      <c r="AQ125" s="905">
        <v>55.4</v>
      </c>
      <c r="AR125" s="905">
        <v>55.5</v>
      </c>
      <c r="AS125" s="905">
        <v>55.8</v>
      </c>
      <c r="AT125" s="410">
        <f>SUM(AP125:AS125)</f>
        <v>218.2</v>
      </c>
      <c r="AU125" s="905">
        <v>55.3</v>
      </c>
      <c r="AV125" s="905">
        <v>58.3</v>
      </c>
      <c r="AW125" s="905">
        <v>54.5</v>
      </c>
      <c r="AX125" s="391">
        <v>53.8</v>
      </c>
      <c r="AY125" s="410">
        <f>SUM(AU125:AX125)</f>
        <v>221.89999999999998</v>
      </c>
      <c r="AZ125" s="391">
        <v>50.5</v>
      </c>
      <c r="BA125" s="905">
        <v>54.3</v>
      </c>
      <c r="BB125" s="905">
        <v>56.7</v>
      </c>
      <c r="BC125" s="905">
        <v>59.6</v>
      </c>
      <c r="BD125" s="410">
        <f>SUM(AZ125:BC125)</f>
        <v>221.1</v>
      </c>
      <c r="BE125" s="391">
        <v>51.6</v>
      </c>
      <c r="BF125" s="391">
        <v>56.1</v>
      </c>
      <c r="BG125" s="391">
        <v>55.3</v>
      </c>
      <c r="BH125" s="391">
        <v>56.5</v>
      </c>
      <c r="BI125" s="410">
        <f>SUM(BE125:BH125)</f>
        <v>219.5</v>
      </c>
      <c r="BJ125" s="1069">
        <v>49.6</v>
      </c>
      <c r="BK125" s="1069">
        <v>103.8</v>
      </c>
      <c r="BL125" s="1069">
        <v>59.7</v>
      </c>
      <c r="BM125" s="1069">
        <v>151</v>
      </c>
      <c r="BN125" s="410">
        <f>SUM(BJ125:BM125)</f>
        <v>364.1</v>
      </c>
      <c r="BO125" s="1069">
        <v>140.30000000000001</v>
      </c>
      <c r="BP125" s="1069">
        <v>156.80000000000001</v>
      </c>
      <c r="BQ125" s="1069">
        <v>154.4</v>
      </c>
      <c r="BR125" s="1069">
        <v>129.69999999999999</v>
      </c>
      <c r="BS125" s="410">
        <f>SUM(BO125:BR125)</f>
        <v>581.20000000000005</v>
      </c>
      <c r="BT125" s="1070">
        <v>129.19999999999999</v>
      </c>
      <c r="BU125" s="1069">
        <v>133</v>
      </c>
      <c r="BV125" s="1069">
        <v>136</v>
      </c>
      <c r="BW125" s="1069">
        <v>143.5</v>
      </c>
      <c r="BX125" s="410">
        <f>SUM(BT125:BW125)</f>
        <v>541.70000000000005</v>
      </c>
      <c r="BY125" s="1069">
        <f>121.3</f>
        <v>121.3</v>
      </c>
      <c r="BZ125" s="811">
        <f t="shared" ref="BZ125:CB126" si="164">BU125*(1+BZ355)</f>
        <v>119.7</v>
      </c>
      <c r="CA125" s="811">
        <f t="shared" si="164"/>
        <v>122.4</v>
      </c>
      <c r="CB125" s="811">
        <f t="shared" si="164"/>
        <v>129.15</v>
      </c>
      <c r="CC125" s="846">
        <f>SUM(BY125:CB125)</f>
        <v>492.54999999999995</v>
      </c>
      <c r="CD125" s="410">
        <f t="shared" ref="CD125:CH126" si="165">CC125*(1+CD355)</f>
        <v>443.29499999999996</v>
      </c>
      <c r="CE125" s="410">
        <f t="shared" si="165"/>
        <v>398.96549999999996</v>
      </c>
      <c r="CF125" s="410">
        <f t="shared" si="165"/>
        <v>359.06894999999997</v>
      </c>
      <c r="CG125" s="410">
        <f t="shared" si="165"/>
        <v>323.16205500000001</v>
      </c>
      <c r="CH125" s="410">
        <f t="shared" si="165"/>
        <v>290.84584950000004</v>
      </c>
    </row>
    <row r="126" spans="1:154">
      <c r="A126" s="9"/>
      <c r="B126" s="9"/>
      <c r="C126" s="9"/>
      <c r="D126" s="9"/>
      <c r="E126" s="9"/>
      <c r="F126" s="9"/>
      <c r="G126" s="9"/>
      <c r="H126" s="73" t="s">
        <v>751</v>
      </c>
      <c r="I126" s="73"/>
      <c r="J126" s="73"/>
      <c r="K126" s="73"/>
      <c r="L126" s="66"/>
      <c r="M126" s="66"/>
      <c r="N126" s="66"/>
      <c r="O126" s="66"/>
      <c r="Q126" s="310"/>
      <c r="R126" s="310"/>
      <c r="S126" s="310"/>
      <c r="T126" s="310"/>
      <c r="U126" s="311">
        <f>SUM(Q126:T126)</f>
        <v>0</v>
      </c>
      <c r="V126" s="310"/>
      <c r="W126" s="310"/>
      <c r="X126" s="310"/>
      <c r="Y126" s="310"/>
      <c r="Z126" s="311">
        <f>SUM(V126:Y126)</f>
        <v>0</v>
      </c>
      <c r="AA126" s="315">
        <v>16.8</v>
      </c>
      <c r="AB126" s="315">
        <v>16.3</v>
      </c>
      <c r="AC126" s="315">
        <v>13.6</v>
      </c>
      <c r="AD126" s="315">
        <v>13.7</v>
      </c>
      <c r="AE126" s="311">
        <f>SUM(AA126:AD126)</f>
        <v>60.400000000000006</v>
      </c>
      <c r="AF126" s="315">
        <v>15.4</v>
      </c>
      <c r="AG126" s="315">
        <v>20.2</v>
      </c>
      <c r="AH126" s="315">
        <v>21.1</v>
      </c>
      <c r="AI126" s="315">
        <v>23.4</v>
      </c>
      <c r="AJ126" s="311">
        <f>SUM(AF126:AI126)</f>
        <v>80.099999999999994</v>
      </c>
      <c r="AK126" s="315">
        <v>20.6</v>
      </c>
      <c r="AL126" s="315">
        <v>27.5</v>
      </c>
      <c r="AM126" s="315">
        <v>26.3</v>
      </c>
      <c r="AN126" s="315">
        <v>24.7</v>
      </c>
      <c r="AO126" s="410">
        <f>SUM(AK126:AN126)</f>
        <v>99.100000000000009</v>
      </c>
      <c r="AP126" s="905">
        <v>25.4</v>
      </c>
      <c r="AQ126" s="905">
        <v>26.7</v>
      </c>
      <c r="AR126" s="905">
        <v>25.6</v>
      </c>
      <c r="AS126" s="905">
        <v>25.7</v>
      </c>
      <c r="AT126" s="410">
        <f>SUM(AP126:AS126)</f>
        <v>103.39999999999999</v>
      </c>
      <c r="AU126" s="905">
        <v>24</v>
      </c>
      <c r="AV126" s="905">
        <v>23</v>
      </c>
      <c r="AW126" s="905">
        <v>25.9</v>
      </c>
      <c r="AX126" s="391">
        <v>25.7</v>
      </c>
      <c r="AY126" s="410">
        <f>SUM(AU126:AX126)</f>
        <v>98.600000000000009</v>
      </c>
      <c r="AZ126" s="391">
        <v>19.2</v>
      </c>
      <c r="BA126" s="905">
        <v>25</v>
      </c>
      <c r="BB126" s="905">
        <v>24.3</v>
      </c>
      <c r="BC126" s="905">
        <v>25.7</v>
      </c>
      <c r="BD126" s="410">
        <f>SUM(AZ126:BC126)</f>
        <v>94.2</v>
      </c>
      <c r="BE126" s="391">
        <v>26.1</v>
      </c>
      <c r="BF126" s="391">
        <v>25</v>
      </c>
      <c r="BG126" s="391">
        <v>28.8</v>
      </c>
      <c r="BH126" s="391">
        <v>27.9</v>
      </c>
      <c r="BI126" s="410">
        <f>SUM(BE126:BH126)</f>
        <v>107.80000000000001</v>
      </c>
      <c r="BJ126" s="1069">
        <v>24.8</v>
      </c>
      <c r="BK126" s="1069">
        <v>19.8</v>
      </c>
      <c r="BL126" s="1069">
        <v>28.5</v>
      </c>
      <c r="BM126" s="1069">
        <v>25.2</v>
      </c>
      <c r="BN126" s="410">
        <f>SUM(BJ126:BM126)</f>
        <v>98.3</v>
      </c>
      <c r="BO126" s="1069">
        <v>27.8</v>
      </c>
      <c r="BP126" s="1069">
        <v>23.8</v>
      </c>
      <c r="BQ126" s="1069">
        <v>30.2</v>
      </c>
      <c r="BR126" s="1069">
        <v>24</v>
      </c>
      <c r="BS126" s="410">
        <f>SUM(BO126:BR126)</f>
        <v>105.8</v>
      </c>
      <c r="BT126" s="1070">
        <v>25.2</v>
      </c>
      <c r="BU126" s="1069">
        <v>26.1</v>
      </c>
      <c r="BV126" s="1069">
        <v>27.4</v>
      </c>
      <c r="BW126" s="1069">
        <v>25.4</v>
      </c>
      <c r="BX126" s="410">
        <f>SUM(BT126:BW126)</f>
        <v>104.1</v>
      </c>
      <c r="BY126" s="1069">
        <f>28.3</f>
        <v>28.3</v>
      </c>
      <c r="BZ126" s="811">
        <f t="shared" si="164"/>
        <v>25.577999999999999</v>
      </c>
      <c r="CA126" s="811">
        <f t="shared" si="164"/>
        <v>26.851999999999997</v>
      </c>
      <c r="CB126" s="811">
        <f t="shared" si="164"/>
        <v>24.891999999999999</v>
      </c>
      <c r="CC126" s="410">
        <f>SUM(BY126:CB126)</f>
        <v>105.62199999999999</v>
      </c>
      <c r="CD126" s="410">
        <f t="shared" si="165"/>
        <v>100.34089999999998</v>
      </c>
      <c r="CE126" s="410">
        <f t="shared" si="165"/>
        <v>95.323854999999966</v>
      </c>
      <c r="CF126" s="410">
        <f t="shared" si="165"/>
        <v>90.557662249999964</v>
      </c>
      <c r="CG126" s="410">
        <f t="shared" si="165"/>
        <v>86.029779137499958</v>
      </c>
      <c r="CH126" s="410">
        <f t="shared" si="165"/>
        <v>81.728290180624953</v>
      </c>
    </row>
    <row r="127" spans="1:154">
      <c r="A127" s="9"/>
      <c r="B127" s="9"/>
      <c r="C127" s="9"/>
      <c r="D127" s="9"/>
      <c r="E127" s="9"/>
      <c r="F127" s="9"/>
      <c r="G127" s="9"/>
      <c r="H127" s="564" t="s">
        <v>901</v>
      </c>
      <c r="I127" s="73"/>
      <c r="J127" s="73"/>
      <c r="K127" s="73"/>
      <c r="L127" s="66"/>
      <c r="M127" s="66"/>
      <c r="N127" s="66"/>
      <c r="O127" s="66"/>
      <c r="Q127" s="310"/>
      <c r="R127" s="310"/>
      <c r="S127" s="310"/>
      <c r="T127" s="310"/>
      <c r="U127" s="311"/>
      <c r="V127" s="310"/>
      <c r="W127" s="310"/>
      <c r="X127" s="310"/>
      <c r="Y127" s="310"/>
      <c r="Z127" s="311"/>
      <c r="AA127" s="315"/>
      <c r="AB127" s="315"/>
      <c r="AC127" s="315"/>
      <c r="AD127" s="315"/>
      <c r="AE127" s="311"/>
      <c r="AF127" s="315"/>
      <c r="AG127" s="315"/>
      <c r="AH127" s="315"/>
      <c r="AI127" s="315"/>
      <c r="AJ127" s="311"/>
      <c r="AK127" s="315"/>
      <c r="AL127" s="315"/>
      <c r="AM127" s="315"/>
      <c r="AN127" s="315"/>
      <c r="AO127" s="410"/>
      <c r="AP127" s="905"/>
      <c r="AQ127" s="905"/>
      <c r="AR127" s="905"/>
      <c r="AS127" s="905"/>
      <c r="AT127" s="410"/>
      <c r="AU127" s="905"/>
      <c r="AV127" s="905"/>
      <c r="AW127" s="905"/>
      <c r="AX127" s="391"/>
      <c r="AY127" s="410"/>
      <c r="AZ127" s="391"/>
      <c r="BA127" s="905"/>
      <c r="BB127" s="905"/>
      <c r="BC127" s="905"/>
      <c r="BD127" s="410"/>
      <c r="BE127" s="391"/>
      <c r="BF127" s="391"/>
      <c r="BG127" s="391"/>
      <c r="BH127" s="391"/>
      <c r="BI127" s="410"/>
      <c r="BJ127" s="1069"/>
      <c r="BK127" s="1069"/>
      <c r="BL127" s="1069"/>
      <c r="BM127" s="1069"/>
      <c r="BN127" s="410"/>
      <c r="BO127" s="420">
        <f t="shared" ref="BO127:BX127" si="166">BO128+BO129</f>
        <v>1.7</v>
      </c>
      <c r="BP127" s="420">
        <f t="shared" si="166"/>
        <v>4</v>
      </c>
      <c r="BQ127" s="420">
        <f t="shared" si="166"/>
        <v>5.3</v>
      </c>
      <c r="BR127" s="420">
        <f t="shared" si="166"/>
        <v>3.6999999999999997</v>
      </c>
      <c r="BS127" s="849">
        <f t="shared" si="166"/>
        <v>14.7</v>
      </c>
      <c r="BT127" s="936">
        <f t="shared" si="166"/>
        <v>3.6</v>
      </c>
      <c r="BU127" s="936">
        <f t="shared" si="166"/>
        <v>2.3000000000000003</v>
      </c>
      <c r="BV127" s="936">
        <f t="shared" si="166"/>
        <v>2.3000000000000003</v>
      </c>
      <c r="BW127" s="936">
        <f t="shared" si="166"/>
        <v>2.1</v>
      </c>
      <c r="BX127" s="849">
        <f t="shared" si="166"/>
        <v>10.3</v>
      </c>
      <c r="BY127" s="1263"/>
      <c r="BZ127" s="1263"/>
      <c r="CA127" s="1263"/>
      <c r="CB127" s="1263"/>
      <c r="CC127" s="878"/>
      <c r="CD127" s="878"/>
      <c r="CE127" s="878"/>
      <c r="CF127" s="878"/>
      <c r="CG127" s="878"/>
      <c r="CH127" s="878"/>
      <c r="EX127" s="1261" t="s">
        <v>901</v>
      </c>
    </row>
    <row r="128" spans="1:154">
      <c r="A128" s="9"/>
      <c r="B128" s="9"/>
      <c r="C128" s="9"/>
      <c r="D128" s="9"/>
      <c r="E128" s="9"/>
      <c r="F128" s="9"/>
      <c r="G128" s="9"/>
      <c r="H128" s="257" t="s">
        <v>1172</v>
      </c>
      <c r="I128" s="73"/>
      <c r="J128" s="73"/>
      <c r="K128" s="73"/>
      <c r="L128" s="66"/>
      <c r="M128" s="66"/>
      <c r="N128" s="66"/>
      <c r="O128" s="66"/>
      <c r="Q128" s="310"/>
      <c r="R128" s="310"/>
      <c r="S128" s="310"/>
      <c r="T128" s="310"/>
      <c r="U128" s="311"/>
      <c r="V128" s="310"/>
      <c r="W128" s="310"/>
      <c r="X128" s="310"/>
      <c r="Y128" s="310"/>
      <c r="Z128" s="311"/>
      <c r="AA128" s="315"/>
      <c r="AB128" s="315"/>
      <c r="AC128" s="315"/>
      <c r="AD128" s="315"/>
      <c r="AE128" s="311"/>
      <c r="AF128" s="315"/>
      <c r="AG128" s="315"/>
      <c r="AH128" s="315"/>
      <c r="AI128" s="315"/>
      <c r="AJ128" s="311"/>
      <c r="AK128" s="315"/>
      <c r="AL128" s="315"/>
      <c r="AM128" s="315"/>
      <c r="AN128" s="315"/>
      <c r="AO128" s="410"/>
      <c r="AP128" s="905"/>
      <c r="AQ128" s="905"/>
      <c r="AR128" s="905"/>
      <c r="AS128" s="905"/>
      <c r="AT128" s="410"/>
      <c r="AU128" s="905"/>
      <c r="AV128" s="905"/>
      <c r="AW128" s="905"/>
      <c r="AX128" s="391"/>
      <c r="AY128" s="410"/>
      <c r="AZ128" s="391"/>
      <c r="BA128" s="905"/>
      <c r="BB128" s="905"/>
      <c r="BC128" s="905"/>
      <c r="BD128" s="410"/>
      <c r="BE128" s="391"/>
      <c r="BF128" s="391"/>
      <c r="BG128" s="391"/>
      <c r="BH128" s="391"/>
      <c r="BI128" s="410"/>
      <c r="BJ128" s="1069"/>
      <c r="BK128" s="1069"/>
      <c r="BL128" s="1069"/>
      <c r="BM128" s="1069"/>
      <c r="BN128" s="410"/>
      <c r="BO128" s="1069">
        <v>1.7</v>
      </c>
      <c r="BP128" s="1069">
        <v>3.9</v>
      </c>
      <c r="BQ128" s="1069">
        <v>4.8</v>
      </c>
      <c r="BR128" s="1069">
        <v>3.3</v>
      </c>
      <c r="BS128" s="410">
        <f>SUM(BO128:BR128)</f>
        <v>13.7</v>
      </c>
      <c r="BT128" s="1070">
        <v>3.1</v>
      </c>
      <c r="BU128" s="1069">
        <v>2.2000000000000002</v>
      </c>
      <c r="BV128" s="1069">
        <v>2.2000000000000002</v>
      </c>
      <c r="BW128" s="1069">
        <v>1.9</v>
      </c>
      <c r="BX128" s="410">
        <f>SUM(BT128:BW128)</f>
        <v>9.4</v>
      </c>
      <c r="BY128" s="1264"/>
      <c r="BZ128" s="906"/>
      <c r="CA128" s="906"/>
      <c r="CB128" s="906"/>
      <c r="CC128" s="870"/>
      <c r="CD128" s="870"/>
      <c r="CE128" s="870"/>
      <c r="CF128" s="870"/>
      <c r="CG128" s="870"/>
      <c r="CH128" s="870"/>
    </row>
    <row r="129" spans="1:154">
      <c r="A129" s="9"/>
      <c r="B129" s="9"/>
      <c r="C129" s="9"/>
      <c r="D129" s="9"/>
      <c r="E129" s="9"/>
      <c r="F129" s="9"/>
      <c r="G129" s="9"/>
      <c r="H129" s="562" t="s">
        <v>232</v>
      </c>
      <c r="I129" s="73"/>
      <c r="J129" s="73"/>
      <c r="K129" s="73"/>
      <c r="L129" s="66"/>
      <c r="M129" s="66"/>
      <c r="N129" s="66"/>
      <c r="O129" s="66"/>
      <c r="Q129" s="310"/>
      <c r="R129" s="310"/>
      <c r="S129" s="310"/>
      <c r="T129" s="310"/>
      <c r="U129" s="311"/>
      <c r="V129" s="310"/>
      <c r="W129" s="310"/>
      <c r="X129" s="310"/>
      <c r="Y129" s="310"/>
      <c r="Z129" s="311"/>
      <c r="AA129" s="315"/>
      <c r="AB129" s="315"/>
      <c r="AC129" s="315"/>
      <c r="AD129" s="315"/>
      <c r="AE129" s="311"/>
      <c r="AF129" s="315"/>
      <c r="AG129" s="315"/>
      <c r="AH129" s="315"/>
      <c r="AI129" s="315"/>
      <c r="AJ129" s="311"/>
      <c r="AK129" s="315"/>
      <c r="AL129" s="315"/>
      <c r="AM129" s="315"/>
      <c r="AN129" s="315"/>
      <c r="AO129" s="410"/>
      <c r="AP129" s="905"/>
      <c r="AQ129" s="905"/>
      <c r="AR129" s="905"/>
      <c r="AS129" s="905"/>
      <c r="AT129" s="410"/>
      <c r="AU129" s="905"/>
      <c r="AV129" s="905"/>
      <c r="AW129" s="905"/>
      <c r="AX129" s="391"/>
      <c r="AY129" s="410"/>
      <c r="AZ129" s="391"/>
      <c r="BA129" s="905"/>
      <c r="BB129" s="905"/>
      <c r="BC129" s="905"/>
      <c r="BD129" s="410"/>
      <c r="BE129" s="391"/>
      <c r="BF129" s="391"/>
      <c r="BG129" s="391"/>
      <c r="BH129" s="391"/>
      <c r="BI129" s="410"/>
      <c r="BJ129" s="1069"/>
      <c r="BK129" s="1069"/>
      <c r="BL129" s="1069"/>
      <c r="BM129" s="1069"/>
      <c r="BN129" s="410"/>
      <c r="BO129" s="1069">
        <v>0</v>
      </c>
      <c r="BP129" s="1069">
        <v>0.1</v>
      </c>
      <c r="BQ129" s="1069">
        <v>0.5</v>
      </c>
      <c r="BR129" s="1069">
        <v>0.4</v>
      </c>
      <c r="BS129" s="410">
        <f>SUM(BO129:BR129)</f>
        <v>1</v>
      </c>
      <c r="BT129" s="1070">
        <v>0.5</v>
      </c>
      <c r="BU129" s="1224">
        <v>0.1</v>
      </c>
      <c r="BV129" s="1224">
        <v>0.1</v>
      </c>
      <c r="BW129" s="1224">
        <v>0.2</v>
      </c>
      <c r="BX129" s="410">
        <f>SUM(BT129:BW129)</f>
        <v>0.89999999999999991</v>
      </c>
      <c r="BY129" s="1265"/>
      <c r="BZ129" s="906"/>
      <c r="CA129" s="906"/>
      <c r="CB129" s="906"/>
      <c r="CC129" s="870"/>
      <c r="CD129" s="870"/>
      <c r="CE129" s="870"/>
      <c r="CF129" s="870"/>
      <c r="CG129" s="870"/>
      <c r="CH129" s="870"/>
    </row>
    <row r="130" spans="1:154" s="76" customFormat="1" ht="13.5">
      <c r="A130" s="85"/>
      <c r="B130" s="85"/>
      <c r="C130" s="85"/>
      <c r="D130" s="85"/>
      <c r="E130" s="85"/>
      <c r="F130" s="85"/>
      <c r="G130" s="85"/>
      <c r="H130" s="564" t="s">
        <v>981</v>
      </c>
      <c r="I130" s="264"/>
      <c r="J130" s="264"/>
      <c r="K130" s="264"/>
      <c r="L130" s="265"/>
      <c r="M130" s="265"/>
      <c r="N130" s="265"/>
      <c r="O130" s="265"/>
      <c r="P130" s="264"/>
      <c r="Q130" s="265"/>
      <c r="R130" s="265"/>
      <c r="S130" s="265"/>
      <c r="T130" s="265"/>
      <c r="U130" s="264"/>
      <c r="V130" s="265"/>
      <c r="W130" s="265"/>
      <c r="X130" s="265"/>
      <c r="Y130" s="265"/>
      <c r="Z130" s="264"/>
      <c r="AA130" s="265"/>
      <c r="AB130" s="265"/>
      <c r="AC130" s="265"/>
      <c r="AD130" s="265"/>
      <c r="AE130" s="264"/>
      <c r="AF130" s="265"/>
      <c r="AG130" s="265"/>
      <c r="AH130" s="265"/>
      <c r="AI130" s="265"/>
      <c r="AJ130" s="264"/>
      <c r="AK130" s="265"/>
      <c r="AL130" s="265"/>
      <c r="AM130" s="265"/>
      <c r="AN130" s="265"/>
      <c r="AO130" s="264"/>
      <c r="AP130" s="265"/>
      <c r="AQ130" s="265"/>
      <c r="AR130" s="265"/>
      <c r="AS130" s="265"/>
      <c r="AT130" s="264"/>
      <c r="AU130" s="265"/>
      <c r="AV130" s="265"/>
      <c r="AW130" s="265"/>
      <c r="AX130" s="265"/>
      <c r="AY130" s="264"/>
      <c r="AZ130" s="265"/>
      <c r="BA130" s="265"/>
      <c r="BB130" s="265"/>
      <c r="BC130" s="265"/>
      <c r="BD130" s="264"/>
      <c r="BE130" s="265"/>
      <c r="BF130" s="265"/>
      <c r="BG130" s="265"/>
      <c r="BH130" s="265"/>
      <c r="BI130" s="264"/>
      <c r="BJ130" s="258"/>
      <c r="BK130" s="258"/>
      <c r="BL130" s="258"/>
      <c r="BM130" s="265"/>
      <c r="BN130" s="264"/>
      <c r="BO130" s="265">
        <f t="shared" ref="BO130:BY130" si="167">BO131+BO132</f>
        <v>0</v>
      </c>
      <c r="BP130" s="265">
        <f t="shared" si="167"/>
        <v>0</v>
      </c>
      <c r="BQ130" s="265">
        <f t="shared" si="167"/>
        <v>0</v>
      </c>
      <c r="BR130" s="258">
        <f t="shared" si="167"/>
        <v>11.9</v>
      </c>
      <c r="BS130" s="264">
        <f t="shared" si="167"/>
        <v>11.9</v>
      </c>
      <c r="BT130" s="265">
        <f t="shared" si="167"/>
        <v>42.1</v>
      </c>
      <c r="BU130" s="265">
        <f t="shared" si="167"/>
        <v>47.400000000000006</v>
      </c>
      <c r="BV130" s="265">
        <f>BV131+BV132</f>
        <v>54.4</v>
      </c>
      <c r="BW130" s="265">
        <f>BW131+BW132</f>
        <v>59</v>
      </c>
      <c r="BX130" s="264">
        <f t="shared" si="167"/>
        <v>202.90000000000003</v>
      </c>
      <c r="BY130" s="265">
        <f t="shared" si="167"/>
        <v>64.400000000000006</v>
      </c>
      <c r="BZ130" s="265">
        <f t="shared" ref="BZ130:CH130" si="168">BZ131+BZ132</f>
        <v>70.740000000000009</v>
      </c>
      <c r="CA130" s="265">
        <f t="shared" si="168"/>
        <v>77.88</v>
      </c>
      <c r="CB130" s="265">
        <f t="shared" si="168"/>
        <v>84.575000000000003</v>
      </c>
      <c r="CC130" s="264">
        <f t="shared" si="168"/>
        <v>297.59499999999997</v>
      </c>
      <c r="CD130" s="264">
        <f t="shared" si="168"/>
        <v>361.90139999999997</v>
      </c>
      <c r="CE130" s="264">
        <f t="shared" si="168"/>
        <v>422.30801200000002</v>
      </c>
      <c r="CF130" s="264">
        <f t="shared" si="168"/>
        <v>471.30353760000003</v>
      </c>
      <c r="CG130" s="264">
        <f t="shared" si="168"/>
        <v>501.05551372800005</v>
      </c>
      <c r="CH130" s="264">
        <f t="shared" si="168"/>
        <v>518.43697700256007</v>
      </c>
      <c r="EX130" s="1261" t="s">
        <v>981</v>
      </c>
    </row>
    <row r="131" spans="1:154" s="76" customFormat="1" ht="13.5">
      <c r="A131" s="85"/>
      <c r="B131" s="85"/>
      <c r="C131" s="85"/>
      <c r="D131" s="85"/>
      <c r="E131" s="85"/>
      <c r="F131" s="85"/>
      <c r="G131" s="85"/>
      <c r="H131" s="613" t="s">
        <v>231</v>
      </c>
      <c r="I131" s="259"/>
      <c r="J131" s="259"/>
      <c r="K131" s="79"/>
      <c r="L131" s="269"/>
      <c r="M131" s="269"/>
      <c r="N131" s="269"/>
      <c r="O131" s="269"/>
      <c r="P131" s="78"/>
      <c r="Q131" s="269"/>
      <c r="R131" s="269"/>
      <c r="S131" s="269"/>
      <c r="T131" s="269"/>
      <c r="U131" s="78"/>
      <c r="V131" s="269"/>
      <c r="W131" s="269"/>
      <c r="X131" s="269"/>
      <c r="Y131" s="269"/>
      <c r="Z131" s="78"/>
      <c r="AA131" s="269"/>
      <c r="AB131" s="269"/>
      <c r="AC131" s="269"/>
      <c r="AD131" s="269"/>
      <c r="AE131" s="78"/>
      <c r="AF131" s="269"/>
      <c r="AG131" s="269"/>
      <c r="AH131" s="269"/>
      <c r="AI131" s="269"/>
      <c r="AJ131" s="78"/>
      <c r="AK131" s="269"/>
      <c r="AL131" s="269"/>
      <c r="AM131" s="269"/>
      <c r="AN131" s="269"/>
      <c r="AO131" s="79"/>
      <c r="AP131" s="269"/>
      <c r="AQ131" s="269"/>
      <c r="AR131" s="269"/>
      <c r="AS131" s="269"/>
      <c r="AT131" s="78"/>
      <c r="AU131" s="269"/>
      <c r="AV131" s="269"/>
      <c r="AW131" s="269"/>
      <c r="AX131" s="269"/>
      <c r="AY131" s="79"/>
      <c r="AZ131" s="269"/>
      <c r="BA131" s="269"/>
      <c r="BB131" s="269"/>
      <c r="BC131" s="269"/>
      <c r="BD131" s="79"/>
      <c r="BE131" s="269"/>
      <c r="BF131" s="269"/>
      <c r="BG131" s="269"/>
      <c r="BH131" s="269"/>
      <c r="BI131" s="78"/>
      <c r="BJ131" s="258"/>
      <c r="BK131" s="258"/>
      <c r="BL131" s="258"/>
      <c r="BM131" s="1039"/>
      <c r="BN131" s="79"/>
      <c r="BO131" s="1039"/>
      <c r="BP131" s="1039"/>
      <c r="BQ131" s="1039"/>
      <c r="BR131" s="1069">
        <v>11.4</v>
      </c>
      <c r="BS131" s="79">
        <f>SUM(BO131:BR131)</f>
        <v>11.4</v>
      </c>
      <c r="BT131" s="1070">
        <v>38.1</v>
      </c>
      <c r="BU131" s="1224">
        <v>39.700000000000003</v>
      </c>
      <c r="BV131" s="1224">
        <v>42.4</v>
      </c>
      <c r="BW131" s="1224">
        <v>41.5</v>
      </c>
      <c r="BX131" s="79">
        <f>SUM(BT131:BW131)</f>
        <v>161.70000000000002</v>
      </c>
      <c r="BY131" s="1224">
        <f>43</f>
        <v>43</v>
      </c>
      <c r="BZ131" s="811">
        <f t="shared" ref="BZ131:CB132" si="169">BU131*(1+BZ361)</f>
        <v>47.64</v>
      </c>
      <c r="CA131" s="811">
        <f t="shared" si="169"/>
        <v>50.879999999999995</v>
      </c>
      <c r="CB131" s="811">
        <f t="shared" si="169"/>
        <v>53.95</v>
      </c>
      <c r="CC131" s="79">
        <f>SUM(BY131:CB131)</f>
        <v>195.46999999999997</v>
      </c>
      <c r="CD131" s="79">
        <f>CC131*(1+'REV-ANNUAL'!CD361)</f>
        <v>218.9264</v>
      </c>
      <c r="CE131" s="79">
        <f>CD131*(1+'REV-ANNUAL'!CE361)</f>
        <v>236.44051200000001</v>
      </c>
      <c r="CF131" s="79">
        <f>CE131*(1+'REV-ANNUAL'!CF361)</f>
        <v>248.26253760000003</v>
      </c>
      <c r="CG131" s="79">
        <f>CF131*(1+'REV-ANNUAL'!CG361)</f>
        <v>255.71041372800005</v>
      </c>
      <c r="CH131" s="79">
        <f>CG131*(1+'REV-ANNUAL'!CH361)</f>
        <v>260.82462200256003</v>
      </c>
    </row>
    <row r="132" spans="1:154" s="76" customFormat="1" ht="13.5">
      <c r="A132" s="85"/>
      <c r="B132" s="85"/>
      <c r="C132" s="85"/>
      <c r="D132" s="85"/>
      <c r="E132" s="85"/>
      <c r="F132" s="85"/>
      <c r="G132" s="85"/>
      <c r="H132" s="613" t="s">
        <v>232</v>
      </c>
      <c r="I132" s="259"/>
      <c r="J132" s="259"/>
      <c r="K132" s="79"/>
      <c r="L132" s="269"/>
      <c r="M132" s="269"/>
      <c r="N132" s="269"/>
      <c r="O132" s="269"/>
      <c r="P132" s="78"/>
      <c r="Q132" s="269"/>
      <c r="R132" s="269"/>
      <c r="S132" s="269"/>
      <c r="T132" s="269"/>
      <c r="U132" s="78"/>
      <c r="V132" s="269"/>
      <c r="W132" s="269"/>
      <c r="X132" s="269"/>
      <c r="Y132" s="269"/>
      <c r="Z132" s="78"/>
      <c r="AA132" s="269"/>
      <c r="AB132" s="269"/>
      <c r="AC132" s="269"/>
      <c r="AD132" s="269"/>
      <c r="AE132" s="78"/>
      <c r="AF132" s="269"/>
      <c r="AG132" s="269"/>
      <c r="AH132" s="269"/>
      <c r="AI132" s="269"/>
      <c r="AJ132" s="78"/>
      <c r="AK132" s="269"/>
      <c r="AL132" s="269"/>
      <c r="AM132" s="269"/>
      <c r="AN132" s="269"/>
      <c r="AO132" s="79"/>
      <c r="AP132" s="269"/>
      <c r="AQ132" s="269"/>
      <c r="AR132" s="269"/>
      <c r="AS132" s="269"/>
      <c r="AT132" s="78"/>
      <c r="AU132" s="269"/>
      <c r="AV132" s="269"/>
      <c r="AW132" s="269"/>
      <c r="AX132" s="269"/>
      <c r="AY132" s="79"/>
      <c r="AZ132" s="269"/>
      <c r="BA132" s="269"/>
      <c r="BB132" s="269"/>
      <c r="BC132" s="269"/>
      <c r="BD132" s="79"/>
      <c r="BE132" s="269"/>
      <c r="BF132" s="269"/>
      <c r="BG132" s="269"/>
      <c r="BH132" s="269"/>
      <c r="BI132" s="78"/>
      <c r="BJ132" s="258"/>
      <c r="BK132" s="258"/>
      <c r="BL132" s="258"/>
      <c r="BM132" s="1039"/>
      <c r="BN132" s="79"/>
      <c r="BO132" s="1039"/>
      <c r="BP132" s="1039"/>
      <c r="BQ132" s="1039"/>
      <c r="BR132" s="1069">
        <v>0.5</v>
      </c>
      <c r="BS132" s="79">
        <f>SUM(BO132:BR132)</f>
        <v>0.5</v>
      </c>
      <c r="BT132" s="1070">
        <v>4</v>
      </c>
      <c r="BU132" s="1224">
        <v>7.7</v>
      </c>
      <c r="BV132" s="1224">
        <v>12</v>
      </c>
      <c r="BW132" s="1224">
        <v>17.5</v>
      </c>
      <c r="BX132" s="79">
        <f>SUM(BT132:BW132)</f>
        <v>41.2</v>
      </c>
      <c r="BY132" s="1224">
        <f>21.4</f>
        <v>21.4</v>
      </c>
      <c r="BZ132" s="811">
        <f t="shared" si="169"/>
        <v>23.1</v>
      </c>
      <c r="CA132" s="811">
        <f t="shared" si="169"/>
        <v>27</v>
      </c>
      <c r="CB132" s="811">
        <f t="shared" si="169"/>
        <v>30.625</v>
      </c>
      <c r="CC132" s="79">
        <f>SUM(BY132:CB132)</f>
        <v>102.125</v>
      </c>
      <c r="CD132" s="79">
        <f>CC132*(1+'REV-ANNUAL'!CD362)</f>
        <v>142.97499999999999</v>
      </c>
      <c r="CE132" s="79">
        <f>CD132*(1+'REV-ANNUAL'!CE362)</f>
        <v>185.86750000000001</v>
      </c>
      <c r="CF132" s="79">
        <f>CE132*(1+'REV-ANNUAL'!CF362)</f>
        <v>223.041</v>
      </c>
      <c r="CG132" s="79">
        <f>CF132*(1+'REV-ANNUAL'!CG362)</f>
        <v>245.3451</v>
      </c>
      <c r="CH132" s="79">
        <f>CG132*(1+'REV-ANNUAL'!CH362)</f>
        <v>257.61235500000004</v>
      </c>
    </row>
    <row r="133" spans="1:154" s="15" customFormat="1" ht="12.75" customHeight="1">
      <c r="A133" s="9"/>
      <c r="B133" s="9"/>
      <c r="C133" s="9"/>
      <c r="D133" s="9"/>
      <c r="E133" s="9"/>
      <c r="F133" s="9"/>
      <c r="G133" s="9"/>
      <c r="H133" s="266" t="s">
        <v>298</v>
      </c>
      <c r="I133" s="266"/>
      <c r="J133" s="266"/>
      <c r="K133" s="266"/>
      <c r="L133" s="265">
        <v>2.4</v>
      </c>
      <c r="M133" s="265">
        <v>0.3</v>
      </c>
      <c r="N133" s="265">
        <v>0.3</v>
      </c>
      <c r="O133" s="265">
        <v>0.3</v>
      </c>
      <c r="P133" s="266">
        <v>3.3</v>
      </c>
      <c r="Q133" s="265">
        <f t="shared" ref="Q133:AJ133" si="170">Q134+Q135</f>
        <v>0.2</v>
      </c>
      <c r="R133" s="265">
        <f t="shared" si="170"/>
        <v>0.1</v>
      </c>
      <c r="S133" s="265">
        <f t="shared" si="170"/>
        <v>0</v>
      </c>
      <c r="T133" s="265">
        <f t="shared" si="170"/>
        <v>0</v>
      </c>
      <c r="U133" s="266">
        <f t="shared" si="170"/>
        <v>0.30000000000000004</v>
      </c>
      <c r="V133" s="265">
        <f t="shared" si="170"/>
        <v>0</v>
      </c>
      <c r="W133" s="265">
        <f t="shared" si="170"/>
        <v>0</v>
      </c>
      <c r="X133" s="265">
        <f t="shared" si="170"/>
        <v>0</v>
      </c>
      <c r="Y133" s="265">
        <f t="shared" si="170"/>
        <v>0</v>
      </c>
      <c r="Z133" s="266">
        <f t="shared" si="170"/>
        <v>0</v>
      </c>
      <c r="AA133" s="265">
        <f t="shared" si="170"/>
        <v>0</v>
      </c>
      <c r="AB133" s="265">
        <f t="shared" si="170"/>
        <v>0</v>
      </c>
      <c r="AC133" s="265">
        <f t="shared" si="170"/>
        <v>0</v>
      </c>
      <c r="AD133" s="265">
        <f t="shared" si="170"/>
        <v>0</v>
      </c>
      <c r="AE133" s="266">
        <f t="shared" si="170"/>
        <v>0</v>
      </c>
      <c r="AF133" s="265">
        <f t="shared" si="170"/>
        <v>0</v>
      </c>
      <c r="AG133" s="265">
        <f t="shared" si="170"/>
        <v>0</v>
      </c>
      <c r="AH133" s="265">
        <f t="shared" si="170"/>
        <v>0</v>
      </c>
      <c r="AI133" s="265">
        <f t="shared" si="170"/>
        <v>0</v>
      </c>
      <c r="AJ133" s="266">
        <f t="shared" si="170"/>
        <v>0</v>
      </c>
      <c r="AK133" s="265">
        <f t="shared" ref="AK133:AT133" si="171">AK134+AK135</f>
        <v>0</v>
      </c>
      <c r="AL133" s="265">
        <f t="shared" si="171"/>
        <v>0</v>
      </c>
      <c r="AM133" s="265">
        <f t="shared" si="171"/>
        <v>0</v>
      </c>
      <c r="AN133" s="265">
        <f t="shared" si="171"/>
        <v>0.3</v>
      </c>
      <c r="AO133" s="703">
        <f t="shared" si="171"/>
        <v>0.3</v>
      </c>
      <c r="AP133" s="455">
        <f>AP134+AP135</f>
        <v>-0.1</v>
      </c>
      <c r="AQ133" s="455">
        <f>AQ134+AQ135</f>
        <v>-0.1</v>
      </c>
      <c r="AR133" s="455">
        <f t="shared" si="171"/>
        <v>-0.1</v>
      </c>
      <c r="AS133" s="455">
        <f>AS134+AS135</f>
        <v>0</v>
      </c>
      <c r="AT133" s="703">
        <f t="shared" si="171"/>
        <v>-0.30000000000000004</v>
      </c>
      <c r="AU133" s="455">
        <f t="shared" ref="AU133:BG133" si="172">AU134+AU135</f>
        <v>-1.0999999999999659</v>
      </c>
      <c r="AV133" s="455">
        <f t="shared" si="172"/>
        <v>1.0999999999999659</v>
      </c>
      <c r="AW133" s="455">
        <f t="shared" si="172"/>
        <v>-0.10000000000000142</v>
      </c>
      <c r="AX133" s="455">
        <f t="shared" si="172"/>
        <v>0.59999999999996589</v>
      </c>
      <c r="AY133" s="703">
        <f t="shared" si="172"/>
        <v>0.49999999999996447</v>
      </c>
      <c r="AZ133" s="455">
        <f t="shared" si="172"/>
        <v>-0.2000000000000135</v>
      </c>
      <c r="BA133" s="455">
        <f t="shared" si="172"/>
        <v>-0.60000000000002274</v>
      </c>
      <c r="BB133" s="455">
        <f t="shared" si="172"/>
        <v>-0.20000000000000639</v>
      </c>
      <c r="BC133" s="455">
        <f t="shared" si="172"/>
        <v>-0.29999999999996518</v>
      </c>
      <c r="BD133" s="703">
        <f t="shared" si="172"/>
        <v>-1.3000000000000078</v>
      </c>
      <c r="BE133" s="455">
        <f>BE134+BE135</f>
        <v>-0.29999999999999005</v>
      </c>
      <c r="BF133" s="455">
        <f t="shared" si="172"/>
        <v>-0.19999999999998863</v>
      </c>
      <c r="BG133" s="455">
        <f t="shared" si="172"/>
        <v>-0.29999999999994387</v>
      </c>
      <c r="BH133" s="455">
        <f t="shared" ref="BH133:CH133" si="173">BH134+BH135</f>
        <v>0.10000000000001563</v>
      </c>
      <c r="BI133" s="703">
        <f t="shared" si="173"/>
        <v>-0.69999999999990692</v>
      </c>
      <c r="BJ133" s="455">
        <f t="shared" si="173"/>
        <v>0.10000000000000853</v>
      </c>
      <c r="BK133" s="455">
        <f t="shared" si="173"/>
        <v>-4.9737991503207013E-14</v>
      </c>
      <c r="BL133" s="455">
        <f t="shared" si="173"/>
        <v>1.4210854715202004E-14</v>
      </c>
      <c r="BM133" s="455">
        <f t="shared" si="173"/>
        <v>0.49999999999999645</v>
      </c>
      <c r="BN133" s="703">
        <f t="shared" si="173"/>
        <v>0.59999999999996945</v>
      </c>
      <c r="BO133" s="455">
        <f t="shared" si="173"/>
        <v>-5.0404125317982107E-14</v>
      </c>
      <c r="BP133" s="455">
        <f t="shared" si="173"/>
        <v>-0.20000000000003473</v>
      </c>
      <c r="BQ133" s="455">
        <f t="shared" si="173"/>
        <v>-9.9999999999993427E-2</v>
      </c>
      <c r="BR133" s="455">
        <f t="shared" si="173"/>
        <v>0.10000000000001597</v>
      </c>
      <c r="BS133" s="703">
        <f t="shared" si="173"/>
        <v>-0.2000000000000626</v>
      </c>
      <c r="BT133" s="455">
        <f t="shared" si="173"/>
        <v>3.5527136788005009E-15</v>
      </c>
      <c r="BU133" s="455">
        <f t="shared" si="173"/>
        <v>8.9706020389712648E-14</v>
      </c>
      <c r="BV133" s="455">
        <f t="shared" si="173"/>
        <v>0.10000000000004583</v>
      </c>
      <c r="BW133" s="455">
        <f t="shared" si="173"/>
        <v>6.0396132539608516E-14</v>
      </c>
      <c r="BX133" s="703">
        <f t="shared" si="173"/>
        <v>0.10000000000019948</v>
      </c>
      <c r="BY133" s="455">
        <f t="shared" si="173"/>
        <v>29.599999999999977</v>
      </c>
      <c r="BZ133" s="455">
        <f t="shared" si="173"/>
        <v>28</v>
      </c>
      <c r="CA133" s="455">
        <f t="shared" si="173"/>
        <v>28</v>
      </c>
      <c r="CB133" s="455">
        <f t="shared" si="173"/>
        <v>28</v>
      </c>
      <c r="CC133" s="703">
        <f t="shared" si="173"/>
        <v>113.59999999999997</v>
      </c>
      <c r="CD133" s="703">
        <f t="shared" si="173"/>
        <v>113.59999999999997</v>
      </c>
      <c r="CE133" s="703">
        <f t="shared" si="173"/>
        <v>113.59999999999997</v>
      </c>
      <c r="CF133" s="703">
        <f t="shared" si="173"/>
        <v>113.59999999999997</v>
      </c>
      <c r="CG133" s="703">
        <f t="shared" si="173"/>
        <v>113.59999999999997</v>
      </c>
      <c r="CH133" s="703">
        <f t="shared" si="173"/>
        <v>113.59999999999997</v>
      </c>
      <c r="EX133" s="15" t="s">
        <v>1124</v>
      </c>
    </row>
    <row r="134" spans="1:154" ht="12.75" customHeight="1">
      <c r="A134" s="9"/>
      <c r="B134" s="9"/>
      <c r="C134" s="9"/>
      <c r="D134" s="9"/>
      <c r="E134" s="9"/>
      <c r="F134" s="9"/>
      <c r="G134" s="9"/>
      <c r="H134" s="257" t="s">
        <v>231</v>
      </c>
      <c r="I134" s="257"/>
      <c r="J134" s="257"/>
      <c r="K134" s="257"/>
      <c r="L134" s="263">
        <v>0.1</v>
      </c>
      <c r="M134" s="263">
        <v>0</v>
      </c>
      <c r="N134" s="263">
        <v>0</v>
      </c>
      <c r="O134" s="263">
        <v>0</v>
      </c>
      <c r="P134" s="259">
        <v>0.1</v>
      </c>
      <c r="Q134" s="263">
        <v>0</v>
      </c>
      <c r="R134" s="263"/>
      <c r="S134" s="263">
        <v>0</v>
      </c>
      <c r="T134" s="263">
        <v>0</v>
      </c>
      <c r="U134" s="259">
        <f>SUM(Q134:T134)</f>
        <v>0</v>
      </c>
      <c r="V134" s="263">
        <v>0</v>
      </c>
      <c r="W134" s="263">
        <v>0</v>
      </c>
      <c r="X134" s="263">
        <v>0</v>
      </c>
      <c r="Y134" s="263">
        <v>0</v>
      </c>
      <c r="Z134" s="259">
        <f>SUM(V134:Y134)</f>
        <v>0</v>
      </c>
      <c r="AA134" s="263">
        <v>0</v>
      </c>
      <c r="AB134" s="263">
        <v>0</v>
      </c>
      <c r="AC134" s="263">
        <v>0</v>
      </c>
      <c r="AD134" s="263">
        <v>0</v>
      </c>
      <c r="AE134" s="259">
        <f>SUM(AA134:AD134)</f>
        <v>0</v>
      </c>
      <c r="AF134" s="263">
        <v>0</v>
      </c>
      <c r="AG134" s="263">
        <v>0</v>
      </c>
      <c r="AH134" s="263">
        <v>0</v>
      </c>
      <c r="AI134" s="263">
        <v>0</v>
      </c>
      <c r="AJ134" s="259">
        <f>SUM(AF134:AI134)</f>
        <v>0</v>
      </c>
      <c r="AK134" s="263">
        <v>0</v>
      </c>
      <c r="AL134" s="263">
        <v>0</v>
      </c>
      <c r="AM134" s="263">
        <v>0</v>
      </c>
      <c r="AN134" s="263">
        <v>0</v>
      </c>
      <c r="AO134" s="429">
        <f>SUM(AK134:AN134)</f>
        <v>0</v>
      </c>
      <c r="AP134" s="391">
        <v>0</v>
      </c>
      <c r="AQ134" s="391">
        <v>0</v>
      </c>
      <c r="AR134" s="391">
        <v>0</v>
      </c>
      <c r="AS134" s="391">
        <v>0</v>
      </c>
      <c r="AT134" s="429">
        <f>SUM(AP134:AS134)</f>
        <v>0</v>
      </c>
      <c r="AU134" s="392">
        <f t="shared" ref="AU134:AX135" si="174">AU107-AU113-AU116-AU122-AU125</f>
        <v>0</v>
      </c>
      <c r="AV134" s="392">
        <f t="shared" si="174"/>
        <v>-5.6843418860808015E-14</v>
      </c>
      <c r="AW134" s="392">
        <f t="shared" si="174"/>
        <v>0.10000000000000853</v>
      </c>
      <c r="AX134" s="392">
        <f t="shared" si="174"/>
        <v>0</v>
      </c>
      <c r="AY134" s="699">
        <f>SUM(AU134:AX134)</f>
        <v>9.9999999999951683E-2</v>
      </c>
      <c r="AZ134" s="392">
        <f t="shared" ref="AZ134:BC135" si="175">AZ107-AZ113-AZ116-AZ122-AZ125</f>
        <v>-0.10000000000003695</v>
      </c>
      <c r="BA134" s="392">
        <f t="shared" si="175"/>
        <v>0</v>
      </c>
      <c r="BB134" s="392">
        <f t="shared" si="175"/>
        <v>-9.9999999999994316E-2</v>
      </c>
      <c r="BC134" s="392">
        <f t="shared" si="175"/>
        <v>0</v>
      </c>
      <c r="BD134" s="699">
        <f>SUM(AZ134:BC134)</f>
        <v>-0.20000000000003126</v>
      </c>
      <c r="BE134" s="392">
        <f t="shared" ref="BE134:BH135" si="176">BE107-BE113-BE116-BE119-BE122-BE125</f>
        <v>0</v>
      </c>
      <c r="BF134" s="392">
        <f t="shared" si="176"/>
        <v>0</v>
      </c>
      <c r="BG134" s="392">
        <f t="shared" si="176"/>
        <v>5.6843418860808015E-14</v>
      </c>
      <c r="BH134" s="392">
        <f t="shared" si="176"/>
        <v>-0.10000000000000853</v>
      </c>
      <c r="BI134" s="410">
        <f>SUM(BE134:BH134)</f>
        <v>-9.9999999999951683E-2</v>
      </c>
      <c r="BJ134" s="392">
        <f t="shared" ref="BJ134:BM135" si="177">BJ107-BJ113-BJ116-BJ119-BJ122-BJ125</f>
        <v>0.10000000000005826</v>
      </c>
      <c r="BK134" s="392">
        <f t="shared" si="177"/>
        <v>0.19999999999997442</v>
      </c>
      <c r="BL134" s="392">
        <f t="shared" si="177"/>
        <v>-0.10000000000002274</v>
      </c>
      <c r="BM134" s="392">
        <f t="shared" si="177"/>
        <v>0.59999999999993747</v>
      </c>
      <c r="BN134" s="410">
        <f>SUM(BJ134:BM134)</f>
        <v>0.79999999999994742</v>
      </c>
      <c r="BO134" s="392">
        <f t="shared" ref="BO134:BQ135" si="178">BO107-BO113-BO116-BO119-BO122-BO125-BO128</f>
        <v>-3.9745984281580604E-14</v>
      </c>
      <c r="BP134" s="392">
        <f t="shared" si="178"/>
        <v>-0.10000000000001696</v>
      </c>
      <c r="BQ134" s="392">
        <f t="shared" si="178"/>
        <v>-1.6875389974302379E-14</v>
      </c>
      <c r="BR134" s="392">
        <f>BR107-BR113-BR116-BR119-BR122-BR125-BR128-BR131</f>
        <v>1.5987211554602254E-14</v>
      </c>
      <c r="BS134" s="410">
        <f>SUM(BO134:BR134)</f>
        <v>-0.1000000000000576</v>
      </c>
      <c r="BT134" s="392">
        <f t="shared" ref="BT134:BW135" si="179">BT107-BT113-BT116-BT119-BT122-BT125-BT128-BT131-BT110</f>
        <v>-9.9999999999980105E-2</v>
      </c>
      <c r="BU134" s="392">
        <f t="shared" si="179"/>
        <v>8.5265128291212022E-14</v>
      </c>
      <c r="BV134" s="392">
        <f t="shared" si="179"/>
        <v>2.1316282072803006E-14</v>
      </c>
      <c r="BW134" s="392">
        <f t="shared" si="179"/>
        <v>6.3948846218409017E-14</v>
      </c>
      <c r="BX134" s="410">
        <f>SUM(BT134:BW134)</f>
        <v>-9.9999999999809575E-2</v>
      </c>
      <c r="BY134" s="392">
        <f>BY107-BY113-BY116-BY119-BY122-BY125-BY128-BY131-BY110</f>
        <v>2.5999999999999694</v>
      </c>
      <c r="BZ134" s="1268">
        <v>3</v>
      </c>
      <c r="CA134" s="1268">
        <v>3</v>
      </c>
      <c r="CB134" s="1268">
        <v>3</v>
      </c>
      <c r="CC134" s="410">
        <f>SUM(BY134:CB134)</f>
        <v>11.599999999999969</v>
      </c>
      <c r="CD134" s="410">
        <f t="shared" ref="CD134:CH135" si="180">CC134*(1+CD364)</f>
        <v>11.599999999999969</v>
      </c>
      <c r="CE134" s="410">
        <f t="shared" si="180"/>
        <v>11.599999999999969</v>
      </c>
      <c r="CF134" s="410">
        <f t="shared" si="180"/>
        <v>11.599999999999969</v>
      </c>
      <c r="CG134" s="410">
        <f t="shared" si="180"/>
        <v>11.599999999999969</v>
      </c>
      <c r="CH134" s="410">
        <f t="shared" si="180"/>
        <v>11.599999999999969</v>
      </c>
      <c r="EX134" s="1261"/>
    </row>
    <row r="135" spans="1:154" ht="12.75" customHeight="1">
      <c r="A135" s="9"/>
      <c r="B135" s="9"/>
      <c r="C135" s="9"/>
      <c r="D135" s="9"/>
      <c r="E135" s="9"/>
      <c r="F135" s="9"/>
      <c r="G135" s="9"/>
      <c r="H135" s="257" t="s">
        <v>232</v>
      </c>
      <c r="I135" s="257"/>
      <c r="J135" s="257"/>
      <c r="K135" s="257"/>
      <c r="L135" s="263">
        <v>2.2999999999999998</v>
      </c>
      <c r="M135" s="263">
        <v>0.3</v>
      </c>
      <c r="N135" s="263">
        <v>0.3</v>
      </c>
      <c r="O135" s="263">
        <v>0.3</v>
      </c>
      <c r="P135" s="259">
        <v>3.2</v>
      </c>
      <c r="Q135" s="263">
        <v>0.2</v>
      </c>
      <c r="R135" s="263">
        <v>0.1</v>
      </c>
      <c r="S135" s="263">
        <v>0</v>
      </c>
      <c r="T135" s="263">
        <v>0</v>
      </c>
      <c r="U135" s="259">
        <f>SUM(Q135:T135)</f>
        <v>0.30000000000000004</v>
      </c>
      <c r="V135" s="263">
        <v>0</v>
      </c>
      <c r="W135" s="263">
        <v>0</v>
      </c>
      <c r="X135" s="263">
        <v>0</v>
      </c>
      <c r="Y135" s="263">
        <v>0</v>
      </c>
      <c r="Z135" s="259">
        <f>SUM(V135:Y135)</f>
        <v>0</v>
      </c>
      <c r="AA135" s="263">
        <v>0</v>
      </c>
      <c r="AB135" s="263">
        <v>0</v>
      </c>
      <c r="AC135" s="263">
        <v>0</v>
      </c>
      <c r="AD135" s="263">
        <v>0</v>
      </c>
      <c r="AE135" s="259">
        <f>SUM(AA135:AD135)</f>
        <v>0</v>
      </c>
      <c r="AF135" s="263">
        <v>0</v>
      </c>
      <c r="AG135" s="263">
        <v>0</v>
      </c>
      <c r="AH135" s="263">
        <v>0</v>
      </c>
      <c r="AI135" s="263">
        <v>0</v>
      </c>
      <c r="AJ135" s="259">
        <f>SUM(AF135:AI135)</f>
        <v>0</v>
      </c>
      <c r="AK135" s="263">
        <v>0</v>
      </c>
      <c r="AL135" s="263">
        <v>0</v>
      </c>
      <c r="AM135" s="263">
        <v>0</v>
      </c>
      <c r="AN135" s="263">
        <v>0.3</v>
      </c>
      <c r="AO135" s="429">
        <f>SUM(AK135:AN135)</f>
        <v>0.3</v>
      </c>
      <c r="AP135" s="391">
        <v>-0.1</v>
      </c>
      <c r="AQ135" s="391">
        <v>-0.1</v>
      </c>
      <c r="AR135" s="391">
        <v>-0.1</v>
      </c>
      <c r="AS135" s="391">
        <v>0</v>
      </c>
      <c r="AT135" s="429">
        <f>SUM(AP135:AS135)</f>
        <v>-0.30000000000000004</v>
      </c>
      <c r="AU135" s="392">
        <f t="shared" si="174"/>
        <v>-1.0999999999999659</v>
      </c>
      <c r="AV135" s="392">
        <f t="shared" si="174"/>
        <v>1.1000000000000227</v>
      </c>
      <c r="AW135" s="392">
        <f t="shared" si="174"/>
        <v>-0.20000000000000995</v>
      </c>
      <c r="AX135" s="392">
        <f t="shared" si="174"/>
        <v>0.59999999999996589</v>
      </c>
      <c r="AY135" s="410">
        <f>SUM(AU135:AX135)</f>
        <v>0.40000000000001279</v>
      </c>
      <c r="AZ135" s="392">
        <f t="shared" si="175"/>
        <v>-9.9999999999976552E-2</v>
      </c>
      <c r="BA135" s="392">
        <f t="shared" si="175"/>
        <v>-0.60000000000002274</v>
      </c>
      <c r="BB135" s="392">
        <f t="shared" si="175"/>
        <v>-0.10000000000001208</v>
      </c>
      <c r="BC135" s="392">
        <f t="shared" si="175"/>
        <v>-0.29999999999996518</v>
      </c>
      <c r="BD135" s="410">
        <f>SUM(AZ135:BC135)</f>
        <v>-1.0999999999999766</v>
      </c>
      <c r="BE135" s="392">
        <f t="shared" si="176"/>
        <v>-0.29999999999999005</v>
      </c>
      <c r="BF135" s="392">
        <f t="shared" si="176"/>
        <v>-0.19999999999998863</v>
      </c>
      <c r="BG135" s="392">
        <f t="shared" si="176"/>
        <v>-0.30000000000000071</v>
      </c>
      <c r="BH135" s="392">
        <f t="shared" si="176"/>
        <v>0.20000000000002416</v>
      </c>
      <c r="BI135" s="410">
        <f>SUM(BE135:BH135)</f>
        <v>-0.59999999999995524</v>
      </c>
      <c r="BJ135" s="392">
        <f t="shared" si="177"/>
        <v>-4.9737991503207013E-14</v>
      </c>
      <c r="BK135" s="392">
        <f t="shared" si="177"/>
        <v>-0.20000000000002416</v>
      </c>
      <c r="BL135" s="392">
        <f t="shared" si="177"/>
        <v>0.10000000000003695</v>
      </c>
      <c r="BM135" s="392">
        <f t="shared" si="177"/>
        <v>-9.9999999999941025E-2</v>
      </c>
      <c r="BN135" s="410">
        <f>SUM(BJ135:BM135)</f>
        <v>-0.19999999999997797</v>
      </c>
      <c r="BO135" s="392">
        <f t="shared" si="178"/>
        <v>-1.0658141036401503E-14</v>
      </c>
      <c r="BP135" s="392">
        <f t="shared" si="178"/>
        <v>-0.10000000000001777</v>
      </c>
      <c r="BQ135" s="392">
        <f t="shared" si="178"/>
        <v>-9.9999999999976552E-2</v>
      </c>
      <c r="BR135" s="392">
        <f>BR108-BR114-BR117-BR120-BR123-BR126-BR129-BR132</f>
        <v>9.9999999999999978E-2</v>
      </c>
      <c r="BS135" s="410">
        <f>SUM(BO135:BR135)</f>
        <v>-0.100000000000005</v>
      </c>
      <c r="BT135" s="392">
        <f t="shared" si="179"/>
        <v>9.9999999999983658E-2</v>
      </c>
      <c r="BU135" s="392">
        <f t="shared" si="179"/>
        <v>4.4408920985006262E-15</v>
      </c>
      <c r="BV135" s="392">
        <f t="shared" si="179"/>
        <v>0.10000000000002451</v>
      </c>
      <c r="BW135" s="392">
        <f t="shared" si="179"/>
        <v>-3.5527136788005009E-15</v>
      </c>
      <c r="BX135" s="410">
        <f>SUM(BT135:BW135)</f>
        <v>0.20000000000000906</v>
      </c>
      <c r="BY135" s="392">
        <f>BY108-BY114-BY117-BY120-BY123-BY126-BY129-BY132-BY111</f>
        <v>27.000000000000007</v>
      </c>
      <c r="BZ135" s="1268">
        <v>25</v>
      </c>
      <c r="CA135" s="1268">
        <v>25</v>
      </c>
      <c r="CB135" s="1268">
        <v>25</v>
      </c>
      <c r="CC135" s="410">
        <f>SUM(BY135:CB135)</f>
        <v>102</v>
      </c>
      <c r="CD135" s="410">
        <f t="shared" si="180"/>
        <v>102</v>
      </c>
      <c r="CE135" s="410">
        <f t="shared" si="180"/>
        <v>102</v>
      </c>
      <c r="CF135" s="410">
        <f t="shared" si="180"/>
        <v>102</v>
      </c>
      <c r="CG135" s="410">
        <f t="shared" si="180"/>
        <v>102</v>
      </c>
      <c r="CH135" s="410">
        <f t="shared" si="180"/>
        <v>102</v>
      </c>
      <c r="EX135" s="1261"/>
    </row>
    <row r="136" spans="1:154" ht="6.75" customHeight="1">
      <c r="A136" s="9"/>
      <c r="B136" s="9"/>
      <c r="C136" s="9"/>
      <c r="D136" s="9"/>
      <c r="E136" s="9"/>
      <c r="F136" s="9"/>
      <c r="G136" s="9"/>
      <c r="H136" s="259"/>
      <c r="I136" s="259"/>
      <c r="J136" s="259"/>
      <c r="K136" s="259"/>
      <c r="L136" s="258"/>
      <c r="M136" s="258"/>
      <c r="N136" s="258"/>
      <c r="O136" s="258"/>
      <c r="P136" s="259"/>
      <c r="Q136" s="258"/>
      <c r="R136" s="258"/>
      <c r="S136" s="258"/>
      <c r="T136" s="258"/>
      <c r="U136" s="259"/>
      <c r="V136" s="258"/>
      <c r="W136" s="258"/>
      <c r="X136" s="258"/>
      <c r="Y136" s="258"/>
      <c r="Z136" s="259"/>
      <c r="AA136" s="258"/>
      <c r="AB136" s="258"/>
      <c r="AC136" s="258"/>
      <c r="AD136" s="258"/>
      <c r="AE136" s="259"/>
      <c r="AF136" s="258"/>
      <c r="AG136" s="258"/>
      <c r="AH136" s="258"/>
      <c r="AI136" s="258"/>
      <c r="AJ136" s="259"/>
      <c r="AK136" s="258"/>
      <c r="AL136" s="258"/>
      <c r="AM136" s="258"/>
      <c r="AN136" s="258"/>
      <c r="AO136" s="410"/>
      <c r="AP136" s="383"/>
      <c r="AQ136" s="383"/>
      <c r="AR136" s="383"/>
      <c r="AS136" s="383"/>
      <c r="AT136" s="410"/>
      <c r="AU136" s="383"/>
      <c r="AV136" s="383"/>
      <c r="AW136" s="383"/>
      <c r="AX136" s="383"/>
      <c r="AY136" s="410"/>
      <c r="AZ136" s="383"/>
      <c r="BA136" s="383"/>
      <c r="BB136" s="383"/>
      <c r="BC136" s="383"/>
      <c r="BD136" s="410"/>
      <c r="BE136" s="383"/>
      <c r="BF136" s="383"/>
      <c r="BG136" s="383"/>
      <c r="BH136" s="383"/>
      <c r="BI136" s="410"/>
      <c r="BJ136" s="383"/>
      <c r="BK136" s="383"/>
      <c r="BL136" s="383"/>
      <c r="BM136" s="383"/>
      <c r="BN136" s="410"/>
      <c r="BO136" s="383"/>
      <c r="BP136" s="383"/>
      <c r="BQ136" s="383"/>
      <c r="BR136" s="383"/>
      <c r="BS136" s="410"/>
      <c r="BT136" s="383"/>
      <c r="BU136" s="383"/>
      <c r="BV136" s="383"/>
      <c r="BW136" s="383"/>
      <c r="BX136" s="410"/>
      <c r="BY136" s="383"/>
      <c r="BZ136" s="383"/>
      <c r="CA136" s="383"/>
      <c r="CB136" s="383"/>
      <c r="CC136" s="410"/>
      <c r="CD136" s="410"/>
      <c r="CE136" s="410"/>
      <c r="CF136" s="410"/>
      <c r="CG136" s="410"/>
      <c r="CH136" s="410"/>
      <c r="EX136" s="1261"/>
    </row>
    <row r="137" spans="1:154" s="37" customFormat="1" ht="12.75" customHeight="1">
      <c r="A137" s="9"/>
      <c r="B137" s="9"/>
      <c r="C137" s="9"/>
      <c r="D137" s="9"/>
      <c r="E137" s="9"/>
      <c r="F137" s="9"/>
      <c r="G137" s="9"/>
      <c r="H137" s="260" t="s">
        <v>739</v>
      </c>
      <c r="I137" s="260"/>
      <c r="J137" s="260"/>
      <c r="K137" s="260"/>
      <c r="L137" s="261">
        <v>168.1</v>
      </c>
      <c r="M137" s="261">
        <v>155.6</v>
      </c>
      <c r="N137" s="261">
        <v>135.80000000000001</v>
      </c>
      <c r="O137" s="261">
        <v>149.30000000000001</v>
      </c>
      <c r="P137" s="260">
        <v>608.6</v>
      </c>
      <c r="Q137" s="261">
        <f t="shared" ref="Q137:R139" si="181">Q140+Q149+Q158</f>
        <v>143.10000000000002</v>
      </c>
      <c r="R137" s="261">
        <f t="shared" si="181"/>
        <v>127.5</v>
      </c>
      <c r="S137" s="261">
        <f t="shared" ref="S137:U139" si="182">S161+S140+S164+S149+S158</f>
        <v>117.2</v>
      </c>
      <c r="T137" s="261">
        <f t="shared" si="182"/>
        <v>126.8</v>
      </c>
      <c r="U137" s="262">
        <f t="shared" si="182"/>
        <v>514.4</v>
      </c>
      <c r="V137" s="261">
        <f t="shared" ref="V137:Y139" si="183">V140+V149+V143+V158</f>
        <v>321.2</v>
      </c>
      <c r="W137" s="261">
        <f t="shared" si="183"/>
        <v>414.70000000000005</v>
      </c>
      <c r="X137" s="261">
        <f t="shared" si="183"/>
        <v>418.8</v>
      </c>
      <c r="Y137" s="261">
        <f t="shared" si="183"/>
        <v>469.29999999999995</v>
      </c>
      <c r="Z137" s="262">
        <f>Z161+Z140+Z143+Z164+Z149+Z158</f>
        <v>1623.8999999999999</v>
      </c>
      <c r="AA137" s="261">
        <f t="shared" ref="AA137:AD139" si="184">AA140+AA149+AA143+AA158</f>
        <v>462</v>
      </c>
      <c r="AB137" s="261">
        <f t="shared" si="184"/>
        <v>476.70000000000005</v>
      </c>
      <c r="AC137" s="261">
        <f t="shared" si="184"/>
        <v>477.50000000000006</v>
      </c>
      <c r="AD137" s="261">
        <f t="shared" si="184"/>
        <v>466.6</v>
      </c>
      <c r="AE137" s="262">
        <f>AE161+AE140+AE143+AE164+AE149+AE158</f>
        <v>1882.7</v>
      </c>
      <c r="AF137" s="261">
        <f t="shared" ref="AF137:AT137" si="185">AF140+AF149+AF143+AF158+AF146</f>
        <v>454.99999999999994</v>
      </c>
      <c r="AG137" s="261">
        <f t="shared" si="185"/>
        <v>454.09</v>
      </c>
      <c r="AH137" s="261">
        <f t="shared" si="185"/>
        <v>510.00000000000006</v>
      </c>
      <c r="AI137" s="261">
        <f t="shared" si="185"/>
        <v>552</v>
      </c>
      <c r="AJ137" s="262">
        <f t="shared" si="185"/>
        <v>1971.0900000000001</v>
      </c>
      <c r="AK137" s="261">
        <f t="shared" si="185"/>
        <v>519.69999999999993</v>
      </c>
      <c r="AL137" s="261">
        <f t="shared" si="185"/>
        <v>530.20000000000005</v>
      </c>
      <c r="AM137" s="261">
        <f t="shared" si="185"/>
        <v>516.5</v>
      </c>
      <c r="AN137" s="261">
        <f t="shared" si="185"/>
        <v>599.5</v>
      </c>
      <c r="AO137" s="709">
        <f t="shared" si="185"/>
        <v>2165.9</v>
      </c>
      <c r="AP137" s="708">
        <f t="shared" si="185"/>
        <v>577.9</v>
      </c>
      <c r="AQ137" s="708">
        <f t="shared" si="185"/>
        <v>636.19999999999993</v>
      </c>
      <c r="AR137" s="708">
        <f t="shared" si="185"/>
        <v>624.9</v>
      </c>
      <c r="AS137" s="708">
        <f t="shared" si="185"/>
        <v>647.5</v>
      </c>
      <c r="AT137" s="709">
        <f t="shared" si="185"/>
        <v>2486.5</v>
      </c>
      <c r="AU137" s="708">
        <f t="shared" ref="AU137:BH137" si="186">AU138+AU139</f>
        <v>638.6</v>
      </c>
      <c r="AV137" s="708">
        <f t="shared" si="186"/>
        <v>646.9</v>
      </c>
      <c r="AW137" s="708">
        <f t="shared" si="186"/>
        <v>650.9</v>
      </c>
      <c r="AX137" s="708">
        <f t="shared" si="186"/>
        <v>696</v>
      </c>
      <c r="AY137" s="709">
        <f t="shared" si="186"/>
        <v>2632.3999999999996</v>
      </c>
      <c r="AZ137" s="708">
        <f t="shared" si="186"/>
        <v>693.90000000000009</v>
      </c>
      <c r="BA137" s="708">
        <f t="shared" si="186"/>
        <v>731.3</v>
      </c>
      <c r="BB137" s="708">
        <f t="shared" si="186"/>
        <v>715.6</v>
      </c>
      <c r="BC137" s="708">
        <f t="shared" si="186"/>
        <v>782.3</v>
      </c>
      <c r="BD137" s="709">
        <f t="shared" si="186"/>
        <v>2923.1000000000004</v>
      </c>
      <c r="BE137" s="708">
        <f>BE138+BE139</f>
        <v>712.8</v>
      </c>
      <c r="BF137" s="708">
        <f t="shared" si="186"/>
        <v>765.3</v>
      </c>
      <c r="BG137" s="708">
        <f t="shared" si="186"/>
        <v>757.2</v>
      </c>
      <c r="BH137" s="708">
        <f t="shared" si="186"/>
        <v>818.3</v>
      </c>
      <c r="BI137" s="709">
        <f t="shared" ref="BI137:CH137" si="187">BI138+BI139</f>
        <v>3053.6</v>
      </c>
      <c r="BJ137" s="708">
        <f t="shared" si="187"/>
        <v>715.2</v>
      </c>
      <c r="BK137" s="708">
        <f t="shared" si="187"/>
        <v>763.2</v>
      </c>
      <c r="BL137" s="708">
        <f t="shared" si="187"/>
        <v>759.90000000000009</v>
      </c>
      <c r="BM137" s="708">
        <f t="shared" si="187"/>
        <v>829.7</v>
      </c>
      <c r="BN137" s="709">
        <f t="shared" si="187"/>
        <v>3068</v>
      </c>
      <c r="BO137" s="708">
        <f t="shared" si="187"/>
        <v>754.2</v>
      </c>
      <c r="BP137" s="708">
        <f t="shared" si="187"/>
        <v>827.3</v>
      </c>
      <c r="BQ137" s="708">
        <f t="shared" si="187"/>
        <v>773.5</v>
      </c>
      <c r="BR137" s="708">
        <f t="shared" si="187"/>
        <v>870.40000000000009</v>
      </c>
      <c r="BS137" s="709">
        <f t="shared" si="187"/>
        <v>3225.4</v>
      </c>
      <c r="BT137" s="708">
        <f t="shared" si="187"/>
        <v>697.2</v>
      </c>
      <c r="BU137" s="708">
        <f t="shared" si="187"/>
        <v>812.5</v>
      </c>
      <c r="BV137" s="708">
        <f t="shared" si="187"/>
        <v>662.9</v>
      </c>
      <c r="BW137" s="708">
        <f t="shared" si="187"/>
        <v>698.7</v>
      </c>
      <c r="BX137" s="709">
        <f t="shared" si="187"/>
        <v>2871.3</v>
      </c>
      <c r="BY137" s="708">
        <f t="shared" si="187"/>
        <v>561.5</v>
      </c>
      <c r="BZ137" s="708">
        <f t="shared" si="187"/>
        <v>533.02</v>
      </c>
      <c r="CA137" s="708">
        <f t="shared" si="187"/>
        <v>422.08399999999995</v>
      </c>
      <c r="CB137" s="708">
        <f t="shared" si="187"/>
        <v>229.93400000000005</v>
      </c>
      <c r="CC137" s="709">
        <f t="shared" si="187"/>
        <v>1746.538</v>
      </c>
      <c r="CD137" s="709">
        <f t="shared" si="187"/>
        <v>691.90919999999994</v>
      </c>
      <c r="CE137" s="709">
        <f t="shared" si="187"/>
        <v>588.41256199999998</v>
      </c>
      <c r="CF137" s="709">
        <f t="shared" si="187"/>
        <v>546.49956524000004</v>
      </c>
      <c r="CG137" s="709">
        <f t="shared" si="187"/>
        <v>525.42037724000011</v>
      </c>
      <c r="CH137" s="709">
        <f t="shared" si="187"/>
        <v>519.72167804000014</v>
      </c>
      <c r="EX137" s="1261" t="s">
        <v>739</v>
      </c>
    </row>
    <row r="138" spans="1:154" ht="12.75" customHeight="1">
      <c r="A138" s="9"/>
      <c r="B138" s="9"/>
      <c r="C138" s="9"/>
      <c r="D138" s="9"/>
      <c r="E138" s="9"/>
      <c r="F138" s="9"/>
      <c r="G138" s="9"/>
      <c r="H138" s="257" t="s">
        <v>231</v>
      </c>
      <c r="I138" s="257"/>
      <c r="J138" s="257"/>
      <c r="K138" s="257"/>
      <c r="L138" s="258">
        <v>63.5</v>
      </c>
      <c r="M138" s="258">
        <v>65</v>
      </c>
      <c r="N138" s="258">
        <v>55.6</v>
      </c>
      <c r="O138" s="258">
        <v>54.7</v>
      </c>
      <c r="P138" s="303">
        <v>238.6</v>
      </c>
      <c r="Q138" s="258">
        <f t="shared" si="181"/>
        <v>57.5</v>
      </c>
      <c r="R138" s="258">
        <f t="shared" si="181"/>
        <v>53.400000000000006</v>
      </c>
      <c r="S138" s="258">
        <f t="shared" si="182"/>
        <v>49.400000000000006</v>
      </c>
      <c r="T138" s="258">
        <f t="shared" si="182"/>
        <v>53.8</v>
      </c>
      <c r="U138" s="79">
        <f t="shared" si="182"/>
        <v>213.9</v>
      </c>
      <c r="V138" s="258">
        <f t="shared" si="183"/>
        <v>118.30000000000001</v>
      </c>
      <c r="W138" s="258">
        <f t="shared" si="183"/>
        <v>160.89999999999998</v>
      </c>
      <c r="X138" s="258">
        <f t="shared" si="183"/>
        <v>155.9</v>
      </c>
      <c r="Y138" s="258">
        <f t="shared" si="183"/>
        <v>178.5</v>
      </c>
      <c r="Z138" s="79">
        <f>Z162+Z141+Z144+Z165+Z150+Z159</f>
        <v>613.49999999999989</v>
      </c>
      <c r="AA138" s="258">
        <f t="shared" si="184"/>
        <v>175.9</v>
      </c>
      <c r="AB138" s="258">
        <f t="shared" si="184"/>
        <v>168.9</v>
      </c>
      <c r="AC138" s="258">
        <f t="shared" si="184"/>
        <v>174.50000000000003</v>
      </c>
      <c r="AD138" s="258">
        <f t="shared" si="184"/>
        <v>185.20000000000002</v>
      </c>
      <c r="AE138" s="79">
        <f>AE162+AE141+AE144+AE165+AE150+AE159</f>
        <v>704.4</v>
      </c>
      <c r="AF138" s="258">
        <f t="shared" ref="AF138:AT138" si="188">AF141+AF150+AF144+AF159+AF147</f>
        <v>188.7</v>
      </c>
      <c r="AG138" s="258">
        <f t="shared" si="188"/>
        <v>182.70000000000002</v>
      </c>
      <c r="AH138" s="258">
        <f t="shared" si="188"/>
        <v>216.1</v>
      </c>
      <c r="AI138" s="258">
        <f t="shared" si="188"/>
        <v>214.4</v>
      </c>
      <c r="AJ138" s="79">
        <f t="shared" si="188"/>
        <v>801.9</v>
      </c>
      <c r="AK138" s="258">
        <f t="shared" si="188"/>
        <v>199.20000000000002</v>
      </c>
      <c r="AL138" s="258">
        <f t="shared" si="188"/>
        <v>215</v>
      </c>
      <c r="AM138" s="258">
        <f t="shared" si="188"/>
        <v>209.79999999999998</v>
      </c>
      <c r="AN138" s="258">
        <f t="shared" si="188"/>
        <v>260.8</v>
      </c>
      <c r="AO138" s="410">
        <f t="shared" si="188"/>
        <v>884.80000000000007</v>
      </c>
      <c r="AP138" s="383">
        <f t="shared" si="188"/>
        <v>233.8</v>
      </c>
      <c r="AQ138" s="383">
        <f t="shared" si="188"/>
        <v>265.89999999999998</v>
      </c>
      <c r="AR138" s="383">
        <f t="shared" si="188"/>
        <v>254.3</v>
      </c>
      <c r="AS138" s="383">
        <f t="shared" si="188"/>
        <v>285.79999999999995</v>
      </c>
      <c r="AT138" s="410">
        <f t="shared" si="188"/>
        <v>1039.8</v>
      </c>
      <c r="AU138" s="391">
        <v>294.60000000000002</v>
      </c>
      <c r="AV138" s="391">
        <v>293.7</v>
      </c>
      <c r="AW138" s="391">
        <v>311.39999999999998</v>
      </c>
      <c r="AX138" s="391">
        <v>324.10000000000002</v>
      </c>
      <c r="AY138" s="410">
        <f>AY141+AY150+AY144+AY147</f>
        <v>1223.8</v>
      </c>
      <c r="AZ138" s="391">
        <v>326.10000000000002</v>
      </c>
      <c r="BA138" s="391">
        <v>348.1</v>
      </c>
      <c r="BB138" s="391">
        <v>355.3</v>
      </c>
      <c r="BC138" s="391">
        <v>405.3</v>
      </c>
      <c r="BD138" s="410">
        <f>BD141+BD150+BD144+BD147</f>
        <v>1434.8000000000002</v>
      </c>
      <c r="BE138" s="391">
        <v>310.10000000000002</v>
      </c>
      <c r="BF138" s="391">
        <v>387.8</v>
      </c>
      <c r="BG138" s="391">
        <v>368.3</v>
      </c>
      <c r="BH138" s="391">
        <v>445.7</v>
      </c>
      <c r="BI138" s="410">
        <f>BI141+BI150+BI144+BI147</f>
        <v>1511.9</v>
      </c>
      <c r="BJ138" s="1068">
        <v>357.5</v>
      </c>
      <c r="BK138" s="1068">
        <v>432.6</v>
      </c>
      <c r="BL138" s="1068">
        <v>440.8</v>
      </c>
      <c r="BM138" s="1068">
        <v>524</v>
      </c>
      <c r="BN138" s="410">
        <f>BN141+BN150+BN144+BN147</f>
        <v>1754.9</v>
      </c>
      <c r="BO138" s="1068">
        <v>444.7</v>
      </c>
      <c r="BP138" s="1068">
        <v>516.1</v>
      </c>
      <c r="BQ138" s="1068">
        <v>475.5</v>
      </c>
      <c r="BR138" s="1068">
        <v>555.1</v>
      </c>
      <c r="BS138" s="410">
        <f>BS141+BS150+BS144+BS147</f>
        <v>1991.4</v>
      </c>
      <c r="BT138" s="1068">
        <v>422.7</v>
      </c>
      <c r="BU138" s="1068">
        <v>518.70000000000005</v>
      </c>
      <c r="BV138" s="1068">
        <v>367.2</v>
      </c>
      <c r="BW138" s="1068">
        <v>414.1</v>
      </c>
      <c r="BX138" s="410">
        <f>BX141+BX150+BX144+BX147</f>
        <v>1722.7</v>
      </c>
      <c r="BY138" s="1068">
        <f>329.6</f>
        <v>329.6</v>
      </c>
      <c r="BZ138" s="383">
        <f t="shared" ref="BZ138:CH138" si="189">BZ141+BZ150+BZ144+BZ147</f>
        <v>343.65000000000003</v>
      </c>
      <c r="CA138" s="383">
        <f t="shared" si="189"/>
        <v>253.13999999999996</v>
      </c>
      <c r="CB138" s="383">
        <f t="shared" si="189"/>
        <v>69.470000000000056</v>
      </c>
      <c r="CC138" s="410">
        <f t="shared" si="189"/>
        <v>995.86000000000013</v>
      </c>
      <c r="CD138" s="410">
        <f t="shared" si="189"/>
        <v>115.49280000000009</v>
      </c>
      <c r="CE138" s="410">
        <f t="shared" si="189"/>
        <v>92.129600000000096</v>
      </c>
      <c r="CF138" s="410">
        <f t="shared" si="189"/>
        <v>80.955680000000086</v>
      </c>
      <c r="CG138" s="410">
        <f t="shared" si="189"/>
        <v>74.251328000000086</v>
      </c>
      <c r="CH138" s="410">
        <f t="shared" si="189"/>
        <v>68.552628800000093</v>
      </c>
      <c r="EX138" s="1261"/>
    </row>
    <row r="139" spans="1:154" ht="12.75" customHeight="1">
      <c r="A139" s="9"/>
      <c r="B139" s="9"/>
      <c r="C139" s="9"/>
      <c r="D139" s="9"/>
      <c r="E139" s="9"/>
      <c r="F139" s="9"/>
      <c r="G139" s="9"/>
      <c r="H139" s="257" t="s">
        <v>232</v>
      </c>
      <c r="I139" s="257"/>
      <c r="J139" s="257"/>
      <c r="K139" s="257"/>
      <c r="L139" s="258">
        <v>104.6</v>
      </c>
      <c r="M139" s="258">
        <v>90.6</v>
      </c>
      <c r="N139" s="258">
        <v>80.2</v>
      </c>
      <c r="O139" s="258">
        <v>94.6</v>
      </c>
      <c r="P139" s="303">
        <v>370</v>
      </c>
      <c r="Q139" s="258">
        <f t="shared" si="181"/>
        <v>85.6</v>
      </c>
      <c r="R139" s="258">
        <f t="shared" si="181"/>
        <v>74.099999999999994</v>
      </c>
      <c r="S139" s="258">
        <f t="shared" si="182"/>
        <v>67.8</v>
      </c>
      <c r="T139" s="258">
        <f t="shared" si="182"/>
        <v>73</v>
      </c>
      <c r="U139" s="79">
        <f t="shared" si="182"/>
        <v>300.49999999999994</v>
      </c>
      <c r="V139" s="258">
        <f t="shared" si="183"/>
        <v>202.89999999999998</v>
      </c>
      <c r="W139" s="258">
        <f t="shared" si="183"/>
        <v>253.79999999999998</v>
      </c>
      <c r="X139" s="258">
        <f t="shared" si="183"/>
        <v>262.90000000000003</v>
      </c>
      <c r="Y139" s="258">
        <f t="shared" si="183"/>
        <v>290.8</v>
      </c>
      <c r="Z139" s="79">
        <f>Z163+Z142+Z145+Z166+Z151+Z160</f>
        <v>1010.4</v>
      </c>
      <c r="AA139" s="258">
        <f t="shared" si="184"/>
        <v>286.10000000000002</v>
      </c>
      <c r="AB139" s="258">
        <f t="shared" si="184"/>
        <v>307.8</v>
      </c>
      <c r="AC139" s="258">
        <f t="shared" si="184"/>
        <v>303</v>
      </c>
      <c r="AD139" s="258">
        <f t="shared" si="184"/>
        <v>281.39999999999998</v>
      </c>
      <c r="AE139" s="79">
        <f>AE163+AE142+AE145+AE166+AE151+AE160</f>
        <v>1178.3000000000002</v>
      </c>
      <c r="AF139" s="258">
        <f t="shared" ref="AF139:AT139" si="190">AF142+AF151+AF145+AF160+AF148</f>
        <v>266.3</v>
      </c>
      <c r="AG139" s="258">
        <f t="shared" si="190"/>
        <v>271.39</v>
      </c>
      <c r="AH139" s="258">
        <f t="shared" si="190"/>
        <v>293.89999999999998</v>
      </c>
      <c r="AI139" s="258">
        <f t="shared" si="190"/>
        <v>337.59999999999997</v>
      </c>
      <c r="AJ139" s="79">
        <f t="shared" si="190"/>
        <v>1169.19</v>
      </c>
      <c r="AK139" s="258">
        <f t="shared" si="190"/>
        <v>320.5</v>
      </c>
      <c r="AL139" s="258">
        <f t="shared" si="190"/>
        <v>315.20000000000005</v>
      </c>
      <c r="AM139" s="258">
        <f t="shared" si="190"/>
        <v>306.7</v>
      </c>
      <c r="AN139" s="258">
        <f t="shared" si="190"/>
        <v>338.7</v>
      </c>
      <c r="AO139" s="410">
        <f t="shared" si="190"/>
        <v>1281.0999999999999</v>
      </c>
      <c r="AP139" s="383">
        <f t="shared" si="190"/>
        <v>344.1</v>
      </c>
      <c r="AQ139" s="383">
        <f t="shared" si="190"/>
        <v>370.3</v>
      </c>
      <c r="AR139" s="383">
        <f t="shared" si="190"/>
        <v>370.60000000000008</v>
      </c>
      <c r="AS139" s="383">
        <f t="shared" si="190"/>
        <v>361.7</v>
      </c>
      <c r="AT139" s="410">
        <f t="shared" si="190"/>
        <v>1446.7</v>
      </c>
      <c r="AU139" s="391">
        <v>344</v>
      </c>
      <c r="AV139" s="391">
        <v>353.2</v>
      </c>
      <c r="AW139" s="391">
        <v>339.5</v>
      </c>
      <c r="AX139" s="391">
        <v>371.9</v>
      </c>
      <c r="AY139" s="410">
        <f>AY142+AY151+AY145+AY148</f>
        <v>1408.6</v>
      </c>
      <c r="AZ139" s="391">
        <v>367.8</v>
      </c>
      <c r="BA139" s="391">
        <v>383.2</v>
      </c>
      <c r="BB139" s="391">
        <v>360.3</v>
      </c>
      <c r="BC139" s="391">
        <v>377</v>
      </c>
      <c r="BD139" s="410">
        <f>BD142+BD151+BD145+BD148</f>
        <v>1488.3</v>
      </c>
      <c r="BE139" s="391">
        <v>402.7</v>
      </c>
      <c r="BF139" s="391">
        <v>377.5</v>
      </c>
      <c r="BG139" s="391">
        <v>388.9</v>
      </c>
      <c r="BH139" s="391">
        <v>372.6</v>
      </c>
      <c r="BI139" s="410">
        <f>BI142+BI151+BI145+BI148</f>
        <v>1541.6999999999998</v>
      </c>
      <c r="BJ139" s="1068">
        <v>357.7</v>
      </c>
      <c r="BK139" s="1068">
        <v>330.6</v>
      </c>
      <c r="BL139" s="1068">
        <v>319.10000000000002</v>
      </c>
      <c r="BM139" s="1068">
        <v>305.7</v>
      </c>
      <c r="BN139" s="410">
        <f>BN142+BN151+BN145+BN148</f>
        <v>1313.1</v>
      </c>
      <c r="BO139" s="1068">
        <v>309.5</v>
      </c>
      <c r="BP139" s="1068">
        <v>311.2</v>
      </c>
      <c r="BQ139" s="1068">
        <v>298</v>
      </c>
      <c r="BR139" s="1068">
        <v>315.3</v>
      </c>
      <c r="BS139" s="410">
        <f>BS142+BS151+BS145+BS148</f>
        <v>1234</v>
      </c>
      <c r="BT139" s="1068">
        <v>274.5</v>
      </c>
      <c r="BU139" s="1068">
        <v>293.8</v>
      </c>
      <c r="BV139" s="1068">
        <v>295.7</v>
      </c>
      <c r="BW139" s="1068">
        <v>284.60000000000002</v>
      </c>
      <c r="BX139" s="410">
        <f>BX142+BX151+BX145+BX148</f>
        <v>1148.5999999999999</v>
      </c>
      <c r="BY139" s="1068">
        <f>231.9</f>
        <v>231.9</v>
      </c>
      <c r="BZ139" s="383">
        <f t="shared" ref="BZ139:CH139" si="191">BZ142+BZ151+BZ145+BZ148</f>
        <v>189.36999999999998</v>
      </c>
      <c r="CA139" s="383">
        <f t="shared" si="191"/>
        <v>168.94399999999999</v>
      </c>
      <c r="CB139" s="383">
        <f t="shared" si="191"/>
        <v>160.464</v>
      </c>
      <c r="CC139" s="410">
        <f t="shared" si="191"/>
        <v>750.67799999999988</v>
      </c>
      <c r="CD139" s="410">
        <f t="shared" si="191"/>
        <v>576.41639999999984</v>
      </c>
      <c r="CE139" s="410">
        <f t="shared" si="191"/>
        <v>496.28296199999994</v>
      </c>
      <c r="CF139" s="410">
        <f t="shared" si="191"/>
        <v>465.54388523999995</v>
      </c>
      <c r="CG139" s="410">
        <f t="shared" si="191"/>
        <v>451.16904923999999</v>
      </c>
      <c r="CH139" s="410">
        <f t="shared" si="191"/>
        <v>451.16904923999999</v>
      </c>
      <c r="EX139" s="1261"/>
    </row>
    <row r="140" spans="1:154" s="15" customFormat="1" ht="12.75" customHeight="1">
      <c r="A140" s="9"/>
      <c r="B140" s="9"/>
      <c r="C140" s="9"/>
      <c r="D140" s="9"/>
      <c r="E140" s="9"/>
      <c r="F140" s="9"/>
      <c r="G140" s="9"/>
      <c r="H140" s="266" t="s">
        <v>740</v>
      </c>
      <c r="I140" s="266"/>
      <c r="J140" s="266"/>
      <c r="K140" s="266"/>
      <c r="L140" s="265">
        <v>76.7</v>
      </c>
      <c r="M140" s="265">
        <v>77.7</v>
      </c>
      <c r="N140" s="265">
        <v>70.900000000000006</v>
      </c>
      <c r="O140" s="265">
        <v>71.400000000000006</v>
      </c>
      <c r="P140" s="266">
        <v>296.7</v>
      </c>
      <c r="Q140" s="265">
        <f t="shared" ref="Q140:AJ140" si="192">Q141+Q142</f>
        <v>74.2</v>
      </c>
      <c r="R140" s="265">
        <f t="shared" si="192"/>
        <v>72.3</v>
      </c>
      <c r="S140" s="265">
        <f t="shared" si="192"/>
        <v>66.900000000000006</v>
      </c>
      <c r="T140" s="265">
        <f t="shared" si="192"/>
        <v>67.099999999999994</v>
      </c>
      <c r="U140" s="264">
        <f t="shared" si="192"/>
        <v>280.5</v>
      </c>
      <c r="V140" s="265">
        <f t="shared" si="192"/>
        <v>69.400000000000006</v>
      </c>
      <c r="W140" s="265">
        <f t="shared" si="192"/>
        <v>69.400000000000006</v>
      </c>
      <c r="X140" s="265">
        <f t="shared" si="192"/>
        <v>60.099999999999994</v>
      </c>
      <c r="Y140" s="265">
        <f t="shared" si="192"/>
        <v>71.3</v>
      </c>
      <c r="Z140" s="264">
        <f t="shared" si="192"/>
        <v>270.20000000000005</v>
      </c>
      <c r="AA140" s="265">
        <f t="shared" si="192"/>
        <v>68.900000000000006</v>
      </c>
      <c r="AB140" s="265">
        <f t="shared" si="192"/>
        <v>67.599999999999994</v>
      </c>
      <c r="AC140" s="265">
        <f t="shared" si="192"/>
        <v>60.400000000000006</v>
      </c>
      <c r="AD140" s="265">
        <f t="shared" si="192"/>
        <v>59.5</v>
      </c>
      <c r="AE140" s="264">
        <f t="shared" si="192"/>
        <v>256.40000000000003</v>
      </c>
      <c r="AF140" s="265">
        <f t="shared" si="192"/>
        <v>57.9</v>
      </c>
      <c r="AG140" s="265">
        <f t="shared" si="192"/>
        <v>57.599999999999994</v>
      </c>
      <c r="AH140" s="265">
        <f t="shared" si="192"/>
        <v>53.900000000000006</v>
      </c>
      <c r="AI140" s="265">
        <f t="shared" si="192"/>
        <v>62.2</v>
      </c>
      <c r="AJ140" s="264">
        <f t="shared" si="192"/>
        <v>231.6</v>
      </c>
      <c r="AK140" s="265">
        <f t="shared" ref="AK140:AT140" si="193">AK141+AK142</f>
        <v>59.5</v>
      </c>
      <c r="AL140" s="265">
        <f t="shared" si="193"/>
        <v>50.2</v>
      </c>
      <c r="AM140" s="265">
        <f t="shared" si="193"/>
        <v>44.6</v>
      </c>
      <c r="AN140" s="265">
        <f t="shared" si="193"/>
        <v>51</v>
      </c>
      <c r="AO140" s="703">
        <f t="shared" si="193"/>
        <v>205.3</v>
      </c>
      <c r="AP140" s="455">
        <f t="shared" si="193"/>
        <v>47.4</v>
      </c>
      <c r="AQ140" s="455">
        <f>AQ141+AQ142</f>
        <v>47.8</v>
      </c>
      <c r="AR140" s="455">
        <f t="shared" si="193"/>
        <v>38.200000000000003</v>
      </c>
      <c r="AS140" s="455">
        <f>AS141+AS142</f>
        <v>40</v>
      </c>
      <c r="AT140" s="703">
        <f t="shared" si="193"/>
        <v>173.39999999999998</v>
      </c>
      <c r="AU140" s="455">
        <f t="shared" ref="AU140:BH140" si="194">AU141+AU142</f>
        <v>38.6</v>
      </c>
      <c r="AV140" s="455">
        <f t="shared" si="194"/>
        <v>40.299999999999997</v>
      </c>
      <c r="AW140" s="455">
        <f t="shared" si="194"/>
        <v>32</v>
      </c>
      <c r="AX140" s="455">
        <f t="shared" si="194"/>
        <v>32.200000000000003</v>
      </c>
      <c r="AY140" s="703">
        <f t="shared" si="194"/>
        <v>143.10000000000002</v>
      </c>
      <c r="AZ140" s="455">
        <f t="shared" si="194"/>
        <v>33.5</v>
      </c>
      <c r="BA140" s="455">
        <f t="shared" si="194"/>
        <v>32.9</v>
      </c>
      <c r="BB140" s="455">
        <f t="shared" si="194"/>
        <v>31.6</v>
      </c>
      <c r="BC140" s="455">
        <f t="shared" si="194"/>
        <v>28.9</v>
      </c>
      <c r="BD140" s="703">
        <f t="shared" si="194"/>
        <v>126.9</v>
      </c>
      <c r="BE140" s="455">
        <f>BE141+BE142</f>
        <v>28.299999999999997</v>
      </c>
      <c r="BF140" s="455">
        <f t="shared" si="194"/>
        <v>29.200000000000003</v>
      </c>
      <c r="BG140" s="455">
        <f>BG141+BG142</f>
        <v>24.299999999999997</v>
      </c>
      <c r="BH140" s="455">
        <f t="shared" si="194"/>
        <v>28.8</v>
      </c>
      <c r="BI140" s="703">
        <f t="shared" ref="BI140:BX140" si="195">BI141+BI142</f>
        <v>110.6</v>
      </c>
      <c r="BJ140" s="455">
        <f t="shared" si="195"/>
        <v>21.9</v>
      </c>
      <c r="BK140" s="455">
        <f t="shared" si="195"/>
        <v>26</v>
      </c>
      <c r="BL140" s="455">
        <f t="shared" si="195"/>
        <v>23.6</v>
      </c>
      <c r="BM140" s="455">
        <f t="shared" si="195"/>
        <v>26.1</v>
      </c>
      <c r="BN140" s="703">
        <f t="shared" si="195"/>
        <v>97.6</v>
      </c>
      <c r="BO140" s="455">
        <f t="shared" si="195"/>
        <v>17.799999999999997</v>
      </c>
      <c r="BP140" s="455">
        <f t="shared" si="195"/>
        <v>25.6</v>
      </c>
      <c r="BQ140" s="455">
        <f t="shared" si="195"/>
        <v>21</v>
      </c>
      <c r="BR140" s="455">
        <f t="shared" si="195"/>
        <v>22.1</v>
      </c>
      <c r="BS140" s="703">
        <f t="shared" si="195"/>
        <v>86.5</v>
      </c>
      <c r="BT140" s="455">
        <f t="shared" si="195"/>
        <v>4.9000000000000004</v>
      </c>
      <c r="BU140" s="455">
        <f t="shared" si="195"/>
        <v>2.6</v>
      </c>
      <c r="BV140" s="455">
        <f t="shared" si="195"/>
        <v>0.5</v>
      </c>
      <c r="BW140" s="455">
        <f t="shared" si="195"/>
        <v>0.29999999999999982</v>
      </c>
      <c r="BX140" s="703">
        <f t="shared" si="195"/>
        <v>8.3000000000000007</v>
      </c>
      <c r="BY140" s="866"/>
      <c r="BZ140" s="866"/>
      <c r="CA140" s="866"/>
      <c r="CB140" s="866"/>
      <c r="CC140" s="867"/>
      <c r="CD140" s="867"/>
      <c r="CE140" s="867"/>
      <c r="CF140" s="867"/>
      <c r="CG140" s="867"/>
      <c r="CH140" s="867"/>
      <c r="EX140" s="1261" t="s">
        <v>740</v>
      </c>
    </row>
    <row r="141" spans="1:154" ht="12.75" customHeight="1">
      <c r="A141" s="9"/>
      <c r="B141" s="9"/>
      <c r="C141" s="9"/>
      <c r="D141" s="9"/>
      <c r="E141" s="9"/>
      <c r="F141" s="9"/>
      <c r="G141" s="9"/>
      <c r="H141" s="257" t="s">
        <v>1173</v>
      </c>
      <c r="I141" s="257"/>
      <c r="J141" s="257"/>
      <c r="K141" s="257"/>
      <c r="L141" s="263">
        <v>28.7</v>
      </c>
      <c r="M141" s="263">
        <v>31.7</v>
      </c>
      <c r="N141" s="263">
        <v>32</v>
      </c>
      <c r="O141" s="263">
        <v>27.3</v>
      </c>
      <c r="P141" s="259">
        <v>119.7</v>
      </c>
      <c r="Q141" s="263">
        <v>29.6</v>
      </c>
      <c r="R141" s="263">
        <v>28.3</v>
      </c>
      <c r="S141" s="263">
        <v>26.6</v>
      </c>
      <c r="T141" s="263">
        <v>26</v>
      </c>
      <c r="U141" s="259">
        <f>SUM(Q141:T141)</f>
        <v>110.5</v>
      </c>
      <c r="V141" s="263">
        <v>25.9</v>
      </c>
      <c r="W141" s="263">
        <v>26</v>
      </c>
      <c r="X141" s="263">
        <v>19.3</v>
      </c>
      <c r="Y141" s="263">
        <v>23.2</v>
      </c>
      <c r="Z141" s="259">
        <f>SUM(V141:Y141)</f>
        <v>94.4</v>
      </c>
      <c r="AA141" s="263">
        <v>22.3</v>
      </c>
      <c r="AB141" s="263">
        <v>21.3</v>
      </c>
      <c r="AC141" s="263">
        <v>18.7</v>
      </c>
      <c r="AD141" s="263">
        <v>19.100000000000001</v>
      </c>
      <c r="AE141" s="79">
        <f>SUM(AA141:AD141)</f>
        <v>81.400000000000006</v>
      </c>
      <c r="AF141" s="263">
        <v>20.399999999999999</v>
      </c>
      <c r="AG141" s="263">
        <v>19.3</v>
      </c>
      <c r="AH141" s="263">
        <v>16.7</v>
      </c>
      <c r="AI141" s="263">
        <v>20</v>
      </c>
      <c r="AJ141" s="79">
        <f>SUM(AF141:AI141)</f>
        <v>76.400000000000006</v>
      </c>
      <c r="AK141" s="263">
        <v>20.3</v>
      </c>
      <c r="AL141" s="263">
        <v>14.5</v>
      </c>
      <c r="AM141" s="263">
        <v>14.6</v>
      </c>
      <c r="AN141" s="263">
        <v>16.399999999999999</v>
      </c>
      <c r="AO141" s="410">
        <f>SUM(AK141:AN141)</f>
        <v>65.8</v>
      </c>
      <c r="AP141" s="391">
        <v>14.4</v>
      </c>
      <c r="AQ141" s="391">
        <v>15</v>
      </c>
      <c r="AR141" s="391">
        <v>9.4</v>
      </c>
      <c r="AS141" s="391">
        <v>12.4</v>
      </c>
      <c r="AT141" s="410">
        <f>SUM(AP141:AS141)</f>
        <v>51.199999999999996</v>
      </c>
      <c r="AU141" s="391">
        <v>12.5</v>
      </c>
      <c r="AV141" s="391">
        <v>13</v>
      </c>
      <c r="AW141" s="391">
        <v>11.2</v>
      </c>
      <c r="AX141" s="391">
        <v>8.5</v>
      </c>
      <c r="AY141" s="410">
        <f>SUM(AU141:AX141)</f>
        <v>45.2</v>
      </c>
      <c r="AZ141" s="391">
        <v>11.4</v>
      </c>
      <c r="BA141" s="391">
        <v>12.2</v>
      </c>
      <c r="BB141" s="391">
        <v>11</v>
      </c>
      <c r="BC141" s="391">
        <v>8.9</v>
      </c>
      <c r="BD141" s="410">
        <f>SUM(AZ141:BC141)</f>
        <v>43.5</v>
      </c>
      <c r="BE141" s="391">
        <v>7.1</v>
      </c>
      <c r="BF141" s="391">
        <v>9.4</v>
      </c>
      <c r="BG141" s="391">
        <v>6.9</v>
      </c>
      <c r="BH141" s="391">
        <v>10.5</v>
      </c>
      <c r="BI141" s="410">
        <f t="shared" ref="BI141:BI151" si="196">SUM(BE141:BH141)</f>
        <v>33.9</v>
      </c>
      <c r="BJ141" s="1068">
        <v>5.7</v>
      </c>
      <c r="BK141" s="1074">
        <v>11.2</v>
      </c>
      <c r="BL141" s="1068">
        <v>9</v>
      </c>
      <c r="BM141" s="1068">
        <v>12.2</v>
      </c>
      <c r="BN141" s="846">
        <f t="shared" ref="BN141:BN151" si="197">SUM(BJ141:BM141)</f>
        <v>38.099999999999994</v>
      </c>
      <c r="BO141" s="1068">
        <v>6.1</v>
      </c>
      <c r="BP141" s="1068">
        <v>11.3</v>
      </c>
      <c r="BQ141" s="1068">
        <v>9.1999999999999993</v>
      </c>
      <c r="BR141" s="1068">
        <v>9.5</v>
      </c>
      <c r="BS141" s="410">
        <f t="shared" ref="BS141:BS151" si="198">SUM(BO141:BR141)</f>
        <v>36.099999999999994</v>
      </c>
      <c r="BT141" s="1068">
        <v>4.2</v>
      </c>
      <c r="BU141" s="1068">
        <v>0</v>
      </c>
      <c r="BV141" s="1068">
        <v>0</v>
      </c>
      <c r="BW141" s="1068">
        <v>-2</v>
      </c>
      <c r="BX141" s="410">
        <f t="shared" ref="BX141:BX151" si="199">SUM(BT141:BW141)</f>
        <v>2.2000000000000002</v>
      </c>
      <c r="BY141" s="1210"/>
      <c r="BZ141" s="871"/>
      <c r="CA141" s="871"/>
      <c r="CB141" s="871"/>
      <c r="CC141" s="870"/>
      <c r="CD141" s="870"/>
      <c r="CE141" s="870"/>
      <c r="CF141" s="870"/>
      <c r="CG141" s="870"/>
      <c r="CH141" s="870"/>
      <c r="EX141" s="1261"/>
    </row>
    <row r="142" spans="1:154" ht="12.75" customHeight="1">
      <c r="A142" s="9"/>
      <c r="B142" s="9"/>
      <c r="C142" s="9"/>
      <c r="D142" s="9"/>
      <c r="E142" s="9"/>
      <c r="F142" s="9"/>
      <c r="G142" s="9"/>
      <c r="H142" s="257" t="s">
        <v>232</v>
      </c>
      <c r="I142" s="257"/>
      <c r="J142" s="257"/>
      <c r="K142" s="257"/>
      <c r="L142" s="263">
        <v>48</v>
      </c>
      <c r="M142" s="263">
        <v>46</v>
      </c>
      <c r="N142" s="263">
        <v>38.9</v>
      </c>
      <c r="O142" s="263">
        <v>44.1</v>
      </c>
      <c r="P142" s="259">
        <v>177</v>
      </c>
      <c r="Q142" s="263">
        <v>44.6</v>
      </c>
      <c r="R142" s="263">
        <v>44</v>
      </c>
      <c r="S142" s="263">
        <v>40.299999999999997</v>
      </c>
      <c r="T142" s="263">
        <v>41.1</v>
      </c>
      <c r="U142" s="259">
        <f>SUM(Q142:T142)</f>
        <v>169.99999999999997</v>
      </c>
      <c r="V142" s="263">
        <v>43.5</v>
      </c>
      <c r="W142" s="263">
        <v>43.4</v>
      </c>
      <c r="X142" s="263">
        <v>40.799999999999997</v>
      </c>
      <c r="Y142" s="263">
        <v>48.1</v>
      </c>
      <c r="Z142" s="259">
        <f>SUM(V142:Y142)</f>
        <v>175.8</v>
      </c>
      <c r="AA142" s="263">
        <v>46.6</v>
      </c>
      <c r="AB142" s="263">
        <v>46.3</v>
      </c>
      <c r="AC142" s="263">
        <v>41.7</v>
      </c>
      <c r="AD142" s="263">
        <v>40.4</v>
      </c>
      <c r="AE142" s="79">
        <f>SUM(AA142:AD142)</f>
        <v>175.00000000000003</v>
      </c>
      <c r="AF142" s="263">
        <v>37.5</v>
      </c>
      <c r="AG142" s="263">
        <v>38.299999999999997</v>
      </c>
      <c r="AH142" s="263">
        <v>37.200000000000003</v>
      </c>
      <c r="AI142" s="263">
        <v>42.2</v>
      </c>
      <c r="AJ142" s="79">
        <f>SUM(AF142:AI142)</f>
        <v>155.19999999999999</v>
      </c>
      <c r="AK142" s="263">
        <v>39.200000000000003</v>
      </c>
      <c r="AL142" s="263">
        <v>35.700000000000003</v>
      </c>
      <c r="AM142" s="263">
        <v>30</v>
      </c>
      <c r="AN142" s="263">
        <v>34.6</v>
      </c>
      <c r="AO142" s="410">
        <f>SUM(AK142:AN142)</f>
        <v>139.5</v>
      </c>
      <c r="AP142" s="391">
        <v>33</v>
      </c>
      <c r="AQ142" s="391">
        <v>32.799999999999997</v>
      </c>
      <c r="AR142" s="391">
        <v>28.8</v>
      </c>
      <c r="AS142" s="391">
        <v>27.6</v>
      </c>
      <c r="AT142" s="410">
        <f>SUM(AP142:AS142)</f>
        <v>122.19999999999999</v>
      </c>
      <c r="AU142" s="391">
        <v>26.1</v>
      </c>
      <c r="AV142" s="391">
        <v>27.3</v>
      </c>
      <c r="AW142" s="391">
        <v>20.8</v>
      </c>
      <c r="AX142" s="391">
        <v>23.7</v>
      </c>
      <c r="AY142" s="410">
        <f>SUM(AU142:AX142)</f>
        <v>97.9</v>
      </c>
      <c r="AZ142" s="391">
        <v>22.1</v>
      </c>
      <c r="BA142" s="391">
        <v>20.7</v>
      </c>
      <c r="BB142" s="391">
        <v>20.6</v>
      </c>
      <c r="BC142" s="391">
        <v>20</v>
      </c>
      <c r="BD142" s="410">
        <f>SUM(AZ142:BC142)</f>
        <v>83.4</v>
      </c>
      <c r="BE142" s="391">
        <v>21.2</v>
      </c>
      <c r="BF142" s="391">
        <v>19.8</v>
      </c>
      <c r="BG142" s="391">
        <v>17.399999999999999</v>
      </c>
      <c r="BH142" s="391">
        <v>18.3</v>
      </c>
      <c r="BI142" s="410">
        <f t="shared" si="196"/>
        <v>76.7</v>
      </c>
      <c r="BJ142" s="1068">
        <v>16.2</v>
      </c>
      <c r="BK142" s="1068">
        <v>14.8</v>
      </c>
      <c r="BL142" s="1068">
        <v>14.6</v>
      </c>
      <c r="BM142" s="1068">
        <v>13.9</v>
      </c>
      <c r="BN142" s="410">
        <f t="shared" si="197"/>
        <v>59.5</v>
      </c>
      <c r="BO142" s="1068">
        <v>11.7</v>
      </c>
      <c r="BP142" s="1068">
        <v>14.3</v>
      </c>
      <c r="BQ142" s="1068">
        <v>11.8</v>
      </c>
      <c r="BR142" s="1068">
        <v>12.6</v>
      </c>
      <c r="BS142" s="410">
        <f t="shared" si="198"/>
        <v>50.4</v>
      </c>
      <c r="BT142" s="1068">
        <v>0.7</v>
      </c>
      <c r="BU142" s="1068">
        <v>2.6</v>
      </c>
      <c r="BV142" s="1068">
        <v>0.5</v>
      </c>
      <c r="BW142" s="1068">
        <v>2.2999999999999998</v>
      </c>
      <c r="BX142" s="410">
        <f t="shared" si="199"/>
        <v>6.1</v>
      </c>
      <c r="BY142" s="1210"/>
      <c r="BZ142" s="871"/>
      <c r="CA142" s="871"/>
      <c r="CB142" s="871"/>
      <c r="CC142" s="870"/>
      <c r="CD142" s="870"/>
      <c r="CE142" s="870"/>
      <c r="CF142" s="870"/>
      <c r="CG142" s="870"/>
      <c r="CH142" s="870"/>
      <c r="EX142" s="1261"/>
    </row>
    <row r="143" spans="1:154" s="37" customFormat="1" ht="12.75" customHeight="1">
      <c r="A143" s="9"/>
      <c r="B143" s="9"/>
      <c r="C143" s="9"/>
      <c r="D143" s="9"/>
      <c r="E143" s="9"/>
      <c r="F143" s="9"/>
      <c r="G143" s="9"/>
      <c r="H143" s="270" t="s">
        <v>742</v>
      </c>
      <c r="I143" s="270"/>
      <c r="J143" s="270"/>
      <c r="K143" s="270"/>
      <c r="L143" s="136"/>
      <c r="M143" s="136"/>
      <c r="N143" s="136"/>
      <c r="O143" s="136"/>
      <c r="P143" s="264"/>
      <c r="Q143" s="265"/>
      <c r="R143" s="265"/>
      <c r="S143" s="265"/>
      <c r="T143" s="265"/>
      <c r="U143" s="264"/>
      <c r="V143" s="265">
        <f t="shared" ref="V143:AJ143" si="200">V144+V145</f>
        <v>193.1</v>
      </c>
      <c r="W143" s="265">
        <f t="shared" si="200"/>
        <v>293.10000000000002</v>
      </c>
      <c r="X143" s="265">
        <f t="shared" si="200"/>
        <v>311.39999999999998</v>
      </c>
      <c r="Y143" s="265">
        <f t="shared" si="200"/>
        <v>346.2</v>
      </c>
      <c r="Z143" s="264">
        <f t="shared" si="200"/>
        <v>1143.8</v>
      </c>
      <c r="AA143" s="265">
        <f t="shared" si="200"/>
        <v>337</v>
      </c>
      <c r="AB143" s="265">
        <f t="shared" si="200"/>
        <v>362.20000000000005</v>
      </c>
      <c r="AC143" s="265">
        <f t="shared" si="200"/>
        <v>376.6</v>
      </c>
      <c r="AD143" s="265">
        <f t="shared" si="200"/>
        <v>368.8</v>
      </c>
      <c r="AE143" s="264">
        <f t="shared" si="200"/>
        <v>1444.6</v>
      </c>
      <c r="AF143" s="265">
        <f t="shared" si="200"/>
        <v>358.79999999999995</v>
      </c>
      <c r="AG143" s="265">
        <f t="shared" si="200"/>
        <v>363.65</v>
      </c>
      <c r="AH143" s="265">
        <f t="shared" si="200"/>
        <v>397.2</v>
      </c>
      <c r="AI143" s="265">
        <f t="shared" si="200"/>
        <v>439.59999999999997</v>
      </c>
      <c r="AJ143" s="264">
        <f t="shared" si="200"/>
        <v>1559.25</v>
      </c>
      <c r="AK143" s="265">
        <f t="shared" ref="AK143:AT143" si="201">AK144+AK145</f>
        <v>408.29999999999995</v>
      </c>
      <c r="AL143" s="265">
        <f t="shared" si="201"/>
        <v>418.7</v>
      </c>
      <c r="AM143" s="265">
        <f t="shared" si="201"/>
        <v>406.5</v>
      </c>
      <c r="AN143" s="265">
        <f t="shared" si="201"/>
        <v>465.9</v>
      </c>
      <c r="AO143" s="703">
        <f t="shared" si="201"/>
        <v>1699.4</v>
      </c>
      <c r="AP143" s="455">
        <f t="shared" si="201"/>
        <v>434.40000000000003</v>
      </c>
      <c r="AQ143" s="455">
        <f>AQ144+AQ145</f>
        <v>477.3</v>
      </c>
      <c r="AR143" s="455">
        <f t="shared" si="201"/>
        <v>469.8</v>
      </c>
      <c r="AS143" s="455">
        <f>AS144+AS145</f>
        <v>494.2</v>
      </c>
      <c r="AT143" s="703">
        <f t="shared" si="201"/>
        <v>1875.7</v>
      </c>
      <c r="AU143" s="455">
        <f t="shared" ref="AU143:BH143" si="202">AU144+AU145</f>
        <v>461.8</v>
      </c>
      <c r="AV143" s="455">
        <f t="shared" si="202"/>
        <v>469.5</v>
      </c>
      <c r="AW143" s="455">
        <f t="shared" si="202"/>
        <v>482.09999999999997</v>
      </c>
      <c r="AX143" s="455">
        <f t="shared" si="202"/>
        <v>513.4</v>
      </c>
      <c r="AY143" s="703">
        <f t="shared" si="202"/>
        <v>1926.7999999999997</v>
      </c>
      <c r="AZ143" s="455">
        <f t="shared" si="202"/>
        <v>515</v>
      </c>
      <c r="BA143" s="455">
        <f t="shared" si="202"/>
        <v>529.4</v>
      </c>
      <c r="BB143" s="455">
        <f t="shared" si="202"/>
        <v>526.70000000000005</v>
      </c>
      <c r="BC143" s="455">
        <f t="shared" si="202"/>
        <v>588.29999999999995</v>
      </c>
      <c r="BD143" s="703">
        <f t="shared" si="202"/>
        <v>2159.4</v>
      </c>
      <c r="BE143" s="455">
        <f>BE144+BE145</f>
        <v>532.40000000000009</v>
      </c>
      <c r="BF143" s="455">
        <f t="shared" si="202"/>
        <v>567.79999999999995</v>
      </c>
      <c r="BG143" s="455">
        <f>BG144+BG145</f>
        <v>568.4</v>
      </c>
      <c r="BH143" s="455">
        <f t="shared" si="202"/>
        <v>622.4</v>
      </c>
      <c r="BI143" s="703">
        <f t="shared" ref="BI143:CH143" si="203">BI144+BI145</f>
        <v>2291</v>
      </c>
      <c r="BJ143" s="455">
        <f t="shared" si="203"/>
        <v>538.29999999999995</v>
      </c>
      <c r="BK143" s="455">
        <f t="shared" si="203"/>
        <v>567.9</v>
      </c>
      <c r="BL143" s="455">
        <f t="shared" si="203"/>
        <v>566.1</v>
      </c>
      <c r="BM143" s="455">
        <f t="shared" si="203"/>
        <v>638.4</v>
      </c>
      <c r="BN143" s="703">
        <f t="shared" si="203"/>
        <v>2310.6999999999998</v>
      </c>
      <c r="BO143" s="455">
        <f t="shared" si="203"/>
        <v>576.70000000000005</v>
      </c>
      <c r="BP143" s="455">
        <f t="shared" si="203"/>
        <v>630.5</v>
      </c>
      <c r="BQ143" s="455">
        <f t="shared" si="203"/>
        <v>588.20000000000005</v>
      </c>
      <c r="BR143" s="455">
        <f t="shared" si="203"/>
        <v>676.3</v>
      </c>
      <c r="BS143" s="703">
        <f t="shared" si="203"/>
        <v>2471.6999999999998</v>
      </c>
      <c r="BT143" s="455">
        <f t="shared" si="203"/>
        <v>533.6</v>
      </c>
      <c r="BU143" s="455">
        <f t="shared" si="203"/>
        <v>627.29999999999995</v>
      </c>
      <c r="BV143" s="455">
        <f t="shared" si="203"/>
        <v>564.90000000000009</v>
      </c>
      <c r="BW143" s="455">
        <f t="shared" si="203"/>
        <v>597.4</v>
      </c>
      <c r="BX143" s="703">
        <f t="shared" si="203"/>
        <v>2323.1999999999998</v>
      </c>
      <c r="BY143" s="455">
        <f t="shared" si="203"/>
        <v>495.4</v>
      </c>
      <c r="BZ143" s="455">
        <f t="shared" si="203"/>
        <v>471.63</v>
      </c>
      <c r="CA143" s="455">
        <f t="shared" si="203"/>
        <v>362.35</v>
      </c>
      <c r="CB143" s="455">
        <f t="shared" si="203"/>
        <v>172.21</v>
      </c>
      <c r="CC143" s="703">
        <f t="shared" si="203"/>
        <v>1501.5900000000001</v>
      </c>
      <c r="CD143" s="703">
        <f t="shared" si="203"/>
        <v>473.79379999999992</v>
      </c>
      <c r="CE143" s="703">
        <f t="shared" si="203"/>
        <v>375.31039999999996</v>
      </c>
      <c r="CF143" s="703">
        <f t="shared" si="203"/>
        <v>332.19239999999996</v>
      </c>
      <c r="CG143" s="703">
        <f t="shared" si="203"/>
        <v>311.11321199999998</v>
      </c>
      <c r="CH143" s="703">
        <f t="shared" si="203"/>
        <v>305.41451279999995</v>
      </c>
      <c r="EX143" s="1261" t="s">
        <v>742</v>
      </c>
    </row>
    <row r="144" spans="1:154" s="56" customFormat="1" ht="12.75" customHeight="1">
      <c r="A144" s="9"/>
      <c r="B144" s="9"/>
      <c r="C144" s="9"/>
      <c r="D144" s="9"/>
      <c r="E144" s="9"/>
      <c r="F144" s="9"/>
      <c r="G144" s="9"/>
      <c r="H144" s="257" t="s">
        <v>1174</v>
      </c>
      <c r="I144" s="257"/>
      <c r="J144" s="257"/>
      <c r="K144" s="257"/>
      <c r="L144" s="272"/>
      <c r="M144" s="272"/>
      <c r="N144" s="272"/>
      <c r="O144" s="272"/>
      <c r="P144" s="259"/>
      <c r="Q144" s="272"/>
      <c r="R144" s="272"/>
      <c r="S144" s="272"/>
      <c r="T144" s="272"/>
      <c r="U144" s="259"/>
      <c r="V144" s="272">
        <v>64</v>
      </c>
      <c r="W144" s="272">
        <v>110.2</v>
      </c>
      <c r="X144" s="272">
        <v>116.6</v>
      </c>
      <c r="Y144" s="272">
        <v>133</v>
      </c>
      <c r="Z144" s="259">
        <f>SUM(V144:Y144)</f>
        <v>423.79999999999995</v>
      </c>
      <c r="AA144" s="272">
        <v>123</v>
      </c>
      <c r="AB144" s="272">
        <v>128.4</v>
      </c>
      <c r="AC144" s="272">
        <v>139.80000000000001</v>
      </c>
      <c r="AD144" s="272">
        <v>147.80000000000001</v>
      </c>
      <c r="AE144" s="79">
        <f>SUM(AA144:AD144)</f>
        <v>539</v>
      </c>
      <c r="AF144" s="263">
        <v>149.1</v>
      </c>
      <c r="AG144" s="263">
        <v>149.4</v>
      </c>
      <c r="AH144" s="263">
        <v>158.69999999999999</v>
      </c>
      <c r="AI144" s="263">
        <v>166.2</v>
      </c>
      <c r="AJ144" s="79">
        <f>SUM(AF144:AI144)</f>
        <v>623.4</v>
      </c>
      <c r="AK144" s="263">
        <v>149.9</v>
      </c>
      <c r="AL144" s="263">
        <v>165.2</v>
      </c>
      <c r="AM144" s="263">
        <v>153.5</v>
      </c>
      <c r="AN144" s="263">
        <v>189.5</v>
      </c>
      <c r="AO144" s="699">
        <f>SUM(AK144:AN144)</f>
        <v>658.1</v>
      </c>
      <c r="AP144" s="391">
        <v>157.80000000000001</v>
      </c>
      <c r="AQ144" s="391">
        <v>180.3</v>
      </c>
      <c r="AR144" s="391">
        <v>168.2</v>
      </c>
      <c r="AS144" s="391">
        <v>198.2</v>
      </c>
      <c r="AT144" s="699">
        <f>SUM(AP144:AS144)</f>
        <v>704.5</v>
      </c>
      <c r="AU144" s="391">
        <v>178.8</v>
      </c>
      <c r="AV144" s="391">
        <v>186.6</v>
      </c>
      <c r="AW144" s="391">
        <v>205.7</v>
      </c>
      <c r="AX144" s="391">
        <v>211</v>
      </c>
      <c r="AY144" s="699">
        <f>SUM(AU144:AX144)</f>
        <v>782.09999999999991</v>
      </c>
      <c r="AZ144" s="391">
        <v>214.2</v>
      </c>
      <c r="BA144" s="391">
        <v>214.7</v>
      </c>
      <c r="BB144" s="391">
        <v>234</v>
      </c>
      <c r="BC144" s="391">
        <v>279.8</v>
      </c>
      <c r="BD144" s="699">
        <f>SUM(AZ144:BC144)</f>
        <v>942.7</v>
      </c>
      <c r="BE144" s="391">
        <v>205.3</v>
      </c>
      <c r="BF144" s="391">
        <v>266.7</v>
      </c>
      <c r="BG144" s="391">
        <v>250</v>
      </c>
      <c r="BH144" s="391">
        <v>317.89999999999998</v>
      </c>
      <c r="BI144" s="410">
        <f t="shared" si="196"/>
        <v>1039.9000000000001</v>
      </c>
      <c r="BJ144" s="1068">
        <v>247.1</v>
      </c>
      <c r="BK144" s="1068">
        <v>309.5</v>
      </c>
      <c r="BL144" s="1068">
        <v>313.3</v>
      </c>
      <c r="BM144" s="1068">
        <v>387</v>
      </c>
      <c r="BN144" s="699">
        <f t="shared" si="197"/>
        <v>1256.9000000000001</v>
      </c>
      <c r="BO144" s="1068">
        <v>324</v>
      </c>
      <c r="BP144" s="1068">
        <v>383.2</v>
      </c>
      <c r="BQ144" s="1068">
        <v>348.5</v>
      </c>
      <c r="BR144" s="1068">
        <v>413.8</v>
      </c>
      <c r="BS144" s="699">
        <f t="shared" si="198"/>
        <v>1469.5</v>
      </c>
      <c r="BT144" s="1068">
        <v>296.7</v>
      </c>
      <c r="BU144" s="1068">
        <v>381</v>
      </c>
      <c r="BV144" s="1068">
        <v>319.60000000000002</v>
      </c>
      <c r="BW144" s="1068">
        <v>361.4</v>
      </c>
      <c r="BX144" s="699">
        <f t="shared" si="199"/>
        <v>1358.7</v>
      </c>
      <c r="BY144" s="1068">
        <f>313.4</f>
        <v>313.39999999999998</v>
      </c>
      <c r="BZ144" s="383">
        <f t="shared" ref="BZ144:CB145" si="204">BU144*(1+BZ374)</f>
        <v>323.84999999999997</v>
      </c>
      <c r="CA144" s="903">
        <f t="shared" si="204"/>
        <v>239.70000000000002</v>
      </c>
      <c r="CB144" s="383">
        <f t="shared" si="204"/>
        <v>54.210000000000008</v>
      </c>
      <c r="CC144" s="903">
        <f t="shared" ref="CC144:CC151" si="205">SUM(BY144:CB144)</f>
        <v>931.16000000000008</v>
      </c>
      <c r="CD144" s="699">
        <f t="shared" ref="CD144:CH145" si="206">CC144*(1+CD374)</f>
        <v>74.492799999999974</v>
      </c>
      <c r="CE144" s="699">
        <f t="shared" si="206"/>
        <v>55.869599999999977</v>
      </c>
      <c r="CF144" s="699">
        <f t="shared" si="206"/>
        <v>44.695679999999982</v>
      </c>
      <c r="CG144" s="699">
        <f t="shared" si="206"/>
        <v>37.991327999999982</v>
      </c>
      <c r="CH144" s="699">
        <f t="shared" si="206"/>
        <v>32.292628799999981</v>
      </c>
      <c r="EX144" s="1261"/>
    </row>
    <row r="145" spans="1:228" s="56" customFormat="1">
      <c r="A145" s="9"/>
      <c r="B145" s="9"/>
      <c r="C145" s="9"/>
      <c r="D145" s="9"/>
      <c r="E145" s="9"/>
      <c r="F145" s="9"/>
      <c r="G145" s="9"/>
      <c r="H145" s="257" t="s">
        <v>1175</v>
      </c>
      <c r="I145" s="257"/>
      <c r="J145" s="257"/>
      <c r="K145" s="257"/>
      <c r="L145" s="272"/>
      <c r="M145" s="272"/>
      <c r="N145" s="272"/>
      <c r="O145" s="272"/>
      <c r="P145" s="80"/>
      <c r="Q145" s="263"/>
      <c r="R145" s="263"/>
      <c r="S145" s="263"/>
      <c r="T145" s="263"/>
      <c r="U145" s="80"/>
      <c r="V145" s="272">
        <v>129.1</v>
      </c>
      <c r="W145" s="272">
        <v>182.9</v>
      </c>
      <c r="X145" s="272">
        <v>194.8</v>
      </c>
      <c r="Y145" s="272">
        <v>213.2</v>
      </c>
      <c r="Z145" s="80">
        <f>SUM(V145:Y145)</f>
        <v>720</v>
      </c>
      <c r="AA145" s="272">
        <v>214</v>
      </c>
      <c r="AB145" s="272">
        <v>233.8</v>
      </c>
      <c r="AC145" s="272">
        <v>236.8</v>
      </c>
      <c r="AD145" s="272">
        <v>221</v>
      </c>
      <c r="AE145" s="79">
        <f>SUM(AA145:AD145)</f>
        <v>905.6</v>
      </c>
      <c r="AF145" s="263">
        <v>209.7</v>
      </c>
      <c r="AG145" s="263">
        <v>214.25</v>
      </c>
      <c r="AH145" s="263">
        <v>238.5</v>
      </c>
      <c r="AI145" s="263">
        <v>273.39999999999998</v>
      </c>
      <c r="AJ145" s="79">
        <f>SUM(AF145:AI145)</f>
        <v>935.85</v>
      </c>
      <c r="AK145" s="263">
        <v>258.39999999999998</v>
      </c>
      <c r="AL145" s="263">
        <v>253.5</v>
      </c>
      <c r="AM145" s="263">
        <v>253</v>
      </c>
      <c r="AN145" s="263">
        <v>276.39999999999998</v>
      </c>
      <c r="AO145" s="699">
        <f>SUM(AK145:AN145)</f>
        <v>1041.3</v>
      </c>
      <c r="AP145" s="391">
        <v>276.60000000000002</v>
      </c>
      <c r="AQ145" s="391">
        <v>297</v>
      </c>
      <c r="AR145" s="391">
        <v>301.60000000000002</v>
      </c>
      <c r="AS145" s="391">
        <v>296</v>
      </c>
      <c r="AT145" s="699">
        <f>SUM(AP145:AS145)</f>
        <v>1171.2</v>
      </c>
      <c r="AU145" s="391">
        <v>283</v>
      </c>
      <c r="AV145" s="391">
        <v>282.89999999999998</v>
      </c>
      <c r="AW145" s="391">
        <v>276.39999999999998</v>
      </c>
      <c r="AX145" s="391">
        <v>302.39999999999998</v>
      </c>
      <c r="AY145" s="699">
        <f>SUM(AU145:AX145)</f>
        <v>1144.6999999999998</v>
      </c>
      <c r="AZ145" s="391">
        <v>300.8</v>
      </c>
      <c r="BA145" s="391">
        <v>314.7</v>
      </c>
      <c r="BB145" s="391">
        <v>292.7</v>
      </c>
      <c r="BC145" s="391">
        <v>308.5</v>
      </c>
      <c r="BD145" s="699">
        <f>SUM(AZ145:BC145)</f>
        <v>1216.7</v>
      </c>
      <c r="BE145" s="391">
        <v>327.10000000000002</v>
      </c>
      <c r="BF145" s="391">
        <v>301.10000000000002</v>
      </c>
      <c r="BG145" s="391">
        <v>318.39999999999998</v>
      </c>
      <c r="BH145" s="391">
        <v>304.5</v>
      </c>
      <c r="BI145" s="410">
        <f t="shared" si="196"/>
        <v>1251.0999999999999</v>
      </c>
      <c r="BJ145" s="1068">
        <v>291.2</v>
      </c>
      <c r="BK145" s="1068">
        <v>258.39999999999998</v>
      </c>
      <c r="BL145" s="1068">
        <v>252.8</v>
      </c>
      <c r="BM145" s="1068">
        <v>251.4</v>
      </c>
      <c r="BN145" s="903">
        <f t="shared" si="197"/>
        <v>1053.8</v>
      </c>
      <c r="BO145" s="1068">
        <v>252.7</v>
      </c>
      <c r="BP145" s="1068">
        <v>247.3</v>
      </c>
      <c r="BQ145" s="1068">
        <v>239.7</v>
      </c>
      <c r="BR145" s="1068">
        <v>262.5</v>
      </c>
      <c r="BS145" s="699">
        <f t="shared" si="198"/>
        <v>1002.2</v>
      </c>
      <c r="BT145" s="1068">
        <v>236.9</v>
      </c>
      <c r="BU145" s="1068">
        <v>246.3</v>
      </c>
      <c r="BV145" s="1068">
        <v>245.3</v>
      </c>
      <c r="BW145" s="1074">
        <v>236</v>
      </c>
      <c r="BX145" s="903">
        <f t="shared" si="199"/>
        <v>964.5</v>
      </c>
      <c r="BY145" s="1068">
        <f>182</f>
        <v>182</v>
      </c>
      <c r="BZ145" s="383">
        <f t="shared" si="204"/>
        <v>147.78</v>
      </c>
      <c r="CA145" s="383">
        <f t="shared" si="204"/>
        <v>122.65</v>
      </c>
      <c r="CB145" s="383">
        <f t="shared" si="204"/>
        <v>118</v>
      </c>
      <c r="CC145" s="699">
        <f t="shared" si="205"/>
        <v>570.42999999999995</v>
      </c>
      <c r="CD145" s="699">
        <f t="shared" si="206"/>
        <v>399.30099999999993</v>
      </c>
      <c r="CE145" s="699">
        <f t="shared" si="206"/>
        <v>319.44079999999997</v>
      </c>
      <c r="CF145" s="699">
        <f t="shared" si="206"/>
        <v>287.49671999999998</v>
      </c>
      <c r="CG145" s="699">
        <f t="shared" si="206"/>
        <v>273.12188399999997</v>
      </c>
      <c r="CH145" s="699">
        <f t="shared" si="206"/>
        <v>273.12188399999997</v>
      </c>
      <c r="EX145" s="1261"/>
    </row>
    <row r="146" spans="1:228" s="56" customFormat="1">
      <c r="A146" s="9"/>
      <c r="B146" s="9"/>
      <c r="C146" s="9"/>
      <c r="D146" s="9"/>
      <c r="E146" s="9"/>
      <c r="F146" s="9"/>
      <c r="G146" s="9"/>
      <c r="H146" s="270" t="s">
        <v>255</v>
      </c>
      <c r="I146" s="257"/>
      <c r="J146" s="257"/>
      <c r="K146" s="257"/>
      <c r="L146" s="272"/>
      <c r="M146" s="272"/>
      <c r="N146" s="272"/>
      <c r="O146" s="272"/>
      <c r="P146" s="80"/>
      <c r="Q146" s="263"/>
      <c r="R146" s="263"/>
      <c r="S146" s="263"/>
      <c r="T146" s="263"/>
      <c r="U146" s="80"/>
      <c r="V146" s="272"/>
      <c r="W146" s="272"/>
      <c r="X146" s="272"/>
      <c r="Y146" s="272"/>
      <c r="Z146" s="80"/>
      <c r="AA146" s="272"/>
      <c r="AB146" s="272"/>
      <c r="AC146" s="272"/>
      <c r="AD146" s="272"/>
      <c r="AE146" s="79"/>
      <c r="AF146" s="265">
        <f t="shared" ref="AF146:AO146" si="207">AF147+AF148</f>
        <v>0.3</v>
      </c>
      <c r="AG146" s="265">
        <f t="shared" si="207"/>
        <v>0.25</v>
      </c>
      <c r="AH146" s="265">
        <f t="shared" si="207"/>
        <v>22.6</v>
      </c>
      <c r="AI146" s="265">
        <f t="shared" si="207"/>
        <v>3.8</v>
      </c>
      <c r="AJ146" s="264">
        <f t="shared" si="207"/>
        <v>26.95</v>
      </c>
      <c r="AK146" s="265">
        <f t="shared" si="207"/>
        <v>8.8000000000000007</v>
      </c>
      <c r="AL146" s="265">
        <f t="shared" si="207"/>
        <v>22.9</v>
      </c>
      <c r="AM146" s="265">
        <f t="shared" si="207"/>
        <v>36.299999999999997</v>
      </c>
      <c r="AN146" s="265">
        <f t="shared" si="207"/>
        <v>47.099999999999994</v>
      </c>
      <c r="AO146" s="703">
        <f t="shared" si="207"/>
        <v>115.1</v>
      </c>
      <c r="AP146" s="455">
        <f t="shared" ref="AP146:BC146" si="208">AP147+AP148</f>
        <v>56.3</v>
      </c>
      <c r="AQ146" s="455">
        <f t="shared" si="208"/>
        <v>71.8</v>
      </c>
      <c r="AR146" s="455">
        <f t="shared" si="208"/>
        <v>83.5</v>
      </c>
      <c r="AS146" s="455">
        <f>AS147+AS148</f>
        <v>90.9</v>
      </c>
      <c r="AT146" s="703">
        <f t="shared" si="208"/>
        <v>302.5</v>
      </c>
      <c r="AU146" s="455">
        <f t="shared" si="208"/>
        <v>115.8</v>
      </c>
      <c r="AV146" s="455">
        <f>AV147+AV148</f>
        <v>111.1</v>
      </c>
      <c r="AW146" s="455">
        <f t="shared" si="208"/>
        <v>109.7</v>
      </c>
      <c r="AX146" s="455">
        <f t="shared" si="208"/>
        <v>120.6</v>
      </c>
      <c r="AY146" s="703">
        <f t="shared" si="208"/>
        <v>457.2</v>
      </c>
      <c r="AZ146" s="455">
        <f t="shared" si="208"/>
        <v>115.9</v>
      </c>
      <c r="BA146" s="455">
        <f>BA147+BA148</f>
        <v>137.4</v>
      </c>
      <c r="BB146" s="455">
        <f t="shared" si="208"/>
        <v>124.9</v>
      </c>
      <c r="BC146" s="455">
        <f t="shared" si="208"/>
        <v>130.6</v>
      </c>
      <c r="BD146" s="703">
        <f t="shared" ref="BD146:BJ146" si="209">BD147+BD148</f>
        <v>508.8</v>
      </c>
      <c r="BE146" s="455">
        <f t="shared" si="209"/>
        <v>119.3</v>
      </c>
      <c r="BF146" s="455">
        <f t="shared" si="209"/>
        <v>133.6</v>
      </c>
      <c r="BG146" s="455">
        <f>BG147+BG148</f>
        <v>131.5</v>
      </c>
      <c r="BH146" s="455">
        <f t="shared" si="209"/>
        <v>137.80000000000001</v>
      </c>
      <c r="BI146" s="703">
        <f t="shared" si="209"/>
        <v>522.19999999999993</v>
      </c>
      <c r="BJ146" s="455">
        <f t="shared" si="209"/>
        <v>121.8</v>
      </c>
      <c r="BK146" s="455">
        <f t="shared" ref="BK146:CH146" si="210">BK147+BK148</f>
        <v>128.80000000000001</v>
      </c>
      <c r="BL146" s="455">
        <f t="shared" si="210"/>
        <v>132.1</v>
      </c>
      <c r="BM146" s="455">
        <f t="shared" si="210"/>
        <v>140.29999999999998</v>
      </c>
      <c r="BN146" s="703">
        <f t="shared" si="210"/>
        <v>523</v>
      </c>
      <c r="BO146" s="455">
        <f t="shared" si="210"/>
        <v>131.5</v>
      </c>
      <c r="BP146" s="455">
        <f t="shared" si="210"/>
        <v>135.1</v>
      </c>
      <c r="BQ146" s="455">
        <f t="shared" si="210"/>
        <v>127.7</v>
      </c>
      <c r="BR146" s="455">
        <f t="shared" si="210"/>
        <v>140.9</v>
      </c>
      <c r="BS146" s="703">
        <f t="shared" si="210"/>
        <v>535.20000000000005</v>
      </c>
      <c r="BT146" s="455">
        <f t="shared" si="210"/>
        <v>127.8</v>
      </c>
      <c r="BU146" s="455">
        <f t="shared" si="210"/>
        <v>142.9</v>
      </c>
      <c r="BV146" s="455">
        <f t="shared" si="210"/>
        <v>55.800000000000004</v>
      </c>
      <c r="BW146" s="455">
        <f t="shared" si="210"/>
        <v>62.3</v>
      </c>
      <c r="BX146" s="703">
        <f t="shared" si="210"/>
        <v>388.8</v>
      </c>
      <c r="BY146" s="455">
        <f t="shared" si="210"/>
        <v>31.6</v>
      </c>
      <c r="BZ146" s="455">
        <f t="shared" si="210"/>
        <v>19.049999999999997</v>
      </c>
      <c r="CA146" s="455">
        <f t="shared" si="210"/>
        <v>15.09</v>
      </c>
      <c r="CB146" s="455">
        <f t="shared" si="210"/>
        <v>16.36</v>
      </c>
      <c r="CC146" s="703">
        <f t="shared" si="210"/>
        <v>82.1</v>
      </c>
      <c r="CD146" s="703">
        <f t="shared" si="210"/>
        <v>47.989999999999995</v>
      </c>
      <c r="CE146" s="703">
        <f t="shared" si="210"/>
        <v>38.392000000000003</v>
      </c>
      <c r="CF146" s="703">
        <f t="shared" si="210"/>
        <v>36.448800000000006</v>
      </c>
      <c r="CG146" s="703">
        <f t="shared" si="210"/>
        <v>36.448800000000006</v>
      </c>
      <c r="CH146" s="703">
        <f t="shared" si="210"/>
        <v>36.448800000000006</v>
      </c>
      <c r="EX146" s="1261" t="s">
        <v>255</v>
      </c>
    </row>
    <row r="147" spans="1:228" s="56" customFormat="1">
      <c r="A147" s="9"/>
      <c r="B147" s="9"/>
      <c r="C147" s="9"/>
      <c r="D147" s="9"/>
      <c r="E147" s="9"/>
      <c r="F147" s="9"/>
      <c r="G147" s="9"/>
      <c r="H147" s="257" t="s">
        <v>1176</v>
      </c>
      <c r="I147" s="257"/>
      <c r="J147" s="257"/>
      <c r="K147" s="257"/>
      <c r="L147" s="272"/>
      <c r="M147" s="272"/>
      <c r="N147" s="272"/>
      <c r="O147" s="272"/>
      <c r="P147" s="80"/>
      <c r="Q147" s="263"/>
      <c r="R147" s="263"/>
      <c r="S147" s="263"/>
      <c r="T147" s="263"/>
      <c r="U147" s="80"/>
      <c r="V147" s="272"/>
      <c r="W147" s="272"/>
      <c r="X147" s="272"/>
      <c r="Y147" s="272"/>
      <c r="Z147" s="80"/>
      <c r="AA147" s="272"/>
      <c r="AB147" s="272"/>
      <c r="AC147" s="272"/>
      <c r="AD147" s="272"/>
      <c r="AE147" s="79"/>
      <c r="AF147" s="263">
        <v>0</v>
      </c>
      <c r="AG147" s="263">
        <v>0</v>
      </c>
      <c r="AH147" s="263">
        <v>21.1</v>
      </c>
      <c r="AI147" s="263">
        <v>1.4</v>
      </c>
      <c r="AJ147" s="79">
        <f>SUM(AF147:AI147)</f>
        <v>22.5</v>
      </c>
      <c r="AK147" s="263">
        <v>4.5</v>
      </c>
      <c r="AL147" s="263">
        <v>16.3</v>
      </c>
      <c r="AM147" s="263">
        <v>28.1</v>
      </c>
      <c r="AN147" s="263">
        <v>35.799999999999997</v>
      </c>
      <c r="AO147" s="699">
        <f>SUM(AK147:AN147)</f>
        <v>84.7</v>
      </c>
      <c r="AP147" s="391">
        <v>42</v>
      </c>
      <c r="AQ147" s="391">
        <v>52</v>
      </c>
      <c r="AR147" s="391">
        <v>61.4</v>
      </c>
      <c r="AS147" s="391">
        <v>66.900000000000006</v>
      </c>
      <c r="AT147" s="699">
        <f>SUM(AP147:AS147)</f>
        <v>222.3</v>
      </c>
      <c r="AU147" s="391">
        <v>89.8</v>
      </c>
      <c r="AV147" s="391">
        <v>81</v>
      </c>
      <c r="AW147" s="391">
        <v>80.400000000000006</v>
      </c>
      <c r="AX147" s="391">
        <v>87.8</v>
      </c>
      <c r="AY147" s="699">
        <f>SUM(AU147:AX147)</f>
        <v>339</v>
      </c>
      <c r="AZ147" s="391">
        <v>83.7</v>
      </c>
      <c r="BA147" s="391">
        <v>103.8</v>
      </c>
      <c r="BB147" s="391">
        <v>92.7</v>
      </c>
      <c r="BC147" s="391">
        <v>96.8</v>
      </c>
      <c r="BD147" s="699">
        <f>SUM(AZ147:BC147)</f>
        <v>377</v>
      </c>
      <c r="BE147" s="391">
        <v>87.8</v>
      </c>
      <c r="BF147" s="391">
        <v>100.3</v>
      </c>
      <c r="BG147" s="391">
        <v>99.6</v>
      </c>
      <c r="BH147" s="391">
        <v>106.7</v>
      </c>
      <c r="BI147" s="410">
        <f t="shared" si="196"/>
        <v>394.4</v>
      </c>
      <c r="BJ147" s="1068">
        <v>94.6</v>
      </c>
      <c r="BK147" s="1068">
        <v>102</v>
      </c>
      <c r="BL147" s="1068">
        <v>106.3</v>
      </c>
      <c r="BM147" s="1068">
        <v>114.6</v>
      </c>
      <c r="BN147" s="699">
        <f t="shared" si="197"/>
        <v>417.5</v>
      </c>
      <c r="BO147" s="1068">
        <v>109.7</v>
      </c>
      <c r="BP147" s="1068">
        <v>116.8</v>
      </c>
      <c r="BQ147" s="1068">
        <v>112.5</v>
      </c>
      <c r="BR147" s="1068">
        <v>126.6</v>
      </c>
      <c r="BS147" s="699">
        <f t="shared" si="198"/>
        <v>465.6</v>
      </c>
      <c r="BT147" s="1068">
        <v>117</v>
      </c>
      <c r="BU147" s="1068">
        <v>131</v>
      </c>
      <c r="BV147" s="1074">
        <v>42.7</v>
      </c>
      <c r="BW147" s="1068">
        <v>49.3</v>
      </c>
      <c r="BX147" s="903">
        <f t="shared" si="199"/>
        <v>340</v>
      </c>
      <c r="BY147" s="1068">
        <f>15.9</f>
        <v>15.9</v>
      </c>
      <c r="BZ147" s="383">
        <f t="shared" ref="BZ147:CB148" si="211">BU147*(1+BZ377)</f>
        <v>13.099999999999998</v>
      </c>
      <c r="CA147" s="383">
        <f t="shared" si="211"/>
        <v>8.5399999999999991</v>
      </c>
      <c r="CB147" s="383">
        <f t="shared" si="211"/>
        <v>9.8599999999999977</v>
      </c>
      <c r="CC147" s="699">
        <f t="shared" si="205"/>
        <v>47.4</v>
      </c>
      <c r="CD147" s="699">
        <f t="shared" ref="CD147:CH148" si="212">CC147*(1+CD377)</f>
        <v>23.7</v>
      </c>
      <c r="CE147" s="699">
        <f t="shared" si="212"/>
        <v>18.96</v>
      </c>
      <c r="CF147" s="699">
        <f t="shared" si="212"/>
        <v>18.96</v>
      </c>
      <c r="CG147" s="699">
        <f t="shared" si="212"/>
        <v>18.96</v>
      </c>
      <c r="CH147" s="699">
        <f t="shared" si="212"/>
        <v>18.96</v>
      </c>
      <c r="EX147" s="1261"/>
    </row>
    <row r="148" spans="1:228" s="56" customFormat="1">
      <c r="A148" s="9"/>
      <c r="B148" s="9"/>
      <c r="C148" s="9"/>
      <c r="D148" s="9"/>
      <c r="E148" s="9"/>
      <c r="F148" s="9"/>
      <c r="G148" s="9"/>
      <c r="H148" s="257" t="s">
        <v>1177</v>
      </c>
      <c r="I148" s="257"/>
      <c r="J148" s="257"/>
      <c r="K148" s="257"/>
      <c r="L148" s="272"/>
      <c r="M148" s="272"/>
      <c r="N148" s="272"/>
      <c r="O148" s="272"/>
      <c r="P148" s="80"/>
      <c r="Q148" s="263"/>
      <c r="R148" s="263"/>
      <c r="S148" s="263"/>
      <c r="T148" s="263"/>
      <c r="U148" s="80"/>
      <c r="V148" s="272"/>
      <c r="W148" s="272"/>
      <c r="X148" s="272"/>
      <c r="Y148" s="272"/>
      <c r="Z148" s="80"/>
      <c r="AA148" s="272"/>
      <c r="AB148" s="272"/>
      <c r="AC148" s="272"/>
      <c r="AD148" s="272"/>
      <c r="AE148" s="79"/>
      <c r="AF148" s="263">
        <v>0.3</v>
      </c>
      <c r="AG148" s="263">
        <v>0.25</v>
      </c>
      <c r="AH148" s="263">
        <v>1.5</v>
      </c>
      <c r="AI148" s="263">
        <v>2.4</v>
      </c>
      <c r="AJ148" s="79">
        <f>SUM(AF148:AI148)</f>
        <v>4.4499999999999993</v>
      </c>
      <c r="AK148" s="263">
        <v>4.3</v>
      </c>
      <c r="AL148" s="263">
        <v>6.6</v>
      </c>
      <c r="AM148" s="263">
        <v>8.1999999999999993</v>
      </c>
      <c r="AN148" s="263">
        <v>11.3</v>
      </c>
      <c r="AO148" s="699">
        <f>SUM(AK148:AN148)</f>
        <v>30.4</v>
      </c>
      <c r="AP148" s="391">
        <v>14.3</v>
      </c>
      <c r="AQ148" s="391">
        <v>19.8</v>
      </c>
      <c r="AR148" s="391">
        <v>22.1</v>
      </c>
      <c r="AS148" s="391">
        <v>24</v>
      </c>
      <c r="AT148" s="699">
        <f>SUM(AP148:AS148)</f>
        <v>80.2</v>
      </c>
      <c r="AU148" s="391">
        <v>26</v>
      </c>
      <c r="AV148" s="391">
        <v>30.1</v>
      </c>
      <c r="AW148" s="391">
        <v>29.3</v>
      </c>
      <c r="AX148" s="391">
        <v>32.799999999999997</v>
      </c>
      <c r="AY148" s="699">
        <f>SUM(AU148:AX148)</f>
        <v>118.2</v>
      </c>
      <c r="AZ148" s="391">
        <v>32.200000000000003</v>
      </c>
      <c r="BA148" s="391">
        <v>33.6</v>
      </c>
      <c r="BB148" s="391">
        <v>32.200000000000003</v>
      </c>
      <c r="BC148" s="391">
        <v>33.799999999999997</v>
      </c>
      <c r="BD148" s="699">
        <f>SUM(AZ148:BC148)</f>
        <v>131.80000000000001</v>
      </c>
      <c r="BE148" s="391">
        <v>31.5</v>
      </c>
      <c r="BF148" s="391">
        <v>33.299999999999997</v>
      </c>
      <c r="BG148" s="391">
        <v>31.9</v>
      </c>
      <c r="BH148" s="391">
        <v>31.1</v>
      </c>
      <c r="BI148" s="410">
        <f t="shared" si="196"/>
        <v>127.79999999999998</v>
      </c>
      <c r="BJ148" s="1068">
        <v>27.2</v>
      </c>
      <c r="BK148" s="1068">
        <v>26.8</v>
      </c>
      <c r="BL148" s="1068">
        <v>25.8</v>
      </c>
      <c r="BM148" s="1068">
        <v>25.7</v>
      </c>
      <c r="BN148" s="699">
        <f t="shared" si="197"/>
        <v>105.5</v>
      </c>
      <c r="BO148" s="1068">
        <v>21.8</v>
      </c>
      <c r="BP148" s="1068">
        <v>18.3</v>
      </c>
      <c r="BQ148" s="1068">
        <v>15.2</v>
      </c>
      <c r="BR148" s="1068">
        <v>14.3</v>
      </c>
      <c r="BS148" s="699">
        <f t="shared" si="198"/>
        <v>69.599999999999994</v>
      </c>
      <c r="BT148" s="1068">
        <v>10.8</v>
      </c>
      <c r="BU148" s="1068">
        <v>11.9</v>
      </c>
      <c r="BV148" s="1068">
        <v>13.1</v>
      </c>
      <c r="BW148" s="1068">
        <v>13</v>
      </c>
      <c r="BX148" s="903">
        <f t="shared" si="199"/>
        <v>48.800000000000004</v>
      </c>
      <c r="BY148" s="1068">
        <f>15.7</f>
        <v>15.7</v>
      </c>
      <c r="BZ148" s="383">
        <f t="shared" si="211"/>
        <v>5.95</v>
      </c>
      <c r="CA148" s="383">
        <f t="shared" si="211"/>
        <v>6.55</v>
      </c>
      <c r="CB148" s="383">
        <f t="shared" si="211"/>
        <v>6.5</v>
      </c>
      <c r="CC148" s="699">
        <f t="shared" si="205"/>
        <v>34.700000000000003</v>
      </c>
      <c r="CD148" s="699">
        <f t="shared" si="212"/>
        <v>24.29</v>
      </c>
      <c r="CE148" s="699">
        <f t="shared" si="212"/>
        <v>19.432000000000002</v>
      </c>
      <c r="CF148" s="699">
        <f t="shared" si="212"/>
        <v>17.488800000000001</v>
      </c>
      <c r="CG148" s="699">
        <f t="shared" si="212"/>
        <v>17.488800000000001</v>
      </c>
      <c r="CH148" s="699">
        <f t="shared" si="212"/>
        <v>17.488800000000001</v>
      </c>
      <c r="EX148" s="1261"/>
    </row>
    <row r="149" spans="1:228" s="15" customFormat="1" ht="12.75" customHeight="1">
      <c r="A149" s="9"/>
      <c r="B149" s="9"/>
      <c r="C149" s="9"/>
      <c r="D149" s="9"/>
      <c r="E149" s="9"/>
      <c r="F149" s="9"/>
      <c r="G149" s="9"/>
      <c r="H149" s="266" t="s">
        <v>298</v>
      </c>
      <c r="I149" s="266"/>
      <c r="J149" s="266"/>
      <c r="K149" s="266"/>
      <c r="L149" s="265">
        <v>3</v>
      </c>
      <c r="M149" s="265">
        <v>3.1</v>
      </c>
      <c r="N149" s="265">
        <v>2.7</v>
      </c>
      <c r="O149" s="265">
        <v>2.7</v>
      </c>
      <c r="P149" s="266">
        <v>11.3</v>
      </c>
      <c r="Q149" s="265">
        <f t="shared" ref="Q149:AJ149" si="213">Q150+Q151</f>
        <v>18.600000000000001</v>
      </c>
      <c r="R149" s="265">
        <f t="shared" si="213"/>
        <v>6.8</v>
      </c>
      <c r="S149" s="265">
        <f t="shared" si="213"/>
        <v>8.1999999999999993</v>
      </c>
      <c r="T149" s="265">
        <f t="shared" si="213"/>
        <v>8.4</v>
      </c>
      <c r="U149" s="266">
        <f t="shared" si="213"/>
        <v>41.8</v>
      </c>
      <c r="V149" s="265">
        <f t="shared" si="213"/>
        <v>7.3</v>
      </c>
      <c r="W149" s="265">
        <f t="shared" si="213"/>
        <v>6.4</v>
      </c>
      <c r="X149" s="265">
        <f t="shared" si="213"/>
        <v>6.7</v>
      </c>
      <c r="Y149" s="265">
        <f t="shared" si="213"/>
        <v>6.8</v>
      </c>
      <c r="Z149" s="266">
        <f t="shared" si="213"/>
        <v>27.099999999999998</v>
      </c>
      <c r="AA149" s="265">
        <f t="shared" si="213"/>
        <v>5</v>
      </c>
      <c r="AB149" s="265">
        <f t="shared" si="213"/>
        <v>5.5</v>
      </c>
      <c r="AC149" s="265">
        <f t="shared" si="213"/>
        <v>6.1999999999999993</v>
      </c>
      <c r="AD149" s="265">
        <f t="shared" si="213"/>
        <v>4.3</v>
      </c>
      <c r="AE149" s="266">
        <f t="shared" si="213"/>
        <v>20.900000000000002</v>
      </c>
      <c r="AF149" s="265">
        <f t="shared" si="213"/>
        <v>4.3</v>
      </c>
      <c r="AG149" s="265">
        <f t="shared" si="213"/>
        <v>5.1100000000000003</v>
      </c>
      <c r="AH149" s="265">
        <f t="shared" si="213"/>
        <v>7.5</v>
      </c>
      <c r="AI149" s="265">
        <f t="shared" si="213"/>
        <v>9.1999999999999993</v>
      </c>
      <c r="AJ149" s="266">
        <f t="shared" si="213"/>
        <v>26.11</v>
      </c>
      <c r="AK149" s="265">
        <f t="shared" ref="AK149:AT149" si="214">AK150+AK151</f>
        <v>10.8</v>
      </c>
      <c r="AL149" s="265">
        <f t="shared" si="214"/>
        <v>10.7</v>
      </c>
      <c r="AM149" s="265">
        <f t="shared" si="214"/>
        <v>9.9</v>
      </c>
      <c r="AN149" s="265">
        <f t="shared" si="214"/>
        <v>10.7</v>
      </c>
      <c r="AO149" s="703">
        <f t="shared" si="214"/>
        <v>42.099999999999994</v>
      </c>
      <c r="AP149" s="455">
        <f t="shared" si="214"/>
        <v>11.7</v>
      </c>
      <c r="AQ149" s="455">
        <f>AQ150+AQ151</f>
        <v>13.899999999999999</v>
      </c>
      <c r="AR149" s="455">
        <f t="shared" si="214"/>
        <v>13</v>
      </c>
      <c r="AS149" s="455">
        <f>AS150+AS151</f>
        <v>16.5</v>
      </c>
      <c r="AT149" s="703">
        <f t="shared" si="214"/>
        <v>55.099999999999994</v>
      </c>
      <c r="AU149" s="455">
        <f t="shared" ref="AU149:BH149" si="215">AU150+AU151</f>
        <v>22.399999999999991</v>
      </c>
      <c r="AV149" s="455">
        <f t="shared" si="215"/>
        <v>25.999999999999993</v>
      </c>
      <c r="AW149" s="455">
        <f t="shared" si="215"/>
        <v>27.100000000000005</v>
      </c>
      <c r="AX149" s="455">
        <f t="shared" si="215"/>
        <v>29.80000000000004</v>
      </c>
      <c r="AY149" s="703">
        <f t="shared" si="215"/>
        <v>105.30000000000003</v>
      </c>
      <c r="AZ149" s="455">
        <f t="shared" si="215"/>
        <v>29.500000000000028</v>
      </c>
      <c r="BA149" s="455">
        <f t="shared" si="215"/>
        <v>31.600000000000058</v>
      </c>
      <c r="BB149" s="455">
        <f t="shared" si="215"/>
        <v>32.400000000000006</v>
      </c>
      <c r="BC149" s="455">
        <f t="shared" si="215"/>
        <v>34.500000000000028</v>
      </c>
      <c r="BD149" s="703">
        <f t="shared" si="215"/>
        <v>128.00000000000011</v>
      </c>
      <c r="BE149" s="455">
        <f>BE150+BE151</f>
        <v>32.799999999999969</v>
      </c>
      <c r="BF149" s="455">
        <f t="shared" si="215"/>
        <v>34.700000000000017</v>
      </c>
      <c r="BG149" s="455">
        <f>BG150+BG151</f>
        <v>33.000000000000064</v>
      </c>
      <c r="BH149" s="455">
        <f t="shared" si="215"/>
        <v>29.300000000000018</v>
      </c>
      <c r="BI149" s="703">
        <f t="shared" ref="BI149:CH149" si="216">BI150+BI151</f>
        <v>129.80000000000007</v>
      </c>
      <c r="BJ149" s="455">
        <f t="shared" si="216"/>
        <v>33.200000000000031</v>
      </c>
      <c r="BK149" s="455">
        <f t="shared" si="216"/>
        <v>40.500000000000071</v>
      </c>
      <c r="BL149" s="455">
        <f t="shared" si="216"/>
        <v>38.099999999999994</v>
      </c>
      <c r="BM149" s="455">
        <f t="shared" si="216"/>
        <v>24.900000000000023</v>
      </c>
      <c r="BN149" s="703">
        <f t="shared" si="216"/>
        <v>136.7000000000001</v>
      </c>
      <c r="BO149" s="455">
        <f t="shared" si="216"/>
        <v>28.199999999999985</v>
      </c>
      <c r="BP149" s="455">
        <f t="shared" si="216"/>
        <v>36.099999999999994</v>
      </c>
      <c r="BQ149" s="455">
        <f t="shared" si="216"/>
        <v>36.600000000000009</v>
      </c>
      <c r="BR149" s="455">
        <f t="shared" si="216"/>
        <v>31.100000000000005</v>
      </c>
      <c r="BS149" s="703">
        <f t="shared" si="216"/>
        <v>132</v>
      </c>
      <c r="BT149" s="455">
        <f t="shared" si="216"/>
        <v>30.900000000000016</v>
      </c>
      <c r="BU149" s="455">
        <f t="shared" si="216"/>
        <v>39.700000000000024</v>
      </c>
      <c r="BV149" s="455">
        <f t="shared" si="216"/>
        <v>41.699999999999939</v>
      </c>
      <c r="BW149" s="455">
        <f t="shared" si="216"/>
        <v>38.70000000000006</v>
      </c>
      <c r="BX149" s="703">
        <f t="shared" si="216"/>
        <v>151.00000000000003</v>
      </c>
      <c r="BY149" s="455">
        <f t="shared" si="216"/>
        <v>34.50000000000005</v>
      </c>
      <c r="BZ149" s="455">
        <f t="shared" si="216"/>
        <v>42.340000000000025</v>
      </c>
      <c r="CA149" s="455">
        <f t="shared" si="216"/>
        <v>44.643999999999942</v>
      </c>
      <c r="CB149" s="455">
        <f t="shared" si="216"/>
        <v>41.364000000000061</v>
      </c>
      <c r="CC149" s="703">
        <f t="shared" si="216"/>
        <v>162.84800000000004</v>
      </c>
      <c r="CD149" s="703">
        <f t="shared" si="216"/>
        <v>170.12540000000004</v>
      </c>
      <c r="CE149" s="703">
        <f t="shared" si="216"/>
        <v>174.71016200000005</v>
      </c>
      <c r="CF149" s="703">
        <f t="shared" si="216"/>
        <v>177.85836524000007</v>
      </c>
      <c r="CG149" s="703">
        <f t="shared" si="216"/>
        <v>177.85836524000007</v>
      </c>
      <c r="CH149" s="703">
        <f t="shared" si="216"/>
        <v>177.85836524000007</v>
      </c>
      <c r="EX149" s="1261" t="s">
        <v>1128</v>
      </c>
    </row>
    <row r="150" spans="1:228" ht="12.75" customHeight="1">
      <c r="A150" s="9"/>
      <c r="B150" s="9"/>
      <c r="C150" s="9"/>
      <c r="D150" s="9"/>
      <c r="E150" s="9"/>
      <c r="F150" s="9"/>
      <c r="G150" s="9"/>
      <c r="H150" s="257" t="s">
        <v>231</v>
      </c>
      <c r="I150" s="257"/>
      <c r="J150" s="257"/>
      <c r="K150" s="257"/>
      <c r="L150" s="265"/>
      <c r="M150" s="265"/>
      <c r="N150" s="263">
        <v>0.1</v>
      </c>
      <c r="O150" s="263">
        <v>0.1</v>
      </c>
      <c r="P150" s="259"/>
      <c r="Q150" s="263">
        <v>0</v>
      </c>
      <c r="R150" s="258"/>
      <c r="S150" s="258">
        <v>0.1</v>
      </c>
      <c r="T150" s="258">
        <v>0.1</v>
      </c>
      <c r="U150" s="259"/>
      <c r="V150" s="263">
        <v>0</v>
      </c>
      <c r="W150" s="263"/>
      <c r="X150" s="263"/>
      <c r="Y150" s="263">
        <v>0.1</v>
      </c>
      <c r="Z150" s="259"/>
      <c r="AA150" s="263">
        <v>0</v>
      </c>
      <c r="AB150" s="263"/>
      <c r="AC150" s="263">
        <v>0.1</v>
      </c>
      <c r="AD150" s="258">
        <v>0</v>
      </c>
      <c r="AE150" s="259"/>
      <c r="AF150" s="263">
        <v>0.1</v>
      </c>
      <c r="AG150" s="263">
        <v>0</v>
      </c>
      <c r="AH150" s="263">
        <v>4.7</v>
      </c>
      <c r="AI150" s="263">
        <v>4.4000000000000004</v>
      </c>
      <c r="AJ150" s="79">
        <f>SUM(AF150:AI150)</f>
        <v>9.1999999999999993</v>
      </c>
      <c r="AK150" s="263">
        <v>4.5</v>
      </c>
      <c r="AL150" s="263">
        <v>4.5999999999999996</v>
      </c>
      <c r="AM150" s="263">
        <v>5</v>
      </c>
      <c r="AN150" s="263">
        <v>4.7</v>
      </c>
      <c r="AO150" s="410">
        <f>SUM(AK150:AN150)</f>
        <v>18.8</v>
      </c>
      <c r="AP150" s="391">
        <v>4.4000000000000004</v>
      </c>
      <c r="AQ150" s="391">
        <v>4.7</v>
      </c>
      <c r="AR150" s="391">
        <v>5</v>
      </c>
      <c r="AS150" s="391">
        <v>5.2</v>
      </c>
      <c r="AT150" s="699">
        <f>SUM(AP150:AS150)</f>
        <v>19.3</v>
      </c>
      <c r="AU150" s="392">
        <f t="shared" ref="AU150:AX151" si="217">AU138-AU141-AU144-AU147</f>
        <v>13.500000000000014</v>
      </c>
      <c r="AV150" s="392">
        <f t="shared" si="217"/>
        <v>13.099999999999994</v>
      </c>
      <c r="AW150" s="392">
        <f t="shared" si="217"/>
        <v>14.099999999999994</v>
      </c>
      <c r="AX150" s="392">
        <f t="shared" si="217"/>
        <v>16.800000000000026</v>
      </c>
      <c r="AY150" s="699">
        <f>SUM(AU150:AX150)</f>
        <v>57.500000000000028</v>
      </c>
      <c r="AZ150" s="392">
        <f t="shared" ref="AZ150:BB151" si="218">AZ138-AZ141-AZ144-AZ147</f>
        <v>16.800000000000054</v>
      </c>
      <c r="BA150" s="392">
        <f t="shared" si="218"/>
        <v>17.400000000000048</v>
      </c>
      <c r="BB150" s="392">
        <f t="shared" si="218"/>
        <v>17.600000000000009</v>
      </c>
      <c r="BC150" s="392">
        <f>BC138-BC141-BC144-BC147</f>
        <v>19.800000000000026</v>
      </c>
      <c r="BD150" s="699">
        <f>SUM(AZ150:BC150)</f>
        <v>71.600000000000136</v>
      </c>
      <c r="BE150" s="392">
        <f t="shared" ref="BE150:BG151" si="219">BE138-BE141-BE144-BE147</f>
        <v>9.8999999999999915</v>
      </c>
      <c r="BF150" s="392">
        <f t="shared" si="219"/>
        <v>11.400000000000048</v>
      </c>
      <c r="BG150" s="392">
        <f t="shared" si="219"/>
        <v>11.80000000000004</v>
      </c>
      <c r="BH150" s="392">
        <f>BH138-BH141-BH144-BH147</f>
        <v>10.600000000000009</v>
      </c>
      <c r="BI150" s="410">
        <f t="shared" si="196"/>
        <v>43.700000000000088</v>
      </c>
      <c r="BJ150" s="392">
        <f t="shared" ref="BJ150:BM151" si="220">BJ138-BJ141-BJ144-BJ147</f>
        <v>10.100000000000023</v>
      </c>
      <c r="BK150" s="392">
        <f t="shared" si="220"/>
        <v>9.9000000000000341</v>
      </c>
      <c r="BL150" s="392">
        <f t="shared" si="220"/>
        <v>12.200000000000003</v>
      </c>
      <c r="BM150" s="392">
        <f t="shared" si="220"/>
        <v>10.200000000000017</v>
      </c>
      <c r="BN150" s="699">
        <f t="shared" si="197"/>
        <v>42.400000000000077</v>
      </c>
      <c r="BO150" s="392">
        <f t="shared" ref="BO150:BR151" si="221">BO138-BO141-BO144-BO147</f>
        <v>4.8999999999999631</v>
      </c>
      <c r="BP150" s="392">
        <f t="shared" si="221"/>
        <v>4.8000000000000256</v>
      </c>
      <c r="BQ150" s="392">
        <f t="shared" si="221"/>
        <v>5.3000000000000114</v>
      </c>
      <c r="BR150" s="392">
        <f t="shared" si="221"/>
        <v>5.2000000000000171</v>
      </c>
      <c r="BS150" s="699">
        <f t="shared" si="198"/>
        <v>20.200000000000017</v>
      </c>
      <c r="BT150" s="392">
        <f t="shared" ref="BT150:BW151" si="222">BT138-BT141-BT144-BT147</f>
        <v>4.8000000000000114</v>
      </c>
      <c r="BU150" s="392">
        <f t="shared" si="222"/>
        <v>6.7000000000000455</v>
      </c>
      <c r="BV150" s="392">
        <f t="shared" si="222"/>
        <v>4.8999999999999631</v>
      </c>
      <c r="BW150" s="392">
        <f t="shared" si="222"/>
        <v>5.4000000000000483</v>
      </c>
      <c r="BX150" s="699">
        <f t="shared" si="199"/>
        <v>21.800000000000068</v>
      </c>
      <c r="BY150" s="392">
        <f>BY138-BY141-BY144-BY147</f>
        <v>0.30000000000004512</v>
      </c>
      <c r="BZ150" s="383">
        <f t="shared" ref="BZ150:CB151" si="223">BU150*(1+BZ380)</f>
        <v>6.7000000000000455</v>
      </c>
      <c r="CA150" s="383">
        <f t="shared" si="223"/>
        <v>4.8999999999999631</v>
      </c>
      <c r="CB150" s="383">
        <f t="shared" si="223"/>
        <v>5.4000000000000483</v>
      </c>
      <c r="CC150" s="699">
        <f t="shared" si="205"/>
        <v>17.300000000000104</v>
      </c>
      <c r="CD150" s="699">
        <f t="shared" ref="CD150:CH151" si="224">CC150*(1+CD380)</f>
        <v>17.300000000000104</v>
      </c>
      <c r="CE150" s="699">
        <f t="shared" si="224"/>
        <v>17.300000000000104</v>
      </c>
      <c r="CF150" s="699">
        <f t="shared" si="224"/>
        <v>17.300000000000104</v>
      </c>
      <c r="CG150" s="699">
        <f t="shared" si="224"/>
        <v>17.300000000000104</v>
      </c>
      <c r="CH150" s="699">
        <f t="shared" si="224"/>
        <v>17.300000000000104</v>
      </c>
      <c r="EX150" s="1261"/>
    </row>
    <row r="151" spans="1:228" ht="12.75" customHeight="1">
      <c r="A151" s="9"/>
      <c r="B151" s="9"/>
      <c r="C151" s="9"/>
      <c r="D151" s="9"/>
      <c r="E151" s="9"/>
      <c r="F151" s="9"/>
      <c r="G151" s="9"/>
      <c r="H151" s="257" t="s">
        <v>1086</v>
      </c>
      <c r="I151" s="257"/>
      <c r="J151" s="257"/>
      <c r="K151" s="257"/>
      <c r="L151" s="263">
        <v>3</v>
      </c>
      <c r="M151" s="263">
        <v>3.1</v>
      </c>
      <c r="N151" s="263">
        <v>2.6</v>
      </c>
      <c r="O151" s="263">
        <v>2.6</v>
      </c>
      <c r="P151" s="259">
        <v>11.3</v>
      </c>
      <c r="Q151" s="263">
        <f>1.6+9.3+7.7</f>
        <v>18.600000000000001</v>
      </c>
      <c r="R151" s="263">
        <v>6.8</v>
      </c>
      <c r="S151" s="263">
        <v>8.1</v>
      </c>
      <c r="T151" s="263">
        <v>8.3000000000000007</v>
      </c>
      <c r="U151" s="79">
        <f>SUM(Q151:T151)</f>
        <v>41.8</v>
      </c>
      <c r="V151" s="263">
        <v>7.3</v>
      </c>
      <c r="W151" s="263">
        <v>6.4</v>
      </c>
      <c r="X151" s="263">
        <v>6.7</v>
      </c>
      <c r="Y151" s="263">
        <v>6.7</v>
      </c>
      <c r="Z151" s="79">
        <f>SUM(V151:Y151)</f>
        <v>27.099999999999998</v>
      </c>
      <c r="AA151" s="263">
        <v>5</v>
      </c>
      <c r="AB151" s="263">
        <v>5.5</v>
      </c>
      <c r="AC151" s="263">
        <v>6.1</v>
      </c>
      <c r="AD151" s="263">
        <v>4.3</v>
      </c>
      <c r="AE151" s="79">
        <f>SUM(AA151:AD151)</f>
        <v>20.900000000000002</v>
      </c>
      <c r="AF151" s="263">
        <v>4.2</v>
      </c>
      <c r="AG151" s="263">
        <v>5.1100000000000003</v>
      </c>
      <c r="AH151" s="263">
        <v>2.8</v>
      </c>
      <c r="AI151" s="263">
        <v>4.8</v>
      </c>
      <c r="AJ151" s="79">
        <f>SUM(AF151:AI151)</f>
        <v>16.91</v>
      </c>
      <c r="AK151" s="263">
        <v>6.3</v>
      </c>
      <c r="AL151" s="263">
        <v>6.1</v>
      </c>
      <c r="AM151" s="263">
        <v>4.9000000000000004</v>
      </c>
      <c r="AN151" s="263">
        <v>6</v>
      </c>
      <c r="AO151" s="410">
        <f>SUM(AK151:AN151)</f>
        <v>23.299999999999997</v>
      </c>
      <c r="AP151" s="391">
        <v>7.3</v>
      </c>
      <c r="AQ151" s="391">
        <v>9.1999999999999993</v>
      </c>
      <c r="AR151" s="391">
        <v>8</v>
      </c>
      <c r="AS151" s="391">
        <v>11.3</v>
      </c>
      <c r="AT151" s="410">
        <f>SUM(AP151:AS151)</f>
        <v>35.799999999999997</v>
      </c>
      <c r="AU151" s="392">
        <f t="shared" si="217"/>
        <v>8.8999999999999773</v>
      </c>
      <c r="AV151" s="392">
        <f t="shared" si="217"/>
        <v>12.899999999999999</v>
      </c>
      <c r="AW151" s="392">
        <f t="shared" si="217"/>
        <v>13.000000000000011</v>
      </c>
      <c r="AX151" s="392">
        <f t="shared" si="217"/>
        <v>13.000000000000014</v>
      </c>
      <c r="AY151" s="410">
        <f>SUM(AU151:AX151)</f>
        <v>47.8</v>
      </c>
      <c r="AZ151" s="392">
        <f t="shared" si="218"/>
        <v>12.699999999999974</v>
      </c>
      <c r="BA151" s="392">
        <f t="shared" si="218"/>
        <v>14.20000000000001</v>
      </c>
      <c r="BB151" s="392">
        <f t="shared" si="218"/>
        <v>14.799999999999997</v>
      </c>
      <c r="BC151" s="392">
        <f>BC139-BC142-BC145-BC148</f>
        <v>14.700000000000003</v>
      </c>
      <c r="BD151" s="699">
        <f>SUM(AZ151:BC151)</f>
        <v>56.399999999999984</v>
      </c>
      <c r="BE151" s="392">
        <f t="shared" si="219"/>
        <v>22.899999999999977</v>
      </c>
      <c r="BF151" s="392">
        <f t="shared" si="219"/>
        <v>23.299999999999969</v>
      </c>
      <c r="BG151" s="392">
        <f t="shared" si="219"/>
        <v>21.200000000000024</v>
      </c>
      <c r="BH151" s="392">
        <f>BH139-BH142-BH145-BH148</f>
        <v>18.70000000000001</v>
      </c>
      <c r="BI151" s="410">
        <f t="shared" si="196"/>
        <v>86.1</v>
      </c>
      <c r="BJ151" s="392">
        <f t="shared" si="220"/>
        <v>23.100000000000012</v>
      </c>
      <c r="BK151" s="392">
        <f t="shared" si="220"/>
        <v>30.600000000000033</v>
      </c>
      <c r="BL151" s="392">
        <f t="shared" si="220"/>
        <v>25.899999999999988</v>
      </c>
      <c r="BM151" s="392">
        <f t="shared" si="220"/>
        <v>14.700000000000006</v>
      </c>
      <c r="BN151" s="410">
        <f t="shared" si="197"/>
        <v>94.30000000000004</v>
      </c>
      <c r="BO151" s="392">
        <f t="shared" si="221"/>
        <v>23.300000000000022</v>
      </c>
      <c r="BP151" s="392">
        <f t="shared" si="221"/>
        <v>31.299999999999965</v>
      </c>
      <c r="BQ151" s="392">
        <f t="shared" si="221"/>
        <v>31.3</v>
      </c>
      <c r="BR151" s="392">
        <f t="shared" si="221"/>
        <v>25.899999999999988</v>
      </c>
      <c r="BS151" s="410">
        <f t="shared" si="198"/>
        <v>111.79999999999998</v>
      </c>
      <c r="BT151" s="392">
        <f t="shared" si="222"/>
        <v>26.100000000000005</v>
      </c>
      <c r="BU151" s="392">
        <f t="shared" si="222"/>
        <v>32.999999999999979</v>
      </c>
      <c r="BV151" s="392">
        <f t="shared" si="222"/>
        <v>36.799999999999976</v>
      </c>
      <c r="BW151" s="392">
        <f t="shared" si="222"/>
        <v>33.300000000000011</v>
      </c>
      <c r="BX151" s="410">
        <f t="shared" si="199"/>
        <v>129.19999999999996</v>
      </c>
      <c r="BY151" s="392">
        <f>BY139-BY142-BY145-BY148</f>
        <v>34.200000000000003</v>
      </c>
      <c r="BZ151" s="383">
        <f t="shared" si="223"/>
        <v>35.639999999999979</v>
      </c>
      <c r="CA151" s="383">
        <f t="shared" si="223"/>
        <v>39.743999999999978</v>
      </c>
      <c r="CB151" s="383">
        <f t="shared" si="223"/>
        <v>35.964000000000013</v>
      </c>
      <c r="CC151" s="410">
        <f t="shared" si="205"/>
        <v>145.54799999999994</v>
      </c>
      <c r="CD151" s="410">
        <f t="shared" si="224"/>
        <v>152.82539999999995</v>
      </c>
      <c r="CE151" s="410">
        <f t="shared" si="224"/>
        <v>157.41016199999996</v>
      </c>
      <c r="CF151" s="410">
        <f t="shared" si="224"/>
        <v>160.55836523999997</v>
      </c>
      <c r="CG151" s="410">
        <f t="shared" si="224"/>
        <v>160.55836523999997</v>
      </c>
      <c r="CH151" s="410">
        <f t="shared" si="224"/>
        <v>160.55836523999997</v>
      </c>
      <c r="EX151" s="1261"/>
    </row>
    <row r="152" spans="1:228" s="821" customFormat="1" hidden="1" collapsed="1">
      <c r="A152" s="285"/>
      <c r="B152" s="285"/>
      <c r="C152" s="285"/>
      <c r="D152" s="285"/>
      <c r="E152" s="285"/>
      <c r="F152" s="285"/>
      <c r="G152" s="285"/>
      <c r="H152" s="977" t="s">
        <v>238</v>
      </c>
      <c r="I152" s="957"/>
      <c r="J152" s="942"/>
      <c r="K152" s="942"/>
      <c r="L152" s="954"/>
      <c r="M152" s="954"/>
      <c r="N152" s="954"/>
      <c r="O152" s="954"/>
      <c r="P152" s="958"/>
      <c r="Q152" s="288"/>
      <c r="R152" s="288"/>
      <c r="S152" s="288"/>
      <c r="T152" s="288"/>
      <c r="U152" s="958"/>
      <c r="V152" s="954"/>
      <c r="W152" s="954"/>
      <c r="X152" s="954"/>
      <c r="Y152" s="954"/>
      <c r="Z152" s="958"/>
      <c r="AA152" s="954"/>
      <c r="AB152" s="954"/>
      <c r="AC152" s="954"/>
      <c r="AD152" s="954"/>
      <c r="AE152" s="291"/>
      <c r="AF152" s="288"/>
      <c r="AG152" s="288"/>
      <c r="AH152" s="288"/>
      <c r="AI152" s="288"/>
      <c r="AJ152" s="291"/>
      <c r="AK152" s="288"/>
      <c r="AL152" s="288"/>
      <c r="AM152" s="288"/>
      <c r="AN152" s="288"/>
      <c r="AO152" s="704"/>
      <c r="AP152" s="884"/>
      <c r="AQ152" s="884"/>
      <c r="AR152" s="884"/>
      <c r="AS152" s="884"/>
      <c r="AT152" s="704"/>
      <c r="AU152" s="706">
        <f t="shared" ref="AU152:BB152" si="225">AU153+AU154</f>
        <v>10.4</v>
      </c>
      <c r="AV152" s="706">
        <f t="shared" si="225"/>
        <v>12.8</v>
      </c>
      <c r="AW152" s="706">
        <f t="shared" si="225"/>
        <v>13.600000000000001</v>
      </c>
      <c r="AX152" s="706">
        <f t="shared" si="225"/>
        <v>12.7</v>
      </c>
      <c r="AY152" s="707">
        <f t="shared" si="225"/>
        <v>49.5</v>
      </c>
      <c r="AZ152" s="706">
        <f t="shared" si="225"/>
        <v>14</v>
      </c>
      <c r="BA152" s="706">
        <f t="shared" si="225"/>
        <v>15.2</v>
      </c>
      <c r="BB152" s="706">
        <f t="shared" si="225"/>
        <v>16.2</v>
      </c>
      <c r="BC152" s="786"/>
      <c r="BD152" s="707">
        <f>BD153+BD154</f>
        <v>45.4</v>
      </c>
      <c r="BE152" s="706"/>
      <c r="BF152" s="706"/>
      <c r="BG152" s="706"/>
      <c r="BH152" s="706"/>
      <c r="BI152" s="707"/>
      <c r="BJ152" s="786"/>
      <c r="BK152" s="786"/>
      <c r="BL152" s="786"/>
      <c r="BM152" s="786"/>
      <c r="BN152" s="707"/>
      <c r="BO152" s="786"/>
      <c r="BP152" s="786"/>
      <c r="BQ152" s="786"/>
      <c r="BR152" s="786"/>
      <c r="BS152" s="707"/>
      <c r="BT152" s="786"/>
      <c r="BU152" s="786"/>
      <c r="BV152" s="786"/>
      <c r="BW152" s="786"/>
      <c r="BX152" s="707"/>
      <c r="BY152" s="786"/>
      <c r="BZ152" s="786"/>
      <c r="CA152" s="786"/>
      <c r="CB152" s="786"/>
      <c r="CC152" s="707"/>
      <c r="CD152" s="707"/>
      <c r="CE152" s="707"/>
      <c r="CF152" s="707"/>
      <c r="CG152" s="707"/>
      <c r="CH152" s="707"/>
      <c r="EX152" s="1261"/>
      <c r="HT152" s="707"/>
    </row>
    <row r="153" spans="1:228" s="821" customFormat="1" hidden="1">
      <c r="A153" s="285"/>
      <c r="B153" s="285"/>
      <c r="C153" s="285"/>
      <c r="D153" s="285"/>
      <c r="E153" s="285"/>
      <c r="F153" s="285"/>
      <c r="G153" s="285"/>
      <c r="H153" s="939" t="s">
        <v>1165</v>
      </c>
      <c r="I153" s="957"/>
      <c r="J153" s="942"/>
      <c r="K153" s="942"/>
      <c r="L153" s="954"/>
      <c r="M153" s="954"/>
      <c r="N153" s="954"/>
      <c r="O153" s="954"/>
      <c r="P153" s="958"/>
      <c r="Q153" s="288"/>
      <c r="R153" s="288"/>
      <c r="S153" s="288"/>
      <c r="T153" s="288"/>
      <c r="U153" s="958"/>
      <c r="V153" s="954"/>
      <c r="W153" s="954"/>
      <c r="X153" s="954"/>
      <c r="Y153" s="954"/>
      <c r="Z153" s="958"/>
      <c r="AA153" s="954"/>
      <c r="AB153" s="954"/>
      <c r="AC153" s="954"/>
      <c r="AD153" s="954"/>
      <c r="AE153" s="291"/>
      <c r="AF153" s="288"/>
      <c r="AG153" s="288"/>
      <c r="AH153" s="288"/>
      <c r="AI153" s="288"/>
      <c r="AJ153" s="291"/>
      <c r="AK153" s="288"/>
      <c r="AL153" s="288"/>
      <c r="AM153" s="288"/>
      <c r="AN153" s="288"/>
      <c r="AO153" s="704"/>
      <c r="AP153" s="884"/>
      <c r="AQ153" s="884"/>
      <c r="AR153" s="884"/>
      <c r="AS153" s="884"/>
      <c r="AT153" s="704"/>
      <c r="AU153" s="884">
        <v>4.9000000000000004</v>
      </c>
      <c r="AV153" s="884">
        <v>4.7</v>
      </c>
      <c r="AW153" s="884">
        <v>4.8</v>
      </c>
      <c r="AX153" s="884">
        <v>5.0999999999999996</v>
      </c>
      <c r="AY153" s="704">
        <f>SUM(AU153:AX153)</f>
        <v>19.5</v>
      </c>
      <c r="AZ153" s="884">
        <v>4.8</v>
      </c>
      <c r="BA153" s="884">
        <v>5</v>
      </c>
      <c r="BB153" s="884">
        <v>5.0999999999999996</v>
      </c>
      <c r="BC153" s="786"/>
      <c r="BD153" s="704">
        <f>SUM(AZ153:BC153)</f>
        <v>14.9</v>
      </c>
      <c r="BE153" s="960"/>
      <c r="BF153" s="960"/>
      <c r="BG153" s="960"/>
      <c r="BH153" s="960"/>
      <c r="BI153" s="704"/>
      <c r="BJ153" s="786"/>
      <c r="BK153" s="786"/>
      <c r="BL153" s="786"/>
      <c r="BM153" s="786"/>
      <c r="BN153" s="704"/>
      <c r="BO153" s="786"/>
      <c r="BP153" s="786"/>
      <c r="BQ153" s="786"/>
      <c r="BR153" s="786"/>
      <c r="BS153" s="704"/>
      <c r="BT153" s="786"/>
      <c r="BU153" s="786"/>
      <c r="BV153" s="786"/>
      <c r="BW153" s="786"/>
      <c r="BX153" s="704"/>
      <c r="BY153" s="786"/>
      <c r="BZ153" s="786"/>
      <c r="CA153" s="786"/>
      <c r="CB153" s="786"/>
      <c r="CC153" s="704"/>
      <c r="CD153" s="704"/>
      <c r="CE153" s="704"/>
      <c r="CF153" s="704"/>
      <c r="CG153" s="704"/>
      <c r="CH153" s="704"/>
      <c r="EX153" s="1261"/>
      <c r="HT153" s="704"/>
    </row>
    <row r="154" spans="1:228" s="821" customFormat="1" hidden="1">
      <c r="A154" s="285"/>
      <c r="B154" s="285"/>
      <c r="C154" s="285"/>
      <c r="D154" s="285"/>
      <c r="E154" s="285"/>
      <c r="F154" s="285"/>
      <c r="G154" s="285"/>
      <c r="H154" s="939" t="s">
        <v>1178</v>
      </c>
      <c r="I154" s="957"/>
      <c r="J154" s="942"/>
      <c r="K154" s="942"/>
      <c r="L154" s="954"/>
      <c r="M154" s="954"/>
      <c r="N154" s="954"/>
      <c r="O154" s="954"/>
      <c r="P154" s="958"/>
      <c r="Q154" s="288"/>
      <c r="R154" s="288"/>
      <c r="S154" s="288"/>
      <c r="T154" s="288"/>
      <c r="U154" s="958"/>
      <c r="V154" s="954"/>
      <c r="W154" s="954"/>
      <c r="X154" s="954"/>
      <c r="Y154" s="954"/>
      <c r="Z154" s="958"/>
      <c r="AA154" s="954"/>
      <c r="AB154" s="954"/>
      <c r="AC154" s="954"/>
      <c r="AD154" s="954"/>
      <c r="AE154" s="291"/>
      <c r="AF154" s="288"/>
      <c r="AG154" s="288"/>
      <c r="AH154" s="288"/>
      <c r="AI154" s="288"/>
      <c r="AJ154" s="291"/>
      <c r="AK154" s="288"/>
      <c r="AL154" s="288"/>
      <c r="AM154" s="288"/>
      <c r="AN154" s="288"/>
      <c r="AO154" s="704"/>
      <c r="AP154" s="884"/>
      <c r="AQ154" s="884"/>
      <c r="AR154" s="884"/>
      <c r="AS154" s="884"/>
      <c r="AT154" s="704"/>
      <c r="AU154" s="884">
        <v>5.5</v>
      </c>
      <c r="AV154" s="884">
        <v>8.1</v>
      </c>
      <c r="AW154" s="884">
        <v>8.8000000000000007</v>
      </c>
      <c r="AX154" s="884">
        <v>7.6</v>
      </c>
      <c r="AY154" s="704">
        <f>SUM(AU154:AX154)</f>
        <v>30</v>
      </c>
      <c r="AZ154" s="884">
        <v>9.1999999999999993</v>
      </c>
      <c r="BA154" s="884">
        <v>10.199999999999999</v>
      </c>
      <c r="BB154" s="884">
        <v>11.1</v>
      </c>
      <c r="BC154" s="786"/>
      <c r="BD154" s="704">
        <f>SUM(AZ154:BC154)</f>
        <v>30.5</v>
      </c>
      <c r="BE154" s="960"/>
      <c r="BF154" s="960"/>
      <c r="BG154" s="960"/>
      <c r="BH154" s="960"/>
      <c r="BI154" s="704"/>
      <c r="BJ154" s="786"/>
      <c r="BK154" s="786"/>
      <c r="BL154" s="786"/>
      <c r="BM154" s="786"/>
      <c r="BN154" s="704"/>
      <c r="BO154" s="786"/>
      <c r="BP154" s="786"/>
      <c r="BQ154" s="786"/>
      <c r="BR154" s="786"/>
      <c r="BS154" s="704"/>
      <c r="BT154" s="786"/>
      <c r="BU154" s="786"/>
      <c r="BV154" s="786"/>
      <c r="BW154" s="786"/>
      <c r="BX154" s="704"/>
      <c r="BY154" s="786"/>
      <c r="BZ154" s="786"/>
      <c r="CA154" s="786"/>
      <c r="CB154" s="786"/>
      <c r="CC154" s="704"/>
      <c r="CD154" s="704"/>
      <c r="CE154" s="704"/>
      <c r="CF154" s="704"/>
      <c r="CG154" s="704"/>
      <c r="CH154" s="704"/>
      <c r="EX154" s="1261"/>
      <c r="HT154" s="704"/>
    </row>
    <row r="155" spans="1:228" s="821" customFormat="1" hidden="1">
      <c r="A155" s="285"/>
      <c r="B155" s="285"/>
      <c r="C155" s="285"/>
      <c r="D155" s="285"/>
      <c r="E155" s="285"/>
      <c r="F155" s="285"/>
      <c r="G155" s="285"/>
      <c r="H155" s="977" t="s">
        <v>636</v>
      </c>
      <c r="I155" s="957"/>
      <c r="J155" s="942"/>
      <c r="K155" s="942"/>
      <c r="L155" s="954"/>
      <c r="M155" s="954"/>
      <c r="N155" s="954"/>
      <c r="O155" s="954"/>
      <c r="P155" s="958"/>
      <c r="Q155" s="288"/>
      <c r="R155" s="288"/>
      <c r="S155" s="288"/>
      <c r="T155" s="288"/>
      <c r="U155" s="958"/>
      <c r="V155" s="954"/>
      <c r="W155" s="954"/>
      <c r="X155" s="954"/>
      <c r="Y155" s="954"/>
      <c r="Z155" s="958"/>
      <c r="AA155" s="954"/>
      <c r="AB155" s="954"/>
      <c r="AC155" s="954"/>
      <c r="AD155" s="954"/>
      <c r="AE155" s="291"/>
      <c r="AF155" s="288"/>
      <c r="AG155" s="288"/>
      <c r="AH155" s="288"/>
      <c r="AI155" s="288"/>
      <c r="AJ155" s="291"/>
      <c r="AK155" s="288"/>
      <c r="AL155" s="288"/>
      <c r="AM155" s="288"/>
      <c r="AN155" s="288"/>
      <c r="AO155" s="704"/>
      <c r="AP155" s="884"/>
      <c r="AQ155" s="884"/>
      <c r="AR155" s="884"/>
      <c r="AS155" s="884"/>
      <c r="AT155" s="704"/>
      <c r="AU155" s="884"/>
      <c r="AV155" s="884"/>
      <c r="AW155" s="884"/>
      <c r="AX155" s="884"/>
      <c r="AY155" s="704"/>
      <c r="AZ155" s="706">
        <f t="shared" ref="AZ155:BK155" si="226">AZ156+AZ157</f>
        <v>0.5</v>
      </c>
      <c r="BA155" s="706">
        <f t="shared" si="226"/>
        <v>0</v>
      </c>
      <c r="BB155" s="706">
        <f t="shared" si="226"/>
        <v>0</v>
      </c>
      <c r="BC155" s="706">
        <f t="shared" si="226"/>
        <v>0</v>
      </c>
      <c r="BD155" s="707">
        <f t="shared" si="226"/>
        <v>0.5</v>
      </c>
      <c r="BE155" s="706">
        <f t="shared" si="226"/>
        <v>0.5</v>
      </c>
      <c r="BF155" s="706">
        <f t="shared" si="226"/>
        <v>1</v>
      </c>
      <c r="BG155" s="706">
        <f t="shared" si="226"/>
        <v>2</v>
      </c>
      <c r="BH155" s="706">
        <f t="shared" si="226"/>
        <v>4</v>
      </c>
      <c r="BI155" s="707">
        <f t="shared" si="226"/>
        <v>7.5</v>
      </c>
      <c r="BJ155" s="786">
        <f t="shared" si="226"/>
        <v>14.5</v>
      </c>
      <c r="BK155" s="786">
        <f t="shared" si="226"/>
        <v>28</v>
      </c>
      <c r="BL155" s="786">
        <f>BL156+BL157</f>
        <v>54</v>
      </c>
      <c r="BM155" s="786">
        <f>BM156+BM157</f>
        <v>104</v>
      </c>
      <c r="BN155" s="707">
        <f>BN156+BN157</f>
        <v>200.5</v>
      </c>
      <c r="BO155" s="786"/>
      <c r="BP155" s="786"/>
      <c r="BQ155" s="786"/>
      <c r="BR155" s="786"/>
      <c r="BS155" s="707">
        <f>BS156+BS157</f>
        <v>0</v>
      </c>
      <c r="BT155" s="786"/>
      <c r="BU155" s="786"/>
      <c r="BV155" s="786"/>
      <c r="BW155" s="786"/>
      <c r="BX155" s="707">
        <f>BX156+BX157</f>
        <v>0</v>
      </c>
      <c r="BY155" s="786"/>
      <c r="BZ155" s="786"/>
      <c r="CA155" s="786"/>
      <c r="CB155" s="786"/>
      <c r="CC155" s="707">
        <f t="shared" ref="CC155:CH155" si="227">CC156+CC157</f>
        <v>0</v>
      </c>
      <c r="CD155" s="707" t="e">
        <f t="shared" si="227"/>
        <v>#REF!</v>
      </c>
      <c r="CE155" s="707" t="e">
        <f t="shared" si="227"/>
        <v>#REF!</v>
      </c>
      <c r="CF155" s="707" t="e">
        <f t="shared" si="227"/>
        <v>#REF!</v>
      </c>
      <c r="CG155" s="707" t="e">
        <f t="shared" si="227"/>
        <v>#REF!</v>
      </c>
      <c r="CH155" s="707" t="e">
        <f t="shared" si="227"/>
        <v>#REF!</v>
      </c>
      <c r="EX155" s="1261"/>
      <c r="HT155" s="707"/>
    </row>
    <row r="156" spans="1:228" s="821" customFormat="1" hidden="1">
      <c r="A156" s="285"/>
      <c r="B156" s="285"/>
      <c r="C156" s="285"/>
      <c r="D156" s="285"/>
      <c r="E156" s="285"/>
      <c r="F156" s="285"/>
      <c r="G156" s="285"/>
      <c r="H156" s="939" t="s">
        <v>1165</v>
      </c>
      <c r="I156" s="957"/>
      <c r="J156" s="942"/>
      <c r="K156" s="942"/>
      <c r="L156" s="954"/>
      <c r="M156" s="954"/>
      <c r="N156" s="954"/>
      <c r="O156" s="954"/>
      <c r="P156" s="958"/>
      <c r="Q156" s="288"/>
      <c r="R156" s="288"/>
      <c r="S156" s="288"/>
      <c r="T156" s="288"/>
      <c r="U156" s="958"/>
      <c r="V156" s="954"/>
      <c r="W156" s="954"/>
      <c r="X156" s="954"/>
      <c r="Y156" s="954"/>
      <c r="Z156" s="958"/>
      <c r="AA156" s="954"/>
      <c r="AB156" s="954"/>
      <c r="AC156" s="954"/>
      <c r="AD156" s="954"/>
      <c r="AE156" s="291"/>
      <c r="AF156" s="288"/>
      <c r="AG156" s="288"/>
      <c r="AH156" s="288"/>
      <c r="AI156" s="288"/>
      <c r="AJ156" s="291"/>
      <c r="AK156" s="288"/>
      <c r="AL156" s="288"/>
      <c r="AM156" s="288"/>
      <c r="AN156" s="288"/>
      <c r="AO156" s="704"/>
      <c r="AP156" s="884"/>
      <c r="AQ156" s="884"/>
      <c r="AR156" s="884"/>
      <c r="AS156" s="884"/>
      <c r="AT156" s="704"/>
      <c r="AU156" s="884"/>
      <c r="AV156" s="884"/>
      <c r="AW156" s="884"/>
      <c r="AX156" s="884"/>
      <c r="AY156" s="704"/>
      <c r="AZ156" s="884">
        <v>0</v>
      </c>
      <c r="BA156" s="884">
        <v>0</v>
      </c>
      <c r="BB156" s="884">
        <v>0</v>
      </c>
      <c r="BC156" s="884">
        <v>0</v>
      </c>
      <c r="BD156" s="704">
        <f t="shared" ref="BD156:BM157" si="228">SUM(AZ156:BC156)</f>
        <v>0</v>
      </c>
      <c r="BE156" s="960">
        <f t="shared" si="228"/>
        <v>0</v>
      </c>
      <c r="BF156" s="960">
        <f t="shared" si="228"/>
        <v>0</v>
      </c>
      <c r="BG156" s="960">
        <f t="shared" si="228"/>
        <v>0</v>
      </c>
      <c r="BH156" s="960">
        <f t="shared" si="228"/>
        <v>0</v>
      </c>
      <c r="BI156" s="704">
        <f t="shared" si="228"/>
        <v>0</v>
      </c>
      <c r="BJ156" s="786">
        <f t="shared" si="228"/>
        <v>0</v>
      </c>
      <c r="BK156" s="786">
        <f t="shared" si="228"/>
        <v>0</v>
      </c>
      <c r="BL156" s="786">
        <f t="shared" si="228"/>
        <v>0</v>
      </c>
      <c r="BM156" s="786">
        <f t="shared" si="228"/>
        <v>0</v>
      </c>
      <c r="BN156" s="704">
        <f>SUM(BJ156:BM156)</f>
        <v>0</v>
      </c>
      <c r="BO156" s="786"/>
      <c r="BP156" s="786"/>
      <c r="BQ156" s="786"/>
      <c r="BR156" s="786"/>
      <c r="BS156" s="704">
        <f>SUM(BO156:BR156)</f>
        <v>0</v>
      </c>
      <c r="BT156" s="786"/>
      <c r="BU156" s="786"/>
      <c r="BV156" s="786"/>
      <c r="BW156" s="786"/>
      <c r="BX156" s="704">
        <f>SUM(BT156:BW156)</f>
        <v>0</v>
      </c>
      <c r="BY156" s="786"/>
      <c r="BZ156" s="786"/>
      <c r="CA156" s="786"/>
      <c r="CB156" s="786"/>
      <c r="CC156" s="704">
        <f>SUM(BY156:CB156)</f>
        <v>0</v>
      </c>
      <c r="CD156" s="704" t="e">
        <f>SUM(#REF!)</f>
        <v>#REF!</v>
      </c>
      <c r="CE156" s="704" t="e">
        <f>SUM(#REF!)</f>
        <v>#REF!</v>
      </c>
      <c r="CF156" s="704" t="e">
        <f>SUM(#REF!)</f>
        <v>#REF!</v>
      </c>
      <c r="CG156" s="704" t="e">
        <f>SUM(#REF!)</f>
        <v>#REF!</v>
      </c>
      <c r="CH156" s="704" t="e">
        <f>SUM(#REF!)</f>
        <v>#REF!</v>
      </c>
      <c r="EX156" s="1261"/>
      <c r="HT156" s="704"/>
    </row>
    <row r="157" spans="1:228" s="821" customFormat="1" hidden="1">
      <c r="A157" s="285"/>
      <c r="B157" s="285"/>
      <c r="C157" s="285"/>
      <c r="D157" s="285"/>
      <c r="E157" s="285"/>
      <c r="F157" s="285"/>
      <c r="G157" s="285"/>
      <c r="H157" s="939" t="s">
        <v>1177</v>
      </c>
      <c r="I157" s="957"/>
      <c r="J157" s="942"/>
      <c r="K157" s="942"/>
      <c r="L157" s="954"/>
      <c r="M157" s="954"/>
      <c r="N157" s="954"/>
      <c r="O157" s="954"/>
      <c r="P157" s="958"/>
      <c r="Q157" s="288"/>
      <c r="R157" s="288"/>
      <c r="S157" s="288"/>
      <c r="T157" s="288"/>
      <c r="U157" s="958"/>
      <c r="V157" s="954"/>
      <c r="W157" s="954"/>
      <c r="X157" s="954"/>
      <c r="Y157" s="954"/>
      <c r="Z157" s="958"/>
      <c r="AA157" s="954"/>
      <c r="AB157" s="954"/>
      <c r="AC157" s="954"/>
      <c r="AD157" s="954"/>
      <c r="AE157" s="291"/>
      <c r="AF157" s="288"/>
      <c r="AG157" s="288"/>
      <c r="AH157" s="288"/>
      <c r="AI157" s="288"/>
      <c r="AJ157" s="291"/>
      <c r="AK157" s="288"/>
      <c r="AL157" s="288"/>
      <c r="AM157" s="288"/>
      <c r="AN157" s="288"/>
      <c r="AO157" s="704"/>
      <c r="AP157" s="884"/>
      <c r="AQ157" s="884"/>
      <c r="AR157" s="884"/>
      <c r="AS157" s="884"/>
      <c r="AT157" s="704"/>
      <c r="AU157" s="884"/>
      <c r="AV157" s="884"/>
      <c r="AW157" s="884"/>
      <c r="AX157" s="884"/>
      <c r="AY157" s="704"/>
      <c r="AZ157" s="884">
        <v>0.5</v>
      </c>
      <c r="BA157" s="943">
        <v>0</v>
      </c>
      <c r="BB157" s="943">
        <v>0</v>
      </c>
      <c r="BC157" s="943">
        <v>0</v>
      </c>
      <c r="BD157" s="704">
        <f t="shared" si="228"/>
        <v>0.5</v>
      </c>
      <c r="BE157" s="960">
        <f t="shared" si="228"/>
        <v>0.5</v>
      </c>
      <c r="BF157" s="960">
        <f t="shared" si="228"/>
        <v>1</v>
      </c>
      <c r="BG157" s="960">
        <f t="shared" si="228"/>
        <v>2</v>
      </c>
      <c r="BH157" s="960">
        <f t="shared" si="228"/>
        <v>4</v>
      </c>
      <c r="BI157" s="704">
        <f t="shared" si="228"/>
        <v>7.5</v>
      </c>
      <c r="BJ157" s="786">
        <f t="shared" si="228"/>
        <v>14.5</v>
      </c>
      <c r="BK157" s="786">
        <f t="shared" si="228"/>
        <v>28</v>
      </c>
      <c r="BL157" s="786">
        <f t="shared" si="228"/>
        <v>54</v>
      </c>
      <c r="BM157" s="786">
        <f t="shared" si="228"/>
        <v>104</v>
      </c>
      <c r="BN157" s="704">
        <f>SUM(BJ157:BM157)</f>
        <v>200.5</v>
      </c>
      <c r="BO157" s="786"/>
      <c r="BP157" s="786"/>
      <c r="BQ157" s="786"/>
      <c r="BR157" s="786"/>
      <c r="BS157" s="704">
        <f>SUM(BO157:BR157)</f>
        <v>0</v>
      </c>
      <c r="BT157" s="786"/>
      <c r="BU157" s="786"/>
      <c r="BV157" s="786"/>
      <c r="BW157" s="786"/>
      <c r="BX157" s="704">
        <f>SUM(BT157:BW157)</f>
        <v>0</v>
      </c>
      <c r="BY157" s="786"/>
      <c r="BZ157" s="786"/>
      <c r="CA157" s="786"/>
      <c r="CB157" s="786"/>
      <c r="CC157" s="704">
        <f>SUM(BY157:CB157)</f>
        <v>0</v>
      </c>
      <c r="CD157" s="704" t="e">
        <f>SUM(#REF!)</f>
        <v>#REF!</v>
      </c>
      <c r="CE157" s="704" t="e">
        <f>SUM(#REF!)</f>
        <v>#REF!</v>
      </c>
      <c r="CF157" s="704" t="e">
        <f>SUM(#REF!)</f>
        <v>#REF!</v>
      </c>
      <c r="CG157" s="704" t="e">
        <f>SUM(#REF!)</f>
        <v>#REF!</v>
      </c>
      <c r="CH157" s="704" t="e">
        <f>SUM(#REF!)</f>
        <v>#REF!</v>
      </c>
      <c r="EX157" s="1261"/>
      <c r="HT157" s="704"/>
    </row>
    <row r="158" spans="1:228" s="15" customFormat="1" hidden="1">
      <c r="A158" s="9"/>
      <c r="B158" s="9"/>
      <c r="C158" s="9"/>
      <c r="D158" s="9"/>
      <c r="E158" s="9"/>
      <c r="F158" s="9"/>
      <c r="G158" s="9"/>
      <c r="H158" s="304" t="s">
        <v>254</v>
      </c>
      <c r="I158" s="304"/>
      <c r="J158" s="266"/>
      <c r="K158" s="266"/>
      <c r="L158" s="265">
        <v>59.5</v>
      </c>
      <c r="M158" s="265">
        <v>57.7</v>
      </c>
      <c r="N158" s="265">
        <v>45.5</v>
      </c>
      <c r="O158" s="265">
        <v>51.8</v>
      </c>
      <c r="P158" s="266">
        <v>214.5</v>
      </c>
      <c r="Q158" s="265">
        <f t="shared" ref="Q158:AJ158" si="229">Q159+Q160</f>
        <v>50.3</v>
      </c>
      <c r="R158" s="265">
        <f t="shared" si="229"/>
        <v>48.400000000000006</v>
      </c>
      <c r="S158" s="265">
        <f t="shared" si="229"/>
        <v>42.099999999999994</v>
      </c>
      <c r="T158" s="265">
        <f t="shared" si="229"/>
        <v>51.3</v>
      </c>
      <c r="U158" s="266">
        <f t="shared" si="229"/>
        <v>192.1</v>
      </c>
      <c r="V158" s="265">
        <f t="shared" si="229"/>
        <v>51.4</v>
      </c>
      <c r="W158" s="265">
        <f t="shared" si="229"/>
        <v>45.8</v>
      </c>
      <c r="X158" s="265">
        <f t="shared" si="229"/>
        <v>40.6</v>
      </c>
      <c r="Y158" s="265">
        <f t="shared" si="229"/>
        <v>45</v>
      </c>
      <c r="Z158" s="266">
        <f t="shared" si="229"/>
        <v>182.8</v>
      </c>
      <c r="AA158" s="265">
        <f t="shared" si="229"/>
        <v>51.1</v>
      </c>
      <c r="AB158" s="265">
        <f t="shared" si="229"/>
        <v>41.4</v>
      </c>
      <c r="AC158" s="265">
        <f t="shared" si="229"/>
        <v>34.299999999999997</v>
      </c>
      <c r="AD158" s="265">
        <f t="shared" si="229"/>
        <v>34</v>
      </c>
      <c r="AE158" s="266">
        <f t="shared" si="229"/>
        <v>160.80000000000001</v>
      </c>
      <c r="AF158" s="265">
        <f t="shared" si="229"/>
        <v>33.700000000000003</v>
      </c>
      <c r="AG158" s="265">
        <f t="shared" si="229"/>
        <v>27.48</v>
      </c>
      <c r="AH158" s="265">
        <f t="shared" si="229"/>
        <v>28.8</v>
      </c>
      <c r="AI158" s="265">
        <f t="shared" si="229"/>
        <v>37.200000000000003</v>
      </c>
      <c r="AJ158" s="266">
        <f t="shared" si="229"/>
        <v>127.18</v>
      </c>
      <c r="AK158" s="265">
        <f t="shared" ref="AK158:AT158" si="230">AK159+AK160</f>
        <v>32.299999999999997</v>
      </c>
      <c r="AL158" s="265">
        <f t="shared" si="230"/>
        <v>27.700000000000003</v>
      </c>
      <c r="AM158" s="265">
        <f t="shared" si="230"/>
        <v>19.2</v>
      </c>
      <c r="AN158" s="265">
        <f t="shared" si="230"/>
        <v>24.8</v>
      </c>
      <c r="AO158" s="703">
        <f t="shared" si="230"/>
        <v>104</v>
      </c>
      <c r="AP158" s="455">
        <f t="shared" si="230"/>
        <v>28.1</v>
      </c>
      <c r="AQ158" s="455">
        <f>AQ159+AQ160</f>
        <v>25.4</v>
      </c>
      <c r="AR158" s="455">
        <f t="shared" si="230"/>
        <v>20.399999999999999</v>
      </c>
      <c r="AS158" s="455">
        <f>AS159+AS160</f>
        <v>5.9</v>
      </c>
      <c r="AT158" s="703">
        <f t="shared" si="230"/>
        <v>79.800000000000011</v>
      </c>
      <c r="AU158" s="866"/>
      <c r="AV158" s="866"/>
      <c r="AW158" s="866"/>
      <c r="AX158" s="866"/>
      <c r="AY158" s="867"/>
      <c r="AZ158" s="866"/>
      <c r="BA158" s="866"/>
      <c r="BB158" s="866"/>
      <c r="BC158" s="866"/>
      <c r="BD158" s="867"/>
      <c r="BE158" s="455"/>
      <c r="BF158" s="455"/>
      <c r="BG158" s="455"/>
      <c r="BH158" s="455"/>
      <c r="BI158" s="867"/>
      <c r="BJ158" s="866"/>
      <c r="BK158" s="866"/>
      <c r="BL158" s="866"/>
      <c r="BM158" s="866"/>
      <c r="BN158" s="867"/>
      <c r="BO158" s="866"/>
      <c r="BP158" s="866"/>
      <c r="BQ158" s="866"/>
      <c r="BR158" s="866"/>
      <c r="BS158" s="867"/>
      <c r="BT158" s="866"/>
      <c r="BU158" s="866"/>
      <c r="BV158" s="866"/>
      <c r="BW158" s="866"/>
      <c r="BX158" s="867"/>
      <c r="BY158" s="866"/>
      <c r="BZ158" s="866"/>
      <c r="CA158" s="866"/>
      <c r="CB158" s="866"/>
      <c r="CC158" s="867"/>
      <c r="CD158" s="867"/>
      <c r="CE158" s="867"/>
      <c r="CF158" s="867"/>
      <c r="CG158" s="867"/>
      <c r="CH158" s="867"/>
      <c r="EX158" s="1261"/>
    </row>
    <row r="159" spans="1:228" ht="12.75" hidden="1" customHeight="1">
      <c r="A159" s="9"/>
      <c r="B159" s="9"/>
      <c r="C159" s="9"/>
      <c r="D159" s="9"/>
      <c r="E159" s="9"/>
      <c r="F159" s="9"/>
      <c r="G159" s="9"/>
      <c r="H159" s="279" t="s">
        <v>1179</v>
      </c>
      <c r="I159" s="279"/>
      <c r="J159" s="267"/>
      <c r="K159" s="267"/>
      <c r="L159" s="263">
        <v>34.799999999999997</v>
      </c>
      <c r="M159" s="263">
        <v>33.299999999999997</v>
      </c>
      <c r="N159" s="263">
        <v>23.5</v>
      </c>
      <c r="O159" s="263">
        <v>27.3</v>
      </c>
      <c r="P159" s="259">
        <v>118.9</v>
      </c>
      <c r="Q159" s="263">
        <v>27.9</v>
      </c>
      <c r="R159" s="263">
        <v>25.1</v>
      </c>
      <c r="S159" s="263">
        <v>22.7</v>
      </c>
      <c r="T159" s="263">
        <v>27.7</v>
      </c>
      <c r="U159" s="259">
        <f>SUM(Q159:T159)</f>
        <v>103.4</v>
      </c>
      <c r="V159" s="263">
        <v>28.4</v>
      </c>
      <c r="W159" s="263">
        <v>24.7</v>
      </c>
      <c r="X159" s="263">
        <v>20</v>
      </c>
      <c r="Y159" s="263">
        <v>22.2</v>
      </c>
      <c r="Z159" s="259">
        <f>SUM(V159:Y159)</f>
        <v>95.3</v>
      </c>
      <c r="AA159" s="263">
        <v>30.6</v>
      </c>
      <c r="AB159" s="263">
        <v>19.2</v>
      </c>
      <c r="AC159" s="263">
        <v>15.9</v>
      </c>
      <c r="AD159" s="263">
        <v>18.3</v>
      </c>
      <c r="AE159" s="79">
        <f>SUM(AA159:AD159)</f>
        <v>84</v>
      </c>
      <c r="AF159" s="263">
        <v>19.100000000000001</v>
      </c>
      <c r="AG159" s="263">
        <v>14</v>
      </c>
      <c r="AH159" s="263">
        <v>14.9</v>
      </c>
      <c r="AI159" s="263">
        <v>22.4</v>
      </c>
      <c r="AJ159" s="79">
        <f>SUM(AF159:AI159)</f>
        <v>70.400000000000006</v>
      </c>
      <c r="AK159" s="263">
        <v>20</v>
      </c>
      <c r="AL159" s="263">
        <v>14.4</v>
      </c>
      <c r="AM159" s="263">
        <v>8.6</v>
      </c>
      <c r="AN159" s="263">
        <v>14.4</v>
      </c>
      <c r="AO159" s="410">
        <f>SUM(AK159:AN159)</f>
        <v>57.4</v>
      </c>
      <c r="AP159" s="391">
        <v>15.2</v>
      </c>
      <c r="AQ159" s="391">
        <v>13.9</v>
      </c>
      <c r="AR159" s="391">
        <v>10.3</v>
      </c>
      <c r="AS159" s="391">
        <v>3.1</v>
      </c>
      <c r="AT159" s="410">
        <f>SUM(AP159:AS159)</f>
        <v>42.500000000000007</v>
      </c>
      <c r="AU159" s="871"/>
      <c r="AV159" s="871"/>
      <c r="AW159" s="871"/>
      <c r="AX159" s="871"/>
      <c r="AY159" s="870"/>
      <c r="AZ159" s="871"/>
      <c r="BA159" s="871"/>
      <c r="BB159" s="871"/>
      <c r="BC159" s="871"/>
      <c r="BD159" s="870"/>
      <c r="BE159" s="383"/>
      <c r="BF159" s="383"/>
      <c r="BG159" s="383"/>
      <c r="BH159" s="383"/>
      <c r="BI159" s="870"/>
      <c r="BJ159" s="871"/>
      <c r="BK159" s="871"/>
      <c r="BL159" s="871"/>
      <c r="BM159" s="871"/>
      <c r="BN159" s="870"/>
      <c r="BO159" s="871"/>
      <c r="BP159" s="871"/>
      <c r="BQ159" s="871"/>
      <c r="BR159" s="871"/>
      <c r="BS159" s="870"/>
      <c r="BT159" s="871"/>
      <c r="BU159" s="871"/>
      <c r="BV159" s="871"/>
      <c r="BW159" s="871"/>
      <c r="BX159" s="870"/>
      <c r="BY159" s="871"/>
      <c r="BZ159" s="871"/>
      <c r="CA159" s="871"/>
      <c r="CB159" s="871"/>
      <c r="CC159" s="870"/>
      <c r="CD159" s="870"/>
      <c r="CE159" s="870"/>
      <c r="CF159" s="870"/>
      <c r="CG159" s="870"/>
      <c r="CH159" s="870"/>
      <c r="EX159" s="1261"/>
    </row>
    <row r="160" spans="1:228" ht="12.75" hidden="1" customHeight="1">
      <c r="A160" s="9"/>
      <c r="B160" s="9"/>
      <c r="C160" s="9"/>
      <c r="D160" s="9"/>
      <c r="E160" s="9"/>
      <c r="F160" s="9"/>
      <c r="G160" s="9"/>
      <c r="H160" s="279" t="s">
        <v>232</v>
      </c>
      <c r="I160" s="279"/>
      <c r="J160" s="267"/>
      <c r="K160" s="267"/>
      <c r="L160" s="263">
        <v>24.7</v>
      </c>
      <c r="M160" s="263">
        <v>24.4</v>
      </c>
      <c r="N160" s="263">
        <v>22</v>
      </c>
      <c r="O160" s="263">
        <v>24.5</v>
      </c>
      <c r="P160" s="259">
        <v>95.6</v>
      </c>
      <c r="Q160" s="263">
        <v>22.4</v>
      </c>
      <c r="R160" s="263">
        <v>23.3</v>
      </c>
      <c r="S160" s="263">
        <v>19.399999999999999</v>
      </c>
      <c r="T160" s="263">
        <v>23.6</v>
      </c>
      <c r="U160" s="259">
        <f>SUM(Q160:T160)</f>
        <v>88.699999999999989</v>
      </c>
      <c r="V160" s="263">
        <v>23</v>
      </c>
      <c r="W160" s="263">
        <v>21.1</v>
      </c>
      <c r="X160" s="263">
        <v>20.6</v>
      </c>
      <c r="Y160" s="263">
        <v>22.8</v>
      </c>
      <c r="Z160" s="259">
        <f>SUM(V160:Y160)</f>
        <v>87.5</v>
      </c>
      <c r="AA160" s="263">
        <v>20.5</v>
      </c>
      <c r="AB160" s="263">
        <v>22.2</v>
      </c>
      <c r="AC160" s="263">
        <v>18.399999999999999</v>
      </c>
      <c r="AD160" s="263">
        <v>15.7</v>
      </c>
      <c r="AE160" s="79">
        <f>SUM(AA160:AD160)</f>
        <v>76.8</v>
      </c>
      <c r="AF160" s="263">
        <v>14.6</v>
      </c>
      <c r="AG160" s="263">
        <v>13.48</v>
      </c>
      <c r="AH160" s="263">
        <v>13.9</v>
      </c>
      <c r="AI160" s="263">
        <v>14.8</v>
      </c>
      <c r="AJ160" s="79">
        <f>SUM(AF160:AI160)</f>
        <v>56.78</v>
      </c>
      <c r="AK160" s="263">
        <v>12.3</v>
      </c>
      <c r="AL160" s="263">
        <v>13.3</v>
      </c>
      <c r="AM160" s="263">
        <v>10.6</v>
      </c>
      <c r="AN160" s="263">
        <v>10.4</v>
      </c>
      <c r="AO160" s="410">
        <f>SUM(AK160:AN160)</f>
        <v>46.6</v>
      </c>
      <c r="AP160" s="391">
        <v>12.9</v>
      </c>
      <c r="AQ160" s="391">
        <v>11.5</v>
      </c>
      <c r="AR160" s="391">
        <v>10.1</v>
      </c>
      <c r="AS160" s="391">
        <v>2.8</v>
      </c>
      <c r="AT160" s="410">
        <f>SUM(AP160:AS160)</f>
        <v>37.299999999999997</v>
      </c>
      <c r="AU160" s="871"/>
      <c r="AV160" s="871"/>
      <c r="AW160" s="871"/>
      <c r="AX160" s="871"/>
      <c r="AY160" s="870"/>
      <c r="AZ160" s="871"/>
      <c r="BA160" s="871"/>
      <c r="BB160" s="871"/>
      <c r="BC160" s="871"/>
      <c r="BD160" s="870"/>
      <c r="BE160" s="383"/>
      <c r="BF160" s="383"/>
      <c r="BG160" s="383"/>
      <c r="BH160" s="383"/>
      <c r="BI160" s="870"/>
      <c r="BJ160" s="871"/>
      <c r="BK160" s="871"/>
      <c r="BL160" s="871"/>
      <c r="BM160" s="871"/>
      <c r="BN160" s="870"/>
      <c r="BO160" s="871"/>
      <c r="BP160" s="871"/>
      <c r="BQ160" s="871"/>
      <c r="BR160" s="871"/>
      <c r="BS160" s="870"/>
      <c r="BT160" s="871"/>
      <c r="BU160" s="871"/>
      <c r="BV160" s="871"/>
      <c r="BW160" s="871"/>
      <c r="BX160" s="870"/>
      <c r="BY160" s="871"/>
      <c r="BZ160" s="871"/>
      <c r="CA160" s="871"/>
      <c r="CB160" s="871"/>
      <c r="CC160" s="870"/>
      <c r="CD160" s="870"/>
      <c r="CE160" s="870"/>
      <c r="CF160" s="870"/>
      <c r="CG160" s="870"/>
      <c r="CH160" s="870"/>
      <c r="EX160" s="1261"/>
    </row>
    <row r="161" spans="1:154" s="15" customFormat="1" ht="12.75" hidden="1" customHeight="1">
      <c r="A161" s="9"/>
      <c r="B161" s="9"/>
      <c r="C161" s="9"/>
      <c r="D161" s="9"/>
      <c r="E161" s="9"/>
      <c r="F161" s="9"/>
      <c r="G161" s="9"/>
      <c r="H161" s="304" t="s">
        <v>604</v>
      </c>
      <c r="I161" s="304"/>
      <c r="J161" s="264"/>
      <c r="K161" s="264"/>
      <c r="L161" s="265">
        <v>19.3</v>
      </c>
      <c r="M161" s="265">
        <v>9.1999999999999993</v>
      </c>
      <c r="N161" s="265">
        <v>7.5</v>
      </c>
      <c r="O161" s="265">
        <v>16.3</v>
      </c>
      <c r="P161" s="266">
        <v>52.3</v>
      </c>
      <c r="Q161" s="265">
        <f t="shared" ref="Q161:AJ161" si="231">Q162+Q163</f>
        <v>0</v>
      </c>
      <c r="R161" s="265">
        <f t="shared" si="231"/>
        <v>0</v>
      </c>
      <c r="S161" s="265">
        <f t="shared" si="231"/>
        <v>0</v>
      </c>
      <c r="T161" s="265">
        <f t="shared" si="231"/>
        <v>0</v>
      </c>
      <c r="U161" s="266">
        <f t="shared" si="231"/>
        <v>0</v>
      </c>
      <c r="V161" s="265">
        <f t="shared" si="231"/>
        <v>0</v>
      </c>
      <c r="W161" s="265">
        <f t="shared" si="231"/>
        <v>0</v>
      </c>
      <c r="X161" s="265">
        <f t="shared" si="231"/>
        <v>0</v>
      </c>
      <c r="Y161" s="265">
        <f t="shared" si="231"/>
        <v>0</v>
      </c>
      <c r="Z161" s="266">
        <f t="shared" si="231"/>
        <v>0</v>
      </c>
      <c r="AA161" s="265">
        <f t="shared" si="231"/>
        <v>0</v>
      </c>
      <c r="AB161" s="265">
        <f t="shared" si="231"/>
        <v>0</v>
      </c>
      <c r="AC161" s="265">
        <f t="shared" si="231"/>
        <v>0</v>
      </c>
      <c r="AD161" s="265">
        <f t="shared" si="231"/>
        <v>0</v>
      </c>
      <c r="AE161" s="266">
        <f t="shared" si="231"/>
        <v>0</v>
      </c>
      <c r="AF161" s="265">
        <f t="shared" si="231"/>
        <v>0</v>
      </c>
      <c r="AG161" s="265">
        <f t="shared" si="231"/>
        <v>0</v>
      </c>
      <c r="AH161" s="265">
        <f t="shared" si="231"/>
        <v>0</v>
      </c>
      <c r="AI161" s="265">
        <f t="shared" si="231"/>
        <v>0</v>
      </c>
      <c r="AJ161" s="266">
        <f t="shared" si="231"/>
        <v>0</v>
      </c>
      <c r="AK161" s="265">
        <f>AK162+AK163</f>
        <v>0</v>
      </c>
      <c r="AL161" s="265">
        <f>AL162+AL163</f>
        <v>0</v>
      </c>
      <c r="AM161" s="265">
        <f>AM162+AM163</f>
        <v>0</v>
      </c>
      <c r="AN161" s="265">
        <f>AN162+AN163</f>
        <v>0</v>
      </c>
      <c r="AO161" s="867"/>
      <c r="AP161" s="455"/>
      <c r="AQ161" s="455"/>
      <c r="AR161" s="455"/>
      <c r="AS161" s="455"/>
      <c r="AT161" s="867"/>
      <c r="AU161" s="455"/>
      <c r="AV161" s="455"/>
      <c r="AW161" s="455"/>
      <c r="AX161" s="455"/>
      <c r="AY161" s="867"/>
      <c r="AZ161" s="866"/>
      <c r="BA161" s="866"/>
      <c r="BB161" s="866"/>
      <c r="BC161" s="866"/>
      <c r="BD161" s="867"/>
      <c r="BE161" s="455"/>
      <c r="BF161" s="455"/>
      <c r="BG161" s="455"/>
      <c r="BH161" s="455"/>
      <c r="BI161" s="867"/>
      <c r="BJ161" s="866"/>
      <c r="BK161" s="866"/>
      <c r="BL161" s="866"/>
      <c r="BM161" s="866"/>
      <c r="BN161" s="867"/>
      <c r="BO161" s="866"/>
      <c r="BP161" s="866"/>
      <c r="BQ161" s="866"/>
      <c r="BR161" s="866"/>
      <c r="BS161" s="867"/>
      <c r="BT161" s="866"/>
      <c r="BU161" s="866"/>
      <c r="BV161" s="866"/>
      <c r="BW161" s="866"/>
      <c r="BX161" s="867"/>
      <c r="BY161" s="866"/>
      <c r="BZ161" s="866"/>
      <c r="CA161" s="866"/>
      <c r="CB161" s="866"/>
      <c r="CC161" s="867"/>
      <c r="CD161" s="867"/>
      <c r="CE161" s="867"/>
      <c r="CF161" s="867"/>
      <c r="CG161" s="867"/>
      <c r="CH161" s="867"/>
      <c r="EX161" s="1261"/>
    </row>
    <row r="162" spans="1:154" ht="12.75" hidden="1" customHeight="1">
      <c r="A162" s="9"/>
      <c r="B162" s="9"/>
      <c r="C162" s="9"/>
      <c r="D162" s="9"/>
      <c r="E162" s="9"/>
      <c r="F162" s="9"/>
      <c r="G162" s="9"/>
      <c r="H162" s="305" t="s">
        <v>81</v>
      </c>
      <c r="I162" s="305"/>
      <c r="J162" s="79"/>
      <c r="K162" s="79"/>
      <c r="L162" s="258"/>
      <c r="M162" s="258"/>
      <c r="N162" s="258"/>
      <c r="O162" s="258"/>
      <c r="P162" s="259"/>
      <c r="Q162" s="263"/>
      <c r="R162" s="258"/>
      <c r="S162" s="258"/>
      <c r="T162" s="258"/>
      <c r="U162" s="259"/>
      <c r="V162" s="263"/>
      <c r="W162" s="263"/>
      <c r="X162" s="263"/>
      <c r="Y162" s="258"/>
      <c r="Z162" s="259"/>
      <c r="AA162" s="263"/>
      <c r="AB162" s="263"/>
      <c r="AC162" s="263"/>
      <c r="AD162" s="258"/>
      <c r="AE162" s="259"/>
      <c r="AF162" s="263"/>
      <c r="AG162" s="263"/>
      <c r="AH162" s="263"/>
      <c r="AI162" s="263"/>
      <c r="AJ162" s="259"/>
      <c r="AK162" s="263"/>
      <c r="AL162" s="263"/>
      <c r="AM162" s="258"/>
      <c r="AN162" s="258"/>
      <c r="AO162" s="870"/>
      <c r="AP162" s="383"/>
      <c r="AQ162" s="383"/>
      <c r="AR162" s="383"/>
      <c r="AS162" s="383"/>
      <c r="AT162" s="870"/>
      <c r="AU162" s="383"/>
      <c r="AV162" s="383"/>
      <c r="AW162" s="383"/>
      <c r="AX162" s="383"/>
      <c r="AY162" s="870"/>
      <c r="AZ162" s="871"/>
      <c r="BA162" s="871"/>
      <c r="BB162" s="871"/>
      <c r="BC162" s="871"/>
      <c r="BD162" s="870"/>
      <c r="BE162" s="383"/>
      <c r="BF162" s="383"/>
      <c r="BG162" s="383"/>
      <c r="BH162" s="383"/>
      <c r="BI162" s="870"/>
      <c r="BJ162" s="871"/>
      <c r="BK162" s="871"/>
      <c r="BL162" s="871"/>
      <c r="BM162" s="871"/>
      <c r="BN162" s="870"/>
      <c r="BO162" s="871"/>
      <c r="BP162" s="871"/>
      <c r="BQ162" s="871"/>
      <c r="BR162" s="871"/>
      <c r="BS162" s="870"/>
      <c r="BT162" s="871"/>
      <c r="BU162" s="871"/>
      <c r="BV162" s="871"/>
      <c r="BW162" s="871"/>
      <c r="BX162" s="870"/>
      <c r="BY162" s="871"/>
      <c r="BZ162" s="871"/>
      <c r="CA162" s="871"/>
      <c r="CB162" s="871"/>
      <c r="CC162" s="870"/>
      <c r="CD162" s="870"/>
      <c r="CE162" s="870"/>
      <c r="CF162" s="870"/>
      <c r="CG162" s="870"/>
      <c r="CH162" s="870"/>
      <c r="EX162" s="1261"/>
    </row>
    <row r="163" spans="1:154" ht="12.75" hidden="1" customHeight="1">
      <c r="A163" s="9"/>
      <c r="B163" s="9"/>
      <c r="C163" s="9"/>
      <c r="D163" s="9"/>
      <c r="E163" s="9"/>
      <c r="F163" s="9"/>
      <c r="G163" s="9"/>
      <c r="H163" s="305" t="s">
        <v>501</v>
      </c>
      <c r="I163" s="305"/>
      <c r="J163" s="79"/>
      <c r="K163" s="79"/>
      <c r="L163" s="263">
        <v>19.3</v>
      </c>
      <c r="M163" s="263">
        <v>9.1999999999999993</v>
      </c>
      <c r="N163" s="263">
        <v>7.5</v>
      </c>
      <c r="O163" s="263">
        <v>16.3</v>
      </c>
      <c r="P163" s="259">
        <v>52.3</v>
      </c>
      <c r="Q163" s="263"/>
      <c r="R163" s="258"/>
      <c r="S163" s="258"/>
      <c r="T163" s="258"/>
      <c r="U163" s="259">
        <f>SUM(Q163:T163)</f>
        <v>0</v>
      </c>
      <c r="V163" s="263"/>
      <c r="W163" s="263"/>
      <c r="X163" s="263"/>
      <c r="Y163" s="258"/>
      <c r="Z163" s="259">
        <f>SUM(V163:Y163)</f>
        <v>0</v>
      </c>
      <c r="AA163" s="263"/>
      <c r="AB163" s="263"/>
      <c r="AC163" s="263"/>
      <c r="AD163" s="258"/>
      <c r="AE163" s="259">
        <f>Z163*(1+AE393)</f>
        <v>0</v>
      </c>
      <c r="AF163" s="263"/>
      <c r="AG163" s="263"/>
      <c r="AH163" s="263"/>
      <c r="AI163" s="263"/>
      <c r="AJ163" s="259">
        <f>AE163*(1+AJ393)</f>
        <v>0</v>
      </c>
      <c r="AK163" s="263"/>
      <c r="AL163" s="263"/>
      <c r="AM163" s="258"/>
      <c r="AN163" s="258"/>
      <c r="AO163" s="870"/>
      <c r="AP163" s="383"/>
      <c r="AQ163" s="383"/>
      <c r="AR163" s="383"/>
      <c r="AS163" s="383"/>
      <c r="AT163" s="870"/>
      <c r="AU163" s="383"/>
      <c r="AV163" s="383"/>
      <c r="AW163" s="383"/>
      <c r="AX163" s="383"/>
      <c r="AY163" s="870"/>
      <c r="AZ163" s="871"/>
      <c r="BA163" s="871"/>
      <c r="BB163" s="871"/>
      <c r="BC163" s="871"/>
      <c r="BD163" s="870"/>
      <c r="BE163" s="383"/>
      <c r="BF163" s="383"/>
      <c r="BG163" s="383"/>
      <c r="BH163" s="383"/>
      <c r="BI163" s="870"/>
      <c r="BJ163" s="871"/>
      <c r="BK163" s="871"/>
      <c r="BL163" s="871"/>
      <c r="BM163" s="871"/>
      <c r="BN163" s="870"/>
      <c r="BO163" s="871"/>
      <c r="BP163" s="871"/>
      <c r="BQ163" s="871"/>
      <c r="BR163" s="871"/>
      <c r="BS163" s="870"/>
      <c r="BT163" s="871"/>
      <c r="BU163" s="871"/>
      <c r="BV163" s="871"/>
      <c r="BW163" s="871"/>
      <c r="BX163" s="870"/>
      <c r="BY163" s="871"/>
      <c r="BZ163" s="871"/>
      <c r="CA163" s="871"/>
      <c r="CB163" s="871"/>
      <c r="CC163" s="870"/>
      <c r="CD163" s="870"/>
      <c r="CE163" s="870"/>
      <c r="CF163" s="870"/>
      <c r="CG163" s="870"/>
      <c r="CH163" s="870"/>
      <c r="EX163" s="1261"/>
    </row>
    <row r="164" spans="1:154" s="15" customFormat="1" ht="12.75" hidden="1" customHeight="1">
      <c r="A164" s="9"/>
      <c r="B164" s="9"/>
      <c r="C164" s="9"/>
      <c r="D164" s="9"/>
      <c r="E164" s="9"/>
      <c r="F164" s="9"/>
      <c r="G164" s="9"/>
      <c r="H164" s="304" t="s">
        <v>502</v>
      </c>
      <c r="I164" s="304"/>
      <c r="J164" s="264"/>
      <c r="K164" s="264"/>
      <c r="L164" s="265">
        <v>9.6</v>
      </c>
      <c r="M164" s="265">
        <v>7.9</v>
      </c>
      <c r="N164" s="265">
        <v>9.1999999999999993</v>
      </c>
      <c r="O164" s="265">
        <v>7.1</v>
      </c>
      <c r="P164" s="266">
        <v>33.799999999999997</v>
      </c>
      <c r="Q164" s="265"/>
      <c r="R164" s="265"/>
      <c r="S164" s="265"/>
      <c r="T164" s="265"/>
      <c r="U164" s="266">
        <f>U165+U166</f>
        <v>0</v>
      </c>
      <c r="V164" s="265"/>
      <c r="W164" s="265"/>
      <c r="X164" s="265"/>
      <c r="Y164" s="265"/>
      <c r="Z164" s="266">
        <f>Z165+Z166</f>
        <v>0</v>
      </c>
      <c r="AA164" s="265"/>
      <c r="AB164" s="265"/>
      <c r="AC164" s="265"/>
      <c r="AD164" s="265"/>
      <c r="AE164" s="266">
        <f>AE165+AE166</f>
        <v>0</v>
      </c>
      <c r="AF164" s="265"/>
      <c r="AG164" s="265"/>
      <c r="AH164" s="265"/>
      <c r="AI164" s="265"/>
      <c r="AJ164" s="266">
        <f>AJ165+AJ166</f>
        <v>0</v>
      </c>
      <c r="AK164" s="265"/>
      <c r="AL164" s="265"/>
      <c r="AM164" s="265"/>
      <c r="AN164" s="265"/>
      <c r="AO164" s="867"/>
      <c r="AP164" s="455"/>
      <c r="AQ164" s="455"/>
      <c r="AR164" s="455"/>
      <c r="AS164" s="455"/>
      <c r="AT164" s="867"/>
      <c r="AU164" s="455"/>
      <c r="AV164" s="455"/>
      <c r="AW164" s="455"/>
      <c r="AX164" s="455"/>
      <c r="AY164" s="867"/>
      <c r="AZ164" s="866"/>
      <c r="BA164" s="866"/>
      <c r="BB164" s="866"/>
      <c r="BC164" s="866"/>
      <c r="BD164" s="867"/>
      <c r="BE164" s="455"/>
      <c r="BF164" s="455"/>
      <c r="BG164" s="455"/>
      <c r="BH164" s="455"/>
      <c r="BI164" s="867"/>
      <c r="BJ164" s="866"/>
      <c r="BK164" s="866"/>
      <c r="BL164" s="866"/>
      <c r="BM164" s="866"/>
      <c r="BN164" s="867"/>
      <c r="BO164" s="866"/>
      <c r="BP164" s="866"/>
      <c r="BQ164" s="866"/>
      <c r="BR164" s="866"/>
      <c r="BS164" s="867"/>
      <c r="BT164" s="866"/>
      <c r="BU164" s="866"/>
      <c r="BV164" s="866"/>
      <c r="BW164" s="866"/>
      <c r="BX164" s="867"/>
      <c r="BY164" s="866"/>
      <c r="BZ164" s="866"/>
      <c r="CA164" s="866"/>
      <c r="CB164" s="866"/>
      <c r="CC164" s="867"/>
      <c r="CD164" s="867"/>
      <c r="CE164" s="867"/>
      <c r="CF164" s="867"/>
      <c r="CG164" s="867"/>
      <c r="CH164" s="867"/>
      <c r="EX164" s="1261"/>
    </row>
    <row r="165" spans="1:154" ht="12.75" hidden="1" customHeight="1">
      <c r="A165" s="9"/>
      <c r="B165" s="9"/>
      <c r="C165" s="9"/>
      <c r="D165" s="9"/>
      <c r="E165" s="9"/>
      <c r="F165" s="9"/>
      <c r="G165" s="9"/>
      <c r="H165" s="305" t="s">
        <v>81</v>
      </c>
      <c r="I165" s="305"/>
      <c r="J165" s="79"/>
      <c r="K165" s="79"/>
      <c r="L165" s="258"/>
      <c r="M165" s="258"/>
      <c r="N165" s="258"/>
      <c r="O165" s="258"/>
      <c r="P165" s="259"/>
      <c r="Q165" s="263"/>
      <c r="R165" s="258"/>
      <c r="S165" s="258"/>
      <c r="T165" s="258"/>
      <c r="U165" s="259"/>
      <c r="V165" s="263"/>
      <c r="W165" s="263"/>
      <c r="X165" s="263"/>
      <c r="Y165" s="258"/>
      <c r="Z165" s="259"/>
      <c r="AA165" s="263"/>
      <c r="AB165" s="263"/>
      <c r="AC165" s="263"/>
      <c r="AD165" s="258"/>
      <c r="AE165" s="259"/>
      <c r="AF165" s="263"/>
      <c r="AG165" s="263"/>
      <c r="AH165" s="263"/>
      <c r="AI165" s="263"/>
      <c r="AJ165" s="259"/>
      <c r="AK165" s="263"/>
      <c r="AL165" s="263"/>
      <c r="AM165" s="258"/>
      <c r="AN165" s="258"/>
      <c r="AO165" s="870"/>
      <c r="AP165" s="383"/>
      <c r="AQ165" s="383"/>
      <c r="AR165" s="383"/>
      <c r="AS165" s="383"/>
      <c r="AT165" s="870"/>
      <c r="AU165" s="383"/>
      <c r="AV165" s="383"/>
      <c r="AW165" s="383"/>
      <c r="AX165" s="383"/>
      <c r="AY165" s="870"/>
      <c r="AZ165" s="871"/>
      <c r="BA165" s="871"/>
      <c r="BB165" s="871"/>
      <c r="BC165" s="871"/>
      <c r="BD165" s="870"/>
      <c r="BE165" s="383"/>
      <c r="BF165" s="383"/>
      <c r="BG165" s="383"/>
      <c r="BH165" s="383"/>
      <c r="BI165" s="870"/>
      <c r="BJ165" s="871"/>
      <c r="BK165" s="871"/>
      <c r="BL165" s="871"/>
      <c r="BM165" s="871"/>
      <c r="BN165" s="870"/>
      <c r="BO165" s="871"/>
      <c r="BP165" s="871"/>
      <c r="BQ165" s="871"/>
      <c r="BR165" s="871"/>
      <c r="BS165" s="870"/>
      <c r="BT165" s="871"/>
      <c r="BU165" s="871"/>
      <c r="BV165" s="871"/>
      <c r="BW165" s="871"/>
      <c r="BX165" s="870"/>
      <c r="BY165" s="871"/>
      <c r="BZ165" s="871"/>
      <c r="CA165" s="871"/>
      <c r="CB165" s="871"/>
      <c r="CC165" s="870"/>
      <c r="CD165" s="870"/>
      <c r="CE165" s="870"/>
      <c r="CF165" s="870"/>
      <c r="CG165" s="870"/>
      <c r="CH165" s="870"/>
      <c r="EX165" s="1261"/>
    </row>
    <row r="166" spans="1:154" ht="12.75" hidden="1" customHeight="1">
      <c r="A166" s="9"/>
      <c r="B166" s="9"/>
      <c r="C166" s="9"/>
      <c r="D166" s="9"/>
      <c r="E166" s="9"/>
      <c r="F166" s="9"/>
      <c r="G166" s="9"/>
      <c r="H166" s="305" t="s">
        <v>501</v>
      </c>
      <c r="I166" s="305"/>
      <c r="J166" s="79"/>
      <c r="K166" s="79"/>
      <c r="L166" s="263">
        <v>9.6</v>
      </c>
      <c r="M166" s="263">
        <v>7.9</v>
      </c>
      <c r="N166" s="263">
        <v>9.1999999999999993</v>
      </c>
      <c r="O166" s="263">
        <v>7.1</v>
      </c>
      <c r="P166" s="259">
        <v>33.799999999999997</v>
      </c>
      <c r="Q166" s="263"/>
      <c r="R166" s="258"/>
      <c r="S166" s="258"/>
      <c r="T166" s="258"/>
      <c r="U166" s="259">
        <f>SUM(Q166:T166)</f>
        <v>0</v>
      </c>
      <c r="V166" s="263"/>
      <c r="W166" s="263"/>
      <c r="X166" s="263"/>
      <c r="Y166" s="258"/>
      <c r="Z166" s="259">
        <f>SUM(V166:Y166)</f>
        <v>0</v>
      </c>
      <c r="AA166" s="263"/>
      <c r="AB166" s="263"/>
      <c r="AC166" s="263"/>
      <c r="AD166" s="258"/>
      <c r="AE166" s="259">
        <f>Z166*(1+AE396)</f>
        <v>0</v>
      </c>
      <c r="AF166" s="263"/>
      <c r="AG166" s="263"/>
      <c r="AH166" s="263"/>
      <c r="AI166" s="263"/>
      <c r="AJ166" s="259">
        <f>AE166*(1+AJ396)</f>
        <v>0</v>
      </c>
      <c r="AK166" s="263"/>
      <c r="AL166" s="263"/>
      <c r="AM166" s="258"/>
      <c r="AN166" s="258"/>
      <c r="AO166" s="870"/>
      <c r="AP166" s="383"/>
      <c r="AQ166" s="383"/>
      <c r="AR166" s="383"/>
      <c r="AS166" s="383"/>
      <c r="AT166" s="870"/>
      <c r="AU166" s="383"/>
      <c r="AV166" s="383"/>
      <c r="AW166" s="383"/>
      <c r="AX166" s="383"/>
      <c r="AY166" s="870"/>
      <c r="AZ166" s="871"/>
      <c r="BA166" s="871"/>
      <c r="BB166" s="871"/>
      <c r="BC166" s="871"/>
      <c r="BD166" s="870"/>
      <c r="BE166" s="383"/>
      <c r="BF166" s="383"/>
      <c r="BG166" s="383"/>
      <c r="BH166" s="383"/>
      <c r="BI166" s="870"/>
      <c r="BJ166" s="871"/>
      <c r="BK166" s="871"/>
      <c r="BL166" s="871"/>
      <c r="BM166" s="871"/>
      <c r="BN166" s="870"/>
      <c r="BO166" s="871"/>
      <c r="BP166" s="871"/>
      <c r="BQ166" s="871"/>
      <c r="BR166" s="871"/>
      <c r="BS166" s="870"/>
      <c r="BT166" s="871"/>
      <c r="BU166" s="871"/>
      <c r="BV166" s="871"/>
      <c r="BW166" s="871"/>
      <c r="BX166" s="870"/>
      <c r="BY166" s="871"/>
      <c r="BZ166" s="871"/>
      <c r="CA166" s="871"/>
      <c r="CB166" s="871"/>
      <c r="CC166" s="870"/>
      <c r="CD166" s="870"/>
      <c r="CE166" s="870"/>
      <c r="CF166" s="870"/>
      <c r="CG166" s="870"/>
      <c r="CH166" s="870"/>
      <c r="EX166" s="1261"/>
    </row>
    <row r="167" spans="1:154">
      <c r="A167" s="9"/>
      <c r="B167" s="9"/>
      <c r="C167" s="9"/>
      <c r="D167" s="9"/>
      <c r="E167" s="9"/>
      <c r="F167" s="9"/>
      <c r="G167" s="9"/>
      <c r="H167" s="259"/>
      <c r="I167" s="259"/>
      <c r="J167" s="79"/>
      <c r="K167" s="79"/>
      <c r="L167" s="258"/>
      <c r="M167" s="258"/>
      <c r="N167" s="258"/>
      <c r="O167" s="258"/>
      <c r="P167" s="79"/>
      <c r="Q167" s="258"/>
      <c r="R167" s="258"/>
      <c r="S167" s="258"/>
      <c r="T167" s="258"/>
      <c r="U167" s="79"/>
      <c r="V167" s="258"/>
      <c r="W167" s="258"/>
      <c r="X167" s="258"/>
      <c r="Y167" s="258"/>
      <c r="Z167" s="79"/>
      <c r="AA167" s="258"/>
      <c r="AB167" s="258"/>
      <c r="AC167" s="258"/>
      <c r="AD167" s="258"/>
      <c r="AE167" s="79"/>
      <c r="AF167" s="258"/>
      <c r="AG167" s="258"/>
      <c r="AH167" s="258"/>
      <c r="AI167" s="258"/>
      <c r="AJ167" s="79"/>
      <c r="AK167" s="258"/>
      <c r="AL167" s="258"/>
      <c r="AM167" s="258"/>
      <c r="AN167" s="258"/>
      <c r="AO167" s="410"/>
      <c r="AP167" s="383"/>
      <c r="AQ167" s="383"/>
      <c r="AR167" s="383"/>
      <c r="AS167" s="383"/>
      <c r="AT167" s="410"/>
      <c r="AU167" s="383"/>
      <c r="AV167" s="383"/>
      <c r="AW167" s="383"/>
      <c r="AX167" s="383"/>
      <c r="AY167" s="410"/>
      <c r="AZ167" s="383"/>
      <c r="BA167" s="383"/>
      <c r="BB167" s="383"/>
      <c r="BC167" s="383"/>
      <c r="BD167" s="410"/>
      <c r="BE167" s="383"/>
      <c r="BF167" s="383"/>
      <c r="BG167" s="383"/>
      <c r="BH167" s="383"/>
      <c r="BI167" s="410"/>
      <c r="BJ167" s="383"/>
      <c r="BK167" s="383"/>
      <c r="BL167" s="383"/>
      <c r="BM167" s="383"/>
      <c r="BN167" s="410"/>
      <c r="BO167" s="383"/>
      <c r="BP167" s="383"/>
      <c r="BQ167" s="383"/>
      <c r="BR167" s="383"/>
      <c r="BS167" s="410"/>
      <c r="BT167" s="383"/>
      <c r="BU167" s="383"/>
      <c r="BV167" s="383"/>
      <c r="BW167" s="383"/>
      <c r="BX167" s="410"/>
      <c r="BY167" s="383"/>
      <c r="BZ167" s="383"/>
      <c r="CA167" s="383"/>
      <c r="CB167" s="383"/>
      <c r="CC167" s="410"/>
      <c r="CD167" s="410"/>
      <c r="CE167" s="410"/>
      <c r="CF167" s="410"/>
      <c r="CG167" s="410"/>
      <c r="CH167" s="410"/>
      <c r="EX167" s="1261"/>
    </row>
    <row r="168" spans="1:154" s="37" customFormat="1" ht="12.75" customHeight="1">
      <c r="A168" s="9"/>
      <c r="B168" s="9"/>
      <c r="C168" s="9"/>
      <c r="D168" s="9"/>
      <c r="E168" s="9"/>
      <c r="F168" s="9"/>
      <c r="G168" s="9"/>
      <c r="H168" s="260" t="s">
        <v>950</v>
      </c>
      <c r="I168" s="260"/>
      <c r="J168" s="260"/>
      <c r="K168" s="260"/>
      <c r="L168" s="261"/>
      <c r="M168" s="261"/>
      <c r="N168" s="261"/>
      <c r="O168" s="261"/>
      <c r="P168" s="262"/>
      <c r="Q168" s="261"/>
      <c r="R168" s="261"/>
      <c r="S168" s="261"/>
      <c r="T168" s="261"/>
      <c r="U168" s="262"/>
      <c r="V168" s="261"/>
      <c r="W168" s="261"/>
      <c r="X168" s="261"/>
      <c r="Y168" s="261"/>
      <c r="Z168" s="262"/>
      <c r="AA168" s="261"/>
      <c r="AB168" s="261"/>
      <c r="AC168" s="261"/>
      <c r="AD168" s="261"/>
      <c r="AE168" s="262"/>
      <c r="AF168" s="261"/>
      <c r="AG168" s="261"/>
      <c r="AH168" s="261"/>
      <c r="AI168" s="261"/>
      <c r="AJ168" s="262"/>
      <c r="AK168" s="261"/>
      <c r="AL168" s="261"/>
      <c r="AM168" s="261"/>
      <c r="AN168" s="261"/>
      <c r="AO168" s="1188"/>
      <c r="AP168" s="1189"/>
      <c r="AQ168" s="1189"/>
      <c r="AR168" s="1189"/>
      <c r="AS168" s="1189"/>
      <c r="AT168" s="1188"/>
      <c r="AU168" s="1189"/>
      <c r="AV168" s="1189"/>
      <c r="AW168" s="1189"/>
      <c r="AX168" s="1189"/>
      <c r="AY168" s="1188"/>
      <c r="AZ168" s="1189"/>
      <c r="BA168" s="1189"/>
      <c r="BB168" s="1189"/>
      <c r="BC168" s="1189"/>
      <c r="BD168" s="1188"/>
      <c r="BE168" s="1189"/>
      <c r="BF168" s="1189"/>
      <c r="BG168" s="1189"/>
      <c r="BH168" s="1189"/>
      <c r="BI168" s="1188"/>
      <c r="BJ168" s="1189"/>
      <c r="BK168" s="1189"/>
      <c r="BL168" s="1189"/>
      <c r="BM168" s="1189"/>
      <c r="BN168" s="1188"/>
      <c r="BO168" s="1189"/>
      <c r="BP168" s="708">
        <f t="shared" ref="BP168:CH168" si="232">BP169+BP170</f>
        <v>19.3</v>
      </c>
      <c r="BQ168" s="708">
        <f t="shared" si="232"/>
        <v>32.5</v>
      </c>
      <c r="BR168" s="708">
        <f t="shared" si="232"/>
        <v>61.3</v>
      </c>
      <c r="BS168" s="709">
        <f t="shared" si="232"/>
        <v>113.1</v>
      </c>
      <c r="BT168" s="708">
        <f t="shared" si="232"/>
        <v>98.399999999999991</v>
      </c>
      <c r="BU168" s="708">
        <f t="shared" si="232"/>
        <v>143.5</v>
      </c>
      <c r="BV168" s="708">
        <f t="shared" si="232"/>
        <v>167.60000000000002</v>
      </c>
      <c r="BW168" s="708">
        <f t="shared" si="232"/>
        <v>195.5</v>
      </c>
      <c r="BX168" s="709">
        <f t="shared" si="232"/>
        <v>605</v>
      </c>
      <c r="BY168" s="708">
        <f t="shared" si="232"/>
        <v>178.7</v>
      </c>
      <c r="BZ168" s="708">
        <f t="shared" si="232"/>
        <v>243.95</v>
      </c>
      <c r="CA168" s="708">
        <f t="shared" si="232"/>
        <v>258.29399999999998</v>
      </c>
      <c r="CB168" s="708">
        <f t="shared" si="232"/>
        <v>276</v>
      </c>
      <c r="CC168" s="709">
        <f t="shared" si="232"/>
        <v>956.94399999999996</v>
      </c>
      <c r="CD168" s="709">
        <f t="shared" si="232"/>
        <v>1310.8505999999998</v>
      </c>
      <c r="CE168" s="709">
        <f t="shared" si="232"/>
        <v>1616.6657419999999</v>
      </c>
      <c r="CF168" s="709">
        <f t="shared" si="232"/>
        <v>1875.5105156100001</v>
      </c>
      <c r="CG168" s="709">
        <f t="shared" si="232"/>
        <v>2053.9671235155001</v>
      </c>
      <c r="CH168" s="709">
        <f t="shared" si="232"/>
        <v>2139.769818824715</v>
      </c>
      <c r="EX168" s="1261" t="s">
        <v>950</v>
      </c>
    </row>
    <row r="169" spans="1:154" ht="12.75" customHeight="1">
      <c r="A169" s="9"/>
      <c r="B169" s="9"/>
      <c r="C169" s="9"/>
      <c r="D169" s="9"/>
      <c r="E169" s="9"/>
      <c r="F169" s="9"/>
      <c r="G169" s="9"/>
      <c r="H169" s="257" t="s">
        <v>231</v>
      </c>
      <c r="I169" s="257"/>
      <c r="J169" s="257"/>
      <c r="K169" s="257"/>
      <c r="L169" s="258"/>
      <c r="M169" s="258"/>
      <c r="N169" s="258"/>
      <c r="O169" s="258"/>
      <c r="P169" s="79"/>
      <c r="Q169" s="258"/>
      <c r="R169" s="258"/>
      <c r="S169" s="258"/>
      <c r="T169" s="258"/>
      <c r="U169" s="79"/>
      <c r="V169" s="258"/>
      <c r="W169" s="258"/>
      <c r="X169" s="258"/>
      <c r="Y169" s="258"/>
      <c r="Z169" s="79"/>
      <c r="AA169" s="258"/>
      <c r="AB169" s="258"/>
      <c r="AC169" s="258"/>
      <c r="AD169" s="258"/>
      <c r="AE169" s="79"/>
      <c r="AF169" s="258"/>
      <c r="AG169" s="258"/>
      <c r="AH169" s="258"/>
      <c r="AI169" s="258"/>
      <c r="AJ169" s="79"/>
      <c r="AK169" s="258"/>
      <c r="AL169" s="258"/>
      <c r="AM169" s="258"/>
      <c r="AN169" s="258"/>
      <c r="AO169" s="870"/>
      <c r="AP169" s="871"/>
      <c r="AQ169" s="871"/>
      <c r="AR169" s="871"/>
      <c r="AS169" s="871"/>
      <c r="AT169" s="870"/>
      <c r="AU169" s="872"/>
      <c r="AV169" s="872"/>
      <c r="AW169" s="872"/>
      <c r="AX169" s="872"/>
      <c r="AY169" s="883"/>
      <c r="AZ169" s="872"/>
      <c r="BA169" s="872"/>
      <c r="BB169" s="872"/>
      <c r="BC169" s="872"/>
      <c r="BD169" s="883"/>
      <c r="BE169" s="872"/>
      <c r="BF169" s="872"/>
      <c r="BG169" s="872"/>
      <c r="BH169" s="872"/>
      <c r="BI169" s="870"/>
      <c r="BJ169" s="872"/>
      <c r="BK169" s="872"/>
      <c r="BL169" s="872"/>
      <c r="BM169" s="872"/>
      <c r="BN169" s="870"/>
      <c r="BO169" s="872"/>
      <c r="BP169" s="391">
        <v>19.3</v>
      </c>
      <c r="BQ169" s="391">
        <v>32</v>
      </c>
      <c r="BR169" s="391">
        <v>59.5</v>
      </c>
      <c r="BS169" s="410">
        <f>BS172</f>
        <v>110.8</v>
      </c>
      <c r="BT169" s="391">
        <v>87.8</v>
      </c>
      <c r="BU169" s="1068">
        <v>124.4</v>
      </c>
      <c r="BV169" s="1068">
        <v>131.30000000000001</v>
      </c>
      <c r="BW169" s="1068">
        <v>142.5</v>
      </c>
      <c r="BX169" s="410">
        <f>BX172</f>
        <v>486</v>
      </c>
      <c r="BY169" s="391">
        <f>111.2</f>
        <v>111.2</v>
      </c>
      <c r="BZ169" s="383">
        <f t="shared" ref="BZ169:CH169" si="233">BZ172</f>
        <v>155.5</v>
      </c>
      <c r="CA169" s="383">
        <f t="shared" si="233"/>
        <v>154.934</v>
      </c>
      <c r="CB169" s="383">
        <f t="shared" si="233"/>
        <v>156.75</v>
      </c>
      <c r="CC169" s="410">
        <f t="shared" si="233"/>
        <v>578.38400000000001</v>
      </c>
      <c r="CD169" s="410">
        <f t="shared" si="233"/>
        <v>665.14159999999993</v>
      </c>
      <c r="CE169" s="410">
        <f t="shared" si="233"/>
        <v>744.95859199999995</v>
      </c>
      <c r="CF169" s="410">
        <f t="shared" si="233"/>
        <v>804.55527935999999</v>
      </c>
      <c r="CG169" s="410">
        <f t="shared" si="233"/>
        <v>844.78304332800008</v>
      </c>
      <c r="CH169" s="410">
        <f t="shared" si="233"/>
        <v>870.1265346278401</v>
      </c>
      <c r="EX169" s="1261"/>
    </row>
    <row r="170" spans="1:154" ht="12.75" customHeight="1">
      <c r="A170" s="9"/>
      <c r="B170" s="9"/>
      <c r="C170" s="9"/>
      <c r="D170" s="9"/>
      <c r="E170" s="9"/>
      <c r="F170" s="9"/>
      <c r="G170" s="9"/>
      <c r="H170" s="257" t="s">
        <v>232</v>
      </c>
      <c r="I170" s="257"/>
      <c r="J170" s="257"/>
      <c r="K170" s="257"/>
      <c r="L170" s="258"/>
      <c r="M170" s="258"/>
      <c r="N170" s="258"/>
      <c r="O170" s="258"/>
      <c r="P170" s="79"/>
      <c r="Q170" s="258"/>
      <c r="R170" s="258"/>
      <c r="S170" s="258"/>
      <c r="T170" s="258"/>
      <c r="U170" s="79"/>
      <c r="V170" s="258"/>
      <c r="W170" s="258"/>
      <c r="X170" s="258"/>
      <c r="Y170" s="258"/>
      <c r="Z170" s="79"/>
      <c r="AA170" s="258"/>
      <c r="AB170" s="258"/>
      <c r="AC170" s="258"/>
      <c r="AD170" s="258"/>
      <c r="AE170" s="79"/>
      <c r="AF170" s="258"/>
      <c r="AG170" s="258"/>
      <c r="AH170" s="258"/>
      <c r="AI170" s="258"/>
      <c r="AJ170" s="79"/>
      <c r="AK170" s="258"/>
      <c r="AL170" s="258"/>
      <c r="AM170" s="258"/>
      <c r="AN170" s="258"/>
      <c r="AO170" s="870"/>
      <c r="AP170" s="871"/>
      <c r="AQ170" s="871"/>
      <c r="AR170" s="871"/>
      <c r="AS170" s="871"/>
      <c r="AT170" s="870"/>
      <c r="AU170" s="872"/>
      <c r="AV170" s="872"/>
      <c r="AW170" s="872"/>
      <c r="AX170" s="872"/>
      <c r="AY170" s="883"/>
      <c r="AZ170" s="872"/>
      <c r="BA170" s="872"/>
      <c r="BB170" s="872"/>
      <c r="BC170" s="872"/>
      <c r="BD170" s="883"/>
      <c r="BE170" s="872"/>
      <c r="BF170" s="872"/>
      <c r="BG170" s="872"/>
      <c r="BH170" s="872"/>
      <c r="BI170" s="870"/>
      <c r="BJ170" s="872"/>
      <c r="BK170" s="872"/>
      <c r="BL170" s="872"/>
      <c r="BM170" s="872"/>
      <c r="BN170" s="870"/>
      <c r="BO170" s="872"/>
      <c r="BP170" s="391">
        <v>0</v>
      </c>
      <c r="BQ170" s="391">
        <v>0.5</v>
      </c>
      <c r="BR170" s="391">
        <v>1.8</v>
      </c>
      <c r="BS170" s="410">
        <f>BS173</f>
        <v>2.2999999999999998</v>
      </c>
      <c r="BT170" s="391">
        <v>10.6</v>
      </c>
      <c r="BU170" s="1068">
        <v>19.100000000000001</v>
      </c>
      <c r="BV170" s="1068">
        <v>36.299999999999997</v>
      </c>
      <c r="BW170" s="1068">
        <v>53</v>
      </c>
      <c r="BX170" s="410">
        <f>BX173+BX176</f>
        <v>119</v>
      </c>
      <c r="BY170" s="391">
        <f>67.5</f>
        <v>67.5</v>
      </c>
      <c r="BZ170" s="383">
        <f t="shared" ref="BZ170:CH170" si="234">BZ173+BZ176</f>
        <v>88.45</v>
      </c>
      <c r="CA170" s="383">
        <f t="shared" si="234"/>
        <v>103.35999999999999</v>
      </c>
      <c r="CB170" s="383">
        <f t="shared" si="234"/>
        <v>119.25</v>
      </c>
      <c r="CC170" s="410">
        <f t="shared" si="234"/>
        <v>378.55999999999995</v>
      </c>
      <c r="CD170" s="410">
        <f t="shared" si="234"/>
        <v>645.70899999999995</v>
      </c>
      <c r="CE170" s="410">
        <f t="shared" si="234"/>
        <v>871.70714999999996</v>
      </c>
      <c r="CF170" s="410">
        <f t="shared" si="234"/>
        <v>1070.9552362500001</v>
      </c>
      <c r="CG170" s="410">
        <f t="shared" si="234"/>
        <v>1209.1840801875001</v>
      </c>
      <c r="CH170" s="410">
        <f t="shared" si="234"/>
        <v>1269.6432841968749</v>
      </c>
      <c r="EX170" s="1261"/>
    </row>
    <row r="171" spans="1:154" s="18" customFormat="1" ht="12.75" customHeight="1">
      <c r="A171" s="9"/>
      <c r="B171" s="9"/>
      <c r="C171" s="9"/>
      <c r="D171" s="9"/>
      <c r="E171" s="9"/>
      <c r="F171" s="9"/>
      <c r="G171" s="9"/>
      <c r="H171" s="264" t="s">
        <v>946</v>
      </c>
      <c r="I171" s="264"/>
      <c r="J171" s="264"/>
      <c r="K171" s="264"/>
      <c r="L171" s="265"/>
      <c r="M171" s="265"/>
      <c r="N171" s="265"/>
      <c r="O171" s="265"/>
      <c r="P171" s="264"/>
      <c r="Q171" s="265"/>
      <c r="R171" s="265"/>
      <c r="S171" s="265"/>
      <c r="T171" s="265"/>
      <c r="U171" s="264"/>
      <c r="V171" s="265"/>
      <c r="W171" s="265"/>
      <c r="X171" s="265"/>
      <c r="Y171" s="265"/>
      <c r="Z171" s="264"/>
      <c r="AA171" s="265"/>
      <c r="AB171" s="265"/>
      <c r="AC171" s="265"/>
      <c r="AD171" s="265"/>
      <c r="AE171" s="264"/>
      <c r="AF171" s="265"/>
      <c r="AG171" s="265"/>
      <c r="AH171" s="265"/>
      <c r="AI171" s="265"/>
      <c r="AJ171" s="264"/>
      <c r="AK171" s="265"/>
      <c r="AL171" s="265"/>
      <c r="AM171" s="265"/>
      <c r="AN171" s="265"/>
      <c r="AO171" s="867"/>
      <c r="AP171" s="866"/>
      <c r="AQ171" s="866"/>
      <c r="AR171" s="866"/>
      <c r="AS171" s="866"/>
      <c r="AT171" s="867"/>
      <c r="AU171" s="866"/>
      <c r="AV171" s="866"/>
      <c r="AW171" s="866"/>
      <c r="AX171" s="866"/>
      <c r="AY171" s="867"/>
      <c r="AZ171" s="866"/>
      <c r="BA171" s="866"/>
      <c r="BB171" s="866"/>
      <c r="BC171" s="866"/>
      <c r="BD171" s="867"/>
      <c r="BE171" s="866"/>
      <c r="BF171" s="866"/>
      <c r="BG171" s="866"/>
      <c r="BH171" s="866"/>
      <c r="BI171" s="867"/>
      <c r="BJ171" s="866"/>
      <c r="BK171" s="866"/>
      <c r="BL171" s="866"/>
      <c r="BM171" s="866"/>
      <c r="BN171" s="867"/>
      <c r="BO171" s="866"/>
      <c r="BP171" s="420">
        <f t="shared" ref="BP171:CH171" si="235">BP172+BP173</f>
        <v>19.3</v>
      </c>
      <c r="BQ171" s="420">
        <f t="shared" si="235"/>
        <v>32.5</v>
      </c>
      <c r="BR171" s="420">
        <f t="shared" si="235"/>
        <v>61.3</v>
      </c>
      <c r="BS171" s="428">
        <f t="shared" si="235"/>
        <v>113.1</v>
      </c>
      <c r="BT171" s="420">
        <f t="shared" si="235"/>
        <v>96.6</v>
      </c>
      <c r="BU171" s="420">
        <f t="shared" si="235"/>
        <v>138.70000000000002</v>
      </c>
      <c r="BV171" s="420">
        <f t="shared" si="235"/>
        <v>151.30000000000001</v>
      </c>
      <c r="BW171" s="420">
        <f t="shared" si="235"/>
        <v>172.5</v>
      </c>
      <c r="BX171" s="428">
        <f t="shared" si="235"/>
        <v>559.1</v>
      </c>
      <c r="BY171" s="420">
        <f t="shared" si="235"/>
        <v>146.5</v>
      </c>
      <c r="BZ171" s="420">
        <f t="shared" si="235"/>
        <v>205.55</v>
      </c>
      <c r="CA171" s="420">
        <f t="shared" si="235"/>
        <v>212.934</v>
      </c>
      <c r="CB171" s="420">
        <f t="shared" si="235"/>
        <v>224.25</v>
      </c>
      <c r="CC171" s="428">
        <f t="shared" si="235"/>
        <v>789.23400000000004</v>
      </c>
      <c r="CD171" s="428">
        <f t="shared" si="235"/>
        <v>1034.1290999999999</v>
      </c>
      <c r="CE171" s="428">
        <f t="shared" si="235"/>
        <v>1243.091717</v>
      </c>
      <c r="CF171" s="428">
        <f t="shared" si="235"/>
        <v>1427.2216856100001</v>
      </c>
      <c r="CG171" s="428">
        <f t="shared" si="235"/>
        <v>1560.8494105155</v>
      </c>
      <c r="CH171" s="428">
        <f t="shared" si="235"/>
        <v>1621.9962201747153</v>
      </c>
      <c r="EX171" s="1261" t="s">
        <v>946</v>
      </c>
    </row>
    <row r="172" spans="1:154" s="14" customFormat="1" ht="12.75" customHeight="1">
      <c r="A172" s="9"/>
      <c r="B172" s="9"/>
      <c r="C172" s="9"/>
      <c r="D172" s="9"/>
      <c r="E172" s="9"/>
      <c r="F172" s="9"/>
      <c r="G172" s="9"/>
      <c r="H172" s="257" t="s">
        <v>1162</v>
      </c>
      <c r="I172" s="257"/>
      <c r="J172" s="257"/>
      <c r="K172" s="257"/>
      <c r="L172" s="263"/>
      <c r="M172" s="263"/>
      <c r="N172" s="263"/>
      <c r="O172" s="263"/>
      <c r="P172" s="79"/>
      <c r="Q172" s="263"/>
      <c r="R172" s="263"/>
      <c r="S172" s="263"/>
      <c r="T172" s="263"/>
      <c r="U172" s="79"/>
      <c r="V172" s="263"/>
      <c r="W172" s="263"/>
      <c r="X172" s="263"/>
      <c r="Y172" s="263"/>
      <c r="Z172" s="79"/>
      <c r="AA172" s="263"/>
      <c r="AB172" s="263"/>
      <c r="AC172" s="263"/>
      <c r="AD172" s="263"/>
      <c r="AE172" s="79"/>
      <c r="AF172" s="263"/>
      <c r="AG172" s="263"/>
      <c r="AH172" s="258"/>
      <c r="AI172" s="258"/>
      <c r="AJ172" s="79"/>
      <c r="AK172" s="258"/>
      <c r="AL172" s="258"/>
      <c r="AM172" s="258"/>
      <c r="AN172" s="258"/>
      <c r="AO172" s="870"/>
      <c r="AP172" s="871"/>
      <c r="AQ172" s="871"/>
      <c r="AR172" s="871"/>
      <c r="AS172" s="871"/>
      <c r="AT172" s="870"/>
      <c r="AU172" s="871"/>
      <c r="AV172" s="871"/>
      <c r="AW172" s="871"/>
      <c r="AX172" s="871"/>
      <c r="AY172" s="870"/>
      <c r="AZ172" s="871"/>
      <c r="BA172" s="871"/>
      <c r="BB172" s="871"/>
      <c r="BC172" s="871"/>
      <c r="BD172" s="870"/>
      <c r="BE172" s="871"/>
      <c r="BF172" s="871"/>
      <c r="BG172" s="871"/>
      <c r="BH172" s="871"/>
      <c r="BI172" s="870"/>
      <c r="BJ172" s="871"/>
      <c r="BK172" s="871"/>
      <c r="BL172" s="871"/>
      <c r="BM172" s="871"/>
      <c r="BN172" s="870"/>
      <c r="BO172" s="871"/>
      <c r="BP172" s="391">
        <v>19.3</v>
      </c>
      <c r="BQ172" s="391">
        <v>32</v>
      </c>
      <c r="BR172" s="391">
        <v>59.5</v>
      </c>
      <c r="BS172" s="410">
        <f>SUM(BO172:BR172)</f>
        <v>110.8</v>
      </c>
      <c r="BT172" s="391">
        <v>87.8</v>
      </c>
      <c r="BU172" s="1068">
        <v>124.4</v>
      </c>
      <c r="BV172" s="1068">
        <v>131.30000000000001</v>
      </c>
      <c r="BW172" s="1068">
        <v>142.5</v>
      </c>
      <c r="BX172" s="410">
        <f>SUM(BT172:BW172)</f>
        <v>486</v>
      </c>
      <c r="BY172" s="391">
        <f>111.2</f>
        <v>111.2</v>
      </c>
      <c r="BZ172" s="383">
        <f t="shared" ref="BZ172:CB173" si="236">BU172*(1+BZ402)</f>
        <v>155.5</v>
      </c>
      <c r="CA172" s="383">
        <f t="shared" si="236"/>
        <v>154.934</v>
      </c>
      <c r="CB172" s="383">
        <f t="shared" si="236"/>
        <v>156.75</v>
      </c>
      <c r="CC172" s="410">
        <f>SUM(BY172:CB172)</f>
        <v>578.38400000000001</v>
      </c>
      <c r="CD172" s="410">
        <f t="shared" ref="CD172:CH173" si="237">CC172*(1+CD402)</f>
        <v>665.14159999999993</v>
      </c>
      <c r="CE172" s="410">
        <f t="shared" si="237"/>
        <v>744.95859199999995</v>
      </c>
      <c r="CF172" s="410">
        <f t="shared" si="237"/>
        <v>804.55527935999999</v>
      </c>
      <c r="CG172" s="410">
        <f t="shared" si="237"/>
        <v>844.78304332800008</v>
      </c>
      <c r="CH172" s="410">
        <f t="shared" si="237"/>
        <v>870.1265346278401</v>
      </c>
      <c r="EX172" s="1261"/>
    </row>
    <row r="173" spans="1:154" s="14" customFormat="1" ht="12.75" customHeight="1">
      <c r="A173" s="9"/>
      <c r="B173" s="9"/>
      <c r="C173" s="9"/>
      <c r="D173" s="9"/>
      <c r="E173" s="9"/>
      <c r="F173" s="9"/>
      <c r="G173" s="9"/>
      <c r="H173" s="257" t="s">
        <v>1180</v>
      </c>
      <c r="I173" s="257"/>
      <c r="J173" s="257"/>
      <c r="K173" s="257"/>
      <c r="L173" s="263"/>
      <c r="M173" s="263"/>
      <c r="N173" s="263"/>
      <c r="O173" s="263"/>
      <c r="P173" s="79"/>
      <c r="Q173" s="263"/>
      <c r="R173" s="263"/>
      <c r="S173" s="263"/>
      <c r="T173" s="263"/>
      <c r="U173" s="79"/>
      <c r="V173" s="263"/>
      <c r="W173" s="263"/>
      <c r="X173" s="263"/>
      <c r="Y173" s="263"/>
      <c r="Z173" s="79"/>
      <c r="AA173" s="263"/>
      <c r="AB173" s="263"/>
      <c r="AC173" s="263"/>
      <c r="AD173" s="263"/>
      <c r="AE173" s="79"/>
      <c r="AF173" s="263"/>
      <c r="AG173" s="263"/>
      <c r="AH173" s="263"/>
      <c r="AI173" s="263"/>
      <c r="AJ173" s="79"/>
      <c r="AK173" s="263"/>
      <c r="AL173" s="263"/>
      <c r="AM173" s="263"/>
      <c r="AN173" s="263"/>
      <c r="AO173" s="870"/>
      <c r="AP173" s="871"/>
      <c r="AQ173" s="871"/>
      <c r="AR173" s="871"/>
      <c r="AS173" s="871"/>
      <c r="AT173" s="870"/>
      <c r="AU173" s="871"/>
      <c r="AV173" s="871"/>
      <c r="AW173" s="871"/>
      <c r="AX173" s="871"/>
      <c r="AY173" s="870"/>
      <c r="AZ173" s="871"/>
      <c r="BA173" s="871"/>
      <c r="BB173" s="871"/>
      <c r="BC173" s="871"/>
      <c r="BD173" s="870"/>
      <c r="BE173" s="871"/>
      <c r="BF173" s="871"/>
      <c r="BG173" s="871"/>
      <c r="BH173" s="871"/>
      <c r="BI173" s="870"/>
      <c r="BJ173" s="871"/>
      <c r="BK173" s="871"/>
      <c r="BL173" s="871"/>
      <c r="BM173" s="871"/>
      <c r="BN173" s="870"/>
      <c r="BO173" s="871"/>
      <c r="BP173" s="391">
        <v>0</v>
      </c>
      <c r="BQ173" s="391">
        <v>0.5</v>
      </c>
      <c r="BR173" s="391">
        <v>1.8</v>
      </c>
      <c r="BS173" s="410">
        <f>SUM(BO173:BR173)</f>
        <v>2.2999999999999998</v>
      </c>
      <c r="BT173" s="391">
        <v>8.8000000000000007</v>
      </c>
      <c r="BU173" s="1225">
        <v>14.3</v>
      </c>
      <c r="BV173" s="1068">
        <v>20</v>
      </c>
      <c r="BW173" s="1068">
        <v>30</v>
      </c>
      <c r="BX173" s="410">
        <f>SUM(BT173:BW173)</f>
        <v>73.099999999999994</v>
      </c>
      <c r="BY173" s="391">
        <f>35.3</f>
        <v>35.299999999999997</v>
      </c>
      <c r="BZ173" s="383">
        <f t="shared" si="236"/>
        <v>50.050000000000004</v>
      </c>
      <c r="CA173" s="383">
        <f t="shared" si="236"/>
        <v>58</v>
      </c>
      <c r="CB173" s="383">
        <f t="shared" si="236"/>
        <v>67.5</v>
      </c>
      <c r="CC173" s="410">
        <f>SUM(BY173:CB173)</f>
        <v>210.85</v>
      </c>
      <c r="CD173" s="410">
        <f t="shared" si="237"/>
        <v>368.98750000000001</v>
      </c>
      <c r="CE173" s="410">
        <f t="shared" si="237"/>
        <v>498.13312500000006</v>
      </c>
      <c r="CF173" s="410">
        <f t="shared" si="237"/>
        <v>622.66640625000014</v>
      </c>
      <c r="CG173" s="410">
        <f t="shared" si="237"/>
        <v>716.06636718750008</v>
      </c>
      <c r="CH173" s="410">
        <f t="shared" si="237"/>
        <v>751.86968554687508</v>
      </c>
      <c r="EX173" s="1261"/>
    </row>
    <row r="174" spans="1:154" s="14" customFormat="1" ht="12.75" customHeight="1">
      <c r="A174" s="9"/>
      <c r="B174" s="9"/>
      <c r="C174" s="9"/>
      <c r="D174" s="9"/>
      <c r="E174" s="9"/>
      <c r="F174" s="9"/>
      <c r="G174" s="9"/>
      <c r="H174" s="264" t="s">
        <v>1052</v>
      </c>
      <c r="I174" s="257"/>
      <c r="J174" s="257"/>
      <c r="K174" s="257"/>
      <c r="L174" s="263"/>
      <c r="M174" s="263"/>
      <c r="N174" s="263"/>
      <c r="O174" s="263"/>
      <c r="P174" s="79"/>
      <c r="Q174" s="263"/>
      <c r="R174" s="263"/>
      <c r="S174" s="263"/>
      <c r="T174" s="263"/>
      <c r="U174" s="79"/>
      <c r="V174" s="263"/>
      <c r="W174" s="263"/>
      <c r="X174" s="263"/>
      <c r="Y174" s="263"/>
      <c r="Z174" s="79"/>
      <c r="AA174" s="263"/>
      <c r="AB174" s="263"/>
      <c r="AC174" s="263"/>
      <c r="AD174" s="263"/>
      <c r="AE174" s="79"/>
      <c r="AF174" s="263"/>
      <c r="AG174" s="263"/>
      <c r="AH174" s="263"/>
      <c r="AI174" s="263"/>
      <c r="AJ174" s="79"/>
      <c r="AK174" s="263"/>
      <c r="AL174" s="263"/>
      <c r="AM174" s="263"/>
      <c r="AN174" s="263"/>
      <c r="AO174" s="870"/>
      <c r="AP174" s="871"/>
      <c r="AQ174" s="871"/>
      <c r="AR174" s="871"/>
      <c r="AS174" s="871"/>
      <c r="AT174" s="870"/>
      <c r="AU174" s="871"/>
      <c r="AV174" s="871"/>
      <c r="AW174" s="871"/>
      <c r="AX174" s="871"/>
      <c r="AY174" s="870"/>
      <c r="AZ174" s="871"/>
      <c r="BA174" s="871"/>
      <c r="BB174" s="871"/>
      <c r="BC174" s="871"/>
      <c r="BD174" s="870"/>
      <c r="BE174" s="871"/>
      <c r="BF174" s="871"/>
      <c r="BG174" s="871"/>
      <c r="BH174" s="871"/>
      <c r="BI174" s="870"/>
      <c r="BJ174" s="871"/>
      <c r="BK174" s="871"/>
      <c r="BL174" s="871"/>
      <c r="BM174" s="871"/>
      <c r="BN174" s="870"/>
      <c r="BO174" s="871"/>
      <c r="BP174" s="871"/>
      <c r="BQ174" s="871"/>
      <c r="BR174" s="871"/>
      <c r="BS174" s="870"/>
      <c r="BT174" s="420">
        <f>BT176</f>
        <v>1.9</v>
      </c>
      <c r="BU174" s="420">
        <f t="shared" ref="BU174:CE174" si="238">BU176</f>
        <v>4.8</v>
      </c>
      <c r="BV174" s="420">
        <f t="shared" si="238"/>
        <v>16.2</v>
      </c>
      <c r="BW174" s="420">
        <f>BW176</f>
        <v>23</v>
      </c>
      <c r="BX174" s="428">
        <f t="shared" si="238"/>
        <v>45.9</v>
      </c>
      <c r="BY174" s="420">
        <f>BY176</f>
        <v>32.200000000000003</v>
      </c>
      <c r="BZ174" s="420">
        <f>BZ176</f>
        <v>38.4</v>
      </c>
      <c r="CA174" s="420">
        <f>CA176</f>
        <v>45.359999999999992</v>
      </c>
      <c r="CB174" s="420">
        <f>CB176</f>
        <v>51.75</v>
      </c>
      <c r="CC174" s="428">
        <f>CC176</f>
        <v>167.70999999999998</v>
      </c>
      <c r="CD174" s="428">
        <f t="shared" si="238"/>
        <v>276.72149999999993</v>
      </c>
      <c r="CE174" s="428">
        <f t="shared" si="238"/>
        <v>373.57402499999995</v>
      </c>
      <c r="CF174" s="428">
        <f>CF176</f>
        <v>448.2888299999999</v>
      </c>
      <c r="CG174" s="428">
        <f>CG176</f>
        <v>493.11771299999992</v>
      </c>
      <c r="CH174" s="428">
        <f>CH176</f>
        <v>517.77359864999994</v>
      </c>
      <c r="EX174" s="1261" t="s">
        <v>1052</v>
      </c>
    </row>
    <row r="175" spans="1:154" s="14" customFormat="1" ht="12.75" customHeight="1">
      <c r="A175" s="9"/>
      <c r="B175" s="9"/>
      <c r="C175" s="9"/>
      <c r="D175" s="9"/>
      <c r="E175" s="9"/>
      <c r="F175" s="9"/>
      <c r="G175" s="9"/>
      <c r="H175" s="257" t="s">
        <v>1181</v>
      </c>
      <c r="I175" s="257"/>
      <c r="J175" s="257"/>
      <c r="K175" s="257"/>
      <c r="L175" s="263"/>
      <c r="M175" s="263"/>
      <c r="N175" s="263"/>
      <c r="O175" s="263"/>
      <c r="P175" s="79"/>
      <c r="Q175" s="263"/>
      <c r="R175" s="263"/>
      <c r="S175" s="263"/>
      <c r="T175" s="263"/>
      <c r="U175" s="79"/>
      <c r="V175" s="263"/>
      <c r="W175" s="263"/>
      <c r="X175" s="263"/>
      <c r="Y175" s="263"/>
      <c r="Z175" s="79"/>
      <c r="AA175" s="263"/>
      <c r="AB175" s="263"/>
      <c r="AC175" s="263"/>
      <c r="AD175" s="263"/>
      <c r="AE175" s="79"/>
      <c r="AF175" s="263"/>
      <c r="AG175" s="263"/>
      <c r="AH175" s="263"/>
      <c r="AI175" s="263"/>
      <c r="AJ175" s="79"/>
      <c r="AK175" s="263"/>
      <c r="AL175" s="263"/>
      <c r="AM175" s="263"/>
      <c r="AN175" s="263"/>
      <c r="AO175" s="870"/>
      <c r="AP175" s="871"/>
      <c r="AQ175" s="871"/>
      <c r="AR175" s="871"/>
      <c r="AS175" s="871"/>
      <c r="AT175" s="870"/>
      <c r="AU175" s="871"/>
      <c r="AV175" s="871"/>
      <c r="AW175" s="871"/>
      <c r="AX175" s="871"/>
      <c r="AY175" s="870"/>
      <c r="AZ175" s="871"/>
      <c r="BA175" s="871"/>
      <c r="BB175" s="871"/>
      <c r="BC175" s="871"/>
      <c r="BD175" s="870"/>
      <c r="BE175" s="871"/>
      <c r="BF175" s="871"/>
      <c r="BG175" s="871"/>
      <c r="BH175" s="871"/>
      <c r="BI175" s="870"/>
      <c r="BJ175" s="871"/>
      <c r="BK175" s="871"/>
      <c r="BL175" s="871"/>
      <c r="BM175" s="871"/>
      <c r="BN175" s="870"/>
      <c r="BO175" s="871"/>
      <c r="BP175" s="871"/>
      <c r="BQ175" s="871"/>
      <c r="BR175" s="871"/>
      <c r="BS175" s="870"/>
      <c r="BT175" s="871"/>
      <c r="BU175" s="871"/>
      <c r="BV175" s="871"/>
      <c r="BW175" s="871"/>
      <c r="BX175" s="1220"/>
      <c r="BY175" s="871"/>
      <c r="BZ175" s="871"/>
      <c r="CA175" s="871"/>
      <c r="CB175" s="871"/>
      <c r="CC175" s="1220"/>
      <c r="CD175" s="870"/>
      <c r="CE175" s="870"/>
      <c r="CF175" s="870"/>
      <c r="CG175" s="870"/>
      <c r="CH175" s="870"/>
      <c r="EX175" s="1261"/>
    </row>
    <row r="176" spans="1:154" s="14" customFormat="1" ht="12.75" customHeight="1">
      <c r="A176" s="9"/>
      <c r="B176" s="9"/>
      <c r="C176" s="9"/>
      <c r="D176" s="9"/>
      <c r="E176" s="9"/>
      <c r="F176" s="9"/>
      <c r="G176" s="9"/>
      <c r="H176" s="257" t="s">
        <v>1182</v>
      </c>
      <c r="I176" s="257"/>
      <c r="J176" s="257"/>
      <c r="K176" s="257"/>
      <c r="L176" s="263"/>
      <c r="M176" s="263"/>
      <c r="N176" s="263"/>
      <c r="O176" s="263"/>
      <c r="P176" s="79"/>
      <c r="Q176" s="263"/>
      <c r="R176" s="263"/>
      <c r="S176" s="263"/>
      <c r="T176" s="263"/>
      <c r="U176" s="79"/>
      <c r="V176" s="263"/>
      <c r="W176" s="263"/>
      <c r="X176" s="263"/>
      <c r="Y176" s="263"/>
      <c r="Z176" s="79"/>
      <c r="AA176" s="263"/>
      <c r="AB176" s="263"/>
      <c r="AC176" s="263"/>
      <c r="AD176" s="263"/>
      <c r="AE176" s="79"/>
      <c r="AF176" s="263"/>
      <c r="AG176" s="263"/>
      <c r="AH176" s="263"/>
      <c r="AI176" s="263"/>
      <c r="AJ176" s="79"/>
      <c r="AK176" s="263"/>
      <c r="AL176" s="263"/>
      <c r="AM176" s="263"/>
      <c r="AN176" s="263"/>
      <c r="AO176" s="870"/>
      <c r="AP176" s="871"/>
      <c r="AQ176" s="871"/>
      <c r="AR176" s="871"/>
      <c r="AS176" s="871"/>
      <c r="AT176" s="870"/>
      <c r="AU176" s="871"/>
      <c r="AV176" s="871"/>
      <c r="AW176" s="871"/>
      <c r="AX176" s="871"/>
      <c r="AY176" s="870"/>
      <c r="AZ176" s="871"/>
      <c r="BA176" s="871"/>
      <c r="BB176" s="871"/>
      <c r="BC176" s="871"/>
      <c r="BD176" s="870"/>
      <c r="BE176" s="871"/>
      <c r="BF176" s="871"/>
      <c r="BG176" s="871"/>
      <c r="BH176" s="871"/>
      <c r="BI176" s="870"/>
      <c r="BJ176" s="871"/>
      <c r="BK176" s="871"/>
      <c r="BL176" s="871"/>
      <c r="BM176" s="871"/>
      <c r="BN176" s="870"/>
      <c r="BO176" s="871"/>
      <c r="BP176" s="871"/>
      <c r="BQ176" s="871"/>
      <c r="BR176" s="871"/>
      <c r="BS176" s="870"/>
      <c r="BT176" s="391">
        <v>1.9</v>
      </c>
      <c r="BU176" s="1225">
        <v>4.8</v>
      </c>
      <c r="BV176" s="391">
        <v>16.2</v>
      </c>
      <c r="BW176" s="391">
        <v>23</v>
      </c>
      <c r="BX176" s="410">
        <f>SUM(BT176:BW176)</f>
        <v>45.9</v>
      </c>
      <c r="BY176" s="391">
        <f>32.2</f>
        <v>32.200000000000003</v>
      </c>
      <c r="BZ176" s="383">
        <f>BU176*(1+BZ406)</f>
        <v>38.4</v>
      </c>
      <c r="CA176" s="383">
        <f>BV176*(1+CA406)</f>
        <v>45.359999999999992</v>
      </c>
      <c r="CB176" s="383">
        <f>BW176*(1+CB406)</f>
        <v>51.75</v>
      </c>
      <c r="CC176" s="410">
        <f>SUM(BY176:CB176)</f>
        <v>167.70999999999998</v>
      </c>
      <c r="CD176" s="410">
        <f>CC176*(1+CD406)</f>
        <v>276.72149999999993</v>
      </c>
      <c r="CE176" s="410">
        <f>CD176*(1+CE406)</f>
        <v>373.57402499999995</v>
      </c>
      <c r="CF176" s="410">
        <f>CE176*(1+CF406)</f>
        <v>448.2888299999999</v>
      </c>
      <c r="CG176" s="410">
        <f>CF176*(1+CG406)</f>
        <v>493.11771299999992</v>
      </c>
      <c r="CH176" s="410">
        <f>CG176*(1+CH406)</f>
        <v>517.77359864999994</v>
      </c>
      <c r="EX176" s="1261"/>
    </row>
    <row r="177" spans="1:154">
      <c r="A177" s="9"/>
      <c r="B177" s="9"/>
      <c r="C177" s="9"/>
      <c r="D177" s="9"/>
      <c r="E177" s="9"/>
      <c r="F177" s="9"/>
      <c r="G177" s="9"/>
      <c r="H177" s="259"/>
      <c r="I177" s="259"/>
      <c r="J177" s="79"/>
      <c r="K177" s="79"/>
      <c r="L177" s="258"/>
      <c r="M177" s="258"/>
      <c r="N177" s="258"/>
      <c r="O177" s="258"/>
      <c r="P177" s="79"/>
      <c r="Q177" s="258"/>
      <c r="R177" s="258"/>
      <c r="S177" s="258"/>
      <c r="T177" s="258"/>
      <c r="U177" s="79"/>
      <c r="V177" s="258"/>
      <c r="W177" s="258"/>
      <c r="X177" s="258"/>
      <c r="Y177" s="258"/>
      <c r="Z177" s="79"/>
      <c r="AA177" s="258"/>
      <c r="AB177" s="258"/>
      <c r="AC177" s="258"/>
      <c r="AD177" s="258"/>
      <c r="AE177" s="79"/>
      <c r="AF177" s="258"/>
      <c r="AG177" s="258"/>
      <c r="AH177" s="258"/>
      <c r="AI177" s="258"/>
      <c r="AJ177" s="79"/>
      <c r="AK177" s="258"/>
      <c r="AL177" s="258"/>
      <c r="AM177" s="258"/>
      <c r="AN177" s="258"/>
      <c r="AO177" s="410"/>
      <c r="AP177" s="383"/>
      <c r="AQ177" s="383"/>
      <c r="AR177" s="383"/>
      <c r="AS177" s="383"/>
      <c r="AT177" s="410"/>
      <c r="AU177" s="383"/>
      <c r="AV177" s="383"/>
      <c r="AW177" s="383"/>
      <c r="AX177" s="383"/>
      <c r="AY177" s="410"/>
      <c r="AZ177" s="383"/>
      <c r="BA177" s="383"/>
      <c r="BB177" s="383"/>
      <c r="BC177" s="383"/>
      <c r="BD177" s="410"/>
      <c r="BE177" s="383"/>
      <c r="BF177" s="383"/>
      <c r="BG177" s="383"/>
      <c r="BH177" s="383"/>
      <c r="BI177" s="410"/>
      <c r="BJ177" s="383"/>
      <c r="BK177" s="383"/>
      <c r="BL177" s="383"/>
      <c r="BM177" s="383"/>
      <c r="BN177" s="410"/>
      <c r="BO177" s="383"/>
      <c r="BP177" s="383"/>
      <c r="BQ177" s="383"/>
      <c r="BR177" s="383"/>
      <c r="BS177" s="410"/>
      <c r="BT177" s="383"/>
      <c r="BU177" s="383"/>
      <c r="BV177" s="383"/>
      <c r="BW177" s="383"/>
      <c r="BX177" s="410"/>
      <c r="BY177" s="383"/>
      <c r="BZ177" s="383"/>
      <c r="CA177" s="383"/>
      <c r="CB177" s="383"/>
      <c r="CC177" s="410"/>
      <c r="CD177" s="410"/>
      <c r="CE177" s="410"/>
      <c r="CF177" s="410"/>
      <c r="CG177" s="410"/>
      <c r="CH177" s="410"/>
      <c r="EX177" s="1261"/>
    </row>
    <row r="178" spans="1:154" s="37" customFormat="1" ht="12.75" customHeight="1">
      <c r="A178" s="9"/>
      <c r="B178" s="9"/>
      <c r="C178" s="9"/>
      <c r="D178" s="9"/>
      <c r="E178" s="9"/>
      <c r="F178" s="9"/>
      <c r="G178" s="9"/>
      <c r="H178" s="260" t="s">
        <v>285</v>
      </c>
      <c r="I178" s="260"/>
      <c r="J178" s="260"/>
      <c r="K178" s="260"/>
      <c r="L178" s="261">
        <v>109.3</v>
      </c>
      <c r="M178" s="261">
        <v>113</v>
      </c>
      <c r="N178" s="261">
        <v>104.8</v>
      </c>
      <c r="O178" s="261">
        <v>117.2</v>
      </c>
      <c r="P178" s="262">
        <v>444.3</v>
      </c>
      <c r="Q178" s="261">
        <f t="shared" ref="Q178:AT178" si="239">Q187+Q181+Q184</f>
        <v>87.9</v>
      </c>
      <c r="R178" s="261">
        <f t="shared" si="239"/>
        <v>69.7</v>
      </c>
      <c r="S178" s="261">
        <f t="shared" si="239"/>
        <v>58.5</v>
      </c>
      <c r="T178" s="261">
        <f t="shared" si="239"/>
        <v>58.6</v>
      </c>
      <c r="U178" s="262">
        <f t="shared" si="239"/>
        <v>274.7</v>
      </c>
      <c r="V178" s="261">
        <f t="shared" si="239"/>
        <v>58</v>
      </c>
      <c r="W178" s="261">
        <f t="shared" si="239"/>
        <v>53.7</v>
      </c>
      <c r="X178" s="261">
        <f t="shared" si="239"/>
        <v>53.399999999999991</v>
      </c>
      <c r="Y178" s="261">
        <f t="shared" si="239"/>
        <v>56.9</v>
      </c>
      <c r="Z178" s="262">
        <f t="shared" si="239"/>
        <v>222.2</v>
      </c>
      <c r="AA178" s="261">
        <f t="shared" si="239"/>
        <v>51.7</v>
      </c>
      <c r="AB178" s="261">
        <f t="shared" si="239"/>
        <v>53.2</v>
      </c>
      <c r="AC178" s="261">
        <f t="shared" si="239"/>
        <v>55.500000000000007</v>
      </c>
      <c r="AD178" s="261">
        <f t="shared" si="239"/>
        <v>46.3</v>
      </c>
      <c r="AE178" s="262">
        <f t="shared" si="239"/>
        <v>206.69999999999996</v>
      </c>
      <c r="AF178" s="261">
        <f t="shared" si="239"/>
        <v>42.9</v>
      </c>
      <c r="AG178" s="261">
        <f t="shared" si="239"/>
        <v>44.769999999999996</v>
      </c>
      <c r="AH178" s="261">
        <f t="shared" si="239"/>
        <v>44.399999999999991</v>
      </c>
      <c r="AI178" s="261">
        <f t="shared" si="239"/>
        <v>43.6</v>
      </c>
      <c r="AJ178" s="262">
        <f t="shared" si="239"/>
        <v>175.67000000000002</v>
      </c>
      <c r="AK178" s="261">
        <f t="shared" si="239"/>
        <v>41.5</v>
      </c>
      <c r="AL178" s="261">
        <f t="shared" si="239"/>
        <v>42.1</v>
      </c>
      <c r="AM178" s="261">
        <f t="shared" si="239"/>
        <v>40</v>
      </c>
      <c r="AN178" s="261">
        <f t="shared" si="239"/>
        <v>42.199999999999996</v>
      </c>
      <c r="AO178" s="709">
        <f t="shared" si="239"/>
        <v>165.8</v>
      </c>
      <c r="AP178" s="708">
        <f t="shared" si="239"/>
        <v>44.5</v>
      </c>
      <c r="AQ178" s="708">
        <f t="shared" si="239"/>
        <v>45.199999999999996</v>
      </c>
      <c r="AR178" s="708">
        <f t="shared" si="239"/>
        <v>40.300000000000004</v>
      </c>
      <c r="AS178" s="708">
        <f t="shared" si="239"/>
        <v>31</v>
      </c>
      <c r="AT178" s="709">
        <f t="shared" si="239"/>
        <v>161</v>
      </c>
      <c r="AU178" s="708">
        <f t="shared" ref="AU178:BG178" si="240">AU179+AU180</f>
        <v>74.099999999999994</v>
      </c>
      <c r="AV178" s="708">
        <f t="shared" si="240"/>
        <v>66</v>
      </c>
      <c r="AW178" s="708">
        <f t="shared" si="240"/>
        <v>58.6</v>
      </c>
      <c r="AX178" s="708">
        <f t="shared" si="240"/>
        <v>62.7</v>
      </c>
      <c r="AY178" s="709">
        <f t="shared" si="240"/>
        <v>261.39999999999998</v>
      </c>
      <c r="AZ178" s="708">
        <f t="shared" si="240"/>
        <v>71</v>
      </c>
      <c r="BA178" s="708">
        <f t="shared" si="240"/>
        <v>58</v>
      </c>
      <c r="BB178" s="708">
        <f t="shared" si="240"/>
        <v>62.099999999999994</v>
      </c>
      <c r="BC178" s="708">
        <f t="shared" si="240"/>
        <v>58.3</v>
      </c>
      <c r="BD178" s="709">
        <f t="shared" si="240"/>
        <v>249.39999999999998</v>
      </c>
      <c r="BE178" s="708">
        <f>BE179+BE180</f>
        <v>75</v>
      </c>
      <c r="BF178" s="708">
        <f t="shared" si="240"/>
        <v>77.400000000000006</v>
      </c>
      <c r="BG178" s="708">
        <f t="shared" si="240"/>
        <v>73.099999999999994</v>
      </c>
      <c r="BH178" s="708">
        <f t="shared" ref="BH178:CH178" si="241">BH179+BH180</f>
        <v>61.300000000000004</v>
      </c>
      <c r="BI178" s="709">
        <f t="shared" si="241"/>
        <v>286.8</v>
      </c>
      <c r="BJ178" s="708">
        <f t="shared" si="241"/>
        <v>69.099999999999994</v>
      </c>
      <c r="BK178" s="708">
        <f t="shared" si="241"/>
        <v>50.300000000000004</v>
      </c>
      <c r="BL178" s="708">
        <f t="shared" si="241"/>
        <v>48.8</v>
      </c>
      <c r="BM178" s="708">
        <f t="shared" si="241"/>
        <v>59.3</v>
      </c>
      <c r="BN178" s="709">
        <f t="shared" si="241"/>
        <v>227.5</v>
      </c>
      <c r="BO178" s="708">
        <f t="shared" si="241"/>
        <v>61.4</v>
      </c>
      <c r="BP178" s="708">
        <f t="shared" si="241"/>
        <v>51.8</v>
      </c>
      <c r="BQ178" s="708">
        <f t="shared" si="241"/>
        <v>47.9</v>
      </c>
      <c r="BR178" s="708">
        <f t="shared" si="241"/>
        <v>39.4</v>
      </c>
      <c r="BS178" s="709">
        <f t="shared" si="241"/>
        <v>200.5</v>
      </c>
      <c r="BT178" s="708">
        <f t="shared" si="241"/>
        <v>73.8</v>
      </c>
      <c r="BU178" s="708">
        <f t="shared" si="241"/>
        <v>49.7</v>
      </c>
      <c r="BV178" s="708">
        <f t="shared" si="241"/>
        <v>61</v>
      </c>
      <c r="BW178" s="708">
        <f t="shared" si="241"/>
        <v>56.8</v>
      </c>
      <c r="BX178" s="709">
        <f t="shared" si="241"/>
        <v>241.3</v>
      </c>
      <c r="BY178" s="708">
        <f t="shared" si="241"/>
        <v>70.5</v>
      </c>
      <c r="BZ178" s="708">
        <f t="shared" si="241"/>
        <v>59.45</v>
      </c>
      <c r="CA178" s="708">
        <f t="shared" si="241"/>
        <v>59.540000000000013</v>
      </c>
      <c r="CB178" s="708">
        <f t="shared" si="241"/>
        <v>56.400000000000006</v>
      </c>
      <c r="CC178" s="709">
        <f t="shared" si="241"/>
        <v>245.89</v>
      </c>
      <c r="CD178" s="709">
        <f t="shared" si="241"/>
        <v>233.59549999999999</v>
      </c>
      <c r="CE178" s="709">
        <f t="shared" si="241"/>
        <v>221.91572499999998</v>
      </c>
      <c r="CF178" s="709">
        <f t="shared" si="241"/>
        <v>210.81993874999995</v>
      </c>
      <c r="CG178" s="709">
        <f t="shared" si="241"/>
        <v>200.27894181249997</v>
      </c>
      <c r="CH178" s="709">
        <f t="shared" si="241"/>
        <v>190.26499472187496</v>
      </c>
      <c r="EX178" s="1261" t="s">
        <v>285</v>
      </c>
    </row>
    <row r="179" spans="1:154" ht="12.75" customHeight="1">
      <c r="A179" s="9"/>
      <c r="B179" s="9"/>
      <c r="C179" s="9"/>
      <c r="D179" s="9"/>
      <c r="E179" s="9"/>
      <c r="F179" s="9"/>
      <c r="G179" s="9"/>
      <c r="H179" s="257" t="s">
        <v>231</v>
      </c>
      <c r="I179" s="257"/>
      <c r="J179" s="257"/>
      <c r="K179" s="257"/>
      <c r="L179" s="258">
        <v>34.700000000000003</v>
      </c>
      <c r="M179" s="258">
        <v>35.4</v>
      </c>
      <c r="N179" s="258">
        <v>32.4</v>
      </c>
      <c r="O179" s="258">
        <v>31</v>
      </c>
      <c r="P179" s="79">
        <v>133.5</v>
      </c>
      <c r="Q179" s="258">
        <f t="shared" ref="Q179:AT179" si="242">Q188+Q182+Q185</f>
        <v>20.8</v>
      </c>
      <c r="R179" s="258">
        <f t="shared" si="242"/>
        <v>3.5</v>
      </c>
      <c r="S179" s="258">
        <f t="shared" si="242"/>
        <v>1.05</v>
      </c>
      <c r="T179" s="258">
        <f t="shared" si="242"/>
        <v>-0.2</v>
      </c>
      <c r="U179" s="79">
        <f t="shared" si="242"/>
        <v>25.150000000000002</v>
      </c>
      <c r="V179" s="258">
        <f t="shared" si="242"/>
        <v>-0.30000000000000004</v>
      </c>
      <c r="W179" s="258">
        <f t="shared" si="242"/>
        <v>0.3</v>
      </c>
      <c r="X179" s="258">
        <f t="shared" si="242"/>
        <v>0.1</v>
      </c>
      <c r="Y179" s="258">
        <f t="shared" si="242"/>
        <v>1.9</v>
      </c>
      <c r="Z179" s="79">
        <f t="shared" si="242"/>
        <v>2.2000000000000002</v>
      </c>
      <c r="AA179" s="258">
        <f t="shared" si="242"/>
        <v>0.5</v>
      </c>
      <c r="AB179" s="258">
        <f t="shared" si="242"/>
        <v>0.1</v>
      </c>
      <c r="AC179" s="258">
        <f t="shared" si="242"/>
        <v>0.89999999999999991</v>
      </c>
      <c r="AD179" s="258">
        <f t="shared" si="242"/>
        <v>0.4</v>
      </c>
      <c r="AE179" s="79">
        <f t="shared" si="242"/>
        <v>1.9000000000000001</v>
      </c>
      <c r="AF179" s="258">
        <f t="shared" si="242"/>
        <v>0.1</v>
      </c>
      <c r="AG179" s="258">
        <f t="shared" si="242"/>
        <v>0.1</v>
      </c>
      <c r="AH179" s="258">
        <f t="shared" si="242"/>
        <v>0.5</v>
      </c>
      <c r="AI179" s="258">
        <f t="shared" si="242"/>
        <v>0</v>
      </c>
      <c r="AJ179" s="79">
        <f t="shared" si="242"/>
        <v>0.7</v>
      </c>
      <c r="AK179" s="258">
        <f t="shared" si="242"/>
        <v>0</v>
      </c>
      <c r="AL179" s="258">
        <f t="shared" si="242"/>
        <v>-0.1</v>
      </c>
      <c r="AM179" s="258">
        <f t="shared" si="242"/>
        <v>0.2</v>
      </c>
      <c r="AN179" s="258">
        <f t="shared" si="242"/>
        <v>0</v>
      </c>
      <c r="AO179" s="410">
        <f t="shared" si="242"/>
        <v>0.1</v>
      </c>
      <c r="AP179" s="383">
        <f t="shared" si="242"/>
        <v>0</v>
      </c>
      <c r="AQ179" s="383">
        <f t="shared" si="242"/>
        <v>0</v>
      </c>
      <c r="AR179" s="383">
        <f t="shared" si="242"/>
        <v>0</v>
      </c>
      <c r="AS179" s="383">
        <f t="shared" si="242"/>
        <v>0</v>
      </c>
      <c r="AT179" s="410">
        <f t="shared" si="242"/>
        <v>0</v>
      </c>
      <c r="AU179" s="391">
        <v>36.1</v>
      </c>
      <c r="AV179" s="391">
        <v>28.4</v>
      </c>
      <c r="AW179" s="391">
        <v>25.5</v>
      </c>
      <c r="AX179" s="391">
        <v>21.1</v>
      </c>
      <c r="AY179" s="699">
        <f>SUM(AU179:AX179)</f>
        <v>111.1</v>
      </c>
      <c r="AZ179" s="391">
        <v>28.8</v>
      </c>
      <c r="BA179" s="391">
        <v>23</v>
      </c>
      <c r="BB179" s="391">
        <v>25.2</v>
      </c>
      <c r="BC179" s="391">
        <v>13.2</v>
      </c>
      <c r="BD179" s="699">
        <f>SUM(AZ179:BC179)</f>
        <v>90.2</v>
      </c>
      <c r="BE179" s="391">
        <v>20.8</v>
      </c>
      <c r="BF179" s="391">
        <v>30.9</v>
      </c>
      <c r="BG179" s="391">
        <v>29.6</v>
      </c>
      <c r="BH179" s="391">
        <v>14.1</v>
      </c>
      <c r="BI179" s="410">
        <f>BI182+BI185</f>
        <v>95.4</v>
      </c>
      <c r="BJ179" s="391">
        <v>13.5</v>
      </c>
      <c r="BK179" s="391">
        <v>13.6</v>
      </c>
      <c r="BL179" s="391">
        <v>11.7</v>
      </c>
      <c r="BM179" s="391">
        <v>16.8</v>
      </c>
      <c r="BN179" s="410">
        <f>BN182+BN185</f>
        <v>55.599999999999994</v>
      </c>
      <c r="BO179" s="391">
        <v>13.1</v>
      </c>
      <c r="BP179" s="391">
        <v>11.3</v>
      </c>
      <c r="BQ179" s="391">
        <v>11</v>
      </c>
      <c r="BR179" s="391">
        <v>7.4</v>
      </c>
      <c r="BS179" s="410">
        <f>BS182+BS185</f>
        <v>42.8</v>
      </c>
      <c r="BT179" s="391">
        <v>13.7</v>
      </c>
      <c r="BU179" s="1068">
        <v>10.3</v>
      </c>
      <c r="BV179" s="1068">
        <v>10.8</v>
      </c>
      <c r="BW179" s="1068">
        <v>16.2</v>
      </c>
      <c r="BX179" s="410">
        <f>BX182+BX185</f>
        <v>51</v>
      </c>
      <c r="BY179" s="391">
        <f>20.9</f>
        <v>20.9</v>
      </c>
      <c r="BZ179" s="383">
        <f t="shared" ref="BZ179:CH179" si="243">BZ182+BZ185</f>
        <v>15.450000000000001</v>
      </c>
      <c r="CA179" s="383">
        <f t="shared" si="243"/>
        <v>16.200000000000003</v>
      </c>
      <c r="CB179" s="383">
        <f t="shared" si="243"/>
        <v>16.2</v>
      </c>
      <c r="CC179" s="410">
        <f t="shared" si="243"/>
        <v>68.75</v>
      </c>
      <c r="CD179" s="410">
        <f t="shared" si="243"/>
        <v>65.3125</v>
      </c>
      <c r="CE179" s="410">
        <f t="shared" si="243"/>
        <v>62.046875</v>
      </c>
      <c r="CF179" s="410">
        <f t="shared" si="243"/>
        <v>58.944531249999997</v>
      </c>
      <c r="CG179" s="410">
        <f t="shared" si="243"/>
        <v>55.997304687499998</v>
      </c>
      <c r="CH179" s="410">
        <f t="shared" si="243"/>
        <v>53.197439453124993</v>
      </c>
      <c r="EX179" s="1261"/>
    </row>
    <row r="180" spans="1:154" ht="12.75" customHeight="1">
      <c r="A180" s="9"/>
      <c r="B180" s="9"/>
      <c r="C180" s="9"/>
      <c r="D180" s="9"/>
      <c r="E180" s="9"/>
      <c r="F180" s="9"/>
      <c r="G180" s="9"/>
      <c r="H180" s="257" t="s">
        <v>232</v>
      </c>
      <c r="I180" s="257"/>
      <c r="J180" s="257"/>
      <c r="K180" s="257"/>
      <c r="L180" s="258">
        <v>74.599999999999994</v>
      </c>
      <c r="M180" s="258">
        <v>77.599999999999994</v>
      </c>
      <c r="N180" s="258">
        <v>72.400000000000006</v>
      </c>
      <c r="O180" s="258">
        <v>86.2</v>
      </c>
      <c r="P180" s="79">
        <v>310.8</v>
      </c>
      <c r="Q180" s="258">
        <f t="shared" ref="Q180:AT180" si="244">Q189+Q183+Q186</f>
        <v>67.099999999999994</v>
      </c>
      <c r="R180" s="258">
        <f t="shared" si="244"/>
        <v>66.199999999999989</v>
      </c>
      <c r="S180" s="258">
        <f t="shared" si="244"/>
        <v>57.449999999999996</v>
      </c>
      <c r="T180" s="258">
        <f t="shared" si="244"/>
        <v>58.8</v>
      </c>
      <c r="U180" s="79">
        <f t="shared" si="244"/>
        <v>249.55</v>
      </c>
      <c r="V180" s="258">
        <f t="shared" si="244"/>
        <v>58.3</v>
      </c>
      <c r="W180" s="258">
        <f t="shared" si="244"/>
        <v>53.4</v>
      </c>
      <c r="X180" s="258">
        <f t="shared" si="244"/>
        <v>53.300000000000004</v>
      </c>
      <c r="Y180" s="258">
        <f t="shared" si="244"/>
        <v>55</v>
      </c>
      <c r="Z180" s="79">
        <f t="shared" si="244"/>
        <v>220</v>
      </c>
      <c r="AA180" s="258">
        <f t="shared" si="244"/>
        <v>51.2</v>
      </c>
      <c r="AB180" s="258">
        <f t="shared" si="244"/>
        <v>53.1</v>
      </c>
      <c r="AC180" s="258">
        <f t="shared" si="244"/>
        <v>54.599999999999994</v>
      </c>
      <c r="AD180" s="258">
        <f t="shared" si="244"/>
        <v>45.9</v>
      </c>
      <c r="AE180" s="79">
        <f t="shared" si="244"/>
        <v>204.79999999999998</v>
      </c>
      <c r="AF180" s="258">
        <f t="shared" si="244"/>
        <v>42.8</v>
      </c>
      <c r="AG180" s="258">
        <f t="shared" si="244"/>
        <v>44.67</v>
      </c>
      <c r="AH180" s="258">
        <f t="shared" si="244"/>
        <v>43.899999999999991</v>
      </c>
      <c r="AI180" s="258">
        <f t="shared" si="244"/>
        <v>43.6</v>
      </c>
      <c r="AJ180" s="79">
        <f t="shared" si="244"/>
        <v>174.97</v>
      </c>
      <c r="AK180" s="258">
        <f t="shared" si="244"/>
        <v>41.5</v>
      </c>
      <c r="AL180" s="258">
        <f t="shared" si="244"/>
        <v>42.2</v>
      </c>
      <c r="AM180" s="258">
        <f t="shared" si="244"/>
        <v>39.799999999999997</v>
      </c>
      <c r="AN180" s="258">
        <f t="shared" si="244"/>
        <v>42.199999999999996</v>
      </c>
      <c r="AO180" s="410">
        <f t="shared" si="244"/>
        <v>165.7</v>
      </c>
      <c r="AP180" s="383">
        <f t="shared" si="244"/>
        <v>44.5</v>
      </c>
      <c r="AQ180" s="383">
        <f t="shared" si="244"/>
        <v>45.199999999999996</v>
      </c>
      <c r="AR180" s="383">
        <f t="shared" si="244"/>
        <v>40.300000000000004</v>
      </c>
      <c r="AS180" s="383">
        <f t="shared" si="244"/>
        <v>31</v>
      </c>
      <c r="AT180" s="410">
        <f t="shared" si="244"/>
        <v>161</v>
      </c>
      <c r="AU180" s="391">
        <v>38</v>
      </c>
      <c r="AV180" s="391">
        <v>37.6</v>
      </c>
      <c r="AW180" s="391">
        <v>33.1</v>
      </c>
      <c r="AX180" s="391">
        <v>41.6</v>
      </c>
      <c r="AY180" s="699">
        <f>SUM(AU180:AX180)</f>
        <v>150.29999999999998</v>
      </c>
      <c r="AZ180" s="391">
        <v>42.2</v>
      </c>
      <c r="BA180" s="391">
        <v>35</v>
      </c>
      <c r="BB180" s="391">
        <v>36.9</v>
      </c>
      <c r="BC180" s="391">
        <v>45.1</v>
      </c>
      <c r="BD180" s="699">
        <f>SUM(AZ180:BC180)</f>
        <v>159.19999999999999</v>
      </c>
      <c r="BE180" s="391">
        <v>54.2</v>
      </c>
      <c r="BF180" s="391">
        <v>46.5</v>
      </c>
      <c r="BG180" s="391">
        <v>43.5</v>
      </c>
      <c r="BH180" s="391">
        <v>47.2</v>
      </c>
      <c r="BI180" s="410">
        <f>BI183+BI186</f>
        <v>191.4</v>
      </c>
      <c r="BJ180" s="391">
        <v>55.6</v>
      </c>
      <c r="BK180" s="391">
        <v>36.700000000000003</v>
      </c>
      <c r="BL180" s="391">
        <v>37.1</v>
      </c>
      <c r="BM180" s="391">
        <v>42.5</v>
      </c>
      <c r="BN180" s="410">
        <f>BN183+BN186</f>
        <v>171.9</v>
      </c>
      <c r="BO180" s="391">
        <v>48.3</v>
      </c>
      <c r="BP180" s="391">
        <v>40.5</v>
      </c>
      <c r="BQ180" s="391">
        <v>36.9</v>
      </c>
      <c r="BR180" s="391">
        <v>32</v>
      </c>
      <c r="BS180" s="410">
        <f>BS183+BS186</f>
        <v>157.69999999999999</v>
      </c>
      <c r="BT180" s="391">
        <v>60.1</v>
      </c>
      <c r="BU180" s="1068">
        <v>39.4</v>
      </c>
      <c r="BV180" s="1068">
        <v>50.2</v>
      </c>
      <c r="BW180" s="1068">
        <v>40.6</v>
      </c>
      <c r="BX180" s="410">
        <f>BX183+BX186</f>
        <v>190.3</v>
      </c>
      <c r="BY180" s="391">
        <f>49.6</f>
        <v>49.6</v>
      </c>
      <c r="BZ180" s="383">
        <f t="shared" ref="BZ180:CH180" si="245">BZ183+BZ186</f>
        <v>44</v>
      </c>
      <c r="CA180" s="383">
        <f t="shared" si="245"/>
        <v>43.340000000000011</v>
      </c>
      <c r="CB180" s="383">
        <f t="shared" si="245"/>
        <v>40.200000000000003</v>
      </c>
      <c r="CC180" s="410">
        <f t="shared" si="245"/>
        <v>177.14</v>
      </c>
      <c r="CD180" s="410">
        <f t="shared" si="245"/>
        <v>168.28299999999999</v>
      </c>
      <c r="CE180" s="410">
        <f t="shared" si="245"/>
        <v>159.86884999999998</v>
      </c>
      <c r="CF180" s="410">
        <f t="shared" si="245"/>
        <v>151.87540749999997</v>
      </c>
      <c r="CG180" s="410">
        <f t="shared" si="245"/>
        <v>144.28163712499997</v>
      </c>
      <c r="CH180" s="410">
        <f t="shared" si="245"/>
        <v>137.06755526874997</v>
      </c>
      <c r="EX180" s="1261"/>
    </row>
    <row r="181" spans="1:154" s="18" customFormat="1" ht="12.75" customHeight="1">
      <c r="A181" s="9"/>
      <c r="B181" s="9"/>
      <c r="C181" s="9"/>
      <c r="D181" s="9"/>
      <c r="E181" s="9"/>
      <c r="F181" s="9"/>
      <c r="G181" s="9"/>
      <c r="H181" s="264" t="s">
        <v>504</v>
      </c>
      <c r="I181" s="264"/>
      <c r="J181" s="264"/>
      <c r="K181" s="264"/>
      <c r="L181" s="265">
        <v>54</v>
      </c>
      <c r="M181" s="265">
        <v>66.7</v>
      </c>
      <c r="N181" s="265">
        <v>60.2</v>
      </c>
      <c r="O181" s="265">
        <v>58.6</v>
      </c>
      <c r="P181" s="264">
        <v>239.5</v>
      </c>
      <c r="Q181" s="265">
        <f t="shared" ref="Q181:AJ181" si="246">Q182+Q183</f>
        <v>46</v>
      </c>
      <c r="R181" s="265">
        <f t="shared" si="246"/>
        <v>38.5</v>
      </c>
      <c r="S181" s="265">
        <f t="shared" si="246"/>
        <v>25.1</v>
      </c>
      <c r="T181" s="265">
        <f t="shared" si="246"/>
        <v>24.400000000000002</v>
      </c>
      <c r="U181" s="264">
        <f t="shared" si="246"/>
        <v>134</v>
      </c>
      <c r="V181" s="265">
        <f t="shared" si="246"/>
        <v>24.599999999999998</v>
      </c>
      <c r="W181" s="265">
        <f t="shared" si="246"/>
        <v>26.400000000000002</v>
      </c>
      <c r="X181" s="265">
        <f t="shared" si="246"/>
        <v>19.3</v>
      </c>
      <c r="Y181" s="265">
        <f t="shared" si="246"/>
        <v>21.3</v>
      </c>
      <c r="Z181" s="264">
        <f t="shared" si="246"/>
        <v>91.6</v>
      </c>
      <c r="AA181" s="265">
        <f t="shared" si="246"/>
        <v>22.8</v>
      </c>
      <c r="AB181" s="265">
        <f t="shared" si="246"/>
        <v>24.5</v>
      </c>
      <c r="AC181" s="265">
        <f t="shared" si="246"/>
        <v>22.6</v>
      </c>
      <c r="AD181" s="265">
        <f t="shared" si="246"/>
        <v>16.899999999999999</v>
      </c>
      <c r="AE181" s="264">
        <f t="shared" si="246"/>
        <v>86.799999999999983</v>
      </c>
      <c r="AF181" s="265">
        <f t="shared" si="246"/>
        <v>20</v>
      </c>
      <c r="AG181" s="265">
        <f t="shared" si="246"/>
        <v>24.19</v>
      </c>
      <c r="AH181" s="265">
        <f t="shared" si="246"/>
        <v>21.4</v>
      </c>
      <c r="AI181" s="265">
        <f t="shared" si="246"/>
        <v>20.2</v>
      </c>
      <c r="AJ181" s="264">
        <f t="shared" si="246"/>
        <v>85.79</v>
      </c>
      <c r="AK181" s="265">
        <f t="shared" ref="AK181:AT181" si="247">AK182+AK183</f>
        <v>20.9</v>
      </c>
      <c r="AL181" s="265">
        <f t="shared" si="247"/>
        <v>22.8</v>
      </c>
      <c r="AM181" s="265">
        <f t="shared" si="247"/>
        <v>23</v>
      </c>
      <c r="AN181" s="265">
        <f t="shared" si="247"/>
        <v>20.399999999999999</v>
      </c>
      <c r="AO181" s="703">
        <f t="shared" si="247"/>
        <v>87.1</v>
      </c>
      <c r="AP181" s="455">
        <f t="shared" si="247"/>
        <v>24.8</v>
      </c>
      <c r="AQ181" s="455">
        <f>AQ182+AQ183</f>
        <v>24.5</v>
      </c>
      <c r="AR181" s="455">
        <f t="shared" si="247"/>
        <v>25.3</v>
      </c>
      <c r="AS181" s="455">
        <f>AS182+AS183</f>
        <v>13.5</v>
      </c>
      <c r="AT181" s="703">
        <f t="shared" si="247"/>
        <v>88.1</v>
      </c>
      <c r="AU181" s="455">
        <f t="shared" ref="AU181:BH181" si="248">AU182+AU183</f>
        <v>19.5</v>
      </c>
      <c r="AV181" s="455">
        <f t="shared" si="248"/>
        <v>15.9</v>
      </c>
      <c r="AW181" s="455">
        <f t="shared" si="248"/>
        <v>16.399999999999999</v>
      </c>
      <c r="AX181" s="455">
        <f t="shared" si="248"/>
        <v>14.4</v>
      </c>
      <c r="AY181" s="703">
        <f t="shared" si="248"/>
        <v>66.2</v>
      </c>
      <c r="AZ181" s="455">
        <f t="shared" si="248"/>
        <v>18.100000000000001</v>
      </c>
      <c r="BA181" s="455">
        <f t="shared" si="248"/>
        <v>18.2</v>
      </c>
      <c r="BB181" s="455">
        <f t="shared" si="248"/>
        <v>19.399999999999999</v>
      </c>
      <c r="BC181" s="455">
        <f t="shared" si="248"/>
        <v>19.5</v>
      </c>
      <c r="BD181" s="703">
        <f t="shared" si="248"/>
        <v>75.199999999999989</v>
      </c>
      <c r="BE181" s="455">
        <f>BE182+BE183</f>
        <v>28.1</v>
      </c>
      <c r="BF181" s="455">
        <f t="shared" si="248"/>
        <v>25.5</v>
      </c>
      <c r="BG181" s="455">
        <f>BG182+BG183</f>
        <v>25.4</v>
      </c>
      <c r="BH181" s="455">
        <f t="shared" si="248"/>
        <v>20</v>
      </c>
      <c r="BI181" s="703">
        <f t="shared" ref="BI181:BX181" si="249">BI182+BI183</f>
        <v>99</v>
      </c>
      <c r="BJ181" s="455">
        <f t="shared" si="249"/>
        <v>28.4</v>
      </c>
      <c r="BK181" s="455">
        <f t="shared" si="249"/>
        <v>20.3</v>
      </c>
      <c r="BL181" s="455">
        <f t="shared" si="249"/>
        <v>22.3</v>
      </c>
      <c r="BM181" s="455">
        <f t="shared" si="249"/>
        <v>19.3</v>
      </c>
      <c r="BN181" s="703">
        <f t="shared" si="249"/>
        <v>90.3</v>
      </c>
      <c r="BO181" s="455">
        <f t="shared" si="249"/>
        <v>22.7</v>
      </c>
      <c r="BP181" s="455">
        <f t="shared" si="249"/>
        <v>24.3</v>
      </c>
      <c r="BQ181" s="455">
        <f t="shared" si="249"/>
        <v>23.5</v>
      </c>
      <c r="BR181" s="455">
        <f t="shared" si="249"/>
        <v>14.4</v>
      </c>
      <c r="BS181" s="703">
        <f t="shared" si="249"/>
        <v>84.9</v>
      </c>
      <c r="BT181" s="455">
        <f t="shared" si="249"/>
        <v>34.700000000000003</v>
      </c>
      <c r="BU181" s="455">
        <f t="shared" si="249"/>
        <v>17.399999999999999</v>
      </c>
      <c r="BV181" s="455">
        <f t="shared" si="249"/>
        <v>10.8</v>
      </c>
      <c r="BW181" s="455">
        <f t="shared" si="249"/>
        <v>13.8</v>
      </c>
      <c r="BX181" s="703">
        <f t="shared" si="249"/>
        <v>76.7</v>
      </c>
      <c r="BY181" s="866"/>
      <c r="BZ181" s="866"/>
      <c r="CA181" s="866"/>
      <c r="CB181" s="866"/>
      <c r="CC181" s="867"/>
      <c r="CD181" s="867"/>
      <c r="CE181" s="867"/>
      <c r="CF181" s="867"/>
      <c r="CG181" s="867"/>
      <c r="CH181" s="867"/>
      <c r="EX181" s="1261" t="s">
        <v>504</v>
      </c>
    </row>
    <row r="182" spans="1:154" s="14" customFormat="1" ht="12.75" customHeight="1">
      <c r="A182" s="9"/>
      <c r="B182" s="9"/>
      <c r="C182" s="9"/>
      <c r="D182" s="9"/>
      <c r="E182" s="9"/>
      <c r="F182" s="9"/>
      <c r="G182" s="9"/>
      <c r="H182" s="257" t="s">
        <v>231</v>
      </c>
      <c r="I182" s="257"/>
      <c r="J182" s="257"/>
      <c r="K182" s="257"/>
      <c r="L182" s="263">
        <v>27.3</v>
      </c>
      <c r="M182" s="263">
        <v>30.2</v>
      </c>
      <c r="N182" s="263">
        <v>26.5</v>
      </c>
      <c r="O182" s="263">
        <v>30.6</v>
      </c>
      <c r="P182" s="79">
        <v>114.6</v>
      </c>
      <c r="Q182" s="263">
        <v>20.8</v>
      </c>
      <c r="R182" s="263">
        <v>3.2</v>
      </c>
      <c r="S182" s="263">
        <v>0.8</v>
      </c>
      <c r="T182" s="263">
        <v>-0.4</v>
      </c>
      <c r="U182" s="79">
        <f>SUM(Q182:T182)</f>
        <v>24.400000000000002</v>
      </c>
      <c r="V182" s="263">
        <v>-0.3</v>
      </c>
      <c r="W182" s="263">
        <v>-0.2</v>
      </c>
      <c r="X182" s="263">
        <v>0</v>
      </c>
      <c r="Y182" s="263">
        <v>0</v>
      </c>
      <c r="Z182" s="79">
        <f>SUM(V182:Y182)</f>
        <v>-0.5</v>
      </c>
      <c r="AA182" s="263">
        <v>0.5</v>
      </c>
      <c r="AB182" s="263">
        <v>0</v>
      </c>
      <c r="AC182" s="263">
        <v>0.6</v>
      </c>
      <c r="AD182" s="263">
        <v>0</v>
      </c>
      <c r="AE182" s="79">
        <f>SUM(AA182:AD182)</f>
        <v>1.1000000000000001</v>
      </c>
      <c r="AF182" s="263">
        <v>0</v>
      </c>
      <c r="AG182" s="263">
        <v>0</v>
      </c>
      <c r="AH182" s="258"/>
      <c r="AI182" s="258"/>
      <c r="AJ182" s="79"/>
      <c r="AK182" s="258"/>
      <c r="AL182" s="258"/>
      <c r="AM182" s="258"/>
      <c r="AN182" s="258"/>
      <c r="AO182" s="870"/>
      <c r="AP182" s="871"/>
      <c r="AQ182" s="871"/>
      <c r="AR182" s="871"/>
      <c r="AS182" s="871"/>
      <c r="AT182" s="870"/>
      <c r="AU182" s="871"/>
      <c r="AV182" s="871"/>
      <c r="AW182" s="871"/>
      <c r="AX182" s="871"/>
      <c r="AY182" s="870"/>
      <c r="AZ182" s="871"/>
      <c r="BA182" s="871"/>
      <c r="BB182" s="871"/>
      <c r="BC182" s="871"/>
      <c r="BD182" s="870"/>
      <c r="BE182" s="871"/>
      <c r="BF182" s="871"/>
      <c r="BG182" s="871"/>
      <c r="BH182" s="871"/>
      <c r="BI182" s="870"/>
      <c r="BJ182" s="871"/>
      <c r="BK182" s="871"/>
      <c r="BL182" s="871"/>
      <c r="BM182" s="871"/>
      <c r="BN182" s="870"/>
      <c r="BO182" s="871"/>
      <c r="BP182" s="871"/>
      <c r="BQ182" s="871"/>
      <c r="BR182" s="871"/>
      <c r="BS182" s="870"/>
      <c r="BT182" s="871"/>
      <c r="BU182" s="871"/>
      <c r="BV182" s="871"/>
      <c r="BW182" s="871"/>
      <c r="BX182" s="870"/>
      <c r="BY182" s="871"/>
      <c r="BZ182" s="871"/>
      <c r="CA182" s="871"/>
      <c r="CB182" s="871"/>
      <c r="CC182" s="870"/>
      <c r="CD182" s="870"/>
      <c r="CE182" s="870"/>
      <c r="CF182" s="870"/>
      <c r="CG182" s="870"/>
      <c r="CH182" s="870"/>
      <c r="EX182" s="1261"/>
    </row>
    <row r="183" spans="1:154" s="14" customFormat="1" ht="12.75" customHeight="1">
      <c r="A183" s="9"/>
      <c r="B183" s="9"/>
      <c r="C183" s="9"/>
      <c r="D183" s="9"/>
      <c r="E183" s="9"/>
      <c r="F183" s="9"/>
      <c r="G183" s="9"/>
      <c r="H183" s="257" t="s">
        <v>232</v>
      </c>
      <c r="I183" s="257"/>
      <c r="J183" s="257"/>
      <c r="K183" s="257"/>
      <c r="L183" s="263">
        <v>26.7</v>
      </c>
      <c r="M183" s="263">
        <v>36.5</v>
      </c>
      <c r="N183" s="263">
        <v>33.700000000000003</v>
      </c>
      <c r="O183" s="263">
        <v>28</v>
      </c>
      <c r="P183" s="79">
        <v>124.9</v>
      </c>
      <c r="Q183" s="263">
        <v>25.2</v>
      </c>
      <c r="R183" s="263">
        <v>35.299999999999997</v>
      </c>
      <c r="S183" s="263">
        <v>24.3</v>
      </c>
      <c r="T183" s="263">
        <v>24.8</v>
      </c>
      <c r="U183" s="79">
        <f>SUM(Q183:T183)</f>
        <v>109.6</v>
      </c>
      <c r="V183" s="263">
        <v>24.9</v>
      </c>
      <c r="W183" s="263">
        <v>26.6</v>
      </c>
      <c r="X183" s="263">
        <v>19.3</v>
      </c>
      <c r="Y183" s="263">
        <v>21.3</v>
      </c>
      <c r="Z183" s="79">
        <f>SUM(V183:Y183)</f>
        <v>92.1</v>
      </c>
      <c r="AA183" s="263">
        <v>22.3</v>
      </c>
      <c r="AB183" s="263">
        <v>24.5</v>
      </c>
      <c r="AC183" s="263">
        <v>22</v>
      </c>
      <c r="AD183" s="263">
        <v>16.899999999999999</v>
      </c>
      <c r="AE183" s="79">
        <f>SUM(AA183:AD183)</f>
        <v>85.699999999999989</v>
      </c>
      <c r="AF183" s="263">
        <v>20</v>
      </c>
      <c r="AG183" s="263">
        <v>24.19</v>
      </c>
      <c r="AH183" s="263">
        <v>21.4</v>
      </c>
      <c r="AI183" s="263">
        <v>20.2</v>
      </c>
      <c r="AJ183" s="79">
        <f>SUM(AF183:AI183)</f>
        <v>85.79</v>
      </c>
      <c r="AK183" s="263">
        <v>20.9</v>
      </c>
      <c r="AL183" s="263">
        <v>22.8</v>
      </c>
      <c r="AM183" s="263">
        <v>23</v>
      </c>
      <c r="AN183" s="263">
        <v>20.399999999999999</v>
      </c>
      <c r="AO183" s="410">
        <f>SUM(AK183:AN183)</f>
        <v>87.1</v>
      </c>
      <c r="AP183" s="391">
        <v>24.8</v>
      </c>
      <c r="AQ183" s="391">
        <v>24.5</v>
      </c>
      <c r="AR183" s="391">
        <v>25.3</v>
      </c>
      <c r="AS183" s="391">
        <v>13.5</v>
      </c>
      <c r="AT183" s="410">
        <f>SUM(AP183:AS183)</f>
        <v>88.1</v>
      </c>
      <c r="AU183" s="391">
        <v>19.5</v>
      </c>
      <c r="AV183" s="391">
        <v>15.9</v>
      </c>
      <c r="AW183" s="391">
        <v>16.399999999999999</v>
      </c>
      <c r="AX183" s="391">
        <v>14.4</v>
      </c>
      <c r="AY183" s="410">
        <f>SUM(AU183:AX183)</f>
        <v>66.2</v>
      </c>
      <c r="AZ183" s="391">
        <v>18.100000000000001</v>
      </c>
      <c r="BA183" s="391">
        <v>18.2</v>
      </c>
      <c r="BB183" s="391">
        <v>19.399999999999999</v>
      </c>
      <c r="BC183" s="391">
        <v>19.5</v>
      </c>
      <c r="BD183" s="699">
        <f>SUM(AZ183:BC183)</f>
        <v>75.199999999999989</v>
      </c>
      <c r="BE183" s="391">
        <v>28.1</v>
      </c>
      <c r="BF183" s="391">
        <v>25.5</v>
      </c>
      <c r="BG183" s="391">
        <v>25.4</v>
      </c>
      <c r="BH183" s="391">
        <v>20</v>
      </c>
      <c r="BI183" s="410">
        <f>SUM(BE183:BH183)</f>
        <v>99</v>
      </c>
      <c r="BJ183" s="391">
        <v>28.4</v>
      </c>
      <c r="BK183" s="391">
        <v>20.3</v>
      </c>
      <c r="BL183" s="391">
        <v>22.3</v>
      </c>
      <c r="BM183" s="391">
        <v>19.3</v>
      </c>
      <c r="BN183" s="410">
        <f>SUM(BJ183:BM183)</f>
        <v>90.3</v>
      </c>
      <c r="BO183" s="391">
        <v>22.7</v>
      </c>
      <c r="BP183" s="391">
        <v>24.3</v>
      </c>
      <c r="BQ183" s="391">
        <v>23.5</v>
      </c>
      <c r="BR183" s="391">
        <v>14.4</v>
      </c>
      <c r="BS183" s="410">
        <f>SUM(BO183:BR183)</f>
        <v>84.9</v>
      </c>
      <c r="BT183" s="391">
        <v>34.700000000000003</v>
      </c>
      <c r="BU183" s="1068">
        <v>17.399999999999999</v>
      </c>
      <c r="BV183" s="1068">
        <v>10.8</v>
      </c>
      <c r="BW183" s="1068">
        <v>13.8</v>
      </c>
      <c r="BX183" s="410">
        <f>SUM(BT183:BW183)</f>
        <v>76.7</v>
      </c>
      <c r="BY183" s="871"/>
      <c r="BZ183" s="871"/>
      <c r="CA183" s="871"/>
      <c r="CB183" s="871"/>
      <c r="CC183" s="870"/>
      <c r="CD183" s="870"/>
      <c r="CE183" s="870"/>
      <c r="CF183" s="870"/>
      <c r="CG183" s="870"/>
      <c r="CH183" s="870"/>
      <c r="EX183" s="1261"/>
    </row>
    <row r="184" spans="1:154" s="15" customFormat="1">
      <c r="A184" s="9"/>
      <c r="B184" s="9"/>
      <c r="C184" s="9"/>
      <c r="D184" s="9"/>
      <c r="E184" s="9"/>
      <c r="F184" s="9"/>
      <c r="G184" s="9"/>
      <c r="H184" s="266" t="s">
        <v>298</v>
      </c>
      <c r="I184" s="266"/>
      <c r="J184" s="266"/>
      <c r="K184" s="266"/>
      <c r="L184" s="265">
        <v>6.6</v>
      </c>
      <c r="M184" s="265">
        <v>3.9</v>
      </c>
      <c r="N184" s="265">
        <v>5.0999999999999996</v>
      </c>
      <c r="O184" s="265">
        <v>9.6999999999999993</v>
      </c>
      <c r="P184" s="266">
        <v>25.3</v>
      </c>
      <c r="Q184" s="265">
        <f t="shared" ref="Q184:AJ184" si="250">Q185+Q186</f>
        <v>20</v>
      </c>
      <c r="R184" s="265">
        <f t="shared" si="250"/>
        <v>13.9</v>
      </c>
      <c r="S184" s="265">
        <f t="shared" si="250"/>
        <v>13.4</v>
      </c>
      <c r="T184" s="265">
        <f t="shared" si="250"/>
        <v>18.899999999999999</v>
      </c>
      <c r="U184" s="266">
        <f t="shared" si="250"/>
        <v>66.2</v>
      </c>
      <c r="V184" s="265">
        <f t="shared" si="250"/>
        <v>16.8</v>
      </c>
      <c r="W184" s="265">
        <f t="shared" si="250"/>
        <v>15.1</v>
      </c>
      <c r="X184" s="265">
        <f t="shared" si="250"/>
        <v>17.099999999999998</v>
      </c>
      <c r="Y184" s="265">
        <f t="shared" si="250"/>
        <v>19.399999999999999</v>
      </c>
      <c r="Z184" s="266">
        <f t="shared" si="250"/>
        <v>68.399999999999991</v>
      </c>
      <c r="AA184" s="265">
        <f t="shared" si="250"/>
        <v>14.3</v>
      </c>
      <c r="AB184" s="265">
        <f t="shared" si="250"/>
        <v>13</v>
      </c>
      <c r="AC184" s="265">
        <f t="shared" si="250"/>
        <v>15.600000000000001</v>
      </c>
      <c r="AD184" s="265">
        <f t="shared" si="250"/>
        <v>13.8</v>
      </c>
      <c r="AE184" s="266">
        <f t="shared" si="250"/>
        <v>56.699999999999996</v>
      </c>
      <c r="AF184" s="265">
        <f t="shared" si="250"/>
        <v>8.9</v>
      </c>
      <c r="AG184" s="265">
        <f t="shared" si="250"/>
        <v>7.6899999999999995</v>
      </c>
      <c r="AH184" s="265">
        <f t="shared" si="250"/>
        <v>8.3000000000000007</v>
      </c>
      <c r="AI184" s="265">
        <f t="shared" si="250"/>
        <v>8.6</v>
      </c>
      <c r="AJ184" s="266">
        <f t="shared" si="250"/>
        <v>33.49</v>
      </c>
      <c r="AK184" s="265">
        <f t="shared" ref="AK184:AT184" si="251">AK185+AK186</f>
        <v>7.3</v>
      </c>
      <c r="AL184" s="265">
        <f t="shared" si="251"/>
        <v>4.6000000000000005</v>
      </c>
      <c r="AM184" s="265">
        <f t="shared" si="251"/>
        <v>6.1000000000000005</v>
      </c>
      <c r="AN184" s="265">
        <f t="shared" si="251"/>
        <v>7.3</v>
      </c>
      <c r="AO184" s="703">
        <f t="shared" si="251"/>
        <v>25.3</v>
      </c>
      <c r="AP184" s="455">
        <f t="shared" si="251"/>
        <v>6.7</v>
      </c>
      <c r="AQ184" s="455">
        <f>AQ185+AQ186</f>
        <v>5.4</v>
      </c>
      <c r="AR184" s="455">
        <f t="shared" si="251"/>
        <v>4.2</v>
      </c>
      <c r="AS184" s="455">
        <f>AS185+AS186</f>
        <v>4</v>
      </c>
      <c r="AT184" s="703">
        <f t="shared" si="251"/>
        <v>20.3</v>
      </c>
      <c r="AU184" s="455">
        <f t="shared" ref="AU184:BF184" si="252">AU185+AU186</f>
        <v>54.6</v>
      </c>
      <c r="AV184" s="455">
        <f t="shared" si="252"/>
        <v>50.1</v>
      </c>
      <c r="AW184" s="455">
        <f t="shared" si="252"/>
        <v>42.2</v>
      </c>
      <c r="AX184" s="455">
        <f t="shared" si="252"/>
        <v>48.300000000000004</v>
      </c>
      <c r="AY184" s="703">
        <f t="shared" si="252"/>
        <v>195.2</v>
      </c>
      <c r="AZ184" s="455">
        <f t="shared" si="252"/>
        <v>52.900000000000006</v>
      </c>
      <c r="BA184" s="455">
        <f t="shared" si="252"/>
        <v>39.799999999999997</v>
      </c>
      <c r="BB184" s="455">
        <f t="shared" si="252"/>
        <v>42.7</v>
      </c>
      <c r="BC184" s="455">
        <f t="shared" si="252"/>
        <v>38.799999999999997</v>
      </c>
      <c r="BD184" s="703">
        <f t="shared" si="252"/>
        <v>174.2</v>
      </c>
      <c r="BE184" s="455">
        <f>BE185+BE186</f>
        <v>46.900000000000006</v>
      </c>
      <c r="BF184" s="455">
        <f t="shared" si="252"/>
        <v>51.9</v>
      </c>
      <c r="BG184" s="455">
        <f t="shared" ref="BG184:CH184" si="253">BG185+BG186</f>
        <v>47.7</v>
      </c>
      <c r="BH184" s="455">
        <f t="shared" si="253"/>
        <v>41.300000000000004</v>
      </c>
      <c r="BI184" s="703">
        <f t="shared" si="253"/>
        <v>187.8</v>
      </c>
      <c r="BJ184" s="455">
        <f t="shared" si="253"/>
        <v>40.700000000000003</v>
      </c>
      <c r="BK184" s="455">
        <f t="shared" si="253"/>
        <v>30</v>
      </c>
      <c r="BL184" s="455">
        <f t="shared" si="253"/>
        <v>26.5</v>
      </c>
      <c r="BM184" s="455">
        <f t="shared" si="253"/>
        <v>40</v>
      </c>
      <c r="BN184" s="703">
        <f t="shared" si="253"/>
        <v>137.19999999999999</v>
      </c>
      <c r="BO184" s="455">
        <f t="shared" si="253"/>
        <v>38.699999999999996</v>
      </c>
      <c r="BP184" s="455">
        <f t="shared" si="253"/>
        <v>27.5</v>
      </c>
      <c r="BQ184" s="455">
        <f t="shared" si="253"/>
        <v>24.4</v>
      </c>
      <c r="BR184" s="455">
        <f t="shared" si="253"/>
        <v>25</v>
      </c>
      <c r="BS184" s="703">
        <f t="shared" si="253"/>
        <v>115.6</v>
      </c>
      <c r="BT184" s="455">
        <f t="shared" si="253"/>
        <v>39.099999999999994</v>
      </c>
      <c r="BU184" s="455">
        <f t="shared" si="253"/>
        <v>32.299999999999997</v>
      </c>
      <c r="BV184" s="455">
        <f t="shared" si="253"/>
        <v>50.2</v>
      </c>
      <c r="BW184" s="455">
        <f t="shared" si="253"/>
        <v>43</v>
      </c>
      <c r="BX184" s="703">
        <f t="shared" si="253"/>
        <v>164.60000000000002</v>
      </c>
      <c r="BY184" s="455">
        <f t="shared" si="253"/>
        <v>70.5</v>
      </c>
      <c r="BZ184" s="455">
        <f t="shared" si="253"/>
        <v>59.45</v>
      </c>
      <c r="CA184" s="455">
        <f t="shared" si="253"/>
        <v>59.540000000000013</v>
      </c>
      <c r="CB184" s="455">
        <f t="shared" si="253"/>
        <v>56.400000000000006</v>
      </c>
      <c r="CC184" s="703">
        <f t="shared" si="253"/>
        <v>245.89</v>
      </c>
      <c r="CD184" s="703">
        <f t="shared" si="253"/>
        <v>233.59549999999999</v>
      </c>
      <c r="CE184" s="703">
        <f t="shared" si="253"/>
        <v>221.91572499999998</v>
      </c>
      <c r="CF184" s="703">
        <f t="shared" si="253"/>
        <v>210.81993874999995</v>
      </c>
      <c r="CG184" s="703">
        <f t="shared" si="253"/>
        <v>200.27894181249997</v>
      </c>
      <c r="CH184" s="703">
        <f t="shared" si="253"/>
        <v>190.26499472187496</v>
      </c>
      <c r="EX184" s="1261" t="s">
        <v>298</v>
      </c>
    </row>
    <row r="185" spans="1:154">
      <c r="A185" s="9"/>
      <c r="B185" s="9"/>
      <c r="C185" s="9"/>
      <c r="D185" s="9"/>
      <c r="E185" s="9"/>
      <c r="F185" s="9"/>
      <c r="G185" s="9"/>
      <c r="H185" s="257" t="s">
        <v>231</v>
      </c>
      <c r="I185" s="257"/>
      <c r="J185" s="257"/>
      <c r="K185" s="257"/>
      <c r="L185" s="263">
        <v>0.3</v>
      </c>
      <c r="M185" s="263">
        <v>0.3</v>
      </c>
      <c r="N185" s="263">
        <v>0.4</v>
      </c>
      <c r="O185" s="263">
        <v>0.3</v>
      </c>
      <c r="P185" s="79">
        <v>1.3</v>
      </c>
      <c r="Q185" s="263">
        <v>0</v>
      </c>
      <c r="R185" s="263">
        <v>0.3</v>
      </c>
      <c r="S185" s="263">
        <v>0.25</v>
      </c>
      <c r="T185" s="263">
        <v>0.2</v>
      </c>
      <c r="U185" s="79">
        <f>SUM(Q185:T185)</f>
        <v>0.75</v>
      </c>
      <c r="V185" s="263">
        <v>0.1</v>
      </c>
      <c r="W185" s="263">
        <v>0.5</v>
      </c>
      <c r="X185" s="263">
        <v>0.2</v>
      </c>
      <c r="Y185" s="263">
        <v>1.9</v>
      </c>
      <c r="Z185" s="79">
        <f>SUM(V185:Y185)</f>
        <v>2.7</v>
      </c>
      <c r="AA185" s="263">
        <v>0</v>
      </c>
      <c r="AB185" s="263">
        <v>0.1</v>
      </c>
      <c r="AC185" s="263">
        <v>0.3</v>
      </c>
      <c r="AD185" s="263">
        <v>0.4</v>
      </c>
      <c r="AE185" s="79">
        <f>SUM(AA185:AD185)</f>
        <v>0.8</v>
      </c>
      <c r="AF185" s="263">
        <v>0.1</v>
      </c>
      <c r="AG185" s="263">
        <v>0.1</v>
      </c>
      <c r="AH185" s="263">
        <v>0.5</v>
      </c>
      <c r="AI185" s="263">
        <v>0</v>
      </c>
      <c r="AJ185" s="79">
        <f>SUM(AF185:AI185)</f>
        <v>0.7</v>
      </c>
      <c r="AK185" s="263">
        <v>0</v>
      </c>
      <c r="AL185" s="263">
        <v>-0.1</v>
      </c>
      <c r="AM185" s="263">
        <v>0.2</v>
      </c>
      <c r="AN185" s="263">
        <v>0</v>
      </c>
      <c r="AO185" s="410">
        <f>SUM(AK185:AN185)</f>
        <v>0.1</v>
      </c>
      <c r="AP185" s="391">
        <v>0</v>
      </c>
      <c r="AQ185" s="391">
        <v>0</v>
      </c>
      <c r="AR185" s="391">
        <v>0</v>
      </c>
      <c r="AS185" s="391">
        <v>0</v>
      </c>
      <c r="AT185" s="410">
        <f>SUM(AP185:AS185)</f>
        <v>0</v>
      </c>
      <c r="AU185" s="392">
        <f t="shared" ref="AU185:AX186" si="254">AU179-AU182</f>
        <v>36.1</v>
      </c>
      <c r="AV185" s="392">
        <f t="shared" si="254"/>
        <v>28.4</v>
      </c>
      <c r="AW185" s="392">
        <f t="shared" si="254"/>
        <v>25.5</v>
      </c>
      <c r="AX185" s="392">
        <f t="shared" si="254"/>
        <v>21.1</v>
      </c>
      <c r="AY185" s="410">
        <f>SUM(AU185:AX185)</f>
        <v>111.1</v>
      </c>
      <c r="AZ185" s="392">
        <f t="shared" ref="AZ185:BB186" si="255">AZ179-AZ182</f>
        <v>28.8</v>
      </c>
      <c r="BA185" s="392">
        <f t="shared" si="255"/>
        <v>23</v>
      </c>
      <c r="BB185" s="392">
        <f t="shared" si="255"/>
        <v>25.2</v>
      </c>
      <c r="BC185" s="392">
        <f>BC179-BC182</f>
        <v>13.2</v>
      </c>
      <c r="BD185" s="699">
        <f>SUM(AZ185:BC185)</f>
        <v>90.2</v>
      </c>
      <c r="BE185" s="392">
        <f t="shared" ref="BE185:BG186" si="256">BE179-BE182</f>
        <v>20.8</v>
      </c>
      <c r="BF185" s="392">
        <f t="shared" si="256"/>
        <v>30.9</v>
      </c>
      <c r="BG185" s="392">
        <f>BG179-BG182</f>
        <v>29.6</v>
      </c>
      <c r="BH185" s="392">
        <f>BH179-BH182</f>
        <v>14.1</v>
      </c>
      <c r="BI185" s="410">
        <f>SUM(BE185:BH185)</f>
        <v>95.4</v>
      </c>
      <c r="BJ185" s="392">
        <f t="shared" ref="BJ185:BL186" si="257">BJ179-BJ182</f>
        <v>13.5</v>
      </c>
      <c r="BK185" s="392">
        <f t="shared" si="257"/>
        <v>13.6</v>
      </c>
      <c r="BL185" s="392">
        <f t="shared" si="257"/>
        <v>11.7</v>
      </c>
      <c r="BM185" s="392">
        <f>BM179-BM182</f>
        <v>16.8</v>
      </c>
      <c r="BN185" s="410">
        <f>SUM(BJ185:BM185)</f>
        <v>55.599999999999994</v>
      </c>
      <c r="BO185" s="392">
        <f t="shared" ref="BO185:BR186" si="258">BO179-BO182</f>
        <v>13.1</v>
      </c>
      <c r="BP185" s="392">
        <f t="shared" si="258"/>
        <v>11.3</v>
      </c>
      <c r="BQ185" s="392">
        <f t="shared" si="258"/>
        <v>11</v>
      </c>
      <c r="BR185" s="392">
        <f t="shared" si="258"/>
        <v>7.4</v>
      </c>
      <c r="BS185" s="410">
        <f>SUM(BO185:BR185)</f>
        <v>42.8</v>
      </c>
      <c r="BT185" s="392">
        <f t="shared" ref="BT185:BW186" si="259">BT179-BT182</f>
        <v>13.7</v>
      </c>
      <c r="BU185" s="392">
        <f t="shared" si="259"/>
        <v>10.3</v>
      </c>
      <c r="BV185" s="392">
        <f t="shared" si="259"/>
        <v>10.8</v>
      </c>
      <c r="BW185" s="392">
        <f t="shared" si="259"/>
        <v>16.2</v>
      </c>
      <c r="BX185" s="410">
        <f>SUM(BT185:BW185)</f>
        <v>51</v>
      </c>
      <c r="BY185" s="392">
        <f>BY179-BY182</f>
        <v>20.9</v>
      </c>
      <c r="BZ185" s="383">
        <f t="shared" ref="BZ185:CB186" si="260">BU185*(1+BZ415)</f>
        <v>15.450000000000001</v>
      </c>
      <c r="CA185" s="383">
        <f t="shared" si="260"/>
        <v>16.200000000000003</v>
      </c>
      <c r="CB185" s="383">
        <f t="shared" si="260"/>
        <v>16.2</v>
      </c>
      <c r="CC185" s="410">
        <f>SUM(BY185:CB185)</f>
        <v>68.75</v>
      </c>
      <c r="CD185" s="410">
        <f t="shared" ref="CD185:CH186" si="261">CC185*(1+CD415)</f>
        <v>65.3125</v>
      </c>
      <c r="CE185" s="410">
        <f t="shared" si="261"/>
        <v>62.046875</v>
      </c>
      <c r="CF185" s="410">
        <f t="shared" si="261"/>
        <v>58.944531249999997</v>
      </c>
      <c r="CG185" s="410">
        <f t="shared" si="261"/>
        <v>55.997304687499998</v>
      </c>
      <c r="CH185" s="410">
        <f t="shared" si="261"/>
        <v>53.197439453124993</v>
      </c>
      <c r="EX185" s="1261"/>
    </row>
    <row r="186" spans="1:154">
      <c r="A186" s="9"/>
      <c r="B186" s="9"/>
      <c r="C186" s="9"/>
      <c r="D186" s="9"/>
      <c r="E186" s="9"/>
      <c r="F186" s="9"/>
      <c r="G186" s="9"/>
      <c r="H186" s="257" t="s">
        <v>232</v>
      </c>
      <c r="I186" s="257"/>
      <c r="J186" s="257"/>
      <c r="K186" s="257"/>
      <c r="L186" s="263">
        <v>6.3</v>
      </c>
      <c r="M186" s="263">
        <v>3.6</v>
      </c>
      <c r="N186" s="263">
        <v>4.7</v>
      </c>
      <c r="O186" s="263">
        <v>9.4</v>
      </c>
      <c r="P186" s="79">
        <v>24</v>
      </c>
      <c r="Q186" s="263">
        <v>20</v>
      </c>
      <c r="R186" s="263">
        <v>13.6</v>
      </c>
      <c r="S186" s="263">
        <v>13.15</v>
      </c>
      <c r="T186" s="263">
        <v>18.7</v>
      </c>
      <c r="U186" s="79">
        <f>SUM(Q186:T186)</f>
        <v>65.45</v>
      </c>
      <c r="V186" s="263">
        <v>16.7</v>
      </c>
      <c r="W186" s="263">
        <v>14.6</v>
      </c>
      <c r="X186" s="263">
        <v>16.899999999999999</v>
      </c>
      <c r="Y186" s="263">
        <v>17.5</v>
      </c>
      <c r="Z186" s="79">
        <f>SUM(V186:Y186)</f>
        <v>65.699999999999989</v>
      </c>
      <c r="AA186" s="263">
        <v>14.3</v>
      </c>
      <c r="AB186" s="263">
        <v>12.9</v>
      </c>
      <c r="AC186" s="263">
        <v>15.3</v>
      </c>
      <c r="AD186" s="263">
        <v>13.4</v>
      </c>
      <c r="AE186" s="79">
        <f>SUM(AA186:AD186)</f>
        <v>55.9</v>
      </c>
      <c r="AF186" s="263">
        <v>8.8000000000000007</v>
      </c>
      <c r="AG186" s="263">
        <v>7.59</v>
      </c>
      <c r="AH186" s="263">
        <v>7.8</v>
      </c>
      <c r="AI186" s="263">
        <v>8.6</v>
      </c>
      <c r="AJ186" s="79">
        <f>SUM(AF186:AI186)</f>
        <v>32.79</v>
      </c>
      <c r="AK186" s="263">
        <v>7.3</v>
      </c>
      <c r="AL186" s="263">
        <v>4.7</v>
      </c>
      <c r="AM186" s="263">
        <v>5.9</v>
      </c>
      <c r="AN186" s="263">
        <v>7.3</v>
      </c>
      <c r="AO186" s="410">
        <f>SUM(AK186:AN186)</f>
        <v>25.2</v>
      </c>
      <c r="AP186" s="391">
        <v>6.7</v>
      </c>
      <c r="AQ186" s="391">
        <v>5.4</v>
      </c>
      <c r="AR186" s="391">
        <v>4.2</v>
      </c>
      <c r="AS186" s="391">
        <v>4</v>
      </c>
      <c r="AT186" s="410">
        <f>SUM(AP186:AS186)</f>
        <v>20.3</v>
      </c>
      <c r="AU186" s="392">
        <f t="shared" si="254"/>
        <v>18.5</v>
      </c>
      <c r="AV186" s="392">
        <f t="shared" si="254"/>
        <v>21.700000000000003</v>
      </c>
      <c r="AW186" s="392">
        <f t="shared" si="254"/>
        <v>16.700000000000003</v>
      </c>
      <c r="AX186" s="392">
        <f t="shared" si="254"/>
        <v>27.200000000000003</v>
      </c>
      <c r="AY186" s="410">
        <f>SUM(AU186:AX186)</f>
        <v>84.100000000000009</v>
      </c>
      <c r="AZ186" s="392">
        <f t="shared" si="255"/>
        <v>24.1</v>
      </c>
      <c r="BA186" s="392">
        <f t="shared" si="255"/>
        <v>16.8</v>
      </c>
      <c r="BB186" s="392">
        <f t="shared" si="255"/>
        <v>17.5</v>
      </c>
      <c r="BC186" s="392">
        <f>BC180-BC183</f>
        <v>25.6</v>
      </c>
      <c r="BD186" s="699">
        <f>SUM(AZ186:BC186)</f>
        <v>84</v>
      </c>
      <c r="BE186" s="392">
        <f t="shared" si="256"/>
        <v>26.1</v>
      </c>
      <c r="BF186" s="392">
        <f t="shared" si="256"/>
        <v>21</v>
      </c>
      <c r="BG186" s="392">
        <f t="shared" si="256"/>
        <v>18.100000000000001</v>
      </c>
      <c r="BH186" s="392">
        <f>BH180-BH183</f>
        <v>27.200000000000003</v>
      </c>
      <c r="BI186" s="410">
        <f>SUM(BE186:BH186)</f>
        <v>92.4</v>
      </c>
      <c r="BJ186" s="392">
        <f t="shared" si="257"/>
        <v>27.200000000000003</v>
      </c>
      <c r="BK186" s="392">
        <f t="shared" si="257"/>
        <v>16.400000000000002</v>
      </c>
      <c r="BL186" s="392">
        <f t="shared" si="257"/>
        <v>14.8</v>
      </c>
      <c r="BM186" s="392">
        <f>BM180-BM183</f>
        <v>23.2</v>
      </c>
      <c r="BN186" s="410">
        <f>SUM(BJ186:BM186)</f>
        <v>81.600000000000009</v>
      </c>
      <c r="BO186" s="392">
        <f t="shared" si="258"/>
        <v>25.599999999999998</v>
      </c>
      <c r="BP186" s="392">
        <f t="shared" si="258"/>
        <v>16.2</v>
      </c>
      <c r="BQ186" s="392">
        <f t="shared" si="258"/>
        <v>13.399999999999999</v>
      </c>
      <c r="BR186" s="392">
        <f t="shared" si="258"/>
        <v>17.600000000000001</v>
      </c>
      <c r="BS186" s="410">
        <f>SUM(BO186:BR186)</f>
        <v>72.8</v>
      </c>
      <c r="BT186" s="392">
        <f t="shared" si="259"/>
        <v>25.4</v>
      </c>
      <c r="BU186" s="392">
        <f t="shared" si="259"/>
        <v>22</v>
      </c>
      <c r="BV186" s="392">
        <f t="shared" si="259"/>
        <v>39.400000000000006</v>
      </c>
      <c r="BW186" s="392">
        <f t="shared" si="259"/>
        <v>26.8</v>
      </c>
      <c r="BX186" s="410">
        <f>SUM(BT186:BW186)</f>
        <v>113.60000000000001</v>
      </c>
      <c r="BY186" s="392">
        <f>BY180-BY183</f>
        <v>49.6</v>
      </c>
      <c r="BZ186" s="383">
        <f t="shared" si="260"/>
        <v>44</v>
      </c>
      <c r="CA186" s="383">
        <f t="shared" si="260"/>
        <v>43.340000000000011</v>
      </c>
      <c r="CB186" s="383">
        <f t="shared" si="260"/>
        <v>40.200000000000003</v>
      </c>
      <c r="CC186" s="410">
        <f>SUM(BY186:CB186)</f>
        <v>177.14</v>
      </c>
      <c r="CD186" s="410">
        <f t="shared" si="261"/>
        <v>168.28299999999999</v>
      </c>
      <c r="CE186" s="410">
        <f t="shared" si="261"/>
        <v>159.86884999999998</v>
      </c>
      <c r="CF186" s="410">
        <f t="shared" si="261"/>
        <v>151.87540749999997</v>
      </c>
      <c r="CG186" s="410">
        <f t="shared" si="261"/>
        <v>144.28163712499997</v>
      </c>
      <c r="CH186" s="410">
        <f t="shared" si="261"/>
        <v>137.06755526874997</v>
      </c>
      <c r="EX186" s="1261"/>
    </row>
    <row r="187" spans="1:154" s="15" customFormat="1" ht="12.75" hidden="1" customHeight="1" collapsed="1">
      <c r="A187" s="9"/>
      <c r="B187" s="9"/>
      <c r="C187" s="9"/>
      <c r="D187" s="9"/>
      <c r="E187" s="9"/>
      <c r="F187" s="9"/>
      <c r="G187" s="9"/>
      <c r="H187" s="304" t="s">
        <v>503</v>
      </c>
      <c r="I187" s="304"/>
      <c r="J187" s="264"/>
      <c r="K187" s="264"/>
      <c r="L187" s="265">
        <v>33.1</v>
      </c>
      <c r="M187" s="265">
        <v>26.4</v>
      </c>
      <c r="N187" s="265">
        <v>26.9</v>
      </c>
      <c r="O187" s="265">
        <v>31.4</v>
      </c>
      <c r="P187" s="264">
        <v>117.8</v>
      </c>
      <c r="Q187" s="265">
        <f t="shared" ref="Q187:AJ187" si="262">Q188+Q189</f>
        <v>21.9</v>
      </c>
      <c r="R187" s="265">
        <f t="shared" si="262"/>
        <v>17.3</v>
      </c>
      <c r="S187" s="265">
        <f t="shared" si="262"/>
        <v>20</v>
      </c>
      <c r="T187" s="265">
        <f t="shared" si="262"/>
        <v>15.3</v>
      </c>
      <c r="U187" s="264">
        <f t="shared" si="262"/>
        <v>74.5</v>
      </c>
      <c r="V187" s="265">
        <f t="shared" si="262"/>
        <v>16.599999999999998</v>
      </c>
      <c r="W187" s="265">
        <f t="shared" si="262"/>
        <v>12.2</v>
      </c>
      <c r="X187" s="265">
        <f t="shared" si="262"/>
        <v>17</v>
      </c>
      <c r="Y187" s="265">
        <f t="shared" si="262"/>
        <v>16.2</v>
      </c>
      <c r="Z187" s="264">
        <f t="shared" si="262"/>
        <v>62.2</v>
      </c>
      <c r="AA187" s="265">
        <f t="shared" si="262"/>
        <v>14.6</v>
      </c>
      <c r="AB187" s="265">
        <f t="shared" si="262"/>
        <v>15.7</v>
      </c>
      <c r="AC187" s="265">
        <f t="shared" si="262"/>
        <v>17.3</v>
      </c>
      <c r="AD187" s="265">
        <f t="shared" si="262"/>
        <v>15.6</v>
      </c>
      <c r="AE187" s="264">
        <f t="shared" si="262"/>
        <v>63.199999999999996</v>
      </c>
      <c r="AF187" s="265">
        <f t="shared" si="262"/>
        <v>14</v>
      </c>
      <c r="AG187" s="265">
        <f t="shared" si="262"/>
        <v>12.89</v>
      </c>
      <c r="AH187" s="265">
        <f t="shared" si="262"/>
        <v>14.7</v>
      </c>
      <c r="AI187" s="265">
        <f t="shared" si="262"/>
        <v>14.8</v>
      </c>
      <c r="AJ187" s="264">
        <f t="shared" si="262"/>
        <v>56.39</v>
      </c>
      <c r="AK187" s="265">
        <f t="shared" ref="AK187:AT187" si="263">AK188+AK189</f>
        <v>13.3</v>
      </c>
      <c r="AL187" s="265">
        <f t="shared" si="263"/>
        <v>14.7</v>
      </c>
      <c r="AM187" s="265">
        <f t="shared" si="263"/>
        <v>10.9</v>
      </c>
      <c r="AN187" s="265">
        <f t="shared" si="263"/>
        <v>14.5</v>
      </c>
      <c r="AO187" s="703">
        <f t="shared" si="263"/>
        <v>53.4</v>
      </c>
      <c r="AP187" s="455">
        <f t="shared" si="263"/>
        <v>13</v>
      </c>
      <c r="AQ187" s="455">
        <f>AQ188+AQ189</f>
        <v>15.3</v>
      </c>
      <c r="AR187" s="455">
        <f t="shared" si="263"/>
        <v>10.8</v>
      </c>
      <c r="AS187" s="455">
        <f t="shared" si="263"/>
        <v>13.5</v>
      </c>
      <c r="AT187" s="703">
        <f t="shared" si="263"/>
        <v>52.6</v>
      </c>
      <c r="AU187" s="455">
        <f>AU188+AU189</f>
        <v>19.3</v>
      </c>
      <c r="AV187" s="455">
        <f>AV188+AV189</f>
        <v>11.5</v>
      </c>
      <c r="AW187" s="455">
        <f>AW188+AW189</f>
        <v>10.6</v>
      </c>
      <c r="AX187" s="455">
        <f>AX188+AX189</f>
        <v>14</v>
      </c>
      <c r="AY187" s="703">
        <f>AY188+AY189</f>
        <v>55.4</v>
      </c>
      <c r="AZ187" s="866"/>
      <c r="BA187" s="866"/>
      <c r="BB187" s="866"/>
      <c r="BC187" s="866"/>
      <c r="BD187" s="867"/>
      <c r="BE187" s="455"/>
      <c r="BF187" s="455"/>
      <c r="BG187" s="455"/>
      <c r="BH187" s="455"/>
      <c r="BI187" s="867"/>
      <c r="BJ187" s="455"/>
      <c r="BK187" s="455"/>
      <c r="BL187" s="455"/>
      <c r="BM187" s="455"/>
      <c r="BN187" s="867"/>
      <c r="BO187" s="455"/>
      <c r="BP187" s="455"/>
      <c r="BQ187" s="455"/>
      <c r="BR187" s="455"/>
      <c r="BS187" s="867"/>
      <c r="BT187" s="455"/>
      <c r="BU187" s="455"/>
      <c r="BV187" s="455"/>
      <c r="BW187" s="455"/>
      <c r="BX187" s="867"/>
      <c r="BY187" s="455"/>
      <c r="BZ187" s="455"/>
      <c r="CA187" s="455"/>
      <c r="CB187" s="455"/>
      <c r="CC187" s="867"/>
      <c r="CD187" s="867"/>
      <c r="CE187" s="867"/>
      <c r="CF187" s="867"/>
      <c r="CG187" s="867"/>
      <c r="CH187" s="867"/>
      <c r="EX187" s="1261"/>
    </row>
    <row r="188" spans="1:154" ht="12.75" hidden="1" customHeight="1">
      <c r="A188" s="9"/>
      <c r="B188" s="9"/>
      <c r="C188" s="9"/>
      <c r="D188" s="9"/>
      <c r="E188" s="9"/>
      <c r="F188" s="9"/>
      <c r="G188" s="9"/>
      <c r="H188" s="279" t="s">
        <v>231</v>
      </c>
      <c r="I188" s="279"/>
      <c r="J188" s="79"/>
      <c r="K188" s="79"/>
      <c r="L188" s="263">
        <v>0</v>
      </c>
      <c r="M188" s="263"/>
      <c r="N188" s="263"/>
      <c r="O188" s="263"/>
      <c r="P188" s="79"/>
      <c r="Q188" s="263">
        <v>0</v>
      </c>
      <c r="R188" s="263"/>
      <c r="S188" s="263">
        <v>0</v>
      </c>
      <c r="T188" s="263">
        <v>0</v>
      </c>
      <c r="U188" s="79"/>
      <c r="V188" s="263">
        <v>-0.1</v>
      </c>
      <c r="W188" s="263">
        <v>0</v>
      </c>
      <c r="X188" s="263">
        <v>-0.1</v>
      </c>
      <c r="Y188" s="263">
        <v>0</v>
      </c>
      <c r="Z188" s="79"/>
      <c r="AA188" s="263">
        <v>0</v>
      </c>
      <c r="AB188" s="263">
        <v>0</v>
      </c>
      <c r="AC188" s="263">
        <v>0</v>
      </c>
      <c r="AD188" s="263">
        <v>0</v>
      </c>
      <c r="AE188" s="79"/>
      <c r="AF188" s="263">
        <v>0</v>
      </c>
      <c r="AG188" s="263">
        <v>0</v>
      </c>
      <c r="AH188" s="263"/>
      <c r="AI188" s="263"/>
      <c r="AJ188" s="79"/>
      <c r="AK188" s="263"/>
      <c r="AL188" s="263"/>
      <c r="AM188" s="263"/>
      <c r="AN188" s="263"/>
      <c r="AO188" s="870"/>
      <c r="AP188" s="871"/>
      <c r="AQ188" s="871"/>
      <c r="AR188" s="871"/>
      <c r="AS188" s="871"/>
      <c r="AT188" s="870"/>
      <c r="AU188" s="871"/>
      <c r="AV188" s="871"/>
      <c r="AW188" s="871"/>
      <c r="AX188" s="871"/>
      <c r="AY188" s="870"/>
      <c r="AZ188" s="871"/>
      <c r="BA188" s="871"/>
      <c r="BB188" s="871"/>
      <c r="BC188" s="871"/>
      <c r="BD188" s="870"/>
      <c r="BE188" s="383"/>
      <c r="BF188" s="383"/>
      <c r="BG188" s="383"/>
      <c r="BH188" s="383"/>
      <c r="BI188" s="870"/>
      <c r="BJ188" s="383"/>
      <c r="BK188" s="383"/>
      <c r="BL188" s="383"/>
      <c r="BM188" s="383"/>
      <c r="BN188" s="870"/>
      <c r="BO188" s="383"/>
      <c r="BP188" s="383"/>
      <c r="BQ188" s="383"/>
      <c r="BR188" s="383"/>
      <c r="BS188" s="870"/>
      <c r="BT188" s="383"/>
      <c r="BU188" s="383"/>
      <c r="BV188" s="383"/>
      <c r="BW188" s="383"/>
      <c r="BX188" s="870"/>
      <c r="BY188" s="383"/>
      <c r="BZ188" s="383"/>
      <c r="CA188" s="383"/>
      <c r="CB188" s="383"/>
      <c r="CC188" s="870"/>
      <c r="CD188" s="870"/>
      <c r="CE188" s="870"/>
      <c r="CF188" s="870"/>
      <c r="CG188" s="870"/>
      <c r="CH188" s="870"/>
      <c r="EX188" s="1261"/>
    </row>
    <row r="189" spans="1:154" ht="12.75" hidden="1" customHeight="1">
      <c r="A189" s="9"/>
      <c r="B189" s="9"/>
      <c r="C189" s="9"/>
      <c r="D189" s="9"/>
      <c r="E189" s="9"/>
      <c r="F189" s="9"/>
      <c r="G189" s="9"/>
      <c r="H189" s="279" t="s">
        <v>232</v>
      </c>
      <c r="I189" s="279"/>
      <c r="J189" s="79"/>
      <c r="K189" s="79"/>
      <c r="L189" s="263">
        <v>33.1</v>
      </c>
      <c r="M189" s="263">
        <v>26.4</v>
      </c>
      <c r="N189" s="263">
        <v>26.9</v>
      </c>
      <c r="O189" s="263">
        <v>31.4</v>
      </c>
      <c r="P189" s="79">
        <v>117.8</v>
      </c>
      <c r="Q189" s="263">
        <v>21.9</v>
      </c>
      <c r="R189" s="263">
        <v>17.3</v>
      </c>
      <c r="S189" s="263">
        <v>20</v>
      </c>
      <c r="T189" s="263">
        <v>15.3</v>
      </c>
      <c r="U189" s="79">
        <f>SUM(Q189:T189)</f>
        <v>74.5</v>
      </c>
      <c r="V189" s="263">
        <v>16.7</v>
      </c>
      <c r="W189" s="263">
        <v>12.2</v>
      </c>
      <c r="X189" s="263">
        <v>17.100000000000001</v>
      </c>
      <c r="Y189" s="263">
        <v>16.2</v>
      </c>
      <c r="Z189" s="79">
        <f>SUM(V189:Y189)</f>
        <v>62.2</v>
      </c>
      <c r="AA189" s="263">
        <v>14.6</v>
      </c>
      <c r="AB189" s="263">
        <v>15.7</v>
      </c>
      <c r="AC189" s="263">
        <v>17.3</v>
      </c>
      <c r="AD189" s="263">
        <v>15.6</v>
      </c>
      <c r="AE189" s="79">
        <f>SUM(AA189:AD189)</f>
        <v>63.199999999999996</v>
      </c>
      <c r="AF189" s="263">
        <v>14</v>
      </c>
      <c r="AG189" s="263">
        <v>12.89</v>
      </c>
      <c r="AH189" s="263">
        <v>14.7</v>
      </c>
      <c r="AI189" s="263">
        <v>14.8</v>
      </c>
      <c r="AJ189" s="79">
        <f>SUM(AF189:AI189)</f>
        <v>56.39</v>
      </c>
      <c r="AK189" s="263">
        <v>13.3</v>
      </c>
      <c r="AL189" s="263">
        <v>14.7</v>
      </c>
      <c r="AM189" s="263">
        <v>10.9</v>
      </c>
      <c r="AN189" s="263">
        <v>14.5</v>
      </c>
      <c r="AO189" s="410">
        <f>SUM(AK189:AN189)</f>
        <v>53.4</v>
      </c>
      <c r="AP189" s="391">
        <v>13</v>
      </c>
      <c r="AQ189" s="391">
        <v>15.3</v>
      </c>
      <c r="AR189" s="391">
        <v>10.8</v>
      </c>
      <c r="AS189" s="391">
        <v>13.5</v>
      </c>
      <c r="AT189" s="410">
        <f>SUM(AP189:AS189)</f>
        <v>52.6</v>
      </c>
      <c r="AU189" s="391">
        <v>19.3</v>
      </c>
      <c r="AV189" s="391">
        <v>11.5</v>
      </c>
      <c r="AW189" s="391">
        <v>10.6</v>
      </c>
      <c r="AX189" s="391">
        <v>14</v>
      </c>
      <c r="AY189" s="410">
        <f>SUM(AU189:AX189)</f>
        <v>55.4</v>
      </c>
      <c r="AZ189" s="871"/>
      <c r="BA189" s="871"/>
      <c r="BB189" s="871"/>
      <c r="BC189" s="871"/>
      <c r="BD189" s="870"/>
      <c r="BE189" s="383"/>
      <c r="BF189" s="383"/>
      <c r="BG189" s="383"/>
      <c r="BH189" s="383"/>
      <c r="BI189" s="870"/>
      <c r="BJ189" s="383"/>
      <c r="BK189" s="383"/>
      <c r="BL189" s="383"/>
      <c r="BM189" s="383"/>
      <c r="BN189" s="870"/>
      <c r="BO189" s="383"/>
      <c r="BP189" s="383"/>
      <c r="BQ189" s="383"/>
      <c r="BR189" s="383"/>
      <c r="BS189" s="870"/>
      <c r="BT189" s="383"/>
      <c r="BU189" s="383"/>
      <c r="BV189" s="383"/>
      <c r="BW189" s="383"/>
      <c r="BX189" s="870"/>
      <c r="BY189" s="383"/>
      <c r="BZ189" s="383"/>
      <c r="CA189" s="383"/>
      <c r="CB189" s="383"/>
      <c r="CC189" s="870"/>
      <c r="CD189" s="870"/>
      <c r="CE189" s="870"/>
      <c r="CF189" s="870"/>
      <c r="CG189" s="870"/>
      <c r="CH189" s="870"/>
      <c r="EX189" s="1261"/>
    </row>
    <row r="190" spans="1:154" s="15" customFormat="1" ht="12.75" hidden="1" customHeight="1" collapsed="1">
      <c r="A190" s="9"/>
      <c r="B190" s="9"/>
      <c r="C190" s="9"/>
      <c r="D190" s="9"/>
      <c r="E190" s="9"/>
      <c r="F190" s="9"/>
      <c r="G190" s="9"/>
      <c r="H190" s="304" t="s">
        <v>411</v>
      </c>
      <c r="I190" s="304"/>
      <c r="J190" s="264"/>
      <c r="K190" s="264"/>
      <c r="L190" s="265">
        <v>9.6999999999999993</v>
      </c>
      <c r="M190" s="265">
        <v>7.4</v>
      </c>
      <c r="N190" s="265">
        <v>7.6</v>
      </c>
      <c r="O190" s="265">
        <v>3.5</v>
      </c>
      <c r="P190" s="264">
        <v>28.2</v>
      </c>
      <c r="Q190" s="265"/>
      <c r="R190" s="265"/>
      <c r="S190" s="265"/>
      <c r="T190" s="265"/>
      <c r="U190" s="264">
        <f>U191+U192</f>
        <v>0</v>
      </c>
      <c r="V190" s="265"/>
      <c r="W190" s="265"/>
      <c r="X190" s="265"/>
      <c r="Y190" s="265"/>
      <c r="Z190" s="264">
        <f>Z191+Z192</f>
        <v>0</v>
      </c>
      <c r="AA190" s="265"/>
      <c r="AB190" s="265"/>
      <c r="AC190" s="265"/>
      <c r="AD190" s="265"/>
      <c r="AE190" s="264">
        <f>AE191+AE192</f>
        <v>0</v>
      </c>
      <c r="AF190" s="265"/>
      <c r="AG190" s="265"/>
      <c r="AH190" s="265"/>
      <c r="AI190" s="265"/>
      <c r="AJ190" s="264">
        <f>AJ191+AJ192</f>
        <v>0</v>
      </c>
      <c r="AK190" s="265"/>
      <c r="AL190" s="265"/>
      <c r="AM190" s="265"/>
      <c r="AN190" s="265"/>
      <c r="AO190" s="703">
        <f>AO191+AO192</f>
        <v>0</v>
      </c>
      <c r="AP190" s="455"/>
      <c r="AQ190" s="455"/>
      <c r="AR190" s="455"/>
      <c r="AS190" s="455"/>
      <c r="AT190" s="703">
        <f>AT191+AT192</f>
        <v>0</v>
      </c>
      <c r="AU190" s="455"/>
      <c r="AV190" s="455"/>
      <c r="AW190" s="455"/>
      <c r="AX190" s="455"/>
      <c r="AY190" s="703">
        <f>AY191+AY192</f>
        <v>0</v>
      </c>
      <c r="AZ190" s="866"/>
      <c r="BA190" s="866"/>
      <c r="BB190" s="866"/>
      <c r="BC190" s="866"/>
      <c r="BD190" s="867"/>
      <c r="BE190" s="455"/>
      <c r="BF190" s="455"/>
      <c r="BG190" s="455"/>
      <c r="BH190" s="455"/>
      <c r="BI190" s="867"/>
      <c r="BJ190" s="455"/>
      <c r="BK190" s="455"/>
      <c r="BL190" s="455"/>
      <c r="BM190" s="455"/>
      <c r="BN190" s="867"/>
      <c r="BO190" s="455"/>
      <c r="BP190" s="455"/>
      <c r="BQ190" s="455"/>
      <c r="BR190" s="455"/>
      <c r="BS190" s="867"/>
      <c r="BT190" s="455"/>
      <c r="BU190" s="455"/>
      <c r="BV190" s="455"/>
      <c r="BW190" s="455"/>
      <c r="BX190" s="867"/>
      <c r="BY190" s="455"/>
      <c r="BZ190" s="455"/>
      <c r="CA190" s="455"/>
      <c r="CB190" s="455"/>
      <c r="CC190" s="867"/>
      <c r="CD190" s="867"/>
      <c r="CE190" s="867"/>
      <c r="CF190" s="867"/>
      <c r="CG190" s="867"/>
      <c r="CH190" s="867"/>
      <c r="EX190" s="1261"/>
    </row>
    <row r="191" spans="1:154" ht="12.75" hidden="1" customHeight="1">
      <c r="A191" s="9"/>
      <c r="B191" s="9"/>
      <c r="C191" s="9"/>
      <c r="D191" s="9"/>
      <c r="E191" s="9"/>
      <c r="F191" s="9"/>
      <c r="G191" s="9"/>
      <c r="H191" s="305" t="s">
        <v>81</v>
      </c>
      <c r="I191" s="305"/>
      <c r="J191" s="79"/>
      <c r="K191" s="79"/>
      <c r="L191" s="263">
        <v>6.9</v>
      </c>
      <c r="M191" s="263">
        <v>4.9000000000000004</v>
      </c>
      <c r="N191" s="263">
        <v>5.5</v>
      </c>
      <c r="O191" s="263">
        <v>0</v>
      </c>
      <c r="P191" s="79">
        <v>17.3</v>
      </c>
      <c r="Q191" s="263"/>
      <c r="R191" s="258"/>
      <c r="S191" s="258"/>
      <c r="T191" s="258"/>
      <c r="U191" s="79">
        <f>SUM(Q191:T191)</f>
        <v>0</v>
      </c>
      <c r="V191" s="263"/>
      <c r="W191" s="258"/>
      <c r="X191" s="258"/>
      <c r="Y191" s="258"/>
      <c r="Z191" s="79">
        <f>SUM(V191:Y191)</f>
        <v>0</v>
      </c>
      <c r="AA191" s="263"/>
      <c r="AB191" s="258"/>
      <c r="AC191" s="258"/>
      <c r="AD191" s="258"/>
      <c r="AE191" s="79">
        <f>Z191*(1+AE421)</f>
        <v>0</v>
      </c>
      <c r="AF191" s="263"/>
      <c r="AG191" s="263"/>
      <c r="AH191" s="258"/>
      <c r="AI191" s="258"/>
      <c r="AJ191" s="79">
        <f>AE191*(1+AJ421)</f>
        <v>0</v>
      </c>
      <c r="AK191" s="258"/>
      <c r="AL191" s="258"/>
      <c r="AM191" s="258"/>
      <c r="AN191" s="258"/>
      <c r="AO191" s="410">
        <f>AJ191*(1+AO421)</f>
        <v>0</v>
      </c>
      <c r="AP191" s="383"/>
      <c r="AQ191" s="383"/>
      <c r="AR191" s="383"/>
      <c r="AS191" s="383"/>
      <c r="AT191" s="410">
        <f>AO191*(1+AT421)</f>
        <v>0</v>
      </c>
      <c r="AU191" s="383"/>
      <c r="AV191" s="383"/>
      <c r="AW191" s="383"/>
      <c r="AX191" s="383"/>
      <c r="AY191" s="410">
        <f>AT191*(1+AY421)</f>
        <v>0</v>
      </c>
      <c r="AZ191" s="871"/>
      <c r="BA191" s="871"/>
      <c r="BB191" s="871"/>
      <c r="BC191" s="871"/>
      <c r="BD191" s="870"/>
      <c r="BE191" s="383"/>
      <c r="BF191" s="383"/>
      <c r="BG191" s="383"/>
      <c r="BH191" s="383"/>
      <c r="BI191" s="870"/>
      <c r="BJ191" s="383"/>
      <c r="BK191" s="383"/>
      <c r="BL191" s="383"/>
      <c r="BM191" s="383"/>
      <c r="BN191" s="870"/>
      <c r="BO191" s="383"/>
      <c r="BP191" s="383"/>
      <c r="BQ191" s="383"/>
      <c r="BR191" s="383"/>
      <c r="BS191" s="870"/>
      <c r="BT191" s="383"/>
      <c r="BU191" s="383"/>
      <c r="BV191" s="383"/>
      <c r="BW191" s="383"/>
      <c r="BX191" s="870"/>
      <c r="BY191" s="383"/>
      <c r="BZ191" s="383"/>
      <c r="CA191" s="383"/>
      <c r="CB191" s="383"/>
      <c r="CC191" s="870"/>
      <c r="CD191" s="870"/>
      <c r="CE191" s="870"/>
      <c r="CF191" s="870"/>
      <c r="CG191" s="870"/>
      <c r="CH191" s="870"/>
      <c r="EX191" s="1261"/>
    </row>
    <row r="192" spans="1:154" ht="12.75" hidden="1" customHeight="1">
      <c r="A192" s="9"/>
      <c r="B192" s="9"/>
      <c r="C192" s="9"/>
      <c r="D192" s="9"/>
      <c r="E192" s="9"/>
      <c r="F192" s="9"/>
      <c r="G192" s="9"/>
      <c r="H192" s="305" t="s">
        <v>501</v>
      </c>
      <c r="I192" s="305"/>
      <c r="J192" s="79"/>
      <c r="K192" s="79"/>
      <c r="L192" s="263">
        <v>2.8</v>
      </c>
      <c r="M192" s="263">
        <v>2.5</v>
      </c>
      <c r="N192" s="263">
        <v>2.1</v>
      </c>
      <c r="O192" s="263">
        <v>3.5</v>
      </c>
      <c r="P192" s="79">
        <v>10.9</v>
      </c>
      <c r="Q192" s="263"/>
      <c r="R192" s="258"/>
      <c r="S192" s="258"/>
      <c r="T192" s="258"/>
      <c r="U192" s="79">
        <f>SUM(Q192:T192)</f>
        <v>0</v>
      </c>
      <c r="V192" s="263"/>
      <c r="W192" s="258"/>
      <c r="X192" s="258"/>
      <c r="Y192" s="258"/>
      <c r="Z192" s="79">
        <f>SUM(V192:Y192)</f>
        <v>0</v>
      </c>
      <c r="AA192" s="263"/>
      <c r="AB192" s="258"/>
      <c r="AC192" s="258"/>
      <c r="AD192" s="258"/>
      <c r="AE192" s="79">
        <f>Z192*(1+AE422)</f>
        <v>0</v>
      </c>
      <c r="AF192" s="263"/>
      <c r="AG192" s="263"/>
      <c r="AH192" s="258"/>
      <c r="AI192" s="258"/>
      <c r="AJ192" s="79">
        <f>AE192*(1+AJ422)</f>
        <v>0</v>
      </c>
      <c r="AK192" s="258"/>
      <c r="AL192" s="258"/>
      <c r="AM192" s="258"/>
      <c r="AN192" s="258"/>
      <c r="AO192" s="410">
        <f>AJ192*(1+AO422)</f>
        <v>0</v>
      </c>
      <c r="AP192" s="383"/>
      <c r="AQ192" s="383"/>
      <c r="AR192" s="383"/>
      <c r="AS192" s="383"/>
      <c r="AT192" s="410">
        <f>AO192*(1+AT422)</f>
        <v>0</v>
      </c>
      <c r="AU192" s="383"/>
      <c r="AV192" s="383"/>
      <c r="AW192" s="383"/>
      <c r="AX192" s="383"/>
      <c r="AY192" s="410">
        <f>AT192*(1+AY422)</f>
        <v>0</v>
      </c>
      <c r="AZ192" s="871"/>
      <c r="BA192" s="871"/>
      <c r="BB192" s="871"/>
      <c r="BC192" s="871"/>
      <c r="BD192" s="870"/>
      <c r="BE192" s="383"/>
      <c r="BF192" s="383"/>
      <c r="BG192" s="383"/>
      <c r="BH192" s="383"/>
      <c r="BI192" s="870"/>
      <c r="BJ192" s="383"/>
      <c r="BK192" s="383"/>
      <c r="BL192" s="383"/>
      <c r="BM192" s="383"/>
      <c r="BN192" s="870"/>
      <c r="BO192" s="383"/>
      <c r="BP192" s="383"/>
      <c r="BQ192" s="383"/>
      <c r="BR192" s="383"/>
      <c r="BS192" s="870"/>
      <c r="BT192" s="383"/>
      <c r="BU192" s="383"/>
      <c r="BV192" s="383"/>
      <c r="BW192" s="383"/>
      <c r="BX192" s="870"/>
      <c r="BY192" s="383"/>
      <c r="BZ192" s="383"/>
      <c r="CA192" s="383"/>
      <c r="CB192" s="383"/>
      <c r="CC192" s="870"/>
      <c r="CD192" s="870"/>
      <c r="CE192" s="870"/>
      <c r="CF192" s="870"/>
      <c r="CG192" s="870"/>
      <c r="CH192" s="870"/>
      <c r="EX192" s="1261"/>
    </row>
    <row r="193" spans="1:154" s="15" customFormat="1" ht="12.75" hidden="1" customHeight="1">
      <c r="A193" s="9"/>
      <c r="B193" s="9"/>
      <c r="C193" s="9"/>
      <c r="D193" s="9"/>
      <c r="E193" s="9"/>
      <c r="F193" s="9"/>
      <c r="G193" s="9"/>
      <c r="H193" s="304" t="s">
        <v>367</v>
      </c>
      <c r="I193" s="304"/>
      <c r="J193" s="264"/>
      <c r="K193" s="264"/>
      <c r="L193" s="265">
        <v>5.9</v>
      </c>
      <c r="M193" s="265">
        <v>8.6</v>
      </c>
      <c r="N193" s="265">
        <v>5</v>
      </c>
      <c r="O193" s="265">
        <v>14</v>
      </c>
      <c r="P193" s="264">
        <v>33.5</v>
      </c>
      <c r="Q193" s="265"/>
      <c r="R193" s="265"/>
      <c r="S193" s="265"/>
      <c r="T193" s="265"/>
      <c r="U193" s="264">
        <f>U194+U195</f>
        <v>0</v>
      </c>
      <c r="V193" s="265"/>
      <c r="W193" s="265"/>
      <c r="X193" s="265"/>
      <c r="Y193" s="265"/>
      <c r="Z193" s="264">
        <f>Z194+Z195</f>
        <v>0</v>
      </c>
      <c r="AA193" s="265"/>
      <c r="AB193" s="265"/>
      <c r="AC193" s="265"/>
      <c r="AD193" s="265"/>
      <c r="AE193" s="264">
        <f>AE194+AE195</f>
        <v>0</v>
      </c>
      <c r="AF193" s="265"/>
      <c r="AG193" s="265"/>
      <c r="AH193" s="265"/>
      <c r="AI193" s="265"/>
      <c r="AJ193" s="264">
        <f>AJ194+AJ195</f>
        <v>0</v>
      </c>
      <c r="AK193" s="265"/>
      <c r="AL193" s="265"/>
      <c r="AM193" s="265"/>
      <c r="AN193" s="265"/>
      <c r="AO193" s="703">
        <f>AO194+AO195</f>
        <v>0</v>
      </c>
      <c r="AP193" s="455"/>
      <c r="AQ193" s="455"/>
      <c r="AR193" s="455"/>
      <c r="AS193" s="455"/>
      <c r="AT193" s="703">
        <f>AT194+AT195</f>
        <v>0</v>
      </c>
      <c r="AU193" s="455"/>
      <c r="AV193" s="455"/>
      <c r="AW193" s="455"/>
      <c r="AX193" s="455"/>
      <c r="AY193" s="703">
        <f>AY194+AY195</f>
        <v>0</v>
      </c>
      <c r="AZ193" s="866"/>
      <c r="BA193" s="866"/>
      <c r="BB193" s="866"/>
      <c r="BC193" s="866"/>
      <c r="BD193" s="867"/>
      <c r="BE193" s="455"/>
      <c r="BF193" s="455"/>
      <c r="BG193" s="455"/>
      <c r="BH193" s="455"/>
      <c r="BI193" s="867"/>
      <c r="BJ193" s="455"/>
      <c r="BK193" s="455"/>
      <c r="BL193" s="455"/>
      <c r="BM193" s="455"/>
      <c r="BN193" s="867"/>
      <c r="BO193" s="455"/>
      <c r="BP193" s="455"/>
      <c r="BQ193" s="455"/>
      <c r="BR193" s="455"/>
      <c r="BS193" s="867"/>
      <c r="BT193" s="455"/>
      <c r="BU193" s="455"/>
      <c r="BV193" s="455"/>
      <c r="BW193" s="455"/>
      <c r="BX193" s="867"/>
      <c r="BY193" s="455"/>
      <c r="BZ193" s="455"/>
      <c r="CA193" s="455"/>
      <c r="CB193" s="455"/>
      <c r="CC193" s="867"/>
      <c r="CD193" s="867"/>
      <c r="CE193" s="867"/>
      <c r="CF193" s="867"/>
      <c r="CG193" s="867"/>
      <c r="CH193" s="867"/>
      <c r="EX193" s="1261"/>
    </row>
    <row r="194" spans="1:154" ht="12.75" hidden="1" customHeight="1">
      <c r="A194" s="9"/>
      <c r="B194" s="9"/>
      <c r="C194" s="9"/>
      <c r="D194" s="9"/>
      <c r="E194" s="9"/>
      <c r="F194" s="9"/>
      <c r="G194" s="9"/>
      <c r="H194" s="305" t="s">
        <v>81</v>
      </c>
      <c r="I194" s="305"/>
      <c r="J194" s="79"/>
      <c r="K194" s="79"/>
      <c r="L194" s="263">
        <v>0.2</v>
      </c>
      <c r="M194" s="263">
        <v>0</v>
      </c>
      <c r="N194" s="263">
        <v>0</v>
      </c>
      <c r="O194" s="263">
        <v>0.1</v>
      </c>
      <c r="P194" s="259">
        <v>0.3</v>
      </c>
      <c r="Q194" s="263"/>
      <c r="R194" s="258"/>
      <c r="S194" s="258"/>
      <c r="T194" s="258"/>
      <c r="U194" s="259"/>
      <c r="V194" s="263"/>
      <c r="W194" s="258"/>
      <c r="X194" s="258"/>
      <c r="Y194" s="258"/>
      <c r="Z194" s="259"/>
      <c r="AA194" s="263"/>
      <c r="AB194" s="258"/>
      <c r="AC194" s="258"/>
      <c r="AD194" s="258"/>
      <c r="AE194" s="259"/>
      <c r="AF194" s="263"/>
      <c r="AG194" s="263"/>
      <c r="AH194" s="258"/>
      <c r="AI194" s="258"/>
      <c r="AJ194" s="259"/>
      <c r="AK194" s="258"/>
      <c r="AL194" s="258"/>
      <c r="AM194" s="258"/>
      <c r="AN194" s="258"/>
      <c r="AO194" s="410"/>
      <c r="AP194" s="383"/>
      <c r="AQ194" s="383"/>
      <c r="AR194" s="383"/>
      <c r="AS194" s="383"/>
      <c r="AT194" s="410"/>
      <c r="AU194" s="383"/>
      <c r="AV194" s="383"/>
      <c r="AW194" s="383"/>
      <c r="AX194" s="383"/>
      <c r="AY194" s="410"/>
      <c r="AZ194" s="871"/>
      <c r="BA194" s="871"/>
      <c r="BB194" s="871"/>
      <c r="BC194" s="871"/>
      <c r="BD194" s="870"/>
      <c r="BE194" s="383"/>
      <c r="BF194" s="383"/>
      <c r="BG194" s="383"/>
      <c r="BH194" s="383"/>
      <c r="BI194" s="870"/>
      <c r="BJ194" s="383"/>
      <c r="BK194" s="383"/>
      <c r="BL194" s="383"/>
      <c r="BM194" s="383"/>
      <c r="BN194" s="870"/>
      <c r="BO194" s="383"/>
      <c r="BP194" s="383"/>
      <c r="BQ194" s="383"/>
      <c r="BR194" s="383"/>
      <c r="BS194" s="870"/>
      <c r="BT194" s="383"/>
      <c r="BU194" s="383"/>
      <c r="BV194" s="383"/>
      <c r="BW194" s="383"/>
      <c r="BX194" s="870"/>
      <c r="BY194" s="383"/>
      <c r="BZ194" s="383"/>
      <c r="CA194" s="383"/>
      <c r="CB194" s="383"/>
      <c r="CC194" s="870"/>
      <c r="CD194" s="870"/>
      <c r="CE194" s="870"/>
      <c r="CF194" s="870"/>
      <c r="CG194" s="870"/>
      <c r="CH194" s="870"/>
      <c r="EX194" s="1261"/>
    </row>
    <row r="195" spans="1:154" ht="12.75" hidden="1" customHeight="1">
      <c r="A195" s="9"/>
      <c r="B195" s="9"/>
      <c r="C195" s="9"/>
      <c r="D195" s="9"/>
      <c r="E195" s="9"/>
      <c r="F195" s="9"/>
      <c r="G195" s="9"/>
      <c r="H195" s="305" t="s">
        <v>501</v>
      </c>
      <c r="I195" s="305"/>
      <c r="J195" s="79"/>
      <c r="K195" s="79"/>
      <c r="L195" s="263">
        <v>5.7</v>
      </c>
      <c r="M195" s="263">
        <v>8.6</v>
      </c>
      <c r="N195" s="263">
        <v>5</v>
      </c>
      <c r="O195" s="263">
        <v>13.9</v>
      </c>
      <c r="P195" s="259">
        <v>33.200000000000003</v>
      </c>
      <c r="Q195" s="263"/>
      <c r="R195" s="258"/>
      <c r="S195" s="258"/>
      <c r="T195" s="258"/>
      <c r="U195" s="259">
        <f>SUM(Q195:T195)</f>
        <v>0</v>
      </c>
      <c r="V195" s="263"/>
      <c r="W195" s="258"/>
      <c r="X195" s="258"/>
      <c r="Y195" s="258"/>
      <c r="Z195" s="259">
        <f>SUM(V195:Y195)</f>
        <v>0</v>
      </c>
      <c r="AA195" s="263"/>
      <c r="AB195" s="258"/>
      <c r="AC195" s="258"/>
      <c r="AD195" s="258"/>
      <c r="AE195" s="259">
        <f>Z195*(1+AE425)</f>
        <v>0</v>
      </c>
      <c r="AF195" s="263"/>
      <c r="AG195" s="263"/>
      <c r="AH195" s="258"/>
      <c r="AI195" s="258"/>
      <c r="AJ195" s="259">
        <f>AE195*(1+AJ425)</f>
        <v>0</v>
      </c>
      <c r="AK195" s="258"/>
      <c r="AL195" s="258"/>
      <c r="AM195" s="258"/>
      <c r="AN195" s="258"/>
      <c r="AO195" s="410">
        <f>AJ195*(1+AO425)</f>
        <v>0</v>
      </c>
      <c r="AP195" s="383"/>
      <c r="AQ195" s="383"/>
      <c r="AR195" s="383"/>
      <c r="AS195" s="383"/>
      <c r="AT195" s="410">
        <f>AO195*(1+AT425)</f>
        <v>0</v>
      </c>
      <c r="AU195" s="383"/>
      <c r="AV195" s="383"/>
      <c r="AW195" s="383"/>
      <c r="AX195" s="383"/>
      <c r="AY195" s="410">
        <f>AT195*(1+AY425)</f>
        <v>0</v>
      </c>
      <c r="AZ195" s="871"/>
      <c r="BA195" s="871"/>
      <c r="BB195" s="871"/>
      <c r="BC195" s="871"/>
      <c r="BD195" s="870"/>
      <c r="BE195" s="383"/>
      <c r="BF195" s="383"/>
      <c r="BG195" s="383"/>
      <c r="BH195" s="383"/>
      <c r="BI195" s="870"/>
      <c r="BJ195" s="383"/>
      <c r="BK195" s="383"/>
      <c r="BL195" s="383"/>
      <c r="BM195" s="383"/>
      <c r="BN195" s="870"/>
      <c r="BO195" s="383"/>
      <c r="BP195" s="383"/>
      <c r="BQ195" s="383"/>
      <c r="BR195" s="383"/>
      <c r="BS195" s="870"/>
      <c r="BT195" s="383"/>
      <c r="BU195" s="383"/>
      <c r="BV195" s="383"/>
      <c r="BW195" s="383"/>
      <c r="BX195" s="870"/>
      <c r="BY195" s="383"/>
      <c r="BZ195" s="383"/>
      <c r="CA195" s="383"/>
      <c r="CB195" s="383"/>
      <c r="CC195" s="870"/>
      <c r="CD195" s="870"/>
      <c r="CE195" s="870"/>
      <c r="CF195" s="870"/>
      <c r="CG195" s="870"/>
      <c r="CH195" s="870"/>
      <c r="EX195" s="1261"/>
    </row>
    <row r="196" spans="1:154" hidden="1">
      <c r="A196" s="9"/>
      <c r="B196" s="9"/>
      <c r="C196" s="9"/>
      <c r="D196" s="9"/>
      <c r="E196" s="9"/>
      <c r="F196" s="9"/>
      <c r="G196" s="9"/>
      <c r="H196" s="259"/>
      <c r="I196" s="259"/>
      <c r="J196" s="259"/>
      <c r="K196" s="259"/>
      <c r="L196" s="258"/>
      <c r="M196" s="258"/>
      <c r="N196" s="258"/>
      <c r="O196" s="258"/>
      <c r="P196" s="79"/>
      <c r="Q196" s="263"/>
      <c r="R196" s="258"/>
      <c r="S196" s="258"/>
      <c r="T196" s="258"/>
      <c r="U196" s="79"/>
      <c r="V196" s="263"/>
      <c r="W196" s="258"/>
      <c r="X196" s="258"/>
      <c r="Y196" s="258"/>
      <c r="Z196" s="79"/>
      <c r="AA196" s="263"/>
      <c r="AB196" s="258"/>
      <c r="AC196" s="258"/>
      <c r="AD196" s="258"/>
      <c r="AE196" s="79"/>
      <c r="AF196" s="263"/>
      <c r="AG196" s="263"/>
      <c r="AH196" s="258"/>
      <c r="AI196" s="258"/>
      <c r="AJ196" s="79"/>
      <c r="AK196" s="258"/>
      <c r="AL196" s="258"/>
      <c r="AM196" s="258"/>
      <c r="AN196" s="258"/>
      <c r="AO196" s="410"/>
      <c r="AP196" s="383"/>
      <c r="AQ196" s="383"/>
      <c r="AR196" s="383"/>
      <c r="AS196" s="383"/>
      <c r="AT196" s="410"/>
      <c r="AU196" s="383"/>
      <c r="AV196" s="383"/>
      <c r="AW196" s="383"/>
      <c r="AX196" s="383"/>
      <c r="AY196" s="410"/>
      <c r="AZ196" s="383"/>
      <c r="BA196" s="383"/>
      <c r="BB196" s="383"/>
      <c r="BC196" s="383"/>
      <c r="BD196" s="410"/>
      <c r="BE196" s="383"/>
      <c r="BF196" s="383"/>
      <c r="BG196" s="383"/>
      <c r="BH196" s="383"/>
      <c r="BI196" s="410"/>
      <c r="BJ196" s="383"/>
      <c r="BK196" s="383"/>
      <c r="BL196" s="383"/>
      <c r="BM196" s="383"/>
      <c r="BN196" s="410"/>
      <c r="BO196" s="383"/>
      <c r="BP196" s="383"/>
      <c r="BQ196" s="383"/>
      <c r="BR196" s="383"/>
      <c r="BS196" s="410"/>
      <c r="BT196" s="383"/>
      <c r="BU196" s="383"/>
      <c r="BV196" s="383"/>
      <c r="BW196" s="383"/>
      <c r="BX196" s="410"/>
      <c r="BY196" s="383"/>
      <c r="BZ196" s="383"/>
      <c r="CA196" s="383"/>
      <c r="CB196" s="383"/>
      <c r="CC196" s="410"/>
      <c r="CD196" s="410"/>
      <c r="CE196" s="410"/>
      <c r="CF196" s="410"/>
      <c r="CG196" s="410"/>
      <c r="CH196" s="410"/>
      <c r="EX196" s="1261"/>
    </row>
    <row r="197" spans="1:154" s="15" customFormat="1" ht="12.75" hidden="1" customHeight="1">
      <c r="A197" s="9"/>
      <c r="B197" s="9"/>
      <c r="C197" s="9"/>
      <c r="D197" s="9"/>
      <c r="E197" s="9"/>
      <c r="F197" s="9"/>
      <c r="G197" s="9"/>
      <c r="H197" s="985" t="s">
        <v>368</v>
      </c>
      <c r="I197" s="985"/>
      <c r="J197" s="260"/>
      <c r="K197" s="260"/>
      <c r="L197" s="261">
        <v>51.1</v>
      </c>
      <c r="M197" s="261">
        <v>54.8</v>
      </c>
      <c r="N197" s="261">
        <v>57</v>
      </c>
      <c r="O197" s="261">
        <v>48.1</v>
      </c>
      <c r="P197" s="262">
        <v>211</v>
      </c>
      <c r="Q197" s="261">
        <f t="shared" ref="Q197:AT197" si="264">Q198+Q199</f>
        <v>80.5</v>
      </c>
      <c r="R197" s="261">
        <f t="shared" si="264"/>
        <v>54.800000000000004</v>
      </c>
      <c r="S197" s="261">
        <f t="shared" si="264"/>
        <v>63.3</v>
      </c>
      <c r="T197" s="261">
        <f t="shared" si="264"/>
        <v>64.599999999999994</v>
      </c>
      <c r="U197" s="262">
        <f t="shared" si="264"/>
        <v>263.20000000000005</v>
      </c>
      <c r="V197" s="261">
        <f t="shared" si="264"/>
        <v>3.8</v>
      </c>
      <c r="W197" s="261">
        <f t="shared" si="264"/>
        <v>3.5</v>
      </c>
      <c r="X197" s="261">
        <f t="shared" si="264"/>
        <v>1.0999999999999999</v>
      </c>
      <c r="Y197" s="261">
        <f t="shared" si="264"/>
        <v>6.2</v>
      </c>
      <c r="Z197" s="262">
        <f t="shared" si="264"/>
        <v>14.600000000000001</v>
      </c>
      <c r="AA197" s="261">
        <f t="shared" si="264"/>
        <v>0.1</v>
      </c>
      <c r="AB197" s="261">
        <f t="shared" si="264"/>
        <v>-3.8</v>
      </c>
      <c r="AC197" s="261">
        <f t="shared" si="264"/>
        <v>-3.4</v>
      </c>
      <c r="AD197" s="261">
        <f t="shared" si="264"/>
        <v>8.6</v>
      </c>
      <c r="AE197" s="262">
        <f t="shared" si="264"/>
        <v>1.5</v>
      </c>
      <c r="AF197" s="261">
        <f t="shared" si="264"/>
        <v>-3.4</v>
      </c>
      <c r="AG197" s="261">
        <f t="shared" si="264"/>
        <v>1.6</v>
      </c>
      <c r="AH197" s="261">
        <f t="shared" si="264"/>
        <v>-0.3</v>
      </c>
      <c r="AI197" s="261">
        <f t="shared" si="264"/>
        <v>4</v>
      </c>
      <c r="AJ197" s="262">
        <f t="shared" si="264"/>
        <v>1.9000000000000004</v>
      </c>
      <c r="AK197" s="261">
        <f t="shared" si="264"/>
        <v>0.1</v>
      </c>
      <c r="AL197" s="261">
        <f t="shared" si="264"/>
        <v>6.8</v>
      </c>
      <c r="AM197" s="261">
        <f t="shared" si="264"/>
        <v>-0.4</v>
      </c>
      <c r="AN197" s="261">
        <f t="shared" si="264"/>
        <v>12.38</v>
      </c>
      <c r="AO197" s="709">
        <f t="shared" si="264"/>
        <v>18.88</v>
      </c>
      <c r="AP197" s="708">
        <f t="shared" si="264"/>
        <v>1.5</v>
      </c>
      <c r="AQ197" s="708">
        <f t="shared" si="264"/>
        <v>-0.7</v>
      </c>
      <c r="AR197" s="708">
        <f t="shared" si="264"/>
        <v>1.1000000000000001</v>
      </c>
      <c r="AS197" s="708">
        <f>AS198+AS199</f>
        <v>4</v>
      </c>
      <c r="AT197" s="709">
        <f t="shared" si="264"/>
        <v>5.9</v>
      </c>
      <c r="AU197" s="708"/>
      <c r="AV197" s="708"/>
      <c r="AW197" s="708"/>
      <c r="AX197" s="708"/>
      <c r="AY197" s="709"/>
      <c r="AZ197" s="708"/>
      <c r="BA197" s="708"/>
      <c r="BB197" s="708"/>
      <c r="BC197" s="708"/>
      <c r="BD197" s="709"/>
      <c r="BE197" s="708"/>
      <c r="BF197" s="708"/>
      <c r="BG197" s="708"/>
      <c r="BH197" s="708"/>
      <c r="BI197" s="709"/>
      <c r="BJ197" s="708"/>
      <c r="BK197" s="708"/>
      <c r="BL197" s="708"/>
      <c r="BM197" s="708"/>
      <c r="BN197" s="709"/>
      <c r="BO197" s="708"/>
      <c r="BP197" s="708"/>
      <c r="BQ197" s="708"/>
      <c r="BR197" s="708"/>
      <c r="BS197" s="709"/>
      <c r="BT197" s="708"/>
      <c r="BU197" s="708"/>
      <c r="BV197" s="708"/>
      <c r="BW197" s="708"/>
      <c r="BX197" s="709"/>
      <c r="BY197" s="708"/>
      <c r="BZ197" s="708"/>
      <c r="CA197" s="708"/>
      <c r="CB197" s="708"/>
      <c r="CC197" s="709"/>
      <c r="CD197" s="709"/>
      <c r="CE197" s="709"/>
      <c r="CF197" s="709"/>
      <c r="CG197" s="709"/>
      <c r="CH197" s="709"/>
      <c r="EX197" s="1261"/>
    </row>
    <row r="198" spans="1:154" hidden="1">
      <c r="A198" s="9"/>
      <c r="B198" s="9"/>
      <c r="C198" s="9"/>
      <c r="D198" s="9"/>
      <c r="E198" s="9"/>
      <c r="F198" s="9"/>
      <c r="G198" s="9"/>
      <c r="H198" s="279" t="s">
        <v>231</v>
      </c>
      <c r="I198" s="279"/>
      <c r="J198" s="257"/>
      <c r="K198" s="257"/>
      <c r="L198" s="272">
        <v>1</v>
      </c>
      <c r="M198" s="272">
        <v>-1.5</v>
      </c>
      <c r="N198" s="272">
        <v>4.0999999999999996</v>
      </c>
      <c r="O198" s="272">
        <v>1</v>
      </c>
      <c r="P198" s="80">
        <v>2.4</v>
      </c>
      <c r="Q198" s="263">
        <v>1.3</v>
      </c>
      <c r="R198" s="263">
        <v>1.2</v>
      </c>
      <c r="S198" s="263">
        <v>1.25</v>
      </c>
      <c r="T198" s="263">
        <v>1.5</v>
      </c>
      <c r="U198" s="80">
        <f>SUM(Q198:T198)</f>
        <v>5.25</v>
      </c>
      <c r="V198" s="263">
        <v>0.3</v>
      </c>
      <c r="W198" s="263">
        <v>-0.2</v>
      </c>
      <c r="X198" s="263">
        <v>-0.1</v>
      </c>
      <c r="Y198" s="263">
        <v>0</v>
      </c>
      <c r="Z198" s="80">
        <f>SUM(V198:Y198)</f>
        <v>-2.7755575615628914E-17</v>
      </c>
      <c r="AA198" s="263">
        <v>0</v>
      </c>
      <c r="AB198" s="263">
        <v>-0.8</v>
      </c>
      <c r="AC198" s="263">
        <v>-1.5</v>
      </c>
      <c r="AD198" s="263">
        <v>3.5</v>
      </c>
      <c r="AE198" s="274">
        <f>SUM(AA198:AD198)</f>
        <v>1.2000000000000002</v>
      </c>
      <c r="AF198" s="263">
        <v>0</v>
      </c>
      <c r="AG198" s="263">
        <v>0.3</v>
      </c>
      <c r="AH198" s="263">
        <v>0</v>
      </c>
      <c r="AI198" s="263">
        <v>0.1</v>
      </c>
      <c r="AJ198" s="274">
        <f>SUM(AF198:AI198)</f>
        <v>0.4</v>
      </c>
      <c r="AK198" s="263">
        <v>-0.1</v>
      </c>
      <c r="AL198" s="263">
        <v>-0.4</v>
      </c>
      <c r="AM198" s="263">
        <v>-0.1</v>
      </c>
      <c r="AN198" s="263">
        <v>-0.02</v>
      </c>
      <c r="AO198" s="699">
        <f>SUM(AK198:AN198)</f>
        <v>-0.62</v>
      </c>
      <c r="AP198" s="391">
        <v>0</v>
      </c>
      <c r="AQ198" s="391">
        <v>-0.1</v>
      </c>
      <c r="AR198" s="391">
        <v>-0.5</v>
      </c>
      <c r="AS198" s="391">
        <v>0</v>
      </c>
      <c r="AT198" s="699">
        <f>SUM(AP198:AS198)</f>
        <v>-0.6</v>
      </c>
      <c r="AU198" s="391"/>
      <c r="AV198" s="391"/>
      <c r="AW198" s="391"/>
      <c r="AX198" s="397"/>
      <c r="AY198" s="699"/>
      <c r="AZ198" s="397"/>
      <c r="BA198" s="391"/>
      <c r="BB198" s="383"/>
      <c r="BC198" s="383"/>
      <c r="BD198" s="410"/>
      <c r="BE198" s="383"/>
      <c r="BF198" s="383"/>
      <c r="BG198" s="383"/>
      <c r="BH198" s="383"/>
      <c r="BI198" s="410"/>
      <c r="BJ198" s="383"/>
      <c r="BK198" s="383"/>
      <c r="BL198" s="383"/>
      <c r="BM198" s="383"/>
      <c r="BN198" s="410"/>
      <c r="BO198" s="383"/>
      <c r="BP198" s="383"/>
      <c r="BQ198" s="383"/>
      <c r="BR198" s="383"/>
      <c r="BS198" s="410"/>
      <c r="BT198" s="383"/>
      <c r="BU198" s="383"/>
      <c r="BV198" s="383"/>
      <c r="BW198" s="383"/>
      <c r="BX198" s="410"/>
      <c r="BY198" s="383"/>
      <c r="BZ198" s="383"/>
      <c r="CA198" s="383"/>
      <c r="CB198" s="383"/>
      <c r="CC198" s="410"/>
      <c r="CD198" s="410"/>
      <c r="CE198" s="410"/>
      <c r="CF198" s="410"/>
      <c r="CG198" s="410"/>
      <c r="CH198" s="410"/>
      <c r="EX198" s="1261"/>
    </row>
    <row r="199" spans="1:154" hidden="1">
      <c r="A199" s="9"/>
      <c r="B199" s="9"/>
      <c r="C199" s="9"/>
      <c r="D199" s="9"/>
      <c r="E199" s="9"/>
      <c r="F199" s="9"/>
      <c r="G199" s="9"/>
      <c r="H199" s="279" t="s">
        <v>232</v>
      </c>
      <c r="I199" s="279"/>
      <c r="J199" s="257"/>
      <c r="K199" s="257"/>
      <c r="L199" s="272">
        <v>50.1</v>
      </c>
      <c r="M199" s="272">
        <v>56.3</v>
      </c>
      <c r="N199" s="272">
        <v>52.9</v>
      </c>
      <c r="O199" s="272">
        <v>47.1</v>
      </c>
      <c r="P199" s="80">
        <v>38.9</v>
      </c>
      <c r="Q199" s="263">
        <v>79.2</v>
      </c>
      <c r="R199" s="263">
        <v>53.6</v>
      </c>
      <c r="S199" s="263">
        <v>62.05</v>
      </c>
      <c r="T199" s="263">
        <v>63.1</v>
      </c>
      <c r="U199" s="80">
        <f>SUM(Q199:T199)</f>
        <v>257.95000000000005</v>
      </c>
      <c r="V199" s="263">
        <v>3.5</v>
      </c>
      <c r="W199" s="263">
        <v>3.7</v>
      </c>
      <c r="X199" s="263">
        <v>1.2</v>
      </c>
      <c r="Y199" s="263">
        <v>6.2</v>
      </c>
      <c r="Z199" s="80">
        <f>SUM(V199:Y199)</f>
        <v>14.600000000000001</v>
      </c>
      <c r="AA199" s="263">
        <v>0.1</v>
      </c>
      <c r="AB199" s="263">
        <v>-3</v>
      </c>
      <c r="AC199" s="263">
        <v>-1.9</v>
      </c>
      <c r="AD199" s="263">
        <v>5.0999999999999996</v>
      </c>
      <c r="AE199" s="274">
        <f>SUM(AA199:AD199)</f>
        <v>0.29999999999999982</v>
      </c>
      <c r="AF199" s="263">
        <v>-3.4</v>
      </c>
      <c r="AG199" s="263">
        <v>1.3</v>
      </c>
      <c r="AH199" s="263">
        <v>-0.3</v>
      </c>
      <c r="AI199" s="263">
        <v>3.9</v>
      </c>
      <c r="AJ199" s="274">
        <f>SUM(AF199:AI199)</f>
        <v>1.5000000000000004</v>
      </c>
      <c r="AK199" s="263">
        <v>0.2</v>
      </c>
      <c r="AL199" s="263">
        <v>7.2</v>
      </c>
      <c r="AM199" s="263">
        <v>-0.3</v>
      </c>
      <c r="AN199" s="263">
        <v>12.4</v>
      </c>
      <c r="AO199" s="699">
        <f>SUM(AK199:AN199)</f>
        <v>19.5</v>
      </c>
      <c r="AP199" s="391">
        <v>1.5</v>
      </c>
      <c r="AQ199" s="391">
        <v>-0.6</v>
      </c>
      <c r="AR199" s="391">
        <v>1.6</v>
      </c>
      <c r="AS199" s="391">
        <v>4</v>
      </c>
      <c r="AT199" s="699">
        <f>SUM(AP199:AS199)</f>
        <v>6.5</v>
      </c>
      <c r="AU199" s="391"/>
      <c r="AV199" s="391"/>
      <c r="AW199" s="391"/>
      <c r="AX199" s="391"/>
      <c r="AY199" s="699"/>
      <c r="AZ199" s="391"/>
      <c r="BA199" s="391"/>
      <c r="BB199" s="383"/>
      <c r="BC199" s="383"/>
      <c r="BD199" s="410"/>
      <c r="BE199" s="383"/>
      <c r="BF199" s="383"/>
      <c r="BG199" s="383"/>
      <c r="BH199" s="383"/>
      <c r="BI199" s="410"/>
      <c r="BJ199" s="383"/>
      <c r="BK199" s="383"/>
      <c r="BL199" s="383"/>
      <c r="BM199" s="383"/>
      <c r="BN199" s="410"/>
      <c r="BO199" s="383"/>
      <c r="BP199" s="383"/>
      <c r="BQ199" s="383"/>
      <c r="BR199" s="383"/>
      <c r="BS199" s="410"/>
      <c r="BT199" s="383"/>
      <c r="BU199" s="383"/>
      <c r="BV199" s="383"/>
      <c r="BW199" s="383"/>
      <c r="BX199" s="410"/>
      <c r="BY199" s="383"/>
      <c r="BZ199" s="383"/>
      <c r="CA199" s="383"/>
      <c r="CB199" s="383"/>
      <c r="CC199" s="410"/>
      <c r="CD199" s="410"/>
      <c r="CE199" s="410"/>
      <c r="CF199" s="410"/>
      <c r="CG199" s="410"/>
      <c r="CH199" s="410"/>
      <c r="EX199" s="1261"/>
    </row>
    <row r="200" spans="1:154">
      <c r="A200" s="9"/>
      <c r="B200" s="9"/>
      <c r="C200" s="9"/>
      <c r="D200" s="9"/>
      <c r="E200" s="9"/>
      <c r="F200" s="9"/>
      <c r="G200" s="9"/>
      <c r="H200" s="259"/>
      <c r="I200" s="259"/>
      <c r="J200" s="259"/>
      <c r="K200" s="259"/>
      <c r="L200" s="258"/>
      <c r="M200" s="258"/>
      <c r="N200" s="258"/>
      <c r="O200" s="258"/>
      <c r="P200" s="259"/>
      <c r="Q200" s="258"/>
      <c r="R200" s="258"/>
      <c r="S200" s="258"/>
      <c r="T200" s="258"/>
      <c r="U200" s="259"/>
      <c r="V200" s="258"/>
      <c r="W200" s="258"/>
      <c r="X200" s="258"/>
      <c r="Y200" s="258"/>
      <c r="Z200" s="259"/>
      <c r="AA200" s="258"/>
      <c r="AB200" s="258"/>
      <c r="AC200" s="258"/>
      <c r="AD200" s="258"/>
      <c r="AE200" s="259"/>
      <c r="AF200" s="258"/>
      <c r="AG200" s="258"/>
      <c r="AH200" s="258"/>
      <c r="AI200" s="258"/>
      <c r="AJ200" s="259"/>
      <c r="AK200" s="258"/>
      <c r="AL200" s="258"/>
      <c r="AM200" s="258"/>
      <c r="AN200" s="258"/>
      <c r="AO200" s="410"/>
      <c r="AP200" s="383"/>
      <c r="AQ200" s="383"/>
      <c r="AR200" s="383"/>
      <c r="AS200" s="383"/>
      <c r="AT200" s="410"/>
      <c r="AU200" s="383"/>
      <c r="AV200" s="383"/>
      <c r="AW200" s="383"/>
      <c r="AX200" s="383"/>
      <c r="AY200" s="904"/>
      <c r="AZ200" s="383"/>
      <c r="BA200" s="383"/>
      <c r="BB200" s="383"/>
      <c r="BC200" s="383"/>
      <c r="BD200" s="410"/>
      <c r="BE200" s="383"/>
      <c r="BF200" s="383"/>
      <c r="BG200" s="383"/>
      <c r="BH200" s="383"/>
      <c r="BI200" s="410"/>
      <c r="BJ200" s="383"/>
      <c r="BK200" s="383"/>
      <c r="BL200" s="383"/>
      <c r="BM200" s="383"/>
      <c r="BN200" s="410"/>
      <c r="BO200" s="383"/>
      <c r="BP200" s="383"/>
      <c r="BQ200" s="383"/>
      <c r="BR200" s="383"/>
      <c r="BS200" s="410"/>
      <c r="BT200" s="383"/>
      <c r="BU200" s="383"/>
      <c r="BV200" s="383"/>
      <c r="BW200" s="383"/>
      <c r="BX200" s="410"/>
      <c r="BY200" s="383"/>
      <c r="BZ200" s="383"/>
      <c r="CA200" s="383"/>
      <c r="CB200" s="383"/>
      <c r="CC200" s="410"/>
      <c r="CD200" s="410"/>
      <c r="CE200" s="410"/>
      <c r="CF200" s="410"/>
      <c r="CG200" s="410"/>
      <c r="CH200" s="410"/>
      <c r="EX200" s="1261"/>
    </row>
    <row r="201" spans="1:154" s="15" customFormat="1">
      <c r="A201" s="9"/>
      <c r="B201" s="9"/>
      <c r="C201" s="9"/>
      <c r="D201" s="9"/>
      <c r="E201" s="9"/>
      <c r="F201" s="9"/>
      <c r="G201" s="9"/>
      <c r="H201" s="260" t="s">
        <v>144</v>
      </c>
      <c r="I201" s="260"/>
      <c r="J201" s="260"/>
      <c r="K201" s="260"/>
      <c r="L201" s="261"/>
      <c r="M201" s="261"/>
      <c r="N201" s="261"/>
      <c r="O201" s="261"/>
      <c r="P201" s="260"/>
      <c r="Q201" s="261"/>
      <c r="R201" s="261"/>
      <c r="S201" s="261"/>
      <c r="T201" s="261"/>
      <c r="U201" s="260"/>
      <c r="V201" s="261"/>
      <c r="W201" s="261"/>
      <c r="X201" s="261"/>
      <c r="Y201" s="261"/>
      <c r="Z201" s="260"/>
      <c r="AA201" s="261"/>
      <c r="AB201" s="261"/>
      <c r="AC201" s="261"/>
      <c r="AD201" s="261"/>
      <c r="AE201" s="260"/>
      <c r="AF201" s="261"/>
      <c r="AG201" s="261"/>
      <c r="AH201" s="261"/>
      <c r="AI201" s="261"/>
      <c r="AJ201" s="260"/>
      <c r="AK201" s="261"/>
      <c r="AL201" s="261"/>
      <c r="AM201" s="261"/>
      <c r="AN201" s="261"/>
      <c r="AO201" s="709"/>
      <c r="AP201" s="708"/>
      <c r="AQ201" s="708"/>
      <c r="AR201" s="708"/>
      <c r="AS201" s="708"/>
      <c r="AT201" s="850"/>
      <c r="AU201" s="708"/>
      <c r="AV201" s="708"/>
      <c r="AW201" s="708"/>
      <c r="AX201" s="708"/>
      <c r="AY201" s="850"/>
      <c r="AZ201" s="708"/>
      <c r="BA201" s="708"/>
      <c r="BB201" s="708"/>
      <c r="BC201" s="708"/>
      <c r="BD201" s="709"/>
      <c r="BE201" s="708"/>
      <c r="BF201" s="708"/>
      <c r="BG201" s="708"/>
      <c r="BH201" s="708"/>
      <c r="BI201" s="709"/>
      <c r="BJ201" s="708"/>
      <c r="BK201" s="708"/>
      <c r="BL201" s="708"/>
      <c r="BM201" s="708"/>
      <c r="BN201" s="709"/>
      <c r="BO201" s="708"/>
      <c r="BP201" s="708"/>
      <c r="BQ201" s="708"/>
      <c r="BR201" s="708"/>
      <c r="BS201" s="709"/>
      <c r="BT201" s="708"/>
      <c r="BU201" s="708"/>
      <c r="BV201" s="708"/>
      <c r="BW201" s="708"/>
      <c r="BX201" s="709"/>
      <c r="BY201" s="708">
        <f>PIPELINE!BY35</f>
        <v>0</v>
      </c>
      <c r="BZ201" s="708">
        <f>PIPELINE!BZ35</f>
        <v>0</v>
      </c>
      <c r="CA201" s="708">
        <f>PIPELINE!CA35</f>
        <v>9</v>
      </c>
      <c r="CB201" s="708">
        <f>PIPELINE!CB35</f>
        <v>29</v>
      </c>
      <c r="CC201" s="709">
        <f>PIPELINE!CC35</f>
        <v>38</v>
      </c>
      <c r="CD201" s="709">
        <f>PIPELINE!CD35</f>
        <v>248.52500000000001</v>
      </c>
      <c r="CE201" s="709">
        <f>PIPELINE!CE35</f>
        <v>721.97500000000002</v>
      </c>
      <c r="CF201" s="709">
        <f>PIPELINE!CF35</f>
        <v>1556.4140000000002</v>
      </c>
      <c r="CG201" s="709">
        <f>PIPELINE!CG35</f>
        <v>2708.5974999999999</v>
      </c>
      <c r="CH201" s="709">
        <f>PIPELINE!CH35</f>
        <v>4099.8971250000004</v>
      </c>
    </row>
    <row r="202" spans="1:154">
      <c r="A202" s="9"/>
      <c r="B202" s="9"/>
      <c r="C202" s="9"/>
      <c r="D202" s="9"/>
      <c r="E202" s="9"/>
      <c r="F202" s="9"/>
      <c r="G202" s="9"/>
      <c r="H202" s="257" t="s">
        <v>231</v>
      </c>
      <c r="I202" s="257"/>
      <c r="J202" s="257"/>
      <c r="K202" s="257"/>
      <c r="L202" s="258"/>
      <c r="M202" s="258"/>
      <c r="N202" s="258"/>
      <c r="O202" s="143"/>
      <c r="P202" s="80"/>
      <c r="Q202" s="258"/>
      <c r="R202" s="258"/>
      <c r="S202" s="258"/>
      <c r="T202" s="258"/>
      <c r="U202" s="80"/>
      <c r="V202" s="258"/>
      <c r="W202" s="258"/>
      <c r="X202" s="258"/>
      <c r="Y202" s="271"/>
      <c r="Z202" s="80"/>
      <c r="AA202" s="258"/>
      <c r="AB202" s="258"/>
      <c r="AC202" s="258"/>
      <c r="AD202" s="258"/>
      <c r="AE202" s="80"/>
      <c r="AF202" s="258"/>
      <c r="AG202" s="258"/>
      <c r="AH202" s="258"/>
      <c r="AI202" s="258"/>
      <c r="AJ202" s="80"/>
      <c r="AK202" s="258"/>
      <c r="AL202" s="258"/>
      <c r="AM202" s="258"/>
      <c r="AN202" s="258"/>
      <c r="AO202" s="699"/>
      <c r="AP202" s="383"/>
      <c r="AQ202" s="383"/>
      <c r="AR202" s="383"/>
      <c r="AS202" s="383"/>
      <c r="AT202" s="699"/>
      <c r="AU202" s="383"/>
      <c r="AV202" s="383"/>
      <c r="AW202" s="383"/>
      <c r="AX202" s="383"/>
      <c r="AY202" s="699"/>
      <c r="AZ202" s="388"/>
      <c r="BA202" s="388"/>
      <c r="BB202" s="388"/>
      <c r="BC202" s="388"/>
      <c r="BD202" s="699"/>
      <c r="BE202" s="388"/>
      <c r="BF202" s="388"/>
      <c r="BG202" s="388"/>
      <c r="BH202" s="388"/>
      <c r="BI202" s="699"/>
      <c r="BJ202" s="388"/>
      <c r="BK202" s="388"/>
      <c r="BL202" s="388"/>
      <c r="BM202" s="388"/>
      <c r="BN202" s="699"/>
      <c r="BO202" s="388"/>
      <c r="BP202" s="388"/>
      <c r="BQ202" s="388"/>
      <c r="BR202" s="388"/>
      <c r="BS202" s="699"/>
      <c r="BT202" s="388"/>
      <c r="BU202" s="388"/>
      <c r="BV202" s="388"/>
      <c r="BW202" s="388"/>
      <c r="BX202" s="699"/>
      <c r="BY202" s="388">
        <f>PIPELINE!BY36</f>
        <v>0</v>
      </c>
      <c r="BZ202" s="388">
        <f>PIPELINE!BZ36</f>
        <v>0</v>
      </c>
      <c r="CA202" s="388">
        <f>PIPELINE!CA36</f>
        <v>9</v>
      </c>
      <c r="CB202" s="388">
        <f>PIPELINE!CB36</f>
        <v>27</v>
      </c>
      <c r="CC202" s="699">
        <f>PIPELINE!CC36</f>
        <v>36</v>
      </c>
      <c r="CD202" s="699">
        <f>PIPELINE!CD36</f>
        <v>204.1</v>
      </c>
      <c r="CE202" s="699">
        <f>PIPELINE!CE36</f>
        <v>578.1</v>
      </c>
      <c r="CF202" s="699">
        <f>PIPELINE!CF36</f>
        <v>1175.2548000000002</v>
      </c>
      <c r="CG202" s="699">
        <f>PIPELINE!CG36</f>
        <v>1939.0535</v>
      </c>
      <c r="CH202" s="699">
        <f>PIPELINE!CH36</f>
        <v>2852.7214750000003</v>
      </c>
    </row>
    <row r="203" spans="1:154">
      <c r="A203" s="9"/>
      <c r="B203" s="9"/>
      <c r="C203" s="9"/>
      <c r="D203" s="9"/>
      <c r="E203" s="9"/>
      <c r="F203" s="9"/>
      <c r="G203" s="9"/>
      <c r="H203" s="257" t="s">
        <v>232</v>
      </c>
      <c r="I203" s="257"/>
      <c r="J203" s="257"/>
      <c r="K203" s="257"/>
      <c r="L203" s="258"/>
      <c r="M203" s="258"/>
      <c r="N203" s="258"/>
      <c r="O203" s="143"/>
      <c r="P203" s="80"/>
      <c r="Q203" s="258"/>
      <c r="R203" s="258"/>
      <c r="S203" s="258"/>
      <c r="T203" s="258"/>
      <c r="U203" s="80"/>
      <c r="V203" s="258"/>
      <c r="W203" s="258"/>
      <c r="X203" s="258"/>
      <c r="Y203" s="143"/>
      <c r="Z203" s="80"/>
      <c r="AA203" s="258"/>
      <c r="AB203" s="258"/>
      <c r="AC203" s="258"/>
      <c r="AD203" s="258"/>
      <c r="AE203" s="80"/>
      <c r="AF203" s="258"/>
      <c r="AG203" s="258"/>
      <c r="AH203" s="258"/>
      <c r="AI203" s="258"/>
      <c r="AJ203" s="80"/>
      <c r="AK203" s="258"/>
      <c r="AL203" s="258"/>
      <c r="AM203" s="258"/>
      <c r="AN203" s="258"/>
      <c r="AO203" s="699"/>
      <c r="AP203" s="383"/>
      <c r="AQ203" s="383"/>
      <c r="AR203" s="383"/>
      <c r="AS203" s="383"/>
      <c r="AT203" s="699"/>
      <c r="AU203" s="383"/>
      <c r="AV203" s="383"/>
      <c r="AW203" s="383"/>
      <c r="AX203" s="383"/>
      <c r="AY203" s="699"/>
      <c r="AZ203" s="388"/>
      <c r="BA203" s="388"/>
      <c r="BB203" s="388"/>
      <c r="BC203" s="388"/>
      <c r="BD203" s="699"/>
      <c r="BE203" s="388"/>
      <c r="BF203" s="388"/>
      <c r="BG203" s="388"/>
      <c r="BH203" s="388"/>
      <c r="BI203" s="699"/>
      <c r="BJ203" s="388"/>
      <c r="BK203" s="388"/>
      <c r="BL203" s="388"/>
      <c r="BM203" s="388"/>
      <c r="BN203" s="699"/>
      <c r="BO203" s="388"/>
      <c r="BP203" s="388"/>
      <c r="BQ203" s="388"/>
      <c r="BR203" s="388"/>
      <c r="BS203" s="699"/>
      <c r="BT203" s="388"/>
      <c r="BU203" s="388"/>
      <c r="BV203" s="388"/>
      <c r="BW203" s="388"/>
      <c r="BX203" s="699"/>
      <c r="BY203" s="388">
        <f>PIPELINE!BY37</f>
        <v>0</v>
      </c>
      <c r="BZ203" s="388">
        <f>PIPELINE!BZ37</f>
        <v>0</v>
      </c>
      <c r="CA203" s="388">
        <f>PIPELINE!CA37</f>
        <v>0</v>
      </c>
      <c r="CB203" s="388">
        <f>PIPELINE!CB37</f>
        <v>2</v>
      </c>
      <c r="CC203" s="699">
        <f>PIPELINE!CC37</f>
        <v>2</v>
      </c>
      <c r="CD203" s="699">
        <f>PIPELINE!CD37</f>
        <v>44.424999999999997</v>
      </c>
      <c r="CE203" s="699">
        <f>PIPELINE!CE37</f>
        <v>143.875</v>
      </c>
      <c r="CF203" s="699">
        <f>PIPELINE!CF37</f>
        <v>381.1592</v>
      </c>
      <c r="CG203" s="699">
        <f>PIPELINE!CG37</f>
        <v>769.5440000000001</v>
      </c>
      <c r="CH203" s="699">
        <f>PIPELINE!CH37</f>
        <v>1247.1756500000001</v>
      </c>
    </row>
    <row r="204" spans="1:154">
      <c r="A204" s="9"/>
      <c r="B204" s="9"/>
      <c r="C204" s="9"/>
      <c r="D204" s="9"/>
      <c r="E204" s="9"/>
      <c r="F204" s="9"/>
      <c r="G204" s="9"/>
      <c r="H204" s="259"/>
      <c r="I204" s="259"/>
      <c r="J204" s="259"/>
      <c r="K204" s="259"/>
      <c r="L204" s="258"/>
      <c r="M204" s="258"/>
      <c r="N204" s="258"/>
      <c r="O204" s="143"/>
      <c r="P204" s="80"/>
      <c r="Q204" s="258"/>
      <c r="R204" s="258"/>
      <c r="S204" s="258"/>
      <c r="T204" s="258"/>
      <c r="U204" s="80"/>
      <c r="V204" s="258"/>
      <c r="W204" s="258"/>
      <c r="X204" s="258"/>
      <c r="Y204" s="143"/>
      <c r="Z204" s="80"/>
      <c r="AA204" s="258"/>
      <c r="AB204" s="258"/>
      <c r="AC204" s="258"/>
      <c r="AD204" s="143"/>
      <c r="AE204" s="80"/>
      <c r="AF204" s="258"/>
      <c r="AG204" s="713"/>
      <c r="AH204" s="258"/>
      <c r="AI204" s="258"/>
      <c r="AJ204" s="80"/>
      <c r="AK204" s="258"/>
      <c r="AL204" s="143"/>
      <c r="AM204" s="143"/>
      <c r="AN204" s="143"/>
      <c r="AO204" s="699"/>
      <c r="AP204" s="388"/>
      <c r="AQ204" s="388"/>
      <c r="AR204" s="388"/>
      <c r="AS204" s="388"/>
      <c r="AT204" s="699"/>
      <c r="AU204" s="388"/>
      <c r="AV204" s="388"/>
      <c r="AW204" s="388"/>
      <c r="AX204" s="388"/>
      <c r="AY204" s="699"/>
      <c r="AZ204" s="388"/>
      <c r="BA204" s="388"/>
      <c r="BB204" s="388"/>
      <c r="BC204" s="388"/>
      <c r="BD204" s="699"/>
      <c r="BE204" s="388"/>
      <c r="BF204" s="388"/>
      <c r="BG204" s="388"/>
      <c r="BH204" s="388"/>
      <c r="BI204" s="699"/>
      <c r="BJ204" s="388"/>
      <c r="BK204" s="388"/>
      <c r="BL204" s="388"/>
      <c r="BM204" s="388"/>
      <c r="BN204" s="699"/>
      <c r="BO204" s="388"/>
      <c r="BP204" s="388"/>
      <c r="BQ204" s="388"/>
      <c r="BR204" s="388"/>
      <c r="BS204" s="344"/>
      <c r="BT204" s="388"/>
      <c r="BU204" s="388"/>
      <c r="BV204" s="388"/>
      <c r="BW204" s="388"/>
      <c r="BX204" s="699"/>
      <c r="BY204" s="388"/>
      <c r="BZ204" s="388"/>
      <c r="CA204" s="388"/>
      <c r="CB204" s="388"/>
      <c r="CC204" s="699"/>
      <c r="CD204" s="699"/>
      <c r="CE204" s="699"/>
      <c r="CF204" s="699"/>
      <c r="CG204" s="699"/>
      <c r="CH204" s="699"/>
    </row>
    <row r="205" spans="1:154" ht="12.75" customHeight="1" thickBot="1">
      <c r="A205" s="40"/>
      <c r="B205" s="40"/>
      <c r="C205" s="40"/>
      <c r="D205" s="40"/>
      <c r="E205" s="40"/>
      <c r="F205" s="40"/>
      <c r="G205" s="9"/>
      <c r="H205" s="41" t="s">
        <v>150</v>
      </c>
      <c r="I205" s="42"/>
      <c r="J205" s="42"/>
      <c r="K205" s="42"/>
      <c r="L205" s="43" t="str">
        <f>"1Q:" &amp; RIGHT(YEAR(L$4),2) &amp; IF(L$4&lt;=LatestRpQ, "A", "E")</f>
        <v>1Q:05A</v>
      </c>
      <c r="M205" s="43" t="str">
        <f>"2Q:" &amp; RIGHT(YEAR(M$4),2) &amp; IF(M$4&lt;=LatestRpQ, "A", "E")</f>
        <v>2Q:05A</v>
      </c>
      <c r="N205" s="43" t="str">
        <f>"3Q:" &amp; RIGHT(YEAR(N$4),2) &amp; IF(N$4&lt;=LatestRpQ, "A", "E")</f>
        <v>3Q:05A</v>
      </c>
      <c r="O205" s="43" t="str">
        <f>"4Q:" &amp; RIGHT(YEAR(O$4),2) &amp; IF(O$4&lt;=LatestRpQ, "A", "E")</f>
        <v>4Q:05A</v>
      </c>
      <c r="P205" s="44" t="str">
        <f>YEAR(P$4) &amp; IF(P$4&lt;=LatestRpQ, "A", "E")</f>
        <v>2005A</v>
      </c>
      <c r="Q205" s="43" t="str">
        <f>"1Q:" &amp; RIGHT(YEAR(Q$4),2) &amp; IF(Q$4&lt;=LatestRpQ, "A", "E")</f>
        <v>1Q:06A</v>
      </c>
      <c r="R205" s="43" t="str">
        <f>"2Q:" &amp; RIGHT(YEAR(R$4),2) &amp; IF(R$4&lt;=LatestRpQ, "A", "E")</f>
        <v>2Q:06A</v>
      </c>
      <c r="S205" s="43" t="str">
        <f>"3Q:" &amp; RIGHT(YEAR(S$4),2) &amp; IF(S$4&lt;=LatestRpQ, "A", "E")</f>
        <v>3Q:06A</v>
      </c>
      <c r="T205" s="43" t="str">
        <f>"4Q:" &amp; RIGHT(YEAR(T$4),2) &amp; IF(T$4&lt;=LatestRpQ, "A", "E")</f>
        <v>4Q:06A</v>
      </c>
      <c r="U205" s="44" t="str">
        <f>YEAR(U$4) &amp; IF(U$4&lt;=LatestRpQ, "A", "E")</f>
        <v>2006A</v>
      </c>
      <c r="V205" s="43" t="str">
        <f>"1Q:" &amp; RIGHT(YEAR(V$4),2) &amp; IF(V$4&lt;=LatestRpQ, "A", "E")</f>
        <v>1Q:07A</v>
      </c>
      <c r="W205" s="43" t="str">
        <f>"2Q:" &amp; RIGHT(YEAR(W$4),2) &amp; IF(W$4&lt;=LatestRpQ, "A", "E")</f>
        <v>2Q:07A</v>
      </c>
      <c r="X205" s="43" t="str">
        <f>"3Q:" &amp; RIGHT(YEAR(X$4),2) &amp; IF(X$4&lt;=LatestRpQ, "A", "E")</f>
        <v>3Q:07A</v>
      </c>
      <c r="Y205" s="43" t="str">
        <f>"4Q:" &amp; RIGHT(YEAR(Y$4),2) &amp; IF(Y$4&lt;=LatestRpQ, "A", "E")</f>
        <v>4Q:07A</v>
      </c>
      <c r="Z205" s="44" t="str">
        <f>YEAR(Z$4) &amp; IF(Z$4&lt;=LatestRpQ, "A", "E")</f>
        <v>2007A</v>
      </c>
      <c r="AA205" s="43" t="str">
        <f>"1Q:" &amp; RIGHT(YEAR(AA$4),2) &amp; IF(AA$4&lt;=LatestRpQ, "A", "E")</f>
        <v>1Q:08A</v>
      </c>
      <c r="AB205" s="43" t="str">
        <f>"2Q:" &amp; RIGHT(YEAR(AB$4),2) &amp; IF(AB$4&lt;=LatestRpQ, "A", "E")</f>
        <v>2Q:08A</v>
      </c>
      <c r="AC205" s="43" t="str">
        <f>"3Q:" &amp; RIGHT(YEAR(AC$4),2) &amp; IF(AC$4&lt;=LatestRpQ, "A", "E")</f>
        <v>3Q:08A</v>
      </c>
      <c r="AD205" s="43" t="str">
        <f>"4Q:" &amp; RIGHT(YEAR(AD$4),2) &amp; IF(AD$4&lt;=LatestRpQ, "A", "E")</f>
        <v>4Q:08A</v>
      </c>
      <c r="AE205" s="44" t="str">
        <f>YEAR(AE$4) &amp; IF(AE$4&lt;=LatestRpQ, "A", "E")</f>
        <v>2008A</v>
      </c>
      <c r="AF205" s="43" t="str">
        <f>"1Q:" &amp; RIGHT(YEAR(AF$4),2) &amp; IF(AF$4&lt;=LatestRpQ, "A", "E")</f>
        <v>1Q:09A</v>
      </c>
      <c r="AG205" s="43" t="str">
        <f>"2Q:" &amp; RIGHT(YEAR(AG$4),2) &amp; IF(AG$4&lt;=LatestRpQ, "A", "E")</f>
        <v>2Q:09A</v>
      </c>
      <c r="AH205" s="43" t="str">
        <f>"3Q:" &amp; RIGHT(YEAR(AH$4),2) &amp; IF(AH$4&lt;=LatestRpQ, "A", "E")</f>
        <v>3Q:09A</v>
      </c>
      <c r="AI205" s="43" t="str">
        <f>"4Q:" &amp; RIGHT(YEAR(AI$4),2) &amp; IF(AI$4&lt;=LatestRpQ, "A", "E")</f>
        <v>4Q:09A</v>
      </c>
      <c r="AJ205" s="44" t="str">
        <f>YEAR(AJ$4) &amp; IF(AJ$4&lt;=LatestRpQ, "A", "E")</f>
        <v>2009A</v>
      </c>
      <c r="AK205" s="43" t="str">
        <f>"1Q:" &amp; RIGHT(YEAR(AK$4),2) &amp; IF(AK$4&lt;=LatestRpQ, "A", "E")</f>
        <v>1Q:10A</v>
      </c>
      <c r="AL205" s="43" t="str">
        <f>"2Q:" &amp; RIGHT(YEAR(AL$4),2) &amp; IF(AL$4&lt;=LatestRpQ, "A", "E")</f>
        <v>2Q:10A</v>
      </c>
      <c r="AM205" s="43" t="str">
        <f>"3Q:" &amp; RIGHT(YEAR(AM$4),2) &amp; IF(AM$4&lt;=LatestRpQ, "A", "E")</f>
        <v>3Q:10A</v>
      </c>
      <c r="AN205" s="43" t="str">
        <f>"4Q:" &amp; RIGHT(YEAR(AN$4),2) &amp; IF(AN$4&lt;=LatestRpQ, "A", "E")</f>
        <v>4Q:10A</v>
      </c>
      <c r="AO205" s="44" t="str">
        <f>YEAR(AO$4) &amp; IF(AO$4&lt;=LatestRpQ, "A", "E")</f>
        <v>2010A</v>
      </c>
      <c r="AP205" s="43" t="str">
        <f>"1Q:" &amp; RIGHT(YEAR(AP$4),2) &amp; IF(AP$4&lt;=LatestRpQ, "A", "E")</f>
        <v>1Q:11A</v>
      </c>
      <c r="AQ205" s="43" t="str">
        <f>"2Q:" &amp; RIGHT(YEAR(AQ$4),2) &amp; IF(AQ$4&lt;=LatestRpQ, "A", "E")</f>
        <v>2Q:11A</v>
      </c>
      <c r="AR205" s="43" t="str">
        <f>"3Q:" &amp; RIGHT(YEAR(AR$4),2) &amp; IF(AR$4&lt;=LatestRpQ, "A", "E")</f>
        <v>3Q:11A</v>
      </c>
      <c r="AS205" s="43" t="str">
        <f>"4Q:" &amp; RIGHT(YEAR(AS$4),2) &amp; IF(AS$4&lt;=LatestRpQ, "A", "E")</f>
        <v>4Q:11A</v>
      </c>
      <c r="AT205" s="44" t="str">
        <f>YEAR(AT$4) &amp; IF(AT$4&lt;=LatestRpQ, "A", "E")</f>
        <v>2011A</v>
      </c>
      <c r="AU205" s="43" t="str">
        <f>"1Q:" &amp; RIGHT(YEAR(AU$4),2) &amp; IF(AU$4&lt;=LatestRpQ, "A", "E")</f>
        <v>1Q:12A</v>
      </c>
      <c r="AV205" s="43" t="str">
        <f>"2Q:" &amp; RIGHT(YEAR(AV$4),2) &amp; IF(AV$4&lt;=LatestRpQ, "A", "E")</f>
        <v>2Q:12A</v>
      </c>
      <c r="AW205" s="43" t="str">
        <f>"3Q:" &amp; RIGHT(YEAR(AW$4),2) &amp; IF(AW$4&lt;=LatestRpQ, "A", "E")</f>
        <v>3Q:12A</v>
      </c>
      <c r="AX205" s="43" t="str">
        <f>"4Q:" &amp; RIGHT(YEAR(AX$4),2) &amp; IF(AX$4&lt;=LatestRpQ, "A", "E")</f>
        <v>4Q:12A</v>
      </c>
      <c r="AY205" s="44" t="str">
        <f>YEAR(AY$4) &amp; IF(AY$4&lt;=LatestRpQ, "A", "E")</f>
        <v>2012A</v>
      </c>
      <c r="AZ205" s="43" t="str">
        <f>"1Q:" &amp; RIGHT(YEAR(AZ$4),2) &amp; IF(AZ$4&lt;=LatestRpQ, "A", "E")</f>
        <v>1Q:13A</v>
      </c>
      <c r="BA205" s="43" t="str">
        <f>"2Q:" &amp; RIGHT(YEAR(BA$4),2) &amp; IF(BA$4&lt;=LatestRpQ, "A", "E")</f>
        <v>2Q:13A</v>
      </c>
      <c r="BB205" s="43" t="str">
        <f>"3Q:" &amp; RIGHT(YEAR(BB$4),2) &amp; IF(BB$4&lt;=LatestRpQ, "A", "E")</f>
        <v>3Q:13A</v>
      </c>
      <c r="BC205" s="43" t="str">
        <f>"4Q:" &amp; RIGHT(YEAR(BC$4),2) &amp; IF(BC$4&lt;=LatestRpQ, "A", "E")</f>
        <v>4Q:13A</v>
      </c>
      <c r="BD205" s="761" t="str">
        <f>YEAR(BD$4) &amp; IF(BD$4&lt;=LatestRpQ, "A", "E")</f>
        <v>2013A</v>
      </c>
      <c r="BE205" s="43" t="str">
        <f>"1Q:" &amp; RIGHT(YEAR(BE$4),2) &amp; IF(BE$4&lt;=LatestRpQ, "A", "E")</f>
        <v>1Q:14A</v>
      </c>
      <c r="BF205" s="43" t="str">
        <f>"2Q:" &amp; RIGHT(YEAR(BF$4),2) &amp; IF(BF$4&lt;=LatestRpQ, "A", "E")</f>
        <v>2Q:14A</v>
      </c>
      <c r="BG205" s="43" t="str">
        <f>"3Q:" &amp; RIGHT(YEAR(BG$4),2) &amp; IF(BG$4&lt;=LatestRpQ, "A", "E")</f>
        <v>3Q:14A</v>
      </c>
      <c r="BH205" s="43" t="str">
        <f>"4Q:" &amp; RIGHT(YEAR(BH$4),2) &amp; IF(BH$4&lt;=LatestRpQ, "A", "E")</f>
        <v>4Q:14A</v>
      </c>
      <c r="BI205" s="44" t="str">
        <f>YEAR(BI$4) &amp; IF(BI$4&lt;=LatestRpQ, "A", "E")</f>
        <v>2014A</v>
      </c>
      <c r="BJ205" s="43" t="str">
        <f>"1Q:" &amp; RIGHT(YEAR(BJ$4),2) &amp; IF(BJ$4&lt;=LatestRpQ, "A", "E")</f>
        <v>1Q:15A</v>
      </c>
      <c r="BK205" s="43" t="str">
        <f>"2Q:" &amp; RIGHT(YEAR(BK$4),2) &amp; IF(BK$4&lt;=LatestRpQ, "A", "E")</f>
        <v>2Q:15A</v>
      </c>
      <c r="BL205" s="43" t="str">
        <f>"3Q:" &amp; RIGHT(YEAR(BL$4),2) &amp; IF(BL$4&lt;=LatestRpQ, "A", "E")</f>
        <v>3Q:15A</v>
      </c>
      <c r="BM205" s="43" t="str">
        <f>"4Q:" &amp; RIGHT(YEAR(BM$4),2) &amp; IF(BM$4&lt;=LatestRpQ, "A", "E")</f>
        <v>4Q:15A</v>
      </c>
      <c r="BN205" s="44" t="str">
        <f>YEAR(BN$4) &amp; IF(BN$4&lt;=LatestRpQ, "A", "E")</f>
        <v>2015A</v>
      </c>
      <c r="BO205" s="43" t="str">
        <f>"1Q:" &amp; RIGHT(YEAR(BO$4),2) &amp; IF(BO$4&lt;=LatestRpQ, "A", "E")</f>
        <v>1Q:16A</v>
      </c>
      <c r="BP205" s="43" t="str">
        <f>"2Q:" &amp; RIGHT(YEAR(BP$4),2) &amp; IF(BP$4&lt;=LatestRpQ, "A", "E")</f>
        <v>2Q:16A</v>
      </c>
      <c r="BQ205" s="43" t="str">
        <f>"3Q:" &amp; RIGHT(YEAR(BQ$4),2) &amp; IF(BQ$4&lt;=LatestRpQ, "A", "E")</f>
        <v>3Q:16A</v>
      </c>
      <c r="BR205" s="43" t="str">
        <f>"4Q:" &amp; RIGHT(YEAR(BR$4),2) &amp; IF(BR$4&lt;=LatestRpQ, "A", "E")</f>
        <v>4Q:16A</v>
      </c>
      <c r="BS205" s="44" t="str">
        <f>YEAR(BS$4) &amp; IF(BS$4&lt;=LatestRpQ, "A", "E")</f>
        <v>2016A</v>
      </c>
      <c r="BT205" s="43" t="str">
        <f>"1Q:" &amp; RIGHT(YEAR(BT$4),2) &amp; IF(BT$4&lt;=LatestRpQ, "A", "E")</f>
        <v>1Q:17A</v>
      </c>
      <c r="BU205" s="43" t="str">
        <f>"2Q:" &amp; RIGHT(YEAR(BU$4),2) &amp; IF(BU$4&lt;=LatestRpQ, "A", "E")</f>
        <v>2Q:17A</v>
      </c>
      <c r="BV205" s="43" t="str">
        <f>"3Q:" &amp; RIGHT(YEAR(BV$4),2) &amp; IF(BV$4&lt;=LatestRpQ, "A", "E")</f>
        <v>3Q:17A</v>
      </c>
      <c r="BW205" s="43" t="str">
        <f>"4Q:" &amp; RIGHT(YEAR(BW$4),2) &amp; IF(BW$4&lt;=LatestRpQ, "A", "E")</f>
        <v>4Q:17A</v>
      </c>
      <c r="BX205" s="44" t="str">
        <f>YEAR(BX$4) &amp; IF(BX$4&lt;=LatestRpQ, "A", "E")</f>
        <v>2017A</v>
      </c>
      <c r="BY205" s="43" t="str">
        <f>"1Q:" &amp; RIGHT(YEAR(BY$4),2) &amp; IF(BY$4&lt;=LatestRpQ, "A", "E")</f>
        <v>1Q:18A</v>
      </c>
      <c r="BZ205" s="43" t="str">
        <f>"2Q:" &amp; RIGHT(YEAR(BZ$4),2) &amp; IF(BZ$4&lt;=LatestRpQ, "A", "E")</f>
        <v>2Q:18E</v>
      </c>
      <c r="CA205" s="43" t="str">
        <f>"3Q:" &amp; RIGHT(YEAR(CA$4),2) &amp; IF(CA$4&lt;=LatestRpQ, "A", "E")</f>
        <v>3Q:18E</v>
      </c>
      <c r="CB205" s="43" t="str">
        <f>"4Q:" &amp; RIGHT(YEAR(CB$4),2) &amp; IF(CB$4&lt;=LatestRpQ, "A", "E")</f>
        <v>4Q:18E</v>
      </c>
      <c r="CC205" s="44" t="str">
        <f t="shared" ref="CC205:CH205" si="265">YEAR(CC$4) &amp; IF(CC$4&lt;=LatestRpQ, "A", "E")</f>
        <v>2018E</v>
      </c>
      <c r="CD205" s="44" t="str">
        <f t="shared" si="265"/>
        <v>2019E</v>
      </c>
      <c r="CE205" s="44" t="str">
        <f t="shared" si="265"/>
        <v>2020E</v>
      </c>
      <c r="CF205" s="44" t="str">
        <f t="shared" si="265"/>
        <v>2021E</v>
      </c>
      <c r="CG205" s="44" t="str">
        <f t="shared" si="265"/>
        <v>2022E</v>
      </c>
      <c r="CH205" s="44" t="str">
        <f t="shared" si="265"/>
        <v>2023E</v>
      </c>
    </row>
    <row r="206" spans="1:154" s="15" customFormat="1">
      <c r="A206" s="9"/>
      <c r="B206" s="9"/>
      <c r="C206" s="9"/>
      <c r="D206" s="9"/>
      <c r="E206" s="9"/>
      <c r="F206" s="9"/>
      <c r="G206" s="9"/>
      <c r="H206" s="255" t="s">
        <v>706</v>
      </c>
      <c r="I206" s="255"/>
      <c r="J206" s="255"/>
      <c r="K206" s="255"/>
      <c r="L206" s="256">
        <v>195.5</v>
      </c>
      <c r="M206" s="256">
        <v>201</v>
      </c>
      <c r="N206" s="256">
        <v>215.8</v>
      </c>
      <c r="O206" s="256">
        <v>251.5</v>
      </c>
      <c r="P206" s="255">
        <v>863.8</v>
      </c>
      <c r="Q206" s="256">
        <f t="shared" ref="Q206:AJ206" si="266">Q207+Q208</f>
        <v>198.4</v>
      </c>
      <c r="R206" s="256">
        <f t="shared" si="266"/>
        <v>201</v>
      </c>
      <c r="S206" s="256">
        <f t="shared" si="266"/>
        <v>216.2</v>
      </c>
      <c r="T206" s="256">
        <f t="shared" si="266"/>
        <v>259.89999999999998</v>
      </c>
      <c r="U206" s="255">
        <f t="shared" si="266"/>
        <v>875.5</v>
      </c>
      <c r="V206" s="256">
        <f t="shared" si="266"/>
        <v>215.10000000000002</v>
      </c>
      <c r="W206" s="256">
        <f t="shared" si="266"/>
        <v>214.7</v>
      </c>
      <c r="X206" s="256">
        <f t="shared" si="266"/>
        <v>236.60000000000002</v>
      </c>
      <c r="Y206" s="256">
        <f t="shared" si="266"/>
        <v>329.4</v>
      </c>
      <c r="Z206" s="255">
        <f t="shared" si="266"/>
        <v>995.8</v>
      </c>
      <c r="AA206" s="256">
        <f t="shared" si="266"/>
        <v>235.3</v>
      </c>
      <c r="AB206" s="256">
        <f t="shared" si="266"/>
        <v>254.5</v>
      </c>
      <c r="AC206" s="256">
        <f t="shared" si="266"/>
        <v>277.10000000000002</v>
      </c>
      <c r="AD206" s="256">
        <f t="shared" si="266"/>
        <v>326.39999999999998</v>
      </c>
      <c r="AE206" s="255">
        <f t="shared" si="266"/>
        <v>1093.3</v>
      </c>
      <c r="AF206" s="256">
        <f t="shared" si="266"/>
        <v>264.10000000000002</v>
      </c>
      <c r="AG206" s="256">
        <f t="shared" si="266"/>
        <v>275.39999999999998</v>
      </c>
      <c r="AH206" s="256">
        <f t="shared" si="266"/>
        <v>314.60000000000002</v>
      </c>
      <c r="AI206" s="256">
        <f t="shared" si="266"/>
        <v>353.2</v>
      </c>
      <c r="AJ206" s="255">
        <f t="shared" si="266"/>
        <v>1207.3</v>
      </c>
      <c r="AK206" s="256">
        <f t="shared" ref="AK206:AT206" si="267">AK207+AK208</f>
        <v>289.60000000000002</v>
      </c>
      <c r="AL206" s="256">
        <f t="shared" si="267"/>
        <v>324.10000000000002</v>
      </c>
      <c r="AM206" s="256">
        <f t="shared" si="267"/>
        <v>353.3</v>
      </c>
      <c r="AN206" s="256">
        <f t="shared" si="267"/>
        <v>424.3</v>
      </c>
      <c r="AO206" s="702">
        <f t="shared" si="267"/>
        <v>1391.3</v>
      </c>
      <c r="AP206" s="701">
        <f t="shared" si="267"/>
        <v>369.8</v>
      </c>
      <c r="AQ206" s="701">
        <f>AQ207+AQ208</f>
        <v>389.5</v>
      </c>
      <c r="AR206" s="701">
        <f>AR207+AR208</f>
        <v>451.1</v>
      </c>
      <c r="AS206" s="701">
        <f>AS207+AS208</f>
        <v>468.29999999999995</v>
      </c>
      <c r="AT206" s="702">
        <f t="shared" si="267"/>
        <v>1678.6999999999998</v>
      </c>
      <c r="AU206" s="701">
        <f t="shared" ref="AU206:BH206" si="268">AU207+AU208</f>
        <v>490.70000000000005</v>
      </c>
      <c r="AV206" s="701">
        <f t="shared" si="268"/>
        <v>512.20000000000005</v>
      </c>
      <c r="AW206" s="701">
        <f t="shared" si="268"/>
        <v>479.4</v>
      </c>
      <c r="AX206" s="701">
        <f t="shared" si="268"/>
        <v>554.09999999999991</v>
      </c>
      <c r="AY206" s="702">
        <f t="shared" si="268"/>
        <v>2036.4</v>
      </c>
      <c r="AZ206" s="701">
        <f t="shared" si="268"/>
        <v>498.79999999999995</v>
      </c>
      <c r="BA206" s="701">
        <f t="shared" si="268"/>
        <v>543.5</v>
      </c>
      <c r="BB206" s="701">
        <f t="shared" si="268"/>
        <v>530.29999999999995</v>
      </c>
      <c r="BC206" s="701">
        <f t="shared" si="268"/>
        <v>578.4</v>
      </c>
      <c r="BD206" s="702">
        <f t="shared" si="268"/>
        <v>2151</v>
      </c>
      <c r="BE206" s="701">
        <f>BE207+BE208</f>
        <v>527.40000000000009</v>
      </c>
      <c r="BF206" s="701">
        <f t="shared" si="268"/>
        <v>601.20000000000005</v>
      </c>
      <c r="BG206" s="701">
        <f>BG207+BG208</f>
        <v>584.70000000000005</v>
      </c>
      <c r="BH206" s="701">
        <f t="shared" si="268"/>
        <v>633.29999999999995</v>
      </c>
      <c r="BI206" s="702">
        <f t="shared" ref="BI206:CH206" si="269">BI207+BI208</f>
        <v>2346.6000000000004</v>
      </c>
      <c r="BJ206" s="701">
        <f t="shared" si="269"/>
        <v>749.8</v>
      </c>
      <c r="BK206" s="701">
        <f t="shared" si="269"/>
        <v>840.8</v>
      </c>
      <c r="BL206" s="701">
        <f t="shared" si="269"/>
        <v>778.8</v>
      </c>
      <c r="BM206" s="701">
        <f t="shared" si="269"/>
        <v>811.7</v>
      </c>
      <c r="BN206" s="702">
        <f t="shared" si="269"/>
        <v>3181.1000000000004</v>
      </c>
      <c r="BO206" s="701">
        <f t="shared" si="269"/>
        <v>754.59999999999991</v>
      </c>
      <c r="BP206" s="701">
        <f t="shared" si="269"/>
        <v>859.8</v>
      </c>
      <c r="BQ206" s="701">
        <f t="shared" si="269"/>
        <v>706.2</v>
      </c>
      <c r="BR206" s="701">
        <f t="shared" si="269"/>
        <v>837.6</v>
      </c>
      <c r="BS206" s="702">
        <f t="shared" si="269"/>
        <v>3158.2</v>
      </c>
      <c r="BT206" s="701">
        <f t="shared" si="269"/>
        <v>769.40000000000009</v>
      </c>
      <c r="BU206" s="701">
        <f t="shared" si="269"/>
        <v>784.8</v>
      </c>
      <c r="BV206" s="701">
        <f t="shared" si="269"/>
        <v>740.6</v>
      </c>
      <c r="BW206" s="701">
        <f t="shared" si="269"/>
        <v>790.90000000000009</v>
      </c>
      <c r="BX206" s="702">
        <f t="shared" si="269"/>
        <v>3085.7</v>
      </c>
      <c r="BY206" s="701">
        <f t="shared" si="269"/>
        <v>761.3</v>
      </c>
      <c r="BZ206" s="701">
        <f t="shared" si="269"/>
        <v>796.87800000000004</v>
      </c>
      <c r="CA206" s="701">
        <f t="shared" si="269"/>
        <v>762.70600000000013</v>
      </c>
      <c r="CB206" s="701">
        <f t="shared" si="269"/>
        <v>840.71699999999998</v>
      </c>
      <c r="CC206" s="702">
        <f t="shared" si="269"/>
        <v>3161.5010000000002</v>
      </c>
      <c r="CD206" s="702">
        <f t="shared" si="269"/>
        <v>3369.7132000000001</v>
      </c>
      <c r="CE206" s="702">
        <f t="shared" si="269"/>
        <v>3602.4887300000009</v>
      </c>
      <c r="CF206" s="702">
        <f t="shared" si="269"/>
        <v>3840.0759822160012</v>
      </c>
      <c r="CG206" s="702">
        <f t="shared" si="269"/>
        <v>4093.8468782077616</v>
      </c>
      <c r="CH206" s="702">
        <f t="shared" si="269"/>
        <v>4364.9373780117276</v>
      </c>
      <c r="EX206" s="1261" t="s">
        <v>706</v>
      </c>
    </row>
    <row r="207" spans="1:154" ht="12.75" customHeight="1">
      <c r="A207" s="9"/>
      <c r="B207" s="9"/>
      <c r="C207" s="9"/>
      <c r="D207" s="9"/>
      <c r="E207" s="9"/>
      <c r="F207" s="9"/>
      <c r="G207" s="9"/>
      <c r="H207" s="257" t="s">
        <v>231</v>
      </c>
      <c r="I207" s="257"/>
      <c r="J207" s="257"/>
      <c r="K207" s="257"/>
      <c r="L207" s="263">
        <v>74.599999999999994</v>
      </c>
      <c r="M207" s="263">
        <v>80.5</v>
      </c>
      <c r="N207" s="263">
        <v>94.1</v>
      </c>
      <c r="O207" s="263">
        <v>121.2</v>
      </c>
      <c r="P207" s="259">
        <v>370.4</v>
      </c>
      <c r="Q207" s="263">
        <v>84</v>
      </c>
      <c r="R207" s="263">
        <v>92.7</v>
      </c>
      <c r="S207" s="263">
        <v>98</v>
      </c>
      <c r="T207" s="263">
        <v>131.19999999999999</v>
      </c>
      <c r="U207" s="259">
        <f>SUM(Q207:T207)</f>
        <v>405.9</v>
      </c>
      <c r="V207" s="263">
        <v>92.7</v>
      </c>
      <c r="W207" s="263">
        <v>96.1</v>
      </c>
      <c r="X207" s="263">
        <v>112.4</v>
      </c>
      <c r="Y207" s="263">
        <v>179.7</v>
      </c>
      <c r="Z207" s="259">
        <f>SUM(V207:Y207)</f>
        <v>480.90000000000003</v>
      </c>
      <c r="AA207" s="263">
        <v>107.6</v>
      </c>
      <c r="AB207" s="263">
        <v>116.8</v>
      </c>
      <c r="AC207" s="263">
        <v>127.9</v>
      </c>
      <c r="AD207" s="263">
        <v>185.1</v>
      </c>
      <c r="AE207" s="79">
        <f>SUM(AA207:AD207)</f>
        <v>537.4</v>
      </c>
      <c r="AF207" s="263">
        <v>153.6</v>
      </c>
      <c r="AG207" s="263">
        <v>154.19999999999999</v>
      </c>
      <c r="AH207" s="263">
        <v>176.8</v>
      </c>
      <c r="AI207" s="263">
        <v>187.7</v>
      </c>
      <c r="AJ207" s="79">
        <f>SUM(AF207:AI207)</f>
        <v>672.3</v>
      </c>
      <c r="AK207" s="263">
        <v>157.69999999999999</v>
      </c>
      <c r="AL207" s="263">
        <v>185</v>
      </c>
      <c r="AM207" s="263">
        <v>197.8</v>
      </c>
      <c r="AN207" s="263">
        <v>234.5</v>
      </c>
      <c r="AO207" s="410">
        <f>SUM(AK207:AN207)</f>
        <v>775</v>
      </c>
      <c r="AP207" s="391">
        <v>202.4</v>
      </c>
      <c r="AQ207" s="391">
        <v>218.3</v>
      </c>
      <c r="AR207" s="391">
        <v>237.9</v>
      </c>
      <c r="AS207" s="391">
        <v>238.2</v>
      </c>
      <c r="AT207" s="410">
        <f>SUM(AP207:AS207)</f>
        <v>896.8</v>
      </c>
      <c r="AU207" s="383">
        <f t="shared" ref="AU207:AX208" si="270">AU210+AU213</f>
        <v>269.60000000000002</v>
      </c>
      <c r="AV207" s="383">
        <f t="shared" si="270"/>
        <v>304.60000000000002</v>
      </c>
      <c r="AW207" s="383">
        <f t="shared" si="270"/>
        <v>275.29999999999995</v>
      </c>
      <c r="AX207" s="383">
        <f t="shared" si="270"/>
        <v>312.2</v>
      </c>
      <c r="AY207" s="410">
        <f>SUM(AU207:AX207)</f>
        <v>1161.7</v>
      </c>
      <c r="AZ207" s="383">
        <f t="shared" ref="AZ207:BC208" si="271">AZ210+AZ213</f>
        <v>294.89999999999998</v>
      </c>
      <c r="BA207" s="383">
        <f t="shared" si="271"/>
        <v>321.3</v>
      </c>
      <c r="BB207" s="383">
        <f t="shared" si="271"/>
        <v>305</v>
      </c>
      <c r="BC207" s="383">
        <f t="shared" si="271"/>
        <v>305.5</v>
      </c>
      <c r="BD207" s="410">
        <f>SUM(AZ207:BC207)</f>
        <v>1226.7</v>
      </c>
      <c r="BE207" s="391">
        <v>307.60000000000002</v>
      </c>
      <c r="BF207" s="391">
        <v>331.8</v>
      </c>
      <c r="BG207" s="391">
        <v>312.89999999999998</v>
      </c>
      <c r="BH207" s="391">
        <v>322.10000000000002</v>
      </c>
      <c r="BI207" s="410">
        <f>BI210+BI213</f>
        <v>1274.4000000000001</v>
      </c>
      <c r="BJ207" s="391">
        <v>356.8</v>
      </c>
      <c r="BK207" s="391">
        <v>410</v>
      </c>
      <c r="BL207" s="391">
        <v>392.6</v>
      </c>
      <c r="BM207" s="391">
        <v>381.8</v>
      </c>
      <c r="BN207" s="410">
        <f>BN210+BN213</f>
        <v>1541.2</v>
      </c>
      <c r="BO207" s="391">
        <v>392.4</v>
      </c>
      <c r="BP207" s="391">
        <v>444.5</v>
      </c>
      <c r="BQ207" s="391">
        <v>338.6</v>
      </c>
      <c r="BR207" s="391">
        <v>389</v>
      </c>
      <c r="BS207" s="410">
        <f>BS210+BS213</f>
        <v>1564.4999999999998</v>
      </c>
      <c r="BT207" s="391">
        <v>413.8</v>
      </c>
      <c r="BU207" s="1068">
        <v>406.5</v>
      </c>
      <c r="BV207" s="1068">
        <v>353</v>
      </c>
      <c r="BW207" s="1068">
        <v>337.8</v>
      </c>
      <c r="BX207" s="410">
        <f>BX210+BX213</f>
        <v>1511.1</v>
      </c>
      <c r="BY207" s="1068">
        <f>375.7</f>
        <v>375.7</v>
      </c>
      <c r="BZ207" s="383">
        <f t="shared" ref="BZ207:CH207" si="272">BZ210+BZ213</f>
        <v>396.76900000000001</v>
      </c>
      <c r="CA207" s="383">
        <f t="shared" si="272"/>
        <v>351.85</v>
      </c>
      <c r="CB207" s="383">
        <f t="shared" si="272"/>
        <v>364.03100000000001</v>
      </c>
      <c r="CC207" s="410">
        <f t="shared" si="272"/>
        <v>1488.3500000000001</v>
      </c>
      <c r="CD207" s="410">
        <f t="shared" si="272"/>
        <v>1592.4686900000002</v>
      </c>
      <c r="CE207" s="410">
        <f t="shared" si="272"/>
        <v>1710.6820264000005</v>
      </c>
      <c r="CF207" s="410">
        <f t="shared" si="272"/>
        <v>1826.1991515600007</v>
      </c>
      <c r="CG207" s="410">
        <f t="shared" si="272"/>
        <v>1949.8907748852007</v>
      </c>
      <c r="CH207" s="410">
        <f t="shared" si="272"/>
        <v>2082.3575126364367</v>
      </c>
    </row>
    <row r="208" spans="1:154" ht="12.75" customHeight="1">
      <c r="A208" s="9"/>
      <c r="B208" s="9"/>
      <c r="C208" s="9"/>
      <c r="D208" s="9"/>
      <c r="E208" s="9"/>
      <c r="F208" s="9"/>
      <c r="G208" s="9"/>
      <c r="H208" s="257" t="s">
        <v>232</v>
      </c>
      <c r="I208" s="257"/>
      <c r="J208" s="257"/>
      <c r="K208" s="257"/>
      <c r="L208" s="263">
        <v>120.9</v>
      </c>
      <c r="M208" s="263">
        <v>120.5</v>
      </c>
      <c r="N208" s="263">
        <v>121.7</v>
      </c>
      <c r="O208" s="263">
        <v>130.30000000000001</v>
      </c>
      <c r="P208" s="259">
        <v>493.4</v>
      </c>
      <c r="Q208" s="263">
        <v>114.4</v>
      </c>
      <c r="R208" s="263">
        <v>108.3</v>
      </c>
      <c r="S208" s="263">
        <v>118.2</v>
      </c>
      <c r="T208" s="263">
        <v>128.69999999999999</v>
      </c>
      <c r="U208" s="259">
        <f>SUM(Q208:T208)</f>
        <v>469.59999999999997</v>
      </c>
      <c r="V208" s="263">
        <v>122.4</v>
      </c>
      <c r="W208" s="263">
        <v>118.6</v>
      </c>
      <c r="X208" s="263">
        <v>124.2</v>
      </c>
      <c r="Y208" s="263">
        <v>149.69999999999999</v>
      </c>
      <c r="Z208" s="259">
        <f>SUM(V208:Y208)</f>
        <v>514.9</v>
      </c>
      <c r="AA208" s="263">
        <v>127.7</v>
      </c>
      <c r="AB208" s="263">
        <v>137.69999999999999</v>
      </c>
      <c r="AC208" s="263">
        <v>149.19999999999999</v>
      </c>
      <c r="AD208" s="263">
        <v>141.30000000000001</v>
      </c>
      <c r="AE208" s="79">
        <f>SUM(AA208:AD208)</f>
        <v>555.9</v>
      </c>
      <c r="AF208" s="263">
        <v>110.5</v>
      </c>
      <c r="AG208" s="263">
        <v>121.2</v>
      </c>
      <c r="AH208" s="263">
        <v>137.80000000000001</v>
      </c>
      <c r="AI208" s="263">
        <v>165.5</v>
      </c>
      <c r="AJ208" s="79">
        <f>SUM(AF208:AI208)</f>
        <v>535</v>
      </c>
      <c r="AK208" s="263">
        <v>131.9</v>
      </c>
      <c r="AL208" s="263">
        <v>139.1</v>
      </c>
      <c r="AM208" s="263">
        <v>155.5</v>
      </c>
      <c r="AN208" s="263">
        <v>189.8</v>
      </c>
      <c r="AO208" s="410">
        <f>SUM(AK208:AN208)</f>
        <v>616.29999999999995</v>
      </c>
      <c r="AP208" s="391">
        <v>167.4</v>
      </c>
      <c r="AQ208" s="391">
        <v>171.2</v>
      </c>
      <c r="AR208" s="391">
        <v>213.2</v>
      </c>
      <c r="AS208" s="391">
        <v>230.1</v>
      </c>
      <c r="AT208" s="410">
        <f>SUM(AP208:AS208)</f>
        <v>781.9</v>
      </c>
      <c r="AU208" s="383">
        <f t="shared" si="270"/>
        <v>221.1</v>
      </c>
      <c r="AV208" s="383">
        <f t="shared" si="270"/>
        <v>207.60000000000002</v>
      </c>
      <c r="AW208" s="383">
        <f t="shared" si="270"/>
        <v>204.1</v>
      </c>
      <c r="AX208" s="383">
        <f t="shared" si="270"/>
        <v>241.89999999999998</v>
      </c>
      <c r="AY208" s="410">
        <f>SUM(AU208:AX208)</f>
        <v>874.7</v>
      </c>
      <c r="AZ208" s="383">
        <f t="shared" si="271"/>
        <v>203.89999999999998</v>
      </c>
      <c r="BA208" s="383">
        <f t="shared" si="271"/>
        <v>222.20000000000002</v>
      </c>
      <c r="BB208" s="383">
        <f t="shared" si="271"/>
        <v>225.29999999999998</v>
      </c>
      <c r="BC208" s="383">
        <f t="shared" si="271"/>
        <v>272.89999999999998</v>
      </c>
      <c r="BD208" s="410">
        <f>SUM(AZ208:BC208)</f>
        <v>924.3</v>
      </c>
      <c r="BE208" s="391">
        <v>219.8</v>
      </c>
      <c r="BF208" s="391">
        <v>269.39999999999998</v>
      </c>
      <c r="BG208" s="391">
        <v>271.8</v>
      </c>
      <c r="BH208" s="391">
        <v>311.2</v>
      </c>
      <c r="BI208" s="410">
        <f>BI211+BI214</f>
        <v>1072.2</v>
      </c>
      <c r="BJ208" s="391">
        <v>393</v>
      </c>
      <c r="BK208" s="391">
        <v>430.8</v>
      </c>
      <c r="BL208" s="391">
        <v>386.2</v>
      </c>
      <c r="BM208" s="391">
        <v>429.9</v>
      </c>
      <c r="BN208" s="410">
        <f>BN211+BN214</f>
        <v>1639.9</v>
      </c>
      <c r="BO208" s="391">
        <v>362.2</v>
      </c>
      <c r="BP208" s="391">
        <v>415.3</v>
      </c>
      <c r="BQ208" s="391">
        <v>367.6</v>
      </c>
      <c r="BR208" s="391">
        <v>448.6</v>
      </c>
      <c r="BS208" s="410">
        <f>BS211+BS214</f>
        <v>1593.7</v>
      </c>
      <c r="BT208" s="391">
        <v>355.6</v>
      </c>
      <c r="BU208" s="1068">
        <v>378.3</v>
      </c>
      <c r="BV208" s="1068">
        <v>387.6</v>
      </c>
      <c r="BW208" s="1068">
        <v>453.1</v>
      </c>
      <c r="BX208" s="410">
        <f>BX211+BX214</f>
        <v>1574.6000000000001</v>
      </c>
      <c r="BY208" s="1068">
        <f>385.6</f>
        <v>385.6</v>
      </c>
      <c r="BZ208" s="383">
        <f t="shared" ref="BZ208:CH208" si="273">BZ211+BZ214</f>
        <v>400.10900000000004</v>
      </c>
      <c r="CA208" s="383">
        <f t="shared" si="273"/>
        <v>410.85600000000005</v>
      </c>
      <c r="CB208" s="383">
        <f t="shared" si="273"/>
        <v>476.68599999999998</v>
      </c>
      <c r="CC208" s="410">
        <f t="shared" si="273"/>
        <v>1673.1510000000001</v>
      </c>
      <c r="CD208" s="410">
        <f t="shared" si="273"/>
        <v>1777.2445100000002</v>
      </c>
      <c r="CE208" s="410">
        <f t="shared" si="273"/>
        <v>1891.8067036000004</v>
      </c>
      <c r="CF208" s="410">
        <f t="shared" si="273"/>
        <v>2013.8768306560005</v>
      </c>
      <c r="CG208" s="410">
        <f t="shared" si="273"/>
        <v>2143.9561033225609</v>
      </c>
      <c r="CH208" s="410">
        <f t="shared" si="273"/>
        <v>2282.5798653752904</v>
      </c>
    </row>
    <row r="209" spans="1:154" ht="12.75" customHeight="1">
      <c r="A209" s="9"/>
      <c r="B209" s="9"/>
      <c r="C209" s="9"/>
      <c r="D209" s="9"/>
      <c r="E209" s="9"/>
      <c r="F209" s="9"/>
      <c r="G209" s="9"/>
      <c r="H209" s="266" t="s">
        <v>286</v>
      </c>
      <c r="I209" s="257"/>
      <c r="J209" s="257"/>
      <c r="K209" s="257"/>
      <c r="L209" s="263"/>
      <c r="M209" s="263"/>
      <c r="N209" s="263"/>
      <c r="O209" s="263"/>
      <c r="P209" s="259"/>
      <c r="Q209" s="263"/>
      <c r="R209" s="263"/>
      <c r="S209" s="263"/>
      <c r="T209" s="263"/>
      <c r="U209" s="259"/>
      <c r="V209" s="263"/>
      <c r="W209" s="263"/>
      <c r="X209" s="263"/>
      <c r="Y209" s="263"/>
      <c r="Z209" s="259"/>
      <c r="AA209" s="263"/>
      <c r="AB209" s="263"/>
      <c r="AC209" s="263"/>
      <c r="AD209" s="263"/>
      <c r="AE209" s="79"/>
      <c r="AF209" s="263"/>
      <c r="AG209" s="263"/>
      <c r="AH209" s="263"/>
      <c r="AI209" s="263"/>
      <c r="AJ209" s="79"/>
      <c r="AK209" s="263"/>
      <c r="AL209" s="263"/>
      <c r="AM209" s="263"/>
      <c r="AN209" s="263"/>
      <c r="AO209" s="410"/>
      <c r="AP209" s="391"/>
      <c r="AQ209" s="391"/>
      <c r="AR209" s="391"/>
      <c r="AS209" s="391"/>
      <c r="AT209" s="410"/>
      <c r="AU209" s="455">
        <f>AU210+AU211</f>
        <v>385.1</v>
      </c>
      <c r="AV209" s="455">
        <f>AV210+AV211</f>
        <v>375.9</v>
      </c>
      <c r="AW209" s="455">
        <f>AW210+AW211</f>
        <v>374.4</v>
      </c>
      <c r="AX209" s="455">
        <f>AX210+AX211</f>
        <v>449.4</v>
      </c>
      <c r="AY209" s="703">
        <f t="shared" ref="AY209:AY214" si="274">SUM(AU209:AX209)</f>
        <v>1584.8000000000002</v>
      </c>
      <c r="AZ209" s="455">
        <f t="shared" ref="AZ209:BJ209" si="275">AZ210+AZ211</f>
        <v>354.7</v>
      </c>
      <c r="BA209" s="455">
        <f t="shared" si="275"/>
        <v>375.70000000000005</v>
      </c>
      <c r="BB209" s="455">
        <f t="shared" si="275"/>
        <v>412.29999999999995</v>
      </c>
      <c r="BC209" s="455">
        <f t="shared" si="275"/>
        <v>469.3</v>
      </c>
      <c r="BD209" s="703">
        <f t="shared" si="275"/>
        <v>1612</v>
      </c>
      <c r="BE209" s="455">
        <f>BE210+BE211</f>
        <v>388.79999999999995</v>
      </c>
      <c r="BF209" s="455">
        <f t="shared" si="275"/>
        <v>469</v>
      </c>
      <c r="BG209" s="455">
        <f>BG210+BG211</f>
        <v>449.4</v>
      </c>
      <c r="BH209" s="455">
        <f t="shared" si="275"/>
        <v>523.20000000000005</v>
      </c>
      <c r="BI209" s="703">
        <f t="shared" si="275"/>
        <v>1830.4</v>
      </c>
      <c r="BJ209" s="455">
        <f t="shared" si="275"/>
        <v>524.4</v>
      </c>
      <c r="BK209" s="455">
        <f t="shared" ref="BK209:CH209" si="276">BK210+BK211</f>
        <v>570.5</v>
      </c>
      <c r="BL209" s="455">
        <f t="shared" si="276"/>
        <v>558.70000000000005</v>
      </c>
      <c r="BM209" s="455">
        <f t="shared" si="276"/>
        <v>606.59999999999991</v>
      </c>
      <c r="BN209" s="703">
        <f t="shared" si="276"/>
        <v>2260.2000000000003</v>
      </c>
      <c r="BO209" s="455">
        <f t="shared" si="276"/>
        <v>522.5</v>
      </c>
      <c r="BP209" s="455">
        <f t="shared" si="276"/>
        <v>550</v>
      </c>
      <c r="BQ209" s="455">
        <f t="shared" si="276"/>
        <v>519.29999999999995</v>
      </c>
      <c r="BR209" s="455">
        <f t="shared" si="276"/>
        <v>596.79999999999995</v>
      </c>
      <c r="BS209" s="703">
        <f t="shared" si="276"/>
        <v>2188.6</v>
      </c>
      <c r="BT209" s="455">
        <f t="shared" si="276"/>
        <v>508.1</v>
      </c>
      <c r="BU209" s="455">
        <f t="shared" si="276"/>
        <v>473.09999999999997</v>
      </c>
      <c r="BV209" s="455">
        <f t="shared" si="276"/>
        <v>488.5</v>
      </c>
      <c r="BW209" s="455">
        <f t="shared" si="276"/>
        <v>547.4</v>
      </c>
      <c r="BX209" s="703">
        <f t="shared" si="276"/>
        <v>2017.1</v>
      </c>
      <c r="BY209" s="455">
        <f t="shared" si="276"/>
        <v>474.2</v>
      </c>
      <c r="BZ209" s="455">
        <f t="shared" si="276"/>
        <v>462.90899999999999</v>
      </c>
      <c r="CA209" s="455">
        <f t="shared" si="276"/>
        <v>488.56200000000001</v>
      </c>
      <c r="CB209" s="455">
        <f t="shared" si="276"/>
        <v>554.15599999999995</v>
      </c>
      <c r="CC209" s="703">
        <f t="shared" si="276"/>
        <v>1979.8270000000002</v>
      </c>
      <c r="CD209" s="703">
        <f t="shared" si="276"/>
        <v>2064.7605700000004</v>
      </c>
      <c r="CE209" s="703">
        <f t="shared" si="276"/>
        <v>2174.9683600000008</v>
      </c>
      <c r="CF209" s="703">
        <f t="shared" si="276"/>
        <v>2298.3539826160004</v>
      </c>
      <c r="CG209" s="703">
        <f t="shared" si="276"/>
        <v>2428.7871186397606</v>
      </c>
      <c r="CH209" s="703">
        <f t="shared" si="276"/>
        <v>2566.6728376782867</v>
      </c>
      <c r="EX209" s="1261" t="s">
        <v>1129</v>
      </c>
    </row>
    <row r="210" spans="1:154" ht="12.75" customHeight="1">
      <c r="A210" s="9"/>
      <c r="B210" s="9"/>
      <c r="C210" s="9"/>
      <c r="D210" s="9"/>
      <c r="E210" s="9"/>
      <c r="F210" s="9"/>
      <c r="G210" s="9"/>
      <c r="H210" s="257" t="s">
        <v>231</v>
      </c>
      <c r="I210" s="257"/>
      <c r="J210" s="257"/>
      <c r="K210" s="257"/>
      <c r="L210" s="263"/>
      <c r="M210" s="263"/>
      <c r="N210" s="263"/>
      <c r="O210" s="263"/>
      <c r="P210" s="259"/>
      <c r="Q210" s="263"/>
      <c r="R210" s="263"/>
      <c r="S210" s="263"/>
      <c r="T210" s="263"/>
      <c r="U210" s="259"/>
      <c r="V210" s="263"/>
      <c r="W210" s="263"/>
      <c r="X210" s="263"/>
      <c r="Y210" s="263"/>
      <c r="Z210" s="259"/>
      <c r="AA210" s="263"/>
      <c r="AB210" s="263"/>
      <c r="AC210" s="263"/>
      <c r="AD210" s="263"/>
      <c r="AE210" s="79"/>
      <c r="AF210" s="263"/>
      <c r="AG210" s="263"/>
      <c r="AH210" s="263"/>
      <c r="AI210" s="263"/>
      <c r="AJ210" s="79"/>
      <c r="AK210" s="263"/>
      <c r="AL210" s="263"/>
      <c r="AM210" s="263"/>
      <c r="AN210" s="263"/>
      <c r="AO210" s="410"/>
      <c r="AP210" s="391"/>
      <c r="AQ210" s="391"/>
      <c r="AR210" s="391"/>
      <c r="AS210" s="391"/>
      <c r="AT210" s="410"/>
      <c r="AU210" s="391">
        <v>200.1</v>
      </c>
      <c r="AV210" s="391">
        <v>201.1</v>
      </c>
      <c r="AW210" s="391">
        <v>194.2</v>
      </c>
      <c r="AX210" s="391">
        <v>236.2</v>
      </c>
      <c r="AY210" s="410">
        <f t="shared" si="274"/>
        <v>831.59999999999991</v>
      </c>
      <c r="AZ210" s="391">
        <v>186.6</v>
      </c>
      <c r="BA210" s="391">
        <v>191.9</v>
      </c>
      <c r="BB210" s="391">
        <v>216.1</v>
      </c>
      <c r="BC210" s="391">
        <v>236.8</v>
      </c>
      <c r="BD210" s="410">
        <f>SUM(AZ210:BC210)</f>
        <v>831.40000000000009</v>
      </c>
      <c r="BE210" s="391">
        <v>210.2</v>
      </c>
      <c r="BF210" s="391">
        <v>243.6</v>
      </c>
      <c r="BG210" s="391">
        <v>214.6</v>
      </c>
      <c r="BH210" s="391">
        <v>258.5</v>
      </c>
      <c r="BI210" s="410">
        <f>SUM(BE210:BH210)</f>
        <v>926.9</v>
      </c>
      <c r="BJ210" s="1068">
        <v>231.4</v>
      </c>
      <c r="BK210" s="1068">
        <v>255.4</v>
      </c>
      <c r="BL210" s="1068">
        <v>256.39999999999998</v>
      </c>
      <c r="BM210" s="1068">
        <v>272.2</v>
      </c>
      <c r="BN210" s="410">
        <f>SUM(BJ210:BM210)</f>
        <v>1015.4000000000001</v>
      </c>
      <c r="BO210" s="1068">
        <v>249.7</v>
      </c>
      <c r="BP210" s="1068">
        <v>239.9</v>
      </c>
      <c r="BQ210" s="1068">
        <v>234.2</v>
      </c>
      <c r="BR210" s="391">
        <v>243.3</v>
      </c>
      <c r="BS210" s="410">
        <f>SUM(BO210:BR210)</f>
        <v>967.09999999999991</v>
      </c>
      <c r="BT210" s="391">
        <v>238.8</v>
      </c>
      <c r="BU210" s="1068">
        <v>183.7</v>
      </c>
      <c r="BV210" s="1068">
        <v>182.8</v>
      </c>
      <c r="BW210" s="1068">
        <v>187.4</v>
      </c>
      <c r="BX210" s="410">
        <f>SUM(BT210:BW210)</f>
        <v>792.69999999999993</v>
      </c>
      <c r="BY210" s="1068">
        <f>180.3</f>
        <v>180.3</v>
      </c>
      <c r="BZ210" s="383">
        <f t="shared" ref="BZ210:CB211" si="277">(1+BZ440)*BU210</f>
        <v>156.14499999999998</v>
      </c>
      <c r="CA210" s="383">
        <f t="shared" si="277"/>
        <v>164.52</v>
      </c>
      <c r="CB210" s="383">
        <f t="shared" si="277"/>
        <v>176.15600000000001</v>
      </c>
      <c r="CC210" s="410">
        <f>SUM(BY210:CB210)</f>
        <v>677.12100000000009</v>
      </c>
      <c r="CD210" s="410">
        <f t="shared" ref="CD210:CH211" si="278">(1+CD440)*CC210</f>
        <v>683.89221000000009</v>
      </c>
      <c r="CE210" s="410">
        <f t="shared" si="278"/>
        <v>711.24789840000017</v>
      </c>
      <c r="CF210" s="410">
        <f t="shared" si="278"/>
        <v>746.81029332000026</v>
      </c>
      <c r="CG210" s="410">
        <f t="shared" si="278"/>
        <v>784.15080798600025</v>
      </c>
      <c r="CH210" s="410">
        <f t="shared" si="278"/>
        <v>823.35834838530025</v>
      </c>
    </row>
    <row r="211" spans="1:154" ht="12.75" customHeight="1">
      <c r="A211" s="9"/>
      <c r="B211" s="9"/>
      <c r="C211" s="9"/>
      <c r="D211" s="9"/>
      <c r="E211" s="9"/>
      <c r="F211" s="9"/>
      <c r="G211" s="9"/>
      <c r="H211" s="257" t="s">
        <v>232</v>
      </c>
      <c r="I211" s="257"/>
      <c r="J211" s="257"/>
      <c r="K211" s="257"/>
      <c r="L211" s="263"/>
      <c r="M211" s="263"/>
      <c r="N211" s="263"/>
      <c r="O211" s="263"/>
      <c r="P211" s="259"/>
      <c r="Q211" s="263"/>
      <c r="R211" s="263"/>
      <c r="S211" s="263"/>
      <c r="T211" s="263"/>
      <c r="U211" s="259"/>
      <c r="V211" s="263"/>
      <c r="W211" s="263"/>
      <c r="X211" s="263"/>
      <c r="Y211" s="263"/>
      <c r="Z211" s="259"/>
      <c r="AA211" s="263"/>
      <c r="AB211" s="263"/>
      <c r="AC211" s="263"/>
      <c r="AD211" s="263"/>
      <c r="AE211" s="79"/>
      <c r="AF211" s="263"/>
      <c r="AG211" s="263"/>
      <c r="AH211" s="263"/>
      <c r="AI211" s="263"/>
      <c r="AJ211" s="79"/>
      <c r="AK211" s="263"/>
      <c r="AL211" s="263"/>
      <c r="AM211" s="263"/>
      <c r="AN211" s="263"/>
      <c r="AO211" s="410"/>
      <c r="AP211" s="391"/>
      <c r="AQ211" s="391"/>
      <c r="AR211" s="391"/>
      <c r="AS211" s="391"/>
      <c r="AT211" s="410"/>
      <c r="AU211" s="391">
        <v>185</v>
      </c>
      <c r="AV211" s="391">
        <v>174.8</v>
      </c>
      <c r="AW211" s="391">
        <v>180.2</v>
      </c>
      <c r="AX211" s="391">
        <v>213.2</v>
      </c>
      <c r="AY211" s="410">
        <f t="shared" si="274"/>
        <v>753.2</v>
      </c>
      <c r="AZ211" s="391">
        <v>168.1</v>
      </c>
      <c r="BA211" s="391">
        <v>183.8</v>
      </c>
      <c r="BB211" s="391">
        <v>196.2</v>
      </c>
      <c r="BC211" s="391">
        <v>232.5</v>
      </c>
      <c r="BD211" s="410">
        <f>SUM(AZ211:BC211)</f>
        <v>780.59999999999991</v>
      </c>
      <c r="BE211" s="391">
        <v>178.6</v>
      </c>
      <c r="BF211" s="391">
        <v>225.4</v>
      </c>
      <c r="BG211" s="391">
        <v>234.8</v>
      </c>
      <c r="BH211" s="391">
        <v>264.7</v>
      </c>
      <c r="BI211" s="410">
        <f>SUM(BE211:BH211)</f>
        <v>903.5</v>
      </c>
      <c r="BJ211" s="1068">
        <v>293</v>
      </c>
      <c r="BK211" s="1068">
        <v>315.10000000000002</v>
      </c>
      <c r="BL211" s="1068">
        <v>302.3</v>
      </c>
      <c r="BM211" s="1068">
        <v>334.4</v>
      </c>
      <c r="BN211" s="410">
        <f>SUM(BJ211:BM211)</f>
        <v>1244.8000000000002</v>
      </c>
      <c r="BO211" s="1068">
        <v>272.8</v>
      </c>
      <c r="BP211" s="1068">
        <v>310.10000000000002</v>
      </c>
      <c r="BQ211" s="1068">
        <v>285.10000000000002</v>
      </c>
      <c r="BR211" s="391">
        <v>353.5</v>
      </c>
      <c r="BS211" s="410">
        <f>SUM(BO211:BR211)</f>
        <v>1221.5</v>
      </c>
      <c r="BT211" s="391">
        <v>269.3</v>
      </c>
      <c r="BU211" s="1068">
        <v>289.39999999999998</v>
      </c>
      <c r="BV211" s="1068">
        <v>305.7</v>
      </c>
      <c r="BW211" s="1068">
        <v>360</v>
      </c>
      <c r="BX211" s="410">
        <f>SUM(BT211:BW211)</f>
        <v>1224.4000000000001</v>
      </c>
      <c r="BY211" s="1068">
        <f>293.9</f>
        <v>293.89999999999998</v>
      </c>
      <c r="BZ211" s="383">
        <f t="shared" si="277"/>
        <v>306.76400000000001</v>
      </c>
      <c r="CA211" s="383">
        <f t="shared" si="277"/>
        <v>324.04200000000003</v>
      </c>
      <c r="CB211" s="383">
        <f t="shared" si="277"/>
        <v>378</v>
      </c>
      <c r="CC211" s="410">
        <f>SUM(BY211:CB211)</f>
        <v>1302.7060000000001</v>
      </c>
      <c r="CD211" s="410">
        <f t="shared" si="278"/>
        <v>1380.8683600000002</v>
      </c>
      <c r="CE211" s="410">
        <f t="shared" si="278"/>
        <v>1463.7204616000004</v>
      </c>
      <c r="CF211" s="410">
        <f t="shared" si="278"/>
        <v>1551.5436892960004</v>
      </c>
      <c r="CG211" s="410">
        <f t="shared" si="278"/>
        <v>1644.6363106537606</v>
      </c>
      <c r="CH211" s="410">
        <f t="shared" si="278"/>
        <v>1743.3144892929863</v>
      </c>
    </row>
    <row r="212" spans="1:154" ht="12.75" customHeight="1">
      <c r="A212" s="9"/>
      <c r="B212" s="9"/>
      <c r="C212" s="9"/>
      <c r="D212" s="9"/>
      <c r="E212" s="9"/>
      <c r="F212" s="9"/>
      <c r="G212" s="9"/>
      <c r="H212" s="266" t="s">
        <v>287</v>
      </c>
      <c r="I212" s="257"/>
      <c r="J212" s="257"/>
      <c r="K212" s="257"/>
      <c r="L212" s="263"/>
      <c r="M212" s="263"/>
      <c r="N212" s="263"/>
      <c r="O212" s="263"/>
      <c r="P212" s="259"/>
      <c r="Q212" s="263"/>
      <c r="R212" s="263"/>
      <c r="S212" s="263"/>
      <c r="T212" s="263"/>
      <c r="U212" s="259"/>
      <c r="V212" s="263"/>
      <c r="W212" s="263"/>
      <c r="X212" s="263"/>
      <c r="Y212" s="263"/>
      <c r="Z212" s="259"/>
      <c r="AA212" s="263"/>
      <c r="AB212" s="263"/>
      <c r="AC212" s="263"/>
      <c r="AD212" s="263"/>
      <c r="AE212" s="79"/>
      <c r="AF212" s="263"/>
      <c r="AG212" s="263"/>
      <c r="AH212" s="263"/>
      <c r="AI212" s="263"/>
      <c r="AJ212" s="79"/>
      <c r="AK212" s="263"/>
      <c r="AL212" s="263"/>
      <c r="AM212" s="263"/>
      <c r="AN212" s="263"/>
      <c r="AO212" s="410"/>
      <c r="AP212" s="391"/>
      <c r="AQ212" s="391"/>
      <c r="AR212" s="391"/>
      <c r="AS212" s="391"/>
      <c r="AT212" s="410"/>
      <c r="AU212" s="455">
        <f>AU213+AU214</f>
        <v>105.6</v>
      </c>
      <c r="AV212" s="455">
        <f>AV213+AV214</f>
        <v>136.30000000000001</v>
      </c>
      <c r="AW212" s="455">
        <f>AW213+AW214</f>
        <v>105</v>
      </c>
      <c r="AX212" s="455">
        <f>AX213+AX214</f>
        <v>104.7</v>
      </c>
      <c r="AY212" s="703">
        <f t="shared" si="274"/>
        <v>451.59999999999997</v>
      </c>
      <c r="AZ212" s="455">
        <f t="shared" ref="AZ212:BJ212" si="279">AZ213+AZ214</f>
        <v>144.1</v>
      </c>
      <c r="BA212" s="455">
        <f t="shared" si="279"/>
        <v>167.8</v>
      </c>
      <c r="BB212" s="455">
        <f t="shared" si="279"/>
        <v>118</v>
      </c>
      <c r="BC212" s="455">
        <f t="shared" si="279"/>
        <v>109.1</v>
      </c>
      <c r="BD212" s="703">
        <f t="shared" si="279"/>
        <v>539</v>
      </c>
      <c r="BE212" s="455">
        <f>BE213+BE214</f>
        <v>138.60000000000002</v>
      </c>
      <c r="BF212" s="455">
        <f t="shared" si="279"/>
        <v>132.19999999999999</v>
      </c>
      <c r="BG212" s="455">
        <f>BG213+BG214</f>
        <v>135.30000000000001</v>
      </c>
      <c r="BH212" s="455">
        <f t="shared" si="279"/>
        <v>110.1</v>
      </c>
      <c r="BI212" s="703">
        <f t="shared" si="279"/>
        <v>516.20000000000005</v>
      </c>
      <c r="BJ212" s="455">
        <f t="shared" si="279"/>
        <v>225.4</v>
      </c>
      <c r="BK212" s="455">
        <f t="shared" ref="BK212:CH212" si="280">BK213+BK214</f>
        <v>270.3</v>
      </c>
      <c r="BL212" s="455">
        <f t="shared" si="280"/>
        <v>220.1</v>
      </c>
      <c r="BM212" s="455">
        <f t="shared" si="280"/>
        <v>205.1</v>
      </c>
      <c r="BN212" s="703">
        <f t="shared" si="280"/>
        <v>920.9</v>
      </c>
      <c r="BO212" s="455">
        <f t="shared" si="280"/>
        <v>232.1</v>
      </c>
      <c r="BP212" s="455">
        <f t="shared" si="280"/>
        <v>309.8</v>
      </c>
      <c r="BQ212" s="455">
        <f t="shared" si="280"/>
        <v>186.9</v>
      </c>
      <c r="BR212" s="455">
        <f t="shared" si="280"/>
        <v>240.79999999999998</v>
      </c>
      <c r="BS212" s="703">
        <f t="shared" si="280"/>
        <v>969.59999999999991</v>
      </c>
      <c r="BT212" s="455">
        <f t="shared" si="280"/>
        <v>261.3</v>
      </c>
      <c r="BU212" s="455">
        <f t="shared" si="280"/>
        <v>311.70000000000005</v>
      </c>
      <c r="BV212" s="455">
        <f t="shared" si="280"/>
        <v>252.20000000000002</v>
      </c>
      <c r="BW212" s="455">
        <f t="shared" si="280"/>
        <v>243.4</v>
      </c>
      <c r="BX212" s="703">
        <f t="shared" si="280"/>
        <v>1068.6000000000001</v>
      </c>
      <c r="BY212" s="455">
        <f t="shared" si="280"/>
        <v>287</v>
      </c>
      <c r="BZ212" s="455">
        <f t="shared" si="280"/>
        <v>333.96900000000005</v>
      </c>
      <c r="CA212" s="455">
        <f t="shared" si="280"/>
        <v>274.14400000000006</v>
      </c>
      <c r="CB212" s="455">
        <f t="shared" si="280"/>
        <v>286.56099999999998</v>
      </c>
      <c r="CC212" s="703">
        <f t="shared" si="280"/>
        <v>1181.674</v>
      </c>
      <c r="CD212" s="703">
        <f t="shared" si="280"/>
        <v>1304.9526300000002</v>
      </c>
      <c r="CE212" s="703">
        <f t="shared" si="280"/>
        <v>1427.5203700000004</v>
      </c>
      <c r="CF212" s="703">
        <f t="shared" si="280"/>
        <v>1541.7219996000006</v>
      </c>
      <c r="CG212" s="703">
        <f t="shared" si="280"/>
        <v>1665.0597595680006</v>
      </c>
      <c r="CH212" s="703">
        <f t="shared" si="280"/>
        <v>1798.2645403334409</v>
      </c>
      <c r="EX212" s="1261" t="s">
        <v>287</v>
      </c>
    </row>
    <row r="213" spans="1:154" ht="12.75" customHeight="1">
      <c r="A213" s="9"/>
      <c r="B213" s="9"/>
      <c r="C213" s="9"/>
      <c r="D213" s="9"/>
      <c r="E213" s="9"/>
      <c r="F213" s="9"/>
      <c r="G213" s="9"/>
      <c r="H213" s="257" t="s">
        <v>231</v>
      </c>
      <c r="I213" s="257"/>
      <c r="J213" s="257"/>
      <c r="K213" s="257"/>
      <c r="L213" s="263"/>
      <c r="M213" s="263"/>
      <c r="N213" s="263"/>
      <c r="O213" s="263"/>
      <c r="P213" s="259"/>
      <c r="Q213" s="263"/>
      <c r="R213" s="263"/>
      <c r="S213" s="263"/>
      <c r="T213" s="263"/>
      <c r="U213" s="259"/>
      <c r="V213" s="263"/>
      <c r="W213" s="263"/>
      <c r="X213" s="263"/>
      <c r="Y213" s="263"/>
      <c r="Z213" s="259"/>
      <c r="AA213" s="263"/>
      <c r="AB213" s="263"/>
      <c r="AC213" s="263"/>
      <c r="AD213" s="263"/>
      <c r="AE213" s="79"/>
      <c r="AF213" s="263"/>
      <c r="AG213" s="263"/>
      <c r="AH213" s="263"/>
      <c r="AI213" s="263"/>
      <c r="AJ213" s="79"/>
      <c r="AK213" s="263"/>
      <c r="AL213" s="263"/>
      <c r="AM213" s="263"/>
      <c r="AN213" s="263"/>
      <c r="AO213" s="410"/>
      <c r="AP213" s="391"/>
      <c r="AQ213" s="391"/>
      <c r="AR213" s="391"/>
      <c r="AS213" s="391"/>
      <c r="AT213" s="410"/>
      <c r="AU213" s="391">
        <v>69.5</v>
      </c>
      <c r="AV213" s="391">
        <v>103.5</v>
      </c>
      <c r="AW213" s="391">
        <v>81.099999999999994</v>
      </c>
      <c r="AX213" s="391">
        <v>76</v>
      </c>
      <c r="AY213" s="410">
        <f t="shared" si="274"/>
        <v>330.1</v>
      </c>
      <c r="AZ213" s="391">
        <v>108.3</v>
      </c>
      <c r="BA213" s="391">
        <v>129.4</v>
      </c>
      <c r="BB213" s="391">
        <v>88.9</v>
      </c>
      <c r="BC213" s="391">
        <v>68.7</v>
      </c>
      <c r="BD213" s="410">
        <f>SUM(AZ213:BC213)</f>
        <v>395.3</v>
      </c>
      <c r="BE213" s="391">
        <v>97.4</v>
      </c>
      <c r="BF213" s="391">
        <v>88.2</v>
      </c>
      <c r="BG213" s="391">
        <v>98.3</v>
      </c>
      <c r="BH213" s="391">
        <v>63.6</v>
      </c>
      <c r="BI213" s="410">
        <f>SUM(BE213:BH213)</f>
        <v>347.50000000000006</v>
      </c>
      <c r="BJ213" s="1068">
        <v>125.4</v>
      </c>
      <c r="BK213" s="1068">
        <v>154.6</v>
      </c>
      <c r="BL213" s="1068">
        <v>136.19999999999999</v>
      </c>
      <c r="BM213" s="1068">
        <v>109.6</v>
      </c>
      <c r="BN213" s="410">
        <f>SUM(BJ213:BM213)</f>
        <v>525.79999999999995</v>
      </c>
      <c r="BO213" s="1068">
        <v>142.69999999999999</v>
      </c>
      <c r="BP213" s="1068">
        <v>204.6</v>
      </c>
      <c r="BQ213" s="1068">
        <v>104.4</v>
      </c>
      <c r="BR213" s="391">
        <v>145.69999999999999</v>
      </c>
      <c r="BS213" s="410">
        <f>SUM(BO213:BR213)</f>
        <v>597.39999999999986</v>
      </c>
      <c r="BT213" s="391">
        <v>175</v>
      </c>
      <c r="BU213" s="1068">
        <v>222.8</v>
      </c>
      <c r="BV213" s="1068">
        <v>170.3</v>
      </c>
      <c r="BW213" s="1068">
        <v>150.30000000000001</v>
      </c>
      <c r="BX213" s="410">
        <f>SUM(BT213:BW213)</f>
        <v>718.40000000000009</v>
      </c>
      <c r="BY213" s="1068">
        <f>195.4</f>
        <v>195.4</v>
      </c>
      <c r="BZ213" s="383">
        <f t="shared" ref="BZ213:CB214" si="281">(1+BZ443)*BU213</f>
        <v>240.62400000000002</v>
      </c>
      <c r="CA213" s="383">
        <f t="shared" si="281"/>
        <v>187.33000000000004</v>
      </c>
      <c r="CB213" s="383">
        <f t="shared" si="281"/>
        <v>187.875</v>
      </c>
      <c r="CC213" s="410">
        <f>SUM(BY213:CB213)</f>
        <v>811.22900000000004</v>
      </c>
      <c r="CD213" s="410">
        <f t="shared" ref="CD213:CH214" si="282">(1+CD443)*CC213</f>
        <v>908.57648000000017</v>
      </c>
      <c r="CE213" s="410">
        <f t="shared" si="282"/>
        <v>999.43412800000033</v>
      </c>
      <c r="CF213" s="410">
        <f t="shared" si="282"/>
        <v>1079.3888582400004</v>
      </c>
      <c r="CG213" s="410">
        <f t="shared" si="282"/>
        <v>1165.7399668992005</v>
      </c>
      <c r="CH213" s="410">
        <f t="shared" si="282"/>
        <v>1258.9991642511366</v>
      </c>
    </row>
    <row r="214" spans="1:154" ht="12.75" customHeight="1">
      <c r="A214" s="9"/>
      <c r="B214" s="9"/>
      <c r="C214" s="9"/>
      <c r="D214" s="9"/>
      <c r="E214" s="9"/>
      <c r="F214" s="9"/>
      <c r="G214" s="9"/>
      <c r="H214" s="257" t="s">
        <v>232</v>
      </c>
      <c r="I214" s="257"/>
      <c r="J214" s="257"/>
      <c r="K214" s="257"/>
      <c r="L214" s="263"/>
      <c r="M214" s="263"/>
      <c r="N214" s="263"/>
      <c r="O214" s="263"/>
      <c r="P214" s="259"/>
      <c r="Q214" s="263"/>
      <c r="R214" s="263"/>
      <c r="S214" s="263"/>
      <c r="T214" s="263"/>
      <c r="U214" s="259"/>
      <c r="V214" s="263"/>
      <c r="W214" s="263"/>
      <c r="X214" s="263"/>
      <c r="Y214" s="263"/>
      <c r="Z214" s="259"/>
      <c r="AA214" s="263"/>
      <c r="AB214" s="263"/>
      <c r="AC214" s="263"/>
      <c r="AD214" s="263"/>
      <c r="AE214" s="79"/>
      <c r="AF214" s="263"/>
      <c r="AG214" s="263"/>
      <c r="AH214" s="263"/>
      <c r="AI214" s="263"/>
      <c r="AJ214" s="79"/>
      <c r="AK214" s="263"/>
      <c r="AL214" s="263"/>
      <c r="AM214" s="263"/>
      <c r="AN214" s="263"/>
      <c r="AO214" s="410"/>
      <c r="AP214" s="391"/>
      <c r="AQ214" s="391"/>
      <c r="AR214" s="391"/>
      <c r="AS214" s="391"/>
      <c r="AT214" s="410"/>
      <c r="AU214" s="391">
        <v>36.1</v>
      </c>
      <c r="AV214" s="391">
        <v>32.799999999999997</v>
      </c>
      <c r="AW214" s="391">
        <v>23.9</v>
      </c>
      <c r="AX214" s="391">
        <v>28.7</v>
      </c>
      <c r="AY214" s="410">
        <f t="shared" si="274"/>
        <v>121.50000000000001</v>
      </c>
      <c r="AZ214" s="391">
        <v>35.799999999999997</v>
      </c>
      <c r="BA214" s="391">
        <v>38.4</v>
      </c>
      <c r="BB214" s="391">
        <v>29.1</v>
      </c>
      <c r="BC214" s="391">
        <v>40.4</v>
      </c>
      <c r="BD214" s="410">
        <f>SUM(AZ214:BC214)</f>
        <v>143.69999999999999</v>
      </c>
      <c r="BE214" s="391">
        <v>41.2</v>
      </c>
      <c r="BF214" s="391">
        <v>44</v>
      </c>
      <c r="BG214" s="391">
        <v>37</v>
      </c>
      <c r="BH214" s="391">
        <v>46.5</v>
      </c>
      <c r="BI214" s="410">
        <f>SUM(BE214:BH214)</f>
        <v>168.7</v>
      </c>
      <c r="BJ214" s="1068">
        <v>100</v>
      </c>
      <c r="BK214" s="1068">
        <v>115.7</v>
      </c>
      <c r="BL214" s="1068">
        <v>83.9</v>
      </c>
      <c r="BM214" s="1068">
        <v>95.5</v>
      </c>
      <c r="BN214" s="410">
        <f>SUM(BJ214:BM214)</f>
        <v>395.1</v>
      </c>
      <c r="BO214" s="1068">
        <v>89.4</v>
      </c>
      <c r="BP214" s="1068">
        <v>105.2</v>
      </c>
      <c r="BQ214" s="1068">
        <v>82.5</v>
      </c>
      <c r="BR214" s="391">
        <v>95.1</v>
      </c>
      <c r="BS214" s="410">
        <f>SUM(BO214:BR214)</f>
        <v>372.20000000000005</v>
      </c>
      <c r="BT214" s="391">
        <v>86.3</v>
      </c>
      <c r="BU214" s="1068">
        <v>88.9</v>
      </c>
      <c r="BV214" s="1068">
        <v>81.900000000000006</v>
      </c>
      <c r="BW214" s="1068">
        <v>93.1</v>
      </c>
      <c r="BX214" s="410">
        <f>SUM(BT214:BW214)</f>
        <v>350.20000000000005</v>
      </c>
      <c r="BY214" s="1068">
        <f>91.6</f>
        <v>91.6</v>
      </c>
      <c r="BZ214" s="383">
        <f t="shared" si="281"/>
        <v>93.345000000000013</v>
      </c>
      <c r="CA214" s="383">
        <f t="shared" si="281"/>
        <v>86.814000000000007</v>
      </c>
      <c r="CB214" s="383">
        <f t="shared" si="281"/>
        <v>98.685999999999993</v>
      </c>
      <c r="CC214" s="410">
        <f>SUM(BY214:CB214)</f>
        <v>370.44499999999999</v>
      </c>
      <c r="CD214" s="410">
        <f t="shared" si="282"/>
        <v>396.37615</v>
      </c>
      <c r="CE214" s="410">
        <f t="shared" si="282"/>
        <v>428.08624200000003</v>
      </c>
      <c r="CF214" s="410">
        <f t="shared" si="282"/>
        <v>462.33314136000007</v>
      </c>
      <c r="CG214" s="410">
        <f t="shared" si="282"/>
        <v>499.31979266880012</v>
      </c>
      <c r="CH214" s="410">
        <f t="shared" si="282"/>
        <v>539.26537608230421</v>
      </c>
    </row>
    <row r="215" spans="1:154" s="15" customFormat="1" ht="13.5" hidden="1" thickBot="1">
      <c r="A215" s="9"/>
      <c r="B215" s="9"/>
      <c r="C215" s="9"/>
      <c r="D215" s="9"/>
      <c r="E215" s="9"/>
      <c r="F215" s="9"/>
      <c r="G215" s="9"/>
      <c r="H215" s="986" t="s">
        <v>145</v>
      </c>
      <c r="I215" s="986"/>
      <c r="J215" s="307"/>
      <c r="K215" s="307"/>
      <c r="L215" s="308">
        <v>3497.4</v>
      </c>
      <c r="M215" s="308">
        <v>3667.8</v>
      </c>
      <c r="N215" s="308">
        <v>3601.3</v>
      </c>
      <c r="O215" s="308">
        <v>3879.2</v>
      </c>
      <c r="P215" s="307">
        <v>14648.9</v>
      </c>
      <c r="Q215" s="308">
        <f t="shared" ref="Q215:AD215" si="283">Q206+Q11</f>
        <v>3714.8</v>
      </c>
      <c r="R215" s="308">
        <f t="shared" si="283"/>
        <v>3867.1</v>
      </c>
      <c r="S215" s="308">
        <f t="shared" si="283"/>
        <v>3864.0499999999997</v>
      </c>
      <c r="T215" s="308">
        <f t="shared" si="283"/>
        <v>4245.3</v>
      </c>
      <c r="U215" s="307">
        <f t="shared" si="283"/>
        <v>15691.05</v>
      </c>
      <c r="V215" s="308">
        <f t="shared" si="283"/>
        <v>4226.2</v>
      </c>
      <c r="W215" s="308">
        <f t="shared" si="283"/>
        <v>4630.8999999999996</v>
      </c>
      <c r="X215" s="308">
        <f t="shared" si="283"/>
        <v>4586.8</v>
      </c>
      <c r="Y215" s="308">
        <f t="shared" si="283"/>
        <v>5189.7999999999993</v>
      </c>
      <c r="Z215" s="307">
        <f t="shared" si="283"/>
        <v>18633.8</v>
      </c>
      <c r="AA215" s="308">
        <f t="shared" si="283"/>
        <v>4735.3</v>
      </c>
      <c r="AB215" s="308">
        <f t="shared" si="283"/>
        <v>5055</v>
      </c>
      <c r="AC215" s="308">
        <f t="shared" si="283"/>
        <v>5118.4000000000005</v>
      </c>
      <c r="AD215" s="308">
        <f t="shared" si="283"/>
        <v>5101.5999999999995</v>
      </c>
      <c r="AE215" s="307">
        <f>SUM(AA215:AD215)</f>
        <v>20010.3</v>
      </c>
      <c r="AF215" s="308">
        <f t="shared" ref="AF215:AI217" si="284">AF206+AF11</f>
        <v>4891.4000000000005</v>
      </c>
      <c r="AG215" s="308">
        <f t="shared" si="284"/>
        <v>5113.1499999999996</v>
      </c>
      <c r="AH215" s="308">
        <f t="shared" si="284"/>
        <v>5385.7000000000007</v>
      </c>
      <c r="AI215" s="308">
        <f t="shared" si="284"/>
        <v>5781.3</v>
      </c>
      <c r="AJ215" s="307">
        <f>SUM(AF215:AI215)</f>
        <v>21171.55</v>
      </c>
      <c r="AK215" s="308">
        <f t="shared" ref="AK215:AN217" si="285">AK206+AK11</f>
        <v>5332.5</v>
      </c>
      <c r="AL215" s="308">
        <f t="shared" si="285"/>
        <v>5589.3</v>
      </c>
      <c r="AM215" s="308">
        <f t="shared" si="285"/>
        <v>5487</v>
      </c>
      <c r="AN215" s="308">
        <f t="shared" si="285"/>
        <v>6033.78</v>
      </c>
      <c r="AO215" s="460">
        <f>SUM(AK215:AN215)</f>
        <v>22442.579999999998</v>
      </c>
      <c r="AP215" s="440">
        <f t="shared" ref="AP215:AS217" si="286">AP206+AP11</f>
        <v>5690</v>
      </c>
      <c r="AQ215" s="440">
        <f t="shared" si="286"/>
        <v>6086.7</v>
      </c>
      <c r="AR215" s="440">
        <f t="shared" si="286"/>
        <v>5971.8</v>
      </c>
      <c r="AS215" s="440">
        <f t="shared" si="286"/>
        <v>5856.5</v>
      </c>
      <c r="AT215" s="460">
        <f>SUM(AP215:AS215)</f>
        <v>23605</v>
      </c>
      <c r="AU215" s="440"/>
      <c r="AV215" s="440"/>
      <c r="AW215" s="440"/>
      <c r="AX215" s="440"/>
      <c r="AY215" s="460"/>
      <c r="AZ215" s="440"/>
      <c r="BA215" s="440"/>
      <c r="BB215" s="440"/>
      <c r="BC215" s="440"/>
      <c r="BD215" s="460"/>
      <c r="BE215" s="440"/>
      <c r="BF215" s="440"/>
      <c r="BG215" s="440"/>
      <c r="BH215" s="440"/>
      <c r="BI215" s="460"/>
      <c r="BJ215" s="440"/>
      <c r="BK215" s="440"/>
      <c r="BL215" s="440"/>
      <c r="BM215" s="440"/>
      <c r="BN215" s="460"/>
      <c r="BO215" s="440"/>
      <c r="BP215" s="440"/>
      <c r="BQ215" s="440"/>
      <c r="BR215" s="440"/>
      <c r="BS215" s="460"/>
      <c r="BT215" s="440"/>
      <c r="BU215" s="440"/>
      <c r="BV215" s="440"/>
      <c r="BW215" s="440"/>
      <c r="BX215" s="460"/>
      <c r="BY215" s="440"/>
      <c r="BZ215" s="440"/>
      <c r="CA215" s="440"/>
      <c r="CB215" s="440"/>
      <c r="CC215" s="460"/>
      <c r="CD215" s="460"/>
      <c r="CE215" s="460"/>
      <c r="CF215" s="460"/>
      <c r="CG215" s="460"/>
      <c r="CH215" s="460"/>
      <c r="EX215" s="1261" t="s">
        <v>145</v>
      </c>
    </row>
    <row r="216" spans="1:154" hidden="1">
      <c r="A216" s="9"/>
      <c r="B216" s="9"/>
      <c r="C216" s="9"/>
      <c r="D216" s="9"/>
      <c r="E216" s="9"/>
      <c r="F216" s="9"/>
      <c r="G216" s="9"/>
      <c r="H216" s="279" t="s">
        <v>231</v>
      </c>
      <c r="I216" s="279"/>
      <c r="J216" s="257"/>
      <c r="K216" s="257"/>
      <c r="L216" s="310">
        <v>1844.7</v>
      </c>
      <c r="M216" s="310">
        <v>1939.4</v>
      </c>
      <c r="N216" s="310">
        <v>1928.3</v>
      </c>
      <c r="O216" s="310">
        <v>2085.8000000000002</v>
      </c>
      <c r="P216" s="311">
        <v>7801.4</v>
      </c>
      <c r="Q216" s="310">
        <f t="shared" ref="Q216:AD216" si="287">Q207+Q12</f>
        <v>2035.5</v>
      </c>
      <c r="R216" s="310">
        <f t="shared" si="287"/>
        <v>2097.6</v>
      </c>
      <c r="S216" s="310">
        <f t="shared" si="287"/>
        <v>2106.5500000000002</v>
      </c>
      <c r="T216" s="310">
        <f t="shared" si="287"/>
        <v>2359.5</v>
      </c>
      <c r="U216" s="311">
        <f t="shared" si="287"/>
        <v>8598.9499999999989</v>
      </c>
      <c r="V216" s="310">
        <f t="shared" si="287"/>
        <v>2311</v>
      </c>
      <c r="W216" s="310">
        <f t="shared" si="287"/>
        <v>2503.6999999999998</v>
      </c>
      <c r="X216" s="310">
        <f t="shared" si="287"/>
        <v>2477.3000000000002</v>
      </c>
      <c r="Y216" s="310">
        <f t="shared" si="287"/>
        <v>2853.8999999999996</v>
      </c>
      <c r="Z216" s="311">
        <f t="shared" si="287"/>
        <v>10146</v>
      </c>
      <c r="AA216" s="310">
        <f t="shared" si="287"/>
        <v>2474.1</v>
      </c>
      <c r="AB216" s="310">
        <f t="shared" si="287"/>
        <v>2592.2000000000003</v>
      </c>
      <c r="AC216" s="310">
        <f t="shared" si="287"/>
        <v>2679.8</v>
      </c>
      <c r="AD216" s="310">
        <f t="shared" si="287"/>
        <v>2838.9</v>
      </c>
      <c r="AE216" s="311">
        <f>SUM(AA216:AD216)</f>
        <v>10585</v>
      </c>
      <c r="AF216" s="310">
        <f t="shared" si="284"/>
        <v>2736.6</v>
      </c>
      <c r="AG216" s="310">
        <f t="shared" si="284"/>
        <v>2867.0899999999997</v>
      </c>
      <c r="AH216" s="310">
        <f t="shared" si="284"/>
        <v>2997.6000000000004</v>
      </c>
      <c r="AI216" s="310">
        <f t="shared" si="284"/>
        <v>3137.2999999999997</v>
      </c>
      <c r="AJ216" s="311">
        <f>SUM(AF216:AI216)</f>
        <v>11738.59</v>
      </c>
      <c r="AK216" s="310">
        <f t="shared" si="285"/>
        <v>2906.5</v>
      </c>
      <c r="AL216" s="310">
        <f t="shared" si="285"/>
        <v>3141.9</v>
      </c>
      <c r="AM216" s="310">
        <f t="shared" si="285"/>
        <v>3035.1000000000004</v>
      </c>
      <c r="AN216" s="310">
        <f t="shared" si="285"/>
        <v>3299.38</v>
      </c>
      <c r="AO216" s="851">
        <f>SUM(AK216:AN216)</f>
        <v>12382.880000000001</v>
      </c>
      <c r="AP216" s="811">
        <f t="shared" si="286"/>
        <v>2959.7000000000003</v>
      </c>
      <c r="AQ216" s="811">
        <f t="shared" si="286"/>
        <v>3221.7000000000003</v>
      </c>
      <c r="AR216" s="811">
        <f t="shared" si="286"/>
        <v>3125</v>
      </c>
      <c r="AS216" s="811">
        <f t="shared" si="286"/>
        <v>3118</v>
      </c>
      <c r="AT216" s="851">
        <f>SUM(AP216:AS216)</f>
        <v>12424.400000000001</v>
      </c>
      <c r="AU216" s="811"/>
      <c r="AV216" s="811"/>
      <c r="AW216" s="811"/>
      <c r="AX216" s="811"/>
      <c r="AY216" s="851"/>
      <c r="AZ216" s="811"/>
      <c r="BA216" s="811"/>
      <c r="BB216" s="811"/>
      <c r="BC216" s="811"/>
      <c r="BD216" s="851"/>
      <c r="BE216" s="811"/>
      <c r="BF216" s="811"/>
      <c r="BG216" s="811"/>
      <c r="BH216" s="811"/>
      <c r="BI216" s="851"/>
      <c r="BJ216" s="811"/>
      <c r="BK216" s="811"/>
      <c r="BL216" s="811"/>
      <c r="BM216" s="811"/>
      <c r="BN216" s="851"/>
      <c r="BO216" s="811"/>
      <c r="BP216" s="811"/>
      <c r="BQ216" s="811"/>
      <c r="BR216" s="811"/>
      <c r="BS216" s="851"/>
      <c r="BT216" s="811"/>
      <c r="BU216" s="811"/>
      <c r="BV216" s="811"/>
      <c r="BW216" s="811"/>
      <c r="BX216" s="851"/>
      <c r="BY216" s="811"/>
      <c r="BZ216" s="811"/>
      <c r="CA216" s="811"/>
      <c r="CB216" s="811"/>
      <c r="CC216" s="851"/>
      <c r="CD216" s="851"/>
      <c r="CE216" s="851"/>
      <c r="CF216" s="851"/>
      <c r="CG216" s="851"/>
      <c r="CH216" s="851"/>
    </row>
    <row r="217" spans="1:154" hidden="1">
      <c r="A217" s="9"/>
      <c r="B217" s="9"/>
      <c r="C217" s="9"/>
      <c r="D217" s="9"/>
      <c r="E217" s="9"/>
      <c r="F217" s="9"/>
      <c r="G217" s="9"/>
      <c r="H217" s="987" t="s">
        <v>232</v>
      </c>
      <c r="I217" s="987"/>
      <c r="J217" s="671"/>
      <c r="K217" s="671"/>
      <c r="L217" s="672">
        <v>1652.7</v>
      </c>
      <c r="M217" s="672">
        <v>1728.4</v>
      </c>
      <c r="N217" s="672">
        <v>1673</v>
      </c>
      <c r="O217" s="672">
        <v>1793.4</v>
      </c>
      <c r="P217" s="673">
        <v>6847.5</v>
      </c>
      <c r="Q217" s="672">
        <f t="shared" ref="Q217:AD217" si="288">Q208+Q13</f>
        <v>1679.3000000000002</v>
      </c>
      <c r="R217" s="672">
        <f t="shared" si="288"/>
        <v>1769.5</v>
      </c>
      <c r="S217" s="672">
        <f t="shared" si="288"/>
        <v>1757.5</v>
      </c>
      <c r="T217" s="672">
        <f t="shared" si="288"/>
        <v>1885.8</v>
      </c>
      <c r="U217" s="673">
        <f t="shared" si="288"/>
        <v>7092.1</v>
      </c>
      <c r="V217" s="672">
        <f t="shared" si="288"/>
        <v>1915.2</v>
      </c>
      <c r="W217" s="672">
        <f t="shared" si="288"/>
        <v>2127.1999999999998</v>
      </c>
      <c r="X217" s="672">
        <f t="shared" si="288"/>
        <v>2109.5</v>
      </c>
      <c r="Y217" s="672">
        <f t="shared" si="288"/>
        <v>2335.8999999999996</v>
      </c>
      <c r="Z217" s="673">
        <f t="shared" si="288"/>
        <v>8487.7999999999993</v>
      </c>
      <c r="AA217" s="672">
        <f t="shared" si="288"/>
        <v>2261.1999999999998</v>
      </c>
      <c r="AB217" s="672">
        <f t="shared" si="288"/>
        <v>2462.7999999999997</v>
      </c>
      <c r="AC217" s="672">
        <f t="shared" si="288"/>
        <v>2438.6</v>
      </c>
      <c r="AD217" s="672">
        <f t="shared" si="288"/>
        <v>2262.7000000000003</v>
      </c>
      <c r="AE217" s="673">
        <f>SUM(AA217:AD217)</f>
        <v>9425.3000000000011</v>
      </c>
      <c r="AF217" s="672">
        <f t="shared" si="284"/>
        <v>2154.8000000000002</v>
      </c>
      <c r="AG217" s="672">
        <f t="shared" si="284"/>
        <v>2246.06</v>
      </c>
      <c r="AH217" s="672">
        <f t="shared" si="284"/>
        <v>2388.1000000000004</v>
      </c>
      <c r="AI217" s="672">
        <f t="shared" si="284"/>
        <v>2644</v>
      </c>
      <c r="AJ217" s="673">
        <f>SUM(AF217:AI217)</f>
        <v>9432.9600000000009</v>
      </c>
      <c r="AK217" s="672">
        <f t="shared" si="285"/>
        <v>2426</v>
      </c>
      <c r="AL217" s="672">
        <f t="shared" si="285"/>
        <v>2447.4</v>
      </c>
      <c r="AM217" s="672">
        <f t="shared" si="285"/>
        <v>2451.9</v>
      </c>
      <c r="AN217" s="672">
        <f t="shared" si="285"/>
        <v>2734.4</v>
      </c>
      <c r="AO217" s="853">
        <f>SUM(AK217:AN217)</f>
        <v>10059.699999999999</v>
      </c>
      <c r="AP217" s="852">
        <f t="shared" si="286"/>
        <v>2730.3</v>
      </c>
      <c r="AQ217" s="852">
        <f t="shared" si="286"/>
        <v>2865</v>
      </c>
      <c r="AR217" s="852">
        <f t="shared" si="286"/>
        <v>2846.7999999999997</v>
      </c>
      <c r="AS217" s="852">
        <f t="shared" si="286"/>
        <v>2738.5</v>
      </c>
      <c r="AT217" s="853">
        <f>SUM(AP217:AS217)</f>
        <v>11180.6</v>
      </c>
      <c r="AU217" s="852"/>
      <c r="AV217" s="852"/>
      <c r="AW217" s="852"/>
      <c r="AX217" s="852"/>
      <c r="AY217" s="853"/>
      <c r="AZ217" s="852"/>
      <c r="BA217" s="852"/>
      <c r="BB217" s="852"/>
      <c r="BC217" s="852"/>
      <c r="BD217" s="853"/>
      <c r="BE217" s="852"/>
      <c r="BF217" s="852"/>
      <c r="BG217" s="852"/>
      <c r="BH217" s="852"/>
      <c r="BI217" s="853"/>
      <c r="BJ217" s="852"/>
      <c r="BK217" s="852"/>
      <c r="BL217" s="852"/>
      <c r="BM217" s="852"/>
      <c r="BN217" s="853"/>
      <c r="BO217" s="852"/>
      <c r="BP217" s="852"/>
      <c r="BQ217" s="852"/>
      <c r="BR217" s="852"/>
      <c r="BS217" s="853"/>
      <c r="BT217" s="852"/>
      <c r="BU217" s="852"/>
      <c r="BV217" s="852"/>
      <c r="BW217" s="852"/>
      <c r="BX217" s="853"/>
      <c r="BY217" s="852"/>
      <c r="BZ217" s="852"/>
      <c r="CA217" s="852"/>
      <c r="CB217" s="852"/>
      <c r="CC217" s="853"/>
      <c r="CD217" s="853"/>
      <c r="CE217" s="853"/>
      <c r="CF217" s="853"/>
      <c r="CG217" s="853"/>
      <c r="CH217" s="853"/>
    </row>
    <row r="218" spans="1:154" s="14" customFormat="1" ht="6.75" hidden="1" customHeight="1">
      <c r="A218" s="9"/>
      <c r="B218" s="9"/>
      <c r="C218" s="9"/>
      <c r="D218" s="9"/>
      <c r="E218" s="9"/>
      <c r="F218" s="9"/>
      <c r="G218" s="9"/>
      <c r="H218" s="502"/>
      <c r="I218" s="502"/>
      <c r="L218" s="310"/>
      <c r="M218" s="310"/>
      <c r="N218" s="310"/>
      <c r="O218" s="310"/>
      <c r="P218" s="311"/>
      <c r="Q218" s="310"/>
      <c r="R218" s="310"/>
      <c r="S218" s="310"/>
      <c r="T218" s="310"/>
      <c r="U218" s="311"/>
      <c r="V218" s="310"/>
      <c r="W218" s="310"/>
      <c r="X218" s="310"/>
      <c r="Y218" s="310"/>
      <c r="Z218" s="311"/>
      <c r="AA218" s="310"/>
      <c r="AB218" s="310"/>
      <c r="AC218" s="310"/>
      <c r="AD218" s="310"/>
      <c r="AE218" s="311"/>
      <c r="AF218" s="310"/>
      <c r="AG218" s="310"/>
      <c r="AH218" s="310"/>
      <c r="AI218" s="310"/>
      <c r="AJ218" s="311"/>
      <c r="AK218" s="310"/>
      <c r="AL218" s="310"/>
      <c r="AM218" s="310"/>
      <c r="AN218" s="310"/>
      <c r="AO218" s="851"/>
      <c r="AP218" s="811"/>
      <c r="AQ218" s="811"/>
      <c r="AR218" s="811"/>
      <c r="AS218" s="811"/>
      <c r="AT218" s="851"/>
      <c r="AU218" s="811"/>
      <c r="AV218" s="811"/>
      <c r="AW218" s="811"/>
      <c r="AX218" s="811"/>
      <c r="AY218" s="876"/>
      <c r="AZ218" s="811"/>
      <c r="BA218" s="811"/>
      <c r="BB218" s="811"/>
      <c r="BC218" s="811"/>
      <c r="BD218" s="851"/>
      <c r="BE218" s="811"/>
      <c r="BF218" s="811"/>
      <c r="BG218" s="811"/>
      <c r="BH218" s="811"/>
      <c r="BI218" s="851"/>
      <c r="BJ218" s="811"/>
      <c r="BK218" s="811"/>
      <c r="BL218" s="811"/>
      <c r="BM218" s="811"/>
      <c r="BN218" s="851"/>
      <c r="BO218" s="811"/>
      <c r="BP218" s="811"/>
      <c r="BQ218" s="811"/>
      <c r="BR218" s="811"/>
      <c r="BS218" s="851"/>
      <c r="BT218" s="811"/>
      <c r="BU218" s="811"/>
      <c r="BV218" s="811"/>
      <c r="BW218" s="811"/>
      <c r="BX218" s="851"/>
      <c r="BY218" s="811"/>
      <c r="BZ218" s="811"/>
      <c r="CA218" s="811"/>
      <c r="CB218" s="811"/>
      <c r="CC218" s="851"/>
      <c r="CD218" s="851"/>
      <c r="CE218" s="851"/>
      <c r="CF218" s="851"/>
      <c r="CG218" s="851"/>
      <c r="CH218" s="851"/>
    </row>
    <row r="219" spans="1:154" s="15" customFormat="1" ht="13.5" hidden="1" thickBot="1">
      <c r="A219" s="9"/>
      <c r="B219" s="9"/>
      <c r="C219" s="9"/>
      <c r="D219" s="9"/>
      <c r="E219" s="9"/>
      <c r="F219" s="9"/>
      <c r="G219" s="9"/>
      <c r="H219" s="988" t="s">
        <v>146</v>
      </c>
      <c r="I219" s="988"/>
      <c r="J219" s="313"/>
      <c r="K219" s="313"/>
      <c r="L219" s="308"/>
      <c r="M219" s="308"/>
      <c r="N219" s="308"/>
      <c r="O219" s="308"/>
      <c r="P219" s="307"/>
      <c r="Q219" s="308">
        <f t="shared" ref="Q219:AJ219" si="289">Q220+Q221</f>
        <v>0</v>
      </c>
      <c r="R219" s="308">
        <f t="shared" si="289"/>
        <v>0</v>
      </c>
      <c r="S219" s="308">
        <f t="shared" si="289"/>
        <v>0</v>
      </c>
      <c r="T219" s="308">
        <f t="shared" si="289"/>
        <v>0</v>
      </c>
      <c r="U219" s="307">
        <f t="shared" si="289"/>
        <v>0</v>
      </c>
      <c r="V219" s="308">
        <f t="shared" si="289"/>
        <v>0</v>
      </c>
      <c r="W219" s="308">
        <f t="shared" si="289"/>
        <v>0</v>
      </c>
      <c r="X219" s="308">
        <f t="shared" si="289"/>
        <v>0</v>
      </c>
      <c r="Y219" s="308">
        <f t="shared" si="289"/>
        <v>0</v>
      </c>
      <c r="Z219" s="307">
        <f t="shared" si="289"/>
        <v>0</v>
      </c>
      <c r="AA219" s="308">
        <f t="shared" si="289"/>
        <v>175.7</v>
      </c>
      <c r="AB219" s="308">
        <f t="shared" si="289"/>
        <v>196</v>
      </c>
      <c r="AC219" s="308">
        <f t="shared" si="289"/>
        <v>190.3</v>
      </c>
      <c r="AD219" s="308">
        <f t="shared" si="289"/>
        <v>160.1</v>
      </c>
      <c r="AE219" s="307">
        <f t="shared" si="289"/>
        <v>722.1</v>
      </c>
      <c r="AF219" s="308">
        <f t="shared" si="289"/>
        <v>155.1</v>
      </c>
      <c r="AG219" s="308">
        <f t="shared" si="289"/>
        <v>179.46</v>
      </c>
      <c r="AH219" s="308">
        <f t="shared" si="289"/>
        <v>176.5</v>
      </c>
      <c r="AI219" s="308">
        <f t="shared" si="289"/>
        <v>153.4</v>
      </c>
      <c r="AJ219" s="307">
        <f t="shared" si="289"/>
        <v>664.45999999999992</v>
      </c>
      <c r="AK219" s="308">
        <f t="shared" ref="AK219:AT219" si="290">AK220+AK221</f>
        <v>152.9</v>
      </c>
      <c r="AL219" s="308">
        <f t="shared" si="290"/>
        <v>159.4</v>
      </c>
      <c r="AM219" s="308">
        <f t="shared" si="290"/>
        <v>167.89999999999998</v>
      </c>
      <c r="AN219" s="308">
        <f t="shared" si="290"/>
        <v>153.30000000000001</v>
      </c>
      <c r="AO219" s="460">
        <f t="shared" si="290"/>
        <v>633.5</v>
      </c>
      <c r="AP219" s="440">
        <f t="shared" si="290"/>
        <v>149.19999999999999</v>
      </c>
      <c r="AQ219" s="440">
        <f t="shared" si="290"/>
        <v>166.29999999999998</v>
      </c>
      <c r="AR219" s="440">
        <f t="shared" si="290"/>
        <v>176.2</v>
      </c>
      <c r="AS219" s="440">
        <f t="shared" si="290"/>
        <v>189.9</v>
      </c>
      <c r="AT219" s="460">
        <f t="shared" si="290"/>
        <v>681.60000000000014</v>
      </c>
      <c r="AU219" s="440"/>
      <c r="AV219" s="440"/>
      <c r="AW219" s="440"/>
      <c r="AX219" s="440"/>
      <c r="AY219" s="460"/>
      <c r="AZ219" s="440"/>
      <c r="BA219" s="440"/>
      <c r="BB219" s="440"/>
      <c r="BC219" s="440"/>
      <c r="BD219" s="460"/>
      <c r="BE219" s="440"/>
      <c r="BF219" s="440"/>
      <c r="BG219" s="440"/>
      <c r="BH219" s="440"/>
      <c r="BI219" s="460"/>
      <c r="BJ219" s="440"/>
      <c r="BK219" s="440"/>
      <c r="BL219" s="440"/>
      <c r="BM219" s="440"/>
      <c r="BN219" s="460"/>
      <c r="BO219" s="440"/>
      <c r="BP219" s="440"/>
      <c r="BQ219" s="440"/>
      <c r="BR219" s="440"/>
      <c r="BS219" s="460"/>
      <c r="BT219" s="440"/>
      <c r="BU219" s="440"/>
      <c r="BV219" s="440"/>
      <c r="BW219" s="440"/>
      <c r="BX219" s="460"/>
      <c r="BY219" s="440"/>
      <c r="BZ219" s="440"/>
      <c r="CA219" s="440"/>
      <c r="CB219" s="440"/>
      <c r="CC219" s="460"/>
      <c r="CD219" s="460"/>
      <c r="CE219" s="460"/>
      <c r="CF219" s="460"/>
      <c r="CG219" s="460"/>
      <c r="CH219" s="460"/>
    </row>
    <row r="220" spans="1:154" hidden="1">
      <c r="A220" s="9"/>
      <c r="B220" s="9"/>
      <c r="C220" s="9"/>
      <c r="D220" s="9"/>
      <c r="E220" s="9"/>
      <c r="F220" s="9"/>
      <c r="G220" s="9"/>
      <c r="H220" s="279" t="s">
        <v>231</v>
      </c>
      <c r="I220" s="279"/>
      <c r="J220" s="257"/>
      <c r="K220" s="257"/>
      <c r="L220" s="310"/>
      <c r="M220" s="310"/>
      <c r="N220" s="310"/>
      <c r="O220" s="310"/>
      <c r="P220" s="311"/>
      <c r="Q220" s="310">
        <f t="shared" ref="Q220:T221" si="291">Q223+Q125+Q226+Q232</f>
        <v>0</v>
      </c>
      <c r="R220" s="310">
        <f t="shared" si="291"/>
        <v>0</v>
      </c>
      <c r="S220" s="310">
        <f t="shared" si="291"/>
        <v>0</v>
      </c>
      <c r="T220" s="310">
        <f t="shared" si="291"/>
        <v>0</v>
      </c>
      <c r="U220" s="311">
        <f>SUM(Q220:T220)</f>
        <v>0</v>
      </c>
      <c r="V220" s="310">
        <f t="shared" ref="V220:Y221" si="292">V223+V125+V226+V232</f>
        <v>0</v>
      </c>
      <c r="W220" s="310">
        <f t="shared" si="292"/>
        <v>0</v>
      </c>
      <c r="X220" s="310">
        <f t="shared" si="292"/>
        <v>0</v>
      </c>
      <c r="Y220" s="310">
        <f t="shared" si="292"/>
        <v>0</v>
      </c>
      <c r="Z220" s="311">
        <f>SUM(V220:Y220)</f>
        <v>0</v>
      </c>
      <c r="AA220" s="310">
        <f t="shared" ref="AA220:AD221" si="293">AA223+AA125+AA226+AA232</f>
        <v>155.5</v>
      </c>
      <c r="AB220" s="310">
        <f t="shared" si="293"/>
        <v>170.1</v>
      </c>
      <c r="AC220" s="310">
        <f t="shared" si="293"/>
        <v>171.4</v>
      </c>
      <c r="AD220" s="310">
        <f t="shared" si="293"/>
        <v>142.6</v>
      </c>
      <c r="AE220" s="311">
        <f>SUM(AA220:AD220)</f>
        <v>639.6</v>
      </c>
      <c r="AF220" s="310">
        <f t="shared" ref="AF220:AI221" si="294">AF223+AF125+AF226+AF232</f>
        <v>135</v>
      </c>
      <c r="AG220" s="310">
        <f t="shared" si="294"/>
        <v>147.76000000000002</v>
      </c>
      <c r="AH220" s="310">
        <f t="shared" si="294"/>
        <v>148.5</v>
      </c>
      <c r="AI220" s="310">
        <f t="shared" si="294"/>
        <v>124.30000000000001</v>
      </c>
      <c r="AJ220" s="311">
        <f>SUM(AF220:AI220)</f>
        <v>555.55999999999995</v>
      </c>
      <c r="AK220" s="310">
        <f>AK223+AK125+AK226+AK232</f>
        <v>127.3</v>
      </c>
      <c r="AL220" s="310">
        <f t="shared" ref="AL220:AN221" si="295">AL223+AL125+AL226+AL232+AL229</f>
        <v>119.9</v>
      </c>
      <c r="AM220" s="310">
        <f t="shared" si="295"/>
        <v>115.3</v>
      </c>
      <c r="AN220" s="310">
        <f t="shared" si="295"/>
        <v>120.7</v>
      </c>
      <c r="AO220" s="851">
        <f>SUM(AK220:AN220)</f>
        <v>483.2</v>
      </c>
      <c r="AP220" s="811">
        <f t="shared" ref="AP220:AS221" si="296">AP223+AP125+AP226+AP232+AP229+AP69</f>
        <v>116.4</v>
      </c>
      <c r="AQ220" s="811">
        <f t="shared" si="296"/>
        <v>124.69999999999999</v>
      </c>
      <c r="AR220" s="811">
        <f t="shared" si="296"/>
        <v>148.5</v>
      </c>
      <c r="AS220" s="811">
        <f t="shared" si="296"/>
        <v>163.20000000000002</v>
      </c>
      <c r="AT220" s="851">
        <f>SUM(AP220:AS220)</f>
        <v>552.80000000000007</v>
      </c>
      <c r="AU220" s="811"/>
      <c r="AV220" s="811"/>
      <c r="AW220" s="811"/>
      <c r="AX220" s="811"/>
      <c r="AY220" s="851"/>
      <c r="AZ220" s="811"/>
      <c r="BA220" s="811"/>
      <c r="BB220" s="811"/>
      <c r="BC220" s="811"/>
      <c r="BD220" s="851"/>
      <c r="BE220" s="811"/>
      <c r="BF220" s="811"/>
      <c r="BG220" s="811"/>
      <c r="BH220" s="811"/>
      <c r="BI220" s="851"/>
      <c r="BJ220" s="811"/>
      <c r="BK220" s="811"/>
      <c r="BL220" s="811"/>
      <c r="BM220" s="811"/>
      <c r="BN220" s="851"/>
      <c r="BO220" s="811"/>
      <c r="BP220" s="811"/>
      <c r="BQ220" s="811"/>
      <c r="BR220" s="811"/>
      <c r="BS220" s="851"/>
      <c r="BT220" s="811"/>
      <c r="BU220" s="811"/>
      <c r="BV220" s="811"/>
      <c r="BW220" s="811"/>
      <c r="BX220" s="851"/>
      <c r="BY220" s="811"/>
      <c r="BZ220" s="811"/>
      <c r="CA220" s="811"/>
      <c r="CB220" s="811"/>
      <c r="CC220" s="851"/>
      <c r="CD220" s="851"/>
      <c r="CE220" s="851"/>
      <c r="CF220" s="851"/>
      <c r="CG220" s="851"/>
      <c r="CH220" s="851"/>
    </row>
    <row r="221" spans="1:154" hidden="1">
      <c r="A221" s="9"/>
      <c r="B221" s="9"/>
      <c r="C221" s="9"/>
      <c r="D221" s="9"/>
      <c r="E221" s="9"/>
      <c r="F221" s="9"/>
      <c r="G221" s="9"/>
      <c r="H221" s="283" t="s">
        <v>232</v>
      </c>
      <c r="I221" s="283"/>
      <c r="J221" s="314"/>
      <c r="K221" s="314"/>
      <c r="L221" s="310"/>
      <c r="M221" s="310"/>
      <c r="N221" s="310"/>
      <c r="O221" s="310"/>
      <c r="P221" s="311"/>
      <c r="Q221" s="310">
        <f t="shared" si="291"/>
        <v>0</v>
      </c>
      <c r="R221" s="310">
        <f t="shared" si="291"/>
        <v>0</v>
      </c>
      <c r="S221" s="310">
        <f t="shared" si="291"/>
        <v>0</v>
      </c>
      <c r="T221" s="310">
        <f t="shared" si="291"/>
        <v>0</v>
      </c>
      <c r="U221" s="311">
        <f>SUM(Q221:T221)</f>
        <v>0</v>
      </c>
      <c r="V221" s="310">
        <f t="shared" si="292"/>
        <v>0</v>
      </c>
      <c r="W221" s="310">
        <f t="shared" si="292"/>
        <v>0</v>
      </c>
      <c r="X221" s="310">
        <f t="shared" si="292"/>
        <v>0</v>
      </c>
      <c r="Y221" s="310">
        <f t="shared" si="292"/>
        <v>0</v>
      </c>
      <c r="Z221" s="311">
        <f>SUM(V221:Y221)</f>
        <v>0</v>
      </c>
      <c r="AA221" s="310">
        <f t="shared" si="293"/>
        <v>20.2</v>
      </c>
      <c r="AB221" s="310">
        <f t="shared" si="293"/>
        <v>25.9</v>
      </c>
      <c r="AC221" s="310">
        <f t="shared" si="293"/>
        <v>18.899999999999999</v>
      </c>
      <c r="AD221" s="310">
        <f t="shared" si="293"/>
        <v>17.5</v>
      </c>
      <c r="AE221" s="311">
        <f>SUM(AA221:AD221)</f>
        <v>82.5</v>
      </c>
      <c r="AF221" s="310">
        <f t="shared" si="294"/>
        <v>20.100000000000001</v>
      </c>
      <c r="AG221" s="310">
        <f t="shared" si="294"/>
        <v>31.7</v>
      </c>
      <c r="AH221" s="310">
        <f t="shared" si="294"/>
        <v>28</v>
      </c>
      <c r="AI221" s="310">
        <f t="shared" si="294"/>
        <v>29.099999999999998</v>
      </c>
      <c r="AJ221" s="311">
        <f>SUM(AF221:AI221)</f>
        <v>108.89999999999999</v>
      </c>
      <c r="AK221" s="310">
        <f>AK224+AK126+AK227+AK233</f>
        <v>25.6</v>
      </c>
      <c r="AL221" s="310">
        <f t="shared" si="295"/>
        <v>39.5</v>
      </c>
      <c r="AM221" s="310">
        <f t="shared" si="295"/>
        <v>52.599999999999994</v>
      </c>
      <c r="AN221" s="310">
        <f t="shared" si="295"/>
        <v>32.6</v>
      </c>
      <c r="AO221" s="851">
        <f>SUM(AK221:AN221)</f>
        <v>150.29999999999998</v>
      </c>
      <c r="AP221" s="811">
        <f t="shared" si="296"/>
        <v>32.799999999999997</v>
      </c>
      <c r="AQ221" s="811">
        <f t="shared" si="296"/>
        <v>41.6</v>
      </c>
      <c r="AR221" s="811">
        <f t="shared" si="296"/>
        <v>27.7</v>
      </c>
      <c r="AS221" s="811">
        <f t="shared" si="296"/>
        <v>26.7</v>
      </c>
      <c r="AT221" s="851">
        <f>SUM(AP221:AS221)</f>
        <v>128.80000000000001</v>
      </c>
      <c r="AU221" s="811"/>
      <c r="AV221" s="811"/>
      <c r="AW221" s="811"/>
      <c r="AX221" s="811"/>
      <c r="AY221" s="851"/>
      <c r="AZ221" s="811"/>
      <c r="BA221" s="811"/>
      <c r="BB221" s="811"/>
      <c r="BC221" s="811"/>
      <c r="BD221" s="851"/>
      <c r="BE221" s="811"/>
      <c r="BF221" s="811"/>
      <c r="BG221" s="811"/>
      <c r="BH221" s="811"/>
      <c r="BI221" s="851"/>
      <c r="BJ221" s="811"/>
      <c r="BK221" s="811"/>
      <c r="BL221" s="811"/>
      <c r="BM221" s="811"/>
      <c r="BN221" s="851"/>
      <c r="BO221" s="811"/>
      <c r="BP221" s="811"/>
      <c r="BQ221" s="811"/>
      <c r="BR221" s="811"/>
      <c r="BS221" s="851"/>
      <c r="BT221" s="811"/>
      <c r="BU221" s="811"/>
      <c r="BV221" s="811"/>
      <c r="BW221" s="811"/>
      <c r="BX221" s="851"/>
      <c r="BY221" s="811"/>
      <c r="BZ221" s="811"/>
      <c r="CA221" s="811"/>
      <c r="CB221" s="811"/>
      <c r="CC221" s="851"/>
      <c r="CD221" s="851"/>
      <c r="CE221" s="851"/>
      <c r="CF221" s="851"/>
      <c r="CG221" s="851"/>
      <c r="CH221" s="851"/>
    </row>
    <row r="222" spans="1:154" s="14" customFormat="1" hidden="1">
      <c r="A222" s="9"/>
      <c r="B222" s="9"/>
      <c r="C222" s="9"/>
      <c r="D222" s="9"/>
      <c r="E222" s="9"/>
      <c r="F222" s="9"/>
      <c r="G222" s="9"/>
      <c r="H222" s="788" t="s">
        <v>261</v>
      </c>
      <c r="I222" s="788"/>
      <c r="J222" s="18"/>
      <c r="K222" s="18"/>
      <c r="L222" s="66"/>
      <c r="M222" s="66"/>
      <c r="N222" s="66"/>
      <c r="O222" s="66"/>
      <c r="Q222" s="136">
        <f t="shared" ref="Q222:AJ222" si="297">Q223+Q224</f>
        <v>0</v>
      </c>
      <c r="R222" s="136">
        <f t="shared" si="297"/>
        <v>0</v>
      </c>
      <c r="S222" s="136">
        <f t="shared" si="297"/>
        <v>0</v>
      </c>
      <c r="T222" s="136">
        <f t="shared" si="297"/>
        <v>0</v>
      </c>
      <c r="U222" s="270">
        <f t="shared" si="297"/>
        <v>0</v>
      </c>
      <c r="V222" s="136">
        <f t="shared" si="297"/>
        <v>0</v>
      </c>
      <c r="W222" s="136">
        <f t="shared" si="297"/>
        <v>0</v>
      </c>
      <c r="X222" s="136">
        <f t="shared" si="297"/>
        <v>0</v>
      </c>
      <c r="Y222" s="136">
        <f t="shared" si="297"/>
        <v>0</v>
      </c>
      <c r="Z222" s="270">
        <f t="shared" si="297"/>
        <v>0</v>
      </c>
      <c r="AA222" s="136">
        <f t="shared" si="297"/>
        <v>66.3</v>
      </c>
      <c r="AB222" s="136">
        <f t="shared" si="297"/>
        <v>78.5</v>
      </c>
      <c r="AC222" s="136">
        <f t="shared" si="297"/>
        <v>83.2</v>
      </c>
      <c r="AD222" s="136">
        <f t="shared" si="297"/>
        <v>71.5</v>
      </c>
      <c r="AE222" s="270">
        <f t="shared" si="297"/>
        <v>299.5</v>
      </c>
      <c r="AF222" s="136">
        <f t="shared" si="297"/>
        <v>70.2</v>
      </c>
      <c r="AG222" s="136">
        <f t="shared" si="297"/>
        <v>79.900000000000006</v>
      </c>
      <c r="AH222" s="136">
        <f t="shared" si="297"/>
        <v>77.8</v>
      </c>
      <c r="AI222" s="136">
        <f t="shared" si="297"/>
        <v>72.900000000000006</v>
      </c>
      <c r="AJ222" s="270">
        <f t="shared" si="297"/>
        <v>300.80000000000007</v>
      </c>
      <c r="AK222" s="136">
        <f t="shared" ref="AK222:AT222" si="298">AK223+AK224</f>
        <v>72.5</v>
      </c>
      <c r="AL222" s="136">
        <f t="shared" si="298"/>
        <v>63.2</v>
      </c>
      <c r="AM222" s="136">
        <f t="shared" si="298"/>
        <v>63.6</v>
      </c>
      <c r="AN222" s="136">
        <f t="shared" si="298"/>
        <v>63.2</v>
      </c>
      <c r="AO222" s="428">
        <f t="shared" si="298"/>
        <v>262.5</v>
      </c>
      <c r="AP222" s="420">
        <f t="shared" si="298"/>
        <v>61</v>
      </c>
      <c r="AQ222" s="420">
        <f>AQ223+AQ224</f>
        <v>59.2</v>
      </c>
      <c r="AR222" s="420">
        <f t="shared" si="298"/>
        <v>60.3</v>
      </c>
      <c r="AS222" s="420">
        <f>AS223+AS224</f>
        <v>62.6</v>
      </c>
      <c r="AT222" s="428">
        <f t="shared" si="298"/>
        <v>243.1</v>
      </c>
      <c r="AU222" s="420"/>
      <c r="AV222" s="420"/>
      <c r="AW222" s="420"/>
      <c r="AX222" s="420"/>
      <c r="AY222" s="428"/>
      <c r="AZ222" s="879"/>
      <c r="BA222" s="879"/>
      <c r="BB222" s="879"/>
      <c r="BC222" s="879"/>
      <c r="BD222" s="878"/>
      <c r="BE222" s="420"/>
      <c r="BF222" s="420"/>
      <c r="BG222" s="420"/>
      <c r="BH222" s="420"/>
      <c r="BI222" s="878"/>
      <c r="BJ222" s="879"/>
      <c r="BK222" s="879"/>
      <c r="BL222" s="879"/>
      <c r="BM222" s="879"/>
      <c r="BN222" s="878"/>
      <c r="BO222" s="879"/>
      <c r="BP222" s="879"/>
      <c r="BQ222" s="879"/>
      <c r="BR222" s="879"/>
      <c r="BS222" s="878"/>
      <c r="BT222" s="879"/>
      <c r="BU222" s="879"/>
      <c r="BV222" s="879"/>
      <c r="BW222" s="879"/>
      <c r="BX222" s="878"/>
      <c r="BY222" s="879"/>
      <c r="BZ222" s="879"/>
      <c r="CA222" s="879"/>
      <c r="CB222" s="879"/>
      <c r="CC222" s="878"/>
      <c r="CD222" s="878"/>
      <c r="CE222" s="878"/>
      <c r="CF222" s="878"/>
      <c r="CG222" s="878"/>
      <c r="CH222" s="878"/>
    </row>
    <row r="223" spans="1:154" hidden="1">
      <c r="A223" s="9"/>
      <c r="B223" s="9"/>
      <c r="C223" s="9"/>
      <c r="D223" s="9"/>
      <c r="E223" s="9"/>
      <c r="F223" s="9"/>
      <c r="G223" s="9"/>
      <c r="H223" s="789" t="s">
        <v>702</v>
      </c>
      <c r="I223" s="789"/>
      <c r="J223" s="73"/>
      <c r="K223" s="73"/>
      <c r="L223" s="66"/>
      <c r="M223" s="66"/>
      <c r="N223" s="66"/>
      <c r="O223" s="66"/>
      <c r="Q223" s="310"/>
      <c r="R223" s="310"/>
      <c r="S223" s="310"/>
      <c r="T223" s="310"/>
      <c r="U223" s="311">
        <f>SUM(Q223:T223)</f>
        <v>0</v>
      </c>
      <c r="V223" s="310"/>
      <c r="W223" s="310"/>
      <c r="X223" s="310"/>
      <c r="Y223" s="310"/>
      <c r="Z223" s="311">
        <f>SUM(V223:Y223)</f>
        <v>0</v>
      </c>
      <c r="AA223" s="315">
        <v>66.3</v>
      </c>
      <c r="AB223" s="315">
        <v>78.5</v>
      </c>
      <c r="AC223" s="315">
        <v>83.2</v>
      </c>
      <c r="AD223" s="315">
        <v>71.5</v>
      </c>
      <c r="AE223" s="316">
        <f>SUM(AA223:AD223)</f>
        <v>299.5</v>
      </c>
      <c r="AF223" s="315">
        <v>70.2</v>
      </c>
      <c r="AG223" s="315">
        <v>79.900000000000006</v>
      </c>
      <c r="AH223" s="315">
        <v>77.8</v>
      </c>
      <c r="AI223" s="315">
        <v>72.900000000000006</v>
      </c>
      <c r="AJ223" s="316">
        <f>SUM(AF223:AI223)</f>
        <v>300.80000000000007</v>
      </c>
      <c r="AK223" s="315">
        <v>72.5</v>
      </c>
      <c r="AL223" s="315">
        <v>63.2</v>
      </c>
      <c r="AM223" s="315">
        <v>63.6</v>
      </c>
      <c r="AN223" s="315">
        <v>63.2</v>
      </c>
      <c r="AO223" s="854">
        <f>SUM(AK223:AN223)</f>
        <v>262.5</v>
      </c>
      <c r="AP223" s="905">
        <v>61</v>
      </c>
      <c r="AQ223" s="905">
        <v>59.2</v>
      </c>
      <c r="AR223" s="905">
        <v>60.3</v>
      </c>
      <c r="AS223" s="905">
        <v>62.6</v>
      </c>
      <c r="AT223" s="854">
        <f>SUM(AP223:AS223)</f>
        <v>243.1</v>
      </c>
      <c r="AU223" s="905"/>
      <c r="AV223" s="905"/>
      <c r="AW223" s="905"/>
      <c r="AX223" s="923"/>
      <c r="AY223" s="410"/>
      <c r="AZ223" s="871"/>
      <c r="BA223" s="871"/>
      <c r="BB223" s="871"/>
      <c r="BC223" s="871"/>
      <c r="BD223" s="870"/>
      <c r="BE223" s="383"/>
      <c r="BF223" s="383"/>
      <c r="BG223" s="383"/>
      <c r="BH223" s="383"/>
      <c r="BI223" s="870"/>
      <c r="BJ223" s="906"/>
      <c r="BK223" s="906"/>
      <c r="BL223" s="906"/>
      <c r="BM223" s="906"/>
      <c r="BN223" s="870"/>
      <c r="BO223" s="906"/>
      <c r="BP223" s="906"/>
      <c r="BQ223" s="906"/>
      <c r="BR223" s="906"/>
      <c r="BS223" s="870"/>
      <c r="BT223" s="906"/>
      <c r="BU223" s="906"/>
      <c r="BV223" s="906"/>
      <c r="BW223" s="906"/>
      <c r="BX223" s="870"/>
      <c r="BY223" s="906"/>
      <c r="BZ223" s="906"/>
      <c r="CA223" s="906"/>
      <c r="CB223" s="906"/>
      <c r="CC223" s="870"/>
      <c r="CD223" s="870"/>
      <c r="CE223" s="870"/>
      <c r="CF223" s="870"/>
      <c r="CG223" s="870"/>
      <c r="CH223" s="870"/>
    </row>
    <row r="224" spans="1:154" hidden="1">
      <c r="A224" s="9"/>
      <c r="B224" s="9"/>
      <c r="C224" s="9"/>
      <c r="D224" s="9"/>
      <c r="E224" s="9"/>
      <c r="F224" s="9"/>
      <c r="G224" s="9"/>
      <c r="H224" s="789" t="s">
        <v>232</v>
      </c>
      <c r="I224" s="789"/>
      <c r="J224" s="73"/>
      <c r="K224" s="73"/>
      <c r="L224" s="66"/>
      <c r="M224" s="66"/>
      <c r="N224" s="66"/>
      <c r="O224" s="66"/>
      <c r="Q224" s="310"/>
      <c r="R224" s="310"/>
      <c r="S224" s="310"/>
      <c r="T224" s="310"/>
      <c r="U224" s="311">
        <f>SUM(Q224:T224)</f>
        <v>0</v>
      </c>
      <c r="V224" s="310"/>
      <c r="W224" s="310"/>
      <c r="X224" s="310"/>
      <c r="Y224" s="310"/>
      <c r="Z224" s="311">
        <f>SUM(V224:Y224)</f>
        <v>0</v>
      </c>
      <c r="AA224" s="315">
        <v>0</v>
      </c>
      <c r="AB224" s="315">
        <v>0</v>
      </c>
      <c r="AC224" s="315">
        <v>0</v>
      </c>
      <c r="AD224" s="315">
        <v>0</v>
      </c>
      <c r="AE224" s="311">
        <f>SUM(AA224:AD224)</f>
        <v>0</v>
      </c>
      <c r="AF224" s="315">
        <v>0</v>
      </c>
      <c r="AG224" s="315">
        <v>0</v>
      </c>
      <c r="AH224" s="310"/>
      <c r="AI224" s="310"/>
      <c r="AJ224" s="311">
        <f>SUM(AF224:AI224)</f>
        <v>0</v>
      </c>
      <c r="AK224" s="315">
        <v>0</v>
      </c>
      <c r="AL224" s="315">
        <v>0</v>
      </c>
      <c r="AM224" s="315">
        <v>0</v>
      </c>
      <c r="AN224" s="315">
        <v>0</v>
      </c>
      <c r="AO224" s="907">
        <f>SUM(AK224:AN224)</f>
        <v>0</v>
      </c>
      <c r="AP224" s="905">
        <v>0</v>
      </c>
      <c r="AQ224" s="905">
        <v>0</v>
      </c>
      <c r="AR224" s="905"/>
      <c r="AS224" s="905"/>
      <c r="AT224" s="907">
        <f>SUM(AP224:AS224)</f>
        <v>0</v>
      </c>
      <c r="AU224" s="811"/>
      <c r="AV224" s="811"/>
      <c r="AW224" s="811"/>
      <c r="AX224" s="902"/>
      <c r="AY224" s="410"/>
      <c r="AZ224" s="871"/>
      <c r="BA224" s="871"/>
      <c r="BB224" s="871"/>
      <c r="BC224" s="871"/>
      <c r="BD224" s="870"/>
      <c r="BE224" s="383"/>
      <c r="BF224" s="383"/>
      <c r="BG224" s="383"/>
      <c r="BH224" s="383"/>
      <c r="BI224" s="870"/>
      <c r="BJ224" s="906"/>
      <c r="BK224" s="906"/>
      <c r="BL224" s="906"/>
      <c r="BM224" s="906"/>
      <c r="BN224" s="870"/>
      <c r="BO224" s="906"/>
      <c r="BP224" s="906"/>
      <c r="BQ224" s="906"/>
      <c r="BR224" s="906"/>
      <c r="BS224" s="870"/>
      <c r="BT224" s="906"/>
      <c r="BU224" s="906"/>
      <c r="BV224" s="906"/>
      <c r="BW224" s="906"/>
      <c r="BX224" s="870"/>
      <c r="BY224" s="906"/>
      <c r="BZ224" s="906"/>
      <c r="CA224" s="906"/>
      <c r="CB224" s="906"/>
      <c r="CC224" s="870"/>
      <c r="CD224" s="870"/>
      <c r="CE224" s="870"/>
      <c r="CF224" s="870"/>
      <c r="CG224" s="870"/>
      <c r="CH224" s="870"/>
    </row>
    <row r="225" spans="1:86" s="14" customFormat="1" hidden="1">
      <c r="A225" s="9"/>
      <c r="B225" s="9"/>
      <c r="C225" s="9"/>
      <c r="D225" s="9"/>
      <c r="E225" s="9"/>
      <c r="F225" s="9"/>
      <c r="G225" s="9"/>
      <c r="H225" s="788" t="s">
        <v>302</v>
      </c>
      <c r="I225" s="788"/>
      <c r="J225" s="18"/>
      <c r="K225" s="18"/>
      <c r="L225" s="66"/>
      <c r="M225" s="66"/>
      <c r="N225" s="66"/>
      <c r="O225" s="66"/>
      <c r="Q225" s="136">
        <f t="shared" ref="Q225:AJ225" si="299">Q226+Q227</f>
        <v>0</v>
      </c>
      <c r="R225" s="136">
        <f t="shared" si="299"/>
        <v>0</v>
      </c>
      <c r="S225" s="136">
        <f t="shared" si="299"/>
        <v>0</v>
      </c>
      <c r="T225" s="136">
        <f t="shared" si="299"/>
        <v>0</v>
      </c>
      <c r="U225" s="270">
        <f t="shared" si="299"/>
        <v>0</v>
      </c>
      <c r="V225" s="136">
        <f t="shared" si="299"/>
        <v>0</v>
      </c>
      <c r="W225" s="136">
        <f t="shared" si="299"/>
        <v>0</v>
      </c>
      <c r="X225" s="136">
        <f t="shared" si="299"/>
        <v>0</v>
      </c>
      <c r="Y225" s="136">
        <f t="shared" si="299"/>
        <v>0</v>
      </c>
      <c r="Z225" s="270">
        <f t="shared" si="299"/>
        <v>0</v>
      </c>
      <c r="AA225" s="136">
        <f t="shared" si="299"/>
        <v>28.5</v>
      </c>
      <c r="AB225" s="136">
        <f t="shared" si="299"/>
        <v>28.5</v>
      </c>
      <c r="AC225" s="136">
        <f t="shared" si="299"/>
        <v>28.5</v>
      </c>
      <c r="AD225" s="136">
        <f t="shared" si="299"/>
        <v>12.2</v>
      </c>
      <c r="AE225" s="270">
        <f t="shared" si="299"/>
        <v>97.7</v>
      </c>
      <c r="AF225" s="136">
        <f t="shared" si="299"/>
        <v>12.2</v>
      </c>
      <c r="AG225" s="136">
        <f t="shared" si="299"/>
        <v>12.3</v>
      </c>
      <c r="AH225" s="136">
        <f t="shared" si="299"/>
        <v>12.2</v>
      </c>
      <c r="AI225" s="136">
        <f t="shared" si="299"/>
        <v>0</v>
      </c>
      <c r="AJ225" s="270">
        <f t="shared" si="299"/>
        <v>36.700000000000003</v>
      </c>
      <c r="AK225" s="136">
        <f t="shared" ref="AK225:AT225" si="300">AK226+AK227</f>
        <v>0</v>
      </c>
      <c r="AL225" s="136">
        <f t="shared" si="300"/>
        <v>0</v>
      </c>
      <c r="AM225" s="136">
        <f t="shared" si="300"/>
        <v>0</v>
      </c>
      <c r="AN225" s="136">
        <f t="shared" si="300"/>
        <v>0</v>
      </c>
      <c r="AO225" s="428">
        <f t="shared" si="300"/>
        <v>0</v>
      </c>
      <c r="AP225" s="420">
        <f t="shared" si="300"/>
        <v>0</v>
      </c>
      <c r="AQ225" s="420">
        <f>AQ226+AQ227</f>
        <v>0</v>
      </c>
      <c r="AR225" s="420">
        <f t="shared" si="300"/>
        <v>0</v>
      </c>
      <c r="AS225" s="420">
        <f>AS226+AS227</f>
        <v>0</v>
      </c>
      <c r="AT225" s="428">
        <f t="shared" si="300"/>
        <v>0</v>
      </c>
      <c r="AU225" s="420"/>
      <c r="AV225" s="420"/>
      <c r="AW225" s="420"/>
      <c r="AX225" s="420"/>
      <c r="AY225" s="428"/>
      <c r="AZ225" s="420"/>
      <c r="BA225" s="420"/>
      <c r="BB225" s="420"/>
      <c r="BC225" s="420"/>
      <c r="BD225" s="849"/>
      <c r="BE225" s="420"/>
      <c r="BF225" s="420"/>
      <c r="BG225" s="420"/>
      <c r="BH225" s="420"/>
      <c r="BI225" s="849"/>
      <c r="BJ225" s="420"/>
      <c r="BK225" s="420"/>
      <c r="BL225" s="420"/>
      <c r="BM225" s="420"/>
      <c r="BN225" s="849"/>
      <c r="BO225" s="420"/>
      <c r="BP225" s="420"/>
      <c r="BQ225" s="420"/>
      <c r="BR225" s="420"/>
      <c r="BS225" s="849"/>
      <c r="BT225" s="420"/>
      <c r="BU225" s="420"/>
      <c r="BV225" s="420"/>
      <c r="BW225" s="420"/>
      <c r="BX225" s="849"/>
      <c r="BY225" s="420"/>
      <c r="BZ225" s="420"/>
      <c r="CA225" s="420"/>
      <c r="CB225" s="420"/>
      <c r="CC225" s="849"/>
      <c r="CD225" s="849"/>
      <c r="CE225" s="849"/>
      <c r="CF225" s="849"/>
      <c r="CG225" s="849"/>
      <c r="CH225" s="849"/>
    </row>
    <row r="226" spans="1:86" hidden="1">
      <c r="A226" s="9"/>
      <c r="B226" s="9"/>
      <c r="C226" s="9"/>
      <c r="D226" s="9"/>
      <c r="E226" s="9"/>
      <c r="F226" s="9"/>
      <c r="G226" s="9"/>
      <c r="H226" s="789" t="s">
        <v>231</v>
      </c>
      <c r="I226" s="789"/>
      <c r="J226" s="73"/>
      <c r="K226" s="73"/>
      <c r="L226" s="66"/>
      <c r="M226" s="66"/>
      <c r="N226" s="66"/>
      <c r="O226" s="66"/>
      <c r="Q226" s="310"/>
      <c r="R226" s="310"/>
      <c r="S226" s="310"/>
      <c r="T226" s="310"/>
      <c r="U226" s="311">
        <f>SUM(Q226:T226)</f>
        <v>0</v>
      </c>
      <c r="V226" s="310"/>
      <c r="W226" s="310"/>
      <c r="X226" s="310"/>
      <c r="Y226" s="310"/>
      <c r="Z226" s="311">
        <f>SUM(V226:Y226)</f>
        <v>0</v>
      </c>
      <c r="AA226" s="315">
        <v>28.5</v>
      </c>
      <c r="AB226" s="315">
        <v>28.5</v>
      </c>
      <c r="AC226" s="315">
        <v>28.5</v>
      </c>
      <c r="AD226" s="315">
        <v>12.2</v>
      </c>
      <c r="AE226" s="311">
        <f>SUM(AA226:AD226)</f>
        <v>97.7</v>
      </c>
      <c r="AF226" s="315">
        <v>12.2</v>
      </c>
      <c r="AG226" s="315">
        <v>12.3</v>
      </c>
      <c r="AH226" s="315">
        <v>12.2</v>
      </c>
      <c r="AI226" s="315">
        <v>0</v>
      </c>
      <c r="AJ226" s="311">
        <f>SUM(AF226:AI226)</f>
        <v>36.700000000000003</v>
      </c>
      <c r="AK226" s="315">
        <v>0</v>
      </c>
      <c r="AL226" s="315">
        <v>0</v>
      </c>
      <c r="AM226" s="315">
        <v>0</v>
      </c>
      <c r="AN226" s="315">
        <v>0</v>
      </c>
      <c r="AO226" s="410">
        <f>SUM(AK226:AN226)</f>
        <v>0</v>
      </c>
      <c r="AP226" s="905">
        <v>0</v>
      </c>
      <c r="AQ226" s="905">
        <v>0</v>
      </c>
      <c r="AR226" s="905">
        <v>0</v>
      </c>
      <c r="AS226" s="905">
        <v>0</v>
      </c>
      <c r="AT226" s="410">
        <f>SUM(AP226:AS226)</f>
        <v>0</v>
      </c>
      <c r="AU226" s="905"/>
      <c r="AV226" s="905"/>
      <c r="AW226" s="905"/>
      <c r="AX226" s="383"/>
      <c r="AY226" s="410"/>
      <c r="AZ226" s="811"/>
      <c r="BA226" s="811"/>
      <c r="BB226" s="811"/>
      <c r="BC226" s="811"/>
      <c r="BD226" s="410"/>
      <c r="BE226" s="383"/>
      <c r="BF226" s="383"/>
      <c r="BG226" s="383"/>
      <c r="BH226" s="383"/>
      <c r="BI226" s="410"/>
      <c r="BJ226" s="811"/>
      <c r="BK226" s="811"/>
      <c r="BL226" s="811"/>
      <c r="BM226" s="811"/>
      <c r="BN226" s="410"/>
      <c r="BO226" s="811"/>
      <c r="BP226" s="811"/>
      <c r="BQ226" s="811"/>
      <c r="BR226" s="811"/>
      <c r="BS226" s="410"/>
      <c r="BT226" s="811"/>
      <c r="BU226" s="811"/>
      <c r="BV226" s="811"/>
      <c r="BW226" s="811"/>
      <c r="BX226" s="410"/>
      <c r="BY226" s="811"/>
      <c r="BZ226" s="811"/>
      <c r="CA226" s="811"/>
      <c r="CB226" s="811"/>
      <c r="CC226" s="410"/>
      <c r="CD226" s="410"/>
      <c r="CE226" s="410"/>
      <c r="CF226" s="410"/>
      <c r="CG226" s="410"/>
      <c r="CH226" s="410"/>
    </row>
    <row r="227" spans="1:86" hidden="1">
      <c r="A227" s="9"/>
      <c r="B227" s="9"/>
      <c r="C227" s="9"/>
      <c r="D227" s="9"/>
      <c r="E227" s="9"/>
      <c r="F227" s="9"/>
      <c r="G227" s="9"/>
      <c r="H227" s="789" t="s">
        <v>232</v>
      </c>
      <c r="I227" s="789"/>
      <c r="J227" s="73"/>
      <c r="K227" s="73"/>
      <c r="L227" s="66"/>
      <c r="M227" s="66"/>
      <c r="N227" s="66"/>
      <c r="O227" s="66"/>
      <c r="Q227" s="310"/>
      <c r="R227" s="310"/>
      <c r="S227" s="310"/>
      <c r="T227" s="310"/>
      <c r="U227" s="311">
        <f>SUM(Q227:T227)</f>
        <v>0</v>
      </c>
      <c r="V227" s="310"/>
      <c r="W227" s="310"/>
      <c r="X227" s="310"/>
      <c r="Y227" s="310"/>
      <c r="Z227" s="311">
        <f>SUM(V227:Y227)</f>
        <v>0</v>
      </c>
      <c r="AA227" s="315">
        <v>0</v>
      </c>
      <c r="AB227" s="315">
        <v>0</v>
      </c>
      <c r="AC227" s="315">
        <v>0</v>
      </c>
      <c r="AD227" s="315">
        <v>0</v>
      </c>
      <c r="AE227" s="311">
        <f>SUM(AA227:AD227)</f>
        <v>0</v>
      </c>
      <c r="AF227" s="315">
        <v>0</v>
      </c>
      <c r="AG227" s="315">
        <v>0</v>
      </c>
      <c r="AH227" s="315">
        <v>0</v>
      </c>
      <c r="AI227" s="315">
        <v>0</v>
      </c>
      <c r="AJ227" s="311">
        <f>SUM(AF227:AI227)</f>
        <v>0</v>
      </c>
      <c r="AK227" s="315">
        <v>0</v>
      </c>
      <c r="AL227" s="315">
        <v>0</v>
      </c>
      <c r="AM227" s="315">
        <v>0</v>
      </c>
      <c r="AN227" s="315">
        <v>0</v>
      </c>
      <c r="AO227" s="410">
        <f>SUM(AK227:AN227)</f>
        <v>0</v>
      </c>
      <c r="AP227" s="905">
        <v>0</v>
      </c>
      <c r="AQ227" s="905">
        <v>0</v>
      </c>
      <c r="AR227" s="905">
        <v>0</v>
      </c>
      <c r="AS227" s="905">
        <v>0</v>
      </c>
      <c r="AT227" s="410">
        <f>SUM(AP227:AS227)</f>
        <v>0</v>
      </c>
      <c r="AU227" s="905"/>
      <c r="AV227" s="905"/>
      <c r="AW227" s="905"/>
      <c r="AX227" s="383"/>
      <c r="AY227" s="410"/>
      <c r="AZ227" s="811"/>
      <c r="BA227" s="811"/>
      <c r="BB227" s="811"/>
      <c r="BC227" s="811"/>
      <c r="BD227" s="410"/>
      <c r="BE227" s="383"/>
      <c r="BF227" s="383"/>
      <c r="BG227" s="383"/>
      <c r="BH227" s="383"/>
      <c r="BI227" s="410"/>
      <c r="BJ227" s="811"/>
      <c r="BK227" s="811"/>
      <c r="BL227" s="811"/>
      <c r="BM227" s="811"/>
      <c r="BN227" s="410"/>
      <c r="BO227" s="811"/>
      <c r="BP227" s="811"/>
      <c r="BQ227" s="811"/>
      <c r="BR227" s="811"/>
      <c r="BS227" s="410"/>
      <c r="BT227" s="811"/>
      <c r="BU227" s="811"/>
      <c r="BV227" s="811"/>
      <c r="BW227" s="811"/>
      <c r="BX227" s="410"/>
      <c r="BY227" s="811"/>
      <c r="BZ227" s="811"/>
      <c r="CA227" s="811"/>
      <c r="CB227" s="811"/>
      <c r="CC227" s="410"/>
      <c r="CD227" s="410"/>
      <c r="CE227" s="410"/>
      <c r="CF227" s="410"/>
      <c r="CG227" s="410"/>
      <c r="CH227" s="410"/>
    </row>
    <row r="228" spans="1:86" hidden="1">
      <c r="A228" s="9"/>
      <c r="B228" s="9"/>
      <c r="C228" s="9"/>
      <c r="D228" s="9"/>
      <c r="E228" s="9"/>
      <c r="F228" s="9"/>
      <c r="G228" s="9"/>
      <c r="H228" s="788" t="s">
        <v>636</v>
      </c>
      <c r="I228" s="789"/>
      <c r="J228" s="73"/>
      <c r="K228" s="73"/>
      <c r="L228" s="66"/>
      <c r="M228" s="66"/>
      <c r="N228" s="66"/>
      <c r="O228" s="66"/>
      <c r="Q228" s="310"/>
      <c r="R228" s="310"/>
      <c r="S228" s="310"/>
      <c r="T228" s="310"/>
      <c r="U228" s="311"/>
      <c r="V228" s="310"/>
      <c r="W228" s="310"/>
      <c r="X228" s="310"/>
      <c r="Y228" s="310"/>
      <c r="Z228" s="311"/>
      <c r="AA228" s="315"/>
      <c r="AB228" s="315"/>
      <c r="AC228" s="315"/>
      <c r="AD228" s="315"/>
      <c r="AE228" s="311"/>
      <c r="AF228" s="315"/>
      <c r="AG228" s="315"/>
      <c r="AH228" s="315"/>
      <c r="AI228" s="315"/>
      <c r="AJ228" s="311"/>
      <c r="AK228" s="136">
        <f t="shared" ref="AK228:AR228" si="301">AK229+AK230</f>
        <v>0</v>
      </c>
      <c r="AL228" s="136">
        <f t="shared" si="301"/>
        <v>1.9</v>
      </c>
      <c r="AM228" s="136">
        <f t="shared" si="301"/>
        <v>1.1000000000000001</v>
      </c>
      <c r="AN228" s="136">
        <f t="shared" si="301"/>
        <v>2.7</v>
      </c>
      <c r="AO228" s="428">
        <f t="shared" si="301"/>
        <v>5.7</v>
      </c>
      <c r="AP228" s="420">
        <f t="shared" si="301"/>
        <v>3.9</v>
      </c>
      <c r="AQ228" s="420">
        <f>AQ229+AQ230</f>
        <v>4.5</v>
      </c>
      <c r="AR228" s="420">
        <f t="shared" si="301"/>
        <v>0</v>
      </c>
      <c r="AS228" s="420">
        <f>AS229+AS230</f>
        <v>0</v>
      </c>
      <c r="AT228" s="428">
        <f>AT229+AT230</f>
        <v>8.4</v>
      </c>
      <c r="AU228" s="420"/>
      <c r="AV228" s="420"/>
      <c r="AW228" s="420"/>
      <c r="AX228" s="420"/>
      <c r="AY228" s="428"/>
      <c r="AZ228" s="420"/>
      <c r="BA228" s="420"/>
      <c r="BB228" s="420"/>
      <c r="BC228" s="420"/>
      <c r="BD228" s="849"/>
      <c r="BE228" s="420"/>
      <c r="BF228" s="420"/>
      <c r="BG228" s="420"/>
      <c r="BH228" s="420"/>
      <c r="BI228" s="849"/>
      <c r="BJ228" s="420"/>
      <c r="BK228" s="420"/>
      <c r="BL228" s="420"/>
      <c r="BM228" s="420"/>
      <c r="BN228" s="849"/>
      <c r="BO228" s="420"/>
      <c r="BP228" s="420"/>
      <c r="BQ228" s="420"/>
      <c r="BR228" s="420"/>
      <c r="BS228" s="849"/>
      <c r="BT228" s="420"/>
      <c r="BU228" s="420"/>
      <c r="BV228" s="420"/>
      <c r="BW228" s="420"/>
      <c r="BX228" s="849"/>
      <c r="BY228" s="420"/>
      <c r="BZ228" s="420"/>
      <c r="CA228" s="420"/>
      <c r="CB228" s="420"/>
      <c r="CC228" s="849"/>
      <c r="CD228" s="849"/>
      <c r="CE228" s="849"/>
      <c r="CF228" s="849"/>
      <c r="CG228" s="849"/>
      <c r="CH228" s="849"/>
    </row>
    <row r="229" spans="1:86" hidden="1">
      <c r="A229" s="9"/>
      <c r="B229" s="9"/>
      <c r="C229" s="9"/>
      <c r="D229" s="9"/>
      <c r="E229" s="9"/>
      <c r="F229" s="9"/>
      <c r="G229" s="9"/>
      <c r="H229" s="279" t="s">
        <v>1183</v>
      </c>
      <c r="I229" s="789"/>
      <c r="J229" s="73"/>
      <c r="K229" s="73"/>
      <c r="L229" s="66"/>
      <c r="M229" s="66"/>
      <c r="N229" s="66"/>
      <c r="O229" s="66"/>
      <c r="Q229" s="310"/>
      <c r="R229" s="310"/>
      <c r="S229" s="310"/>
      <c r="T229" s="310"/>
      <c r="U229" s="311"/>
      <c r="V229" s="310"/>
      <c r="W229" s="310"/>
      <c r="X229" s="310"/>
      <c r="Y229" s="310"/>
      <c r="Z229" s="311"/>
      <c r="AA229" s="315"/>
      <c r="AB229" s="315"/>
      <c r="AC229" s="315"/>
      <c r="AD229" s="315"/>
      <c r="AE229" s="311"/>
      <c r="AF229" s="315"/>
      <c r="AG229" s="315"/>
      <c r="AH229" s="315"/>
      <c r="AI229" s="315"/>
      <c r="AJ229" s="311"/>
      <c r="AK229" s="315">
        <v>0</v>
      </c>
      <c r="AL229" s="315">
        <v>1.9</v>
      </c>
      <c r="AM229" s="315">
        <v>1.1000000000000001</v>
      </c>
      <c r="AN229" s="315">
        <v>2.7</v>
      </c>
      <c r="AO229" s="410">
        <f>SUM(AK229:AN229)</f>
        <v>5.7</v>
      </c>
      <c r="AP229" s="905">
        <v>3.9</v>
      </c>
      <c r="AQ229" s="905">
        <v>4.5</v>
      </c>
      <c r="AR229" s="905">
        <v>0</v>
      </c>
      <c r="AS229" s="905">
        <v>0</v>
      </c>
      <c r="AT229" s="410">
        <f>SUM(AP229:AS229)</f>
        <v>8.4</v>
      </c>
      <c r="AU229" s="905"/>
      <c r="AV229" s="905"/>
      <c r="AW229" s="905"/>
      <c r="AX229" s="413"/>
      <c r="AY229" s="410"/>
      <c r="AZ229" s="811"/>
      <c r="BA229" s="811"/>
      <c r="BB229" s="811"/>
      <c r="BC229" s="811"/>
      <c r="BD229" s="410"/>
      <c r="BE229" s="383"/>
      <c r="BF229" s="383"/>
      <c r="BG229" s="383"/>
      <c r="BH229" s="383"/>
      <c r="BI229" s="410"/>
      <c r="BJ229" s="811"/>
      <c r="BK229" s="811"/>
      <c r="BL229" s="811"/>
      <c r="BM229" s="811"/>
      <c r="BN229" s="410"/>
      <c r="BO229" s="811"/>
      <c r="BP229" s="811"/>
      <c r="BQ229" s="811"/>
      <c r="BR229" s="811"/>
      <c r="BS229" s="846"/>
      <c r="BT229" s="811"/>
      <c r="BU229" s="811"/>
      <c r="BV229" s="811"/>
      <c r="BW229" s="811"/>
      <c r="BX229" s="410"/>
      <c r="BY229" s="811"/>
      <c r="BZ229" s="811"/>
      <c r="CA229" s="811"/>
      <c r="CB229" s="811"/>
      <c r="CC229" s="410"/>
      <c r="CD229" s="410"/>
      <c r="CE229" s="410"/>
      <c r="CF229" s="410"/>
      <c r="CG229" s="410"/>
      <c r="CH229" s="410"/>
    </row>
    <row r="230" spans="1:86" hidden="1">
      <c r="A230" s="9"/>
      <c r="B230" s="9"/>
      <c r="C230" s="9"/>
      <c r="D230" s="9"/>
      <c r="E230" s="9"/>
      <c r="F230" s="9"/>
      <c r="G230" s="9"/>
      <c r="H230" s="789" t="s">
        <v>470</v>
      </c>
      <c r="I230" s="789"/>
      <c r="J230" s="73"/>
      <c r="K230" s="73"/>
      <c r="L230" s="66"/>
      <c r="M230" s="66"/>
      <c r="N230" s="66"/>
      <c r="O230" s="66"/>
      <c r="Q230" s="310"/>
      <c r="R230" s="310"/>
      <c r="S230" s="310"/>
      <c r="T230" s="310"/>
      <c r="U230" s="311"/>
      <c r="V230" s="310"/>
      <c r="W230" s="310"/>
      <c r="X230" s="310"/>
      <c r="Y230" s="310"/>
      <c r="Z230" s="311"/>
      <c r="AA230" s="315"/>
      <c r="AB230" s="315"/>
      <c r="AC230" s="315"/>
      <c r="AD230" s="315"/>
      <c r="AE230" s="311"/>
      <c r="AF230" s="315"/>
      <c r="AG230" s="315"/>
      <c r="AH230" s="315"/>
      <c r="AI230" s="315"/>
      <c r="AJ230" s="311"/>
      <c r="AK230" s="315">
        <v>0</v>
      </c>
      <c r="AL230" s="315">
        <v>0</v>
      </c>
      <c r="AM230" s="315">
        <v>0</v>
      </c>
      <c r="AN230" s="315">
        <v>0</v>
      </c>
      <c r="AO230" s="410">
        <f>SUM(AK230:AN230)</f>
        <v>0</v>
      </c>
      <c r="AP230" s="905">
        <v>0</v>
      </c>
      <c r="AQ230" s="905">
        <v>0</v>
      </c>
      <c r="AR230" s="905">
        <v>0</v>
      </c>
      <c r="AS230" s="905">
        <v>0</v>
      </c>
      <c r="AT230" s="410">
        <f>SUM(AP230:AS230)</f>
        <v>0</v>
      </c>
      <c r="AU230" s="905"/>
      <c r="AV230" s="905"/>
      <c r="AW230" s="905"/>
      <c r="AX230" s="413"/>
      <c r="AY230" s="410"/>
      <c r="AZ230" s="811"/>
      <c r="BA230" s="811"/>
      <c r="BB230" s="811"/>
      <c r="BC230" s="811"/>
      <c r="BD230" s="410"/>
      <c r="BE230" s="383"/>
      <c r="BF230" s="383"/>
      <c r="BG230" s="383"/>
      <c r="BH230" s="383"/>
      <c r="BI230" s="410"/>
      <c r="BJ230" s="811"/>
      <c r="BK230" s="811"/>
      <c r="BL230" s="811"/>
      <c r="BM230" s="811"/>
      <c r="BN230" s="410"/>
      <c r="BO230" s="811"/>
      <c r="BP230" s="811"/>
      <c r="BQ230" s="811"/>
      <c r="BR230" s="811"/>
      <c r="BS230" s="410"/>
      <c r="BT230" s="811"/>
      <c r="BU230" s="811"/>
      <c r="BV230" s="811"/>
      <c r="BW230" s="811"/>
      <c r="BX230" s="410"/>
      <c r="BY230" s="811"/>
      <c r="BZ230" s="811"/>
      <c r="CA230" s="811"/>
      <c r="CB230" s="811"/>
      <c r="CC230" s="410"/>
      <c r="CD230" s="410"/>
      <c r="CE230" s="846"/>
      <c r="CF230" s="846"/>
      <c r="CG230" s="846"/>
      <c r="CH230" s="846"/>
    </row>
    <row r="231" spans="1:86" hidden="1">
      <c r="A231" s="9"/>
      <c r="B231" s="9"/>
      <c r="C231" s="9"/>
      <c r="D231" s="9"/>
      <c r="E231" s="9"/>
      <c r="F231" s="9"/>
      <c r="G231" s="9"/>
      <c r="H231" s="788" t="s">
        <v>298</v>
      </c>
      <c r="I231" s="788"/>
      <c r="J231" s="18"/>
      <c r="K231" s="18"/>
      <c r="L231" s="66"/>
      <c r="M231" s="66"/>
      <c r="N231" s="66"/>
      <c r="O231" s="66"/>
      <c r="Q231" s="136">
        <f t="shared" ref="Q231:AJ231" si="302">Q232+Q233</f>
        <v>0</v>
      </c>
      <c r="R231" s="136">
        <f t="shared" si="302"/>
        <v>0</v>
      </c>
      <c r="S231" s="136">
        <f t="shared" si="302"/>
        <v>0</v>
      </c>
      <c r="T231" s="136">
        <f t="shared" si="302"/>
        <v>0</v>
      </c>
      <c r="U231" s="270">
        <f t="shared" si="302"/>
        <v>0</v>
      </c>
      <c r="V231" s="136">
        <f t="shared" si="302"/>
        <v>0</v>
      </c>
      <c r="W231" s="136">
        <f t="shared" si="302"/>
        <v>0</v>
      </c>
      <c r="X231" s="136">
        <f t="shared" si="302"/>
        <v>0</v>
      </c>
      <c r="Y231" s="136">
        <f t="shared" si="302"/>
        <v>0</v>
      </c>
      <c r="Z231" s="270">
        <f t="shared" si="302"/>
        <v>0</v>
      </c>
      <c r="AA231" s="136">
        <f t="shared" si="302"/>
        <v>3.4</v>
      </c>
      <c r="AB231" s="136">
        <f t="shared" si="302"/>
        <v>9.6</v>
      </c>
      <c r="AC231" s="136">
        <f t="shared" si="302"/>
        <v>5.3</v>
      </c>
      <c r="AD231" s="136">
        <f t="shared" si="302"/>
        <v>3.8</v>
      </c>
      <c r="AE231" s="270">
        <f t="shared" si="302"/>
        <v>22.1</v>
      </c>
      <c r="AF231" s="136">
        <f t="shared" si="302"/>
        <v>4.7</v>
      </c>
      <c r="AG231" s="136">
        <f t="shared" si="302"/>
        <v>11.46</v>
      </c>
      <c r="AH231" s="136">
        <f t="shared" si="302"/>
        <v>6.9</v>
      </c>
      <c r="AI231" s="136">
        <f t="shared" si="302"/>
        <v>5.7</v>
      </c>
      <c r="AJ231" s="270">
        <f t="shared" si="302"/>
        <v>28.76</v>
      </c>
      <c r="AK231" s="136">
        <f t="shared" ref="AK231:AT231" si="303">AK232+AK233</f>
        <v>5</v>
      </c>
      <c r="AL231" s="136">
        <f t="shared" si="303"/>
        <v>12</v>
      </c>
      <c r="AM231" s="136">
        <f t="shared" si="303"/>
        <v>26.299999999999997</v>
      </c>
      <c r="AN231" s="136">
        <f t="shared" si="303"/>
        <v>7.8999999999999995</v>
      </c>
      <c r="AO231" s="428">
        <f t="shared" si="303"/>
        <v>51.199999999999996</v>
      </c>
      <c r="AP231" s="420">
        <f t="shared" si="303"/>
        <v>7.4</v>
      </c>
      <c r="AQ231" s="420">
        <f t="shared" si="303"/>
        <v>14.9</v>
      </c>
      <c r="AR231" s="420">
        <f t="shared" si="303"/>
        <v>32</v>
      </c>
      <c r="AS231" s="420">
        <f>AS232+AS233</f>
        <v>39.1</v>
      </c>
      <c r="AT231" s="428">
        <f t="shared" si="303"/>
        <v>93.4</v>
      </c>
      <c r="AU231" s="420"/>
      <c r="AV231" s="420"/>
      <c r="AW231" s="420"/>
      <c r="AX231" s="420"/>
      <c r="AY231" s="849"/>
      <c r="AZ231" s="420"/>
      <c r="BA231" s="420"/>
      <c r="BB231" s="420"/>
      <c r="BC231" s="420"/>
      <c r="BD231" s="849"/>
      <c r="BE231" s="420"/>
      <c r="BF231" s="420"/>
      <c r="BG231" s="420"/>
      <c r="BH231" s="420"/>
      <c r="BI231" s="849"/>
      <c r="BJ231" s="420"/>
      <c r="BK231" s="420"/>
      <c r="BL231" s="420"/>
      <c r="BM231" s="420"/>
      <c r="BN231" s="849"/>
      <c r="BO231" s="420"/>
      <c r="BP231" s="420"/>
      <c r="BQ231" s="420"/>
      <c r="BR231" s="420"/>
      <c r="BS231" s="849"/>
      <c r="BT231" s="420"/>
      <c r="BU231" s="420"/>
      <c r="BV231" s="420"/>
      <c r="BW231" s="420"/>
      <c r="BX231" s="849"/>
      <c r="BY231" s="420"/>
      <c r="BZ231" s="420"/>
      <c r="CA231" s="420"/>
      <c r="CB231" s="420"/>
      <c r="CC231" s="849"/>
      <c r="CD231" s="849"/>
      <c r="CE231" s="849"/>
      <c r="CF231" s="849"/>
      <c r="CG231" s="849"/>
      <c r="CH231" s="849"/>
    </row>
    <row r="232" spans="1:86" hidden="1">
      <c r="A232" s="9"/>
      <c r="B232" s="9"/>
      <c r="C232" s="9"/>
      <c r="D232" s="9"/>
      <c r="E232" s="9"/>
      <c r="F232" s="9"/>
      <c r="G232" s="9"/>
      <c r="H232" s="789" t="s">
        <v>231</v>
      </c>
      <c r="I232" s="789"/>
      <c r="J232" s="73"/>
      <c r="K232" s="73"/>
      <c r="L232" s="66"/>
      <c r="M232" s="66"/>
      <c r="N232" s="66"/>
      <c r="O232" s="66"/>
      <c r="Q232" s="310"/>
      <c r="R232" s="310"/>
      <c r="S232" s="310"/>
      <c r="T232" s="310"/>
      <c r="U232" s="311">
        <f>SUM(Q232:T232)</f>
        <v>0</v>
      </c>
      <c r="V232" s="310"/>
      <c r="W232" s="310"/>
      <c r="X232" s="310"/>
      <c r="Y232" s="310"/>
      <c r="Z232" s="311">
        <f>SUM(V232:Y232)</f>
        <v>0</v>
      </c>
      <c r="AA232" s="315">
        <v>0</v>
      </c>
      <c r="AB232" s="315">
        <v>0</v>
      </c>
      <c r="AC232" s="315">
        <v>0</v>
      </c>
      <c r="AD232" s="315">
        <v>0</v>
      </c>
      <c r="AE232" s="311">
        <f>SUM(AA232:AD232)</f>
        <v>0</v>
      </c>
      <c r="AF232" s="315">
        <v>0</v>
      </c>
      <c r="AG232" s="315">
        <v>-0.04</v>
      </c>
      <c r="AH232" s="315">
        <v>0</v>
      </c>
      <c r="AI232" s="315">
        <v>0</v>
      </c>
      <c r="AJ232" s="311">
        <f>SUM(AF232:AI232)</f>
        <v>-0.04</v>
      </c>
      <c r="AK232" s="315">
        <v>0</v>
      </c>
      <c r="AL232" s="315">
        <v>0</v>
      </c>
      <c r="AM232" s="315">
        <v>0</v>
      </c>
      <c r="AN232" s="315">
        <v>0</v>
      </c>
      <c r="AO232" s="410">
        <f>SUM(AK232:AN232)</f>
        <v>0</v>
      </c>
      <c r="AP232" s="905">
        <v>0</v>
      </c>
      <c r="AQ232" s="905">
        <v>0</v>
      </c>
      <c r="AR232" s="905">
        <v>32.1</v>
      </c>
      <c r="AS232" s="905">
        <v>39.4</v>
      </c>
      <c r="AT232" s="410">
        <f>SUM(AP232:AS232)</f>
        <v>71.5</v>
      </c>
      <c r="AU232" s="905"/>
      <c r="AV232" s="905"/>
      <c r="AW232" s="905"/>
      <c r="AX232" s="391"/>
      <c r="AY232" s="410"/>
      <c r="AZ232" s="391"/>
      <c r="BA232" s="905"/>
      <c r="BB232" s="811"/>
      <c r="BC232" s="811"/>
      <c r="BD232" s="410"/>
      <c r="BE232" s="383"/>
      <c r="BF232" s="383"/>
      <c r="BG232" s="383"/>
      <c r="BH232" s="383"/>
      <c r="BI232" s="410"/>
      <c r="BJ232" s="811"/>
      <c r="BK232" s="811"/>
      <c r="BL232" s="811"/>
      <c r="BM232" s="811"/>
      <c r="BN232" s="410"/>
      <c r="BO232" s="811"/>
      <c r="BP232" s="811"/>
      <c r="BQ232" s="811"/>
      <c r="BR232" s="811"/>
      <c r="BS232" s="410"/>
      <c r="BT232" s="811"/>
      <c r="BU232" s="811"/>
      <c r="BV232" s="811"/>
      <c r="BW232" s="811"/>
      <c r="BX232" s="410"/>
      <c r="BY232" s="811"/>
      <c r="BZ232" s="811"/>
      <c r="CA232" s="811"/>
      <c r="CB232" s="811"/>
      <c r="CC232" s="410"/>
      <c r="CD232" s="410"/>
      <c r="CE232" s="410"/>
      <c r="CF232" s="410"/>
      <c r="CG232" s="410"/>
      <c r="CH232" s="410"/>
    </row>
    <row r="233" spans="1:86" hidden="1">
      <c r="A233" s="9"/>
      <c r="B233" s="9"/>
      <c r="C233" s="9"/>
      <c r="D233" s="9"/>
      <c r="E233" s="9"/>
      <c r="F233" s="9"/>
      <c r="G233" s="9"/>
      <c r="H233" s="789" t="s">
        <v>232</v>
      </c>
      <c r="I233" s="789"/>
      <c r="J233" s="73"/>
      <c r="K233" s="73"/>
      <c r="L233" s="66"/>
      <c r="M233" s="66"/>
      <c r="N233" s="66"/>
      <c r="O233" s="66"/>
      <c r="Q233" s="310"/>
      <c r="R233" s="310"/>
      <c r="S233" s="310"/>
      <c r="T233" s="310"/>
      <c r="U233" s="311">
        <f>SUM(Q233:T233)</f>
        <v>0</v>
      </c>
      <c r="V233" s="310"/>
      <c r="W233" s="310"/>
      <c r="X233" s="310"/>
      <c r="Y233" s="310"/>
      <c r="Z233" s="311">
        <f>SUM(V233:Y233)</f>
        <v>0</v>
      </c>
      <c r="AA233" s="315">
        <v>3.4</v>
      </c>
      <c r="AB233" s="315">
        <v>9.6</v>
      </c>
      <c r="AC233" s="315">
        <v>5.3</v>
      </c>
      <c r="AD233" s="315">
        <v>3.8</v>
      </c>
      <c r="AE233" s="311">
        <f>SUM(AA233:AD233)</f>
        <v>22.1</v>
      </c>
      <c r="AF233" s="315">
        <v>4.7</v>
      </c>
      <c r="AG233" s="315">
        <v>11.5</v>
      </c>
      <c r="AH233" s="315">
        <v>6.9</v>
      </c>
      <c r="AI233" s="315">
        <v>5.7</v>
      </c>
      <c r="AJ233" s="311">
        <f>SUM(AF233:AI233)</f>
        <v>28.8</v>
      </c>
      <c r="AK233" s="315">
        <v>5</v>
      </c>
      <c r="AL233" s="315">
        <v>12</v>
      </c>
      <c r="AM233" s="315">
        <f>7.1+19.2</f>
        <v>26.299999999999997</v>
      </c>
      <c r="AN233" s="315">
        <f>5.6+2.3</f>
        <v>7.8999999999999995</v>
      </c>
      <c r="AO233" s="410">
        <f>SUM(AK233:AN233)</f>
        <v>51.199999999999996</v>
      </c>
      <c r="AP233" s="905">
        <v>7.4</v>
      </c>
      <c r="AQ233" s="905">
        <v>14.9</v>
      </c>
      <c r="AR233" s="905">
        <v>-0.1</v>
      </c>
      <c r="AS233" s="905">
        <v>-0.3</v>
      </c>
      <c r="AT233" s="410">
        <f>SUM(AP233:AS233)</f>
        <v>21.9</v>
      </c>
      <c r="AU233" s="905"/>
      <c r="AV233" s="905"/>
      <c r="AW233" s="905"/>
      <c r="AX233" s="391"/>
      <c r="AY233" s="410"/>
      <c r="AZ233" s="391"/>
      <c r="BA233" s="905"/>
      <c r="BB233" s="811"/>
      <c r="BC233" s="811"/>
      <c r="BD233" s="410"/>
      <c r="BE233" s="383"/>
      <c r="BF233" s="383"/>
      <c r="BG233" s="383"/>
      <c r="BH233" s="383"/>
      <c r="BI233" s="410"/>
      <c r="BJ233" s="811"/>
      <c r="BK233" s="811"/>
      <c r="BL233" s="811"/>
      <c r="BM233" s="811"/>
      <c r="BN233" s="410"/>
      <c r="BO233" s="811"/>
      <c r="BP233" s="811"/>
      <c r="BQ233" s="811"/>
      <c r="BR233" s="811"/>
      <c r="BS233" s="410"/>
      <c r="BT233" s="811"/>
      <c r="BU233" s="811"/>
      <c r="BV233" s="811"/>
      <c r="BW233" s="811"/>
      <c r="BX233" s="410"/>
      <c r="BY233" s="811"/>
      <c r="BZ233" s="811"/>
      <c r="CA233" s="811"/>
      <c r="CB233" s="811"/>
      <c r="CC233" s="410"/>
      <c r="CD233" s="410"/>
      <c r="CE233" s="410"/>
      <c r="CF233" s="410"/>
      <c r="CG233" s="410"/>
      <c r="CH233" s="410"/>
    </row>
    <row r="234" spans="1:86">
      <c r="A234" s="9"/>
      <c r="B234" s="9"/>
      <c r="C234" s="9"/>
      <c r="D234" s="9"/>
      <c r="E234" s="9"/>
      <c r="F234" s="9"/>
      <c r="G234" s="9"/>
      <c r="Q234" s="66"/>
      <c r="R234" s="66"/>
      <c r="S234" s="66"/>
      <c r="T234" s="66"/>
      <c r="V234" s="66"/>
      <c r="W234" s="66"/>
      <c r="X234" s="66"/>
      <c r="Y234" s="66"/>
      <c r="AA234" s="66"/>
      <c r="AB234" s="66"/>
      <c r="AC234" s="66"/>
      <c r="AD234" s="66"/>
      <c r="AF234" s="66"/>
      <c r="AG234" s="66"/>
      <c r="AH234" s="66"/>
      <c r="AI234" s="66"/>
      <c r="AK234" s="66"/>
      <c r="AL234" s="66"/>
      <c r="AM234" s="66"/>
      <c r="AN234" s="66"/>
      <c r="AP234" s="855"/>
      <c r="AQ234" s="855"/>
      <c r="AR234" s="855"/>
      <c r="AS234" s="855"/>
      <c r="AU234" s="855"/>
      <c r="AV234" s="855"/>
      <c r="AW234" s="855"/>
      <c r="AX234" s="855"/>
      <c r="AZ234" s="855"/>
      <c r="BA234" s="855"/>
      <c r="BB234" s="855"/>
      <c r="BC234" s="855"/>
      <c r="BE234" s="855"/>
      <c r="BF234" s="855"/>
      <c r="BG234" s="855"/>
      <c r="BH234" s="855"/>
      <c r="BJ234" s="855"/>
      <c r="BK234" s="855"/>
      <c r="BL234" s="855"/>
      <c r="BM234" s="855"/>
      <c r="BO234" s="855"/>
      <c r="BP234" s="855"/>
      <c r="BQ234" s="855"/>
      <c r="BR234" s="855"/>
      <c r="BT234" s="855"/>
      <c r="BU234" s="855"/>
      <c r="BV234" s="855"/>
      <c r="BW234" s="855"/>
      <c r="BY234" s="855"/>
      <c r="BZ234" s="855"/>
      <c r="CA234" s="855"/>
      <c r="CB234" s="855"/>
    </row>
    <row r="235" spans="1:86" s="15" customFormat="1" ht="13.5" thickBot="1">
      <c r="A235" s="9"/>
      <c r="B235" s="9"/>
      <c r="C235" s="9"/>
      <c r="D235" s="9"/>
      <c r="E235" s="9"/>
      <c r="F235" s="9"/>
      <c r="G235" s="9"/>
      <c r="H235" s="313" t="s">
        <v>151</v>
      </c>
      <c r="I235" s="313"/>
      <c r="J235" s="313"/>
      <c r="K235" s="313"/>
      <c r="L235" s="308">
        <v>3497.4</v>
      </c>
      <c r="M235" s="308">
        <v>3667.8</v>
      </c>
      <c r="N235" s="308">
        <v>3601.3</v>
      </c>
      <c r="O235" s="308">
        <v>3879.2</v>
      </c>
      <c r="P235" s="307">
        <v>14648.9</v>
      </c>
      <c r="Q235" s="308">
        <f t="shared" ref="Q235:AJ235" si="304">Q236+Q237</f>
        <v>3714.8</v>
      </c>
      <c r="R235" s="308">
        <f t="shared" si="304"/>
        <v>3867.1</v>
      </c>
      <c r="S235" s="308">
        <f t="shared" si="304"/>
        <v>3864.05</v>
      </c>
      <c r="T235" s="308">
        <f t="shared" si="304"/>
        <v>4245.3</v>
      </c>
      <c r="U235" s="307">
        <f t="shared" si="304"/>
        <v>15691.250000000002</v>
      </c>
      <c r="V235" s="308">
        <f t="shared" si="304"/>
        <v>4226.2</v>
      </c>
      <c r="W235" s="308">
        <f t="shared" si="304"/>
        <v>4630.8999999999996</v>
      </c>
      <c r="X235" s="308">
        <f t="shared" si="304"/>
        <v>4586.8</v>
      </c>
      <c r="Y235" s="308">
        <f t="shared" si="304"/>
        <v>5189.7999999999993</v>
      </c>
      <c r="Z235" s="307">
        <f t="shared" si="304"/>
        <v>18633.699999999997</v>
      </c>
      <c r="AA235" s="308">
        <f t="shared" si="304"/>
        <v>4911</v>
      </c>
      <c r="AB235" s="308">
        <f t="shared" si="304"/>
        <v>5251</v>
      </c>
      <c r="AC235" s="308">
        <f t="shared" si="304"/>
        <v>5308.7000000000007</v>
      </c>
      <c r="AD235" s="308">
        <f t="shared" si="304"/>
        <v>5261.7000000000007</v>
      </c>
      <c r="AE235" s="307">
        <f t="shared" si="304"/>
        <v>20732.400000000001</v>
      </c>
      <c r="AF235" s="308">
        <f t="shared" si="304"/>
        <v>5046.5</v>
      </c>
      <c r="AG235" s="308">
        <f t="shared" si="304"/>
        <v>5292.61</v>
      </c>
      <c r="AH235" s="308">
        <f t="shared" si="304"/>
        <v>5562.2000000000007</v>
      </c>
      <c r="AI235" s="308">
        <f t="shared" si="304"/>
        <v>5934.7</v>
      </c>
      <c r="AJ235" s="307">
        <f t="shared" si="304"/>
        <v>21836.010000000002</v>
      </c>
      <c r="AK235" s="308">
        <f t="shared" ref="AK235:AT235" si="305">AK236+AK237</f>
        <v>5485.4</v>
      </c>
      <c r="AL235" s="308">
        <f t="shared" si="305"/>
        <v>5748.7000000000007</v>
      </c>
      <c r="AM235" s="308">
        <f t="shared" si="305"/>
        <v>5654.9000000000005</v>
      </c>
      <c r="AN235" s="308">
        <f t="shared" si="305"/>
        <v>6187.08</v>
      </c>
      <c r="AO235" s="460">
        <f t="shared" si="305"/>
        <v>23076.080000000002</v>
      </c>
      <c r="AP235" s="440">
        <f t="shared" si="305"/>
        <v>5839.2000000000007</v>
      </c>
      <c r="AQ235" s="440">
        <f t="shared" si="305"/>
        <v>6253</v>
      </c>
      <c r="AR235" s="440">
        <f t="shared" si="305"/>
        <v>6148</v>
      </c>
      <c r="AS235" s="440">
        <f t="shared" si="305"/>
        <v>6046.4</v>
      </c>
      <c r="AT235" s="460">
        <f t="shared" si="305"/>
        <v>24286.600000000002</v>
      </c>
      <c r="AU235" s="440">
        <f t="shared" ref="AU235:BX235" si="306">AU206+AU11</f>
        <v>5602</v>
      </c>
      <c r="AV235" s="440">
        <f t="shared" si="306"/>
        <v>5600.7</v>
      </c>
      <c r="AW235" s="440">
        <f t="shared" si="306"/>
        <v>5443.2999999999993</v>
      </c>
      <c r="AX235" s="440">
        <f t="shared" si="306"/>
        <v>5957.2999999999993</v>
      </c>
      <c r="AY235" s="460">
        <f t="shared" si="306"/>
        <v>22603.300000000003</v>
      </c>
      <c r="AZ235" s="440">
        <f t="shared" si="306"/>
        <v>5601.7</v>
      </c>
      <c r="BA235" s="440">
        <f t="shared" si="306"/>
        <v>5929.7</v>
      </c>
      <c r="BB235" s="440">
        <f t="shared" si="306"/>
        <v>5772.6</v>
      </c>
      <c r="BC235" s="440">
        <f t="shared" si="306"/>
        <v>5808.7999999999993</v>
      </c>
      <c r="BD235" s="460">
        <f t="shared" si="306"/>
        <v>23112.800000000003</v>
      </c>
      <c r="BE235" s="440">
        <f t="shared" si="306"/>
        <v>4683.1000000000004</v>
      </c>
      <c r="BF235" s="440">
        <f t="shared" si="306"/>
        <v>4935.5999999999995</v>
      </c>
      <c r="BG235" s="440">
        <f t="shared" si="306"/>
        <v>4875.6000000000004</v>
      </c>
      <c r="BH235" s="440">
        <f t="shared" si="306"/>
        <v>5121.3</v>
      </c>
      <c r="BI235" s="460">
        <f t="shared" si="306"/>
        <v>19615.599999999999</v>
      </c>
      <c r="BJ235" s="440">
        <f t="shared" si="306"/>
        <v>4644.7</v>
      </c>
      <c r="BK235" s="440">
        <f t="shared" si="306"/>
        <v>4978.7</v>
      </c>
      <c r="BL235" s="440">
        <f t="shared" si="306"/>
        <v>4959.7</v>
      </c>
      <c r="BM235" s="440">
        <f t="shared" si="306"/>
        <v>5375.5999999999995</v>
      </c>
      <c r="BN235" s="460">
        <f t="shared" si="306"/>
        <v>19958.699999999997</v>
      </c>
      <c r="BO235" s="440">
        <f t="shared" si="306"/>
        <v>4865.1000000000004</v>
      </c>
      <c r="BP235" s="440">
        <f t="shared" si="306"/>
        <v>5404.8000000000011</v>
      </c>
      <c r="BQ235" s="440">
        <f t="shared" si="306"/>
        <v>5191.7</v>
      </c>
      <c r="BR235" s="440">
        <f t="shared" si="306"/>
        <v>5760.5000000000009</v>
      </c>
      <c r="BS235" s="460">
        <f t="shared" si="306"/>
        <v>21210.200000000004</v>
      </c>
      <c r="BT235" s="440">
        <f t="shared" si="306"/>
        <v>5228.3999999999996</v>
      </c>
      <c r="BU235" s="440">
        <f>BU206+BU11</f>
        <v>5824.3</v>
      </c>
      <c r="BV235" s="440">
        <f t="shared" si="306"/>
        <v>5658.1</v>
      </c>
      <c r="BW235" s="440">
        <f t="shared" si="306"/>
        <v>6160.7999999999993</v>
      </c>
      <c r="BX235" s="460">
        <f t="shared" si="306"/>
        <v>22871.599999999999</v>
      </c>
      <c r="BY235" s="440">
        <f t="shared" ref="BY235:CH235" si="307">BY206+BY11</f>
        <v>5700</v>
      </c>
      <c r="BZ235" s="440">
        <f t="shared" si="307"/>
        <v>6017.2599999999993</v>
      </c>
      <c r="CA235" s="440">
        <f t="shared" si="307"/>
        <v>6059.8329999999996</v>
      </c>
      <c r="CB235" s="440">
        <f t="shared" si="307"/>
        <v>6245.3459999999995</v>
      </c>
      <c r="CC235" s="460">
        <f t="shared" si="307"/>
        <v>24022.338999999996</v>
      </c>
      <c r="CD235" s="460">
        <f t="shared" si="307"/>
        <v>24592.02145</v>
      </c>
      <c r="CE235" s="460">
        <f t="shared" si="307"/>
        <v>25514.011554000001</v>
      </c>
      <c r="CF235" s="460">
        <f t="shared" si="307"/>
        <v>26439.738999584999</v>
      </c>
      <c r="CG235" s="460">
        <f t="shared" si="307"/>
        <v>27217.601464911932</v>
      </c>
      <c r="CH235" s="460">
        <f t="shared" si="307"/>
        <v>28120.927073300889</v>
      </c>
    </row>
    <row r="236" spans="1:86">
      <c r="A236" s="9"/>
      <c r="B236" s="9"/>
      <c r="C236" s="9"/>
      <c r="D236" s="9"/>
      <c r="E236" s="9"/>
      <c r="F236" s="9"/>
      <c r="G236" s="9"/>
      <c r="H236" s="257" t="s">
        <v>231</v>
      </c>
      <c r="I236" s="257"/>
      <c r="J236" s="257"/>
      <c r="K236" s="257"/>
      <c r="L236" s="310">
        <v>1844.7</v>
      </c>
      <c r="M236" s="310">
        <v>1939.4</v>
      </c>
      <c r="N236" s="310">
        <v>1928.3</v>
      </c>
      <c r="O236" s="310">
        <v>2085.8000000000002</v>
      </c>
      <c r="P236" s="311">
        <v>7801.4</v>
      </c>
      <c r="Q236" s="310">
        <f t="shared" ref="Q236:T237" si="308">Q216+Q220</f>
        <v>2035.5</v>
      </c>
      <c r="R236" s="310">
        <f t="shared" si="308"/>
        <v>2097.6</v>
      </c>
      <c r="S236" s="310">
        <f t="shared" si="308"/>
        <v>2106.5500000000002</v>
      </c>
      <c r="T236" s="310">
        <f t="shared" si="308"/>
        <v>2359.5</v>
      </c>
      <c r="U236" s="311">
        <f>SUM(Q236:T236)</f>
        <v>8599.1500000000015</v>
      </c>
      <c r="V236" s="310">
        <f t="shared" ref="V236:Y237" si="309">V216+V220</f>
        <v>2311</v>
      </c>
      <c r="W236" s="310">
        <f t="shared" si="309"/>
        <v>2503.6999999999998</v>
      </c>
      <c r="X236" s="310">
        <f t="shared" si="309"/>
        <v>2477.3000000000002</v>
      </c>
      <c r="Y236" s="310">
        <f t="shared" si="309"/>
        <v>2853.8999999999996</v>
      </c>
      <c r="Z236" s="311">
        <f>SUM(V236:Y236)</f>
        <v>10145.9</v>
      </c>
      <c r="AA236" s="310">
        <f t="shared" ref="AA236:AD237" si="310">AA216+AA220</f>
        <v>2629.6</v>
      </c>
      <c r="AB236" s="310">
        <f t="shared" si="310"/>
        <v>2762.3</v>
      </c>
      <c r="AC236" s="310">
        <f t="shared" si="310"/>
        <v>2851.2000000000003</v>
      </c>
      <c r="AD236" s="310">
        <f t="shared" si="310"/>
        <v>2981.5</v>
      </c>
      <c r="AE236" s="311">
        <f>SUM(AA236:AD236)</f>
        <v>11224.6</v>
      </c>
      <c r="AF236" s="310">
        <f t="shared" ref="AF236:AI237" si="311">AF216+AF220</f>
        <v>2871.6</v>
      </c>
      <c r="AG236" s="310">
        <f t="shared" si="311"/>
        <v>3014.85</v>
      </c>
      <c r="AH236" s="310">
        <f t="shared" si="311"/>
        <v>3146.1000000000004</v>
      </c>
      <c r="AI236" s="310">
        <f t="shared" si="311"/>
        <v>3261.6</v>
      </c>
      <c r="AJ236" s="311">
        <f>SUM(AF236:AI236)</f>
        <v>12294.15</v>
      </c>
      <c r="AK236" s="310">
        <f t="shared" ref="AK236:AN237" si="312">AK216+AK220</f>
        <v>3033.8</v>
      </c>
      <c r="AL236" s="310">
        <f t="shared" si="312"/>
        <v>3261.8</v>
      </c>
      <c r="AM236" s="310">
        <f t="shared" si="312"/>
        <v>3150.4000000000005</v>
      </c>
      <c r="AN236" s="310">
        <f t="shared" si="312"/>
        <v>3420.08</v>
      </c>
      <c r="AO236" s="851">
        <f>SUM(AK236:AN236)</f>
        <v>12866.08</v>
      </c>
      <c r="AP236" s="811">
        <f t="shared" ref="AP236:AS237" si="313">AP216+AP220</f>
        <v>3076.1000000000004</v>
      </c>
      <c r="AQ236" s="811">
        <f t="shared" si="313"/>
        <v>3346.4</v>
      </c>
      <c r="AR236" s="811">
        <f t="shared" si="313"/>
        <v>3273.5</v>
      </c>
      <c r="AS236" s="811">
        <f t="shared" si="313"/>
        <v>3281.2</v>
      </c>
      <c r="AT236" s="851">
        <f>SUM(AP236:AS236)</f>
        <v>12977.2</v>
      </c>
      <c r="AU236" s="811">
        <f t="shared" ref="AU236:BX236" si="314">AU207+AU12</f>
        <v>3084.9</v>
      </c>
      <c r="AV236" s="811">
        <f t="shared" si="314"/>
        <v>3012.2999999999997</v>
      </c>
      <c r="AW236" s="811">
        <f t="shared" si="314"/>
        <v>2986.2</v>
      </c>
      <c r="AX236" s="811">
        <f t="shared" si="314"/>
        <v>3229.7</v>
      </c>
      <c r="AY236" s="851">
        <f t="shared" si="314"/>
        <v>12313.1</v>
      </c>
      <c r="AZ236" s="811">
        <f t="shared" si="314"/>
        <v>3136.8</v>
      </c>
      <c r="BA236" s="811">
        <f t="shared" si="314"/>
        <v>3397.3</v>
      </c>
      <c r="BB236" s="811">
        <f t="shared" si="314"/>
        <v>3311.9</v>
      </c>
      <c r="BC236" s="811">
        <f t="shared" si="314"/>
        <v>3043.5</v>
      </c>
      <c r="BD236" s="851">
        <f t="shared" si="314"/>
        <v>12889.7</v>
      </c>
      <c r="BE236" s="811">
        <f t="shared" si="314"/>
        <v>2084.3000000000002</v>
      </c>
      <c r="BF236" s="811">
        <f t="shared" si="314"/>
        <v>2379.5</v>
      </c>
      <c r="BG236" s="811">
        <f t="shared" si="314"/>
        <v>2217.7999999999997</v>
      </c>
      <c r="BH236" s="811">
        <f t="shared" si="314"/>
        <v>2452.6</v>
      </c>
      <c r="BI236" s="851">
        <f t="shared" si="314"/>
        <v>9134.1999999999989</v>
      </c>
      <c r="BJ236" s="811">
        <f t="shared" si="314"/>
        <v>2197.5</v>
      </c>
      <c r="BK236" s="811">
        <f t="shared" si="314"/>
        <v>2527.8000000000002</v>
      </c>
      <c r="BL236" s="811">
        <f t="shared" si="314"/>
        <v>2537.6999999999998</v>
      </c>
      <c r="BM236" s="811">
        <f t="shared" si="314"/>
        <v>2820.6000000000004</v>
      </c>
      <c r="BN236" s="851">
        <f t="shared" si="314"/>
        <v>10083.6</v>
      </c>
      <c r="BO236" s="811">
        <f t="shared" si="314"/>
        <v>2555.6</v>
      </c>
      <c r="BP236" s="811">
        <f t="shared" si="314"/>
        <v>2889.9</v>
      </c>
      <c r="BQ236" s="811">
        <f t="shared" si="314"/>
        <v>2837.6</v>
      </c>
      <c r="BR236" s="811">
        <f t="shared" si="314"/>
        <v>3223.1</v>
      </c>
      <c r="BS236" s="851">
        <f t="shared" si="314"/>
        <v>11494.699999999999</v>
      </c>
      <c r="BT236" s="811">
        <f>BT207+BT12</f>
        <v>2933.5</v>
      </c>
      <c r="BU236" s="811">
        <f t="shared" si="314"/>
        <v>3323.9</v>
      </c>
      <c r="BV236" s="811">
        <f t="shared" si="314"/>
        <v>3104.3</v>
      </c>
      <c r="BW236" s="811">
        <f>BW207+BW12</f>
        <v>3423.3</v>
      </c>
      <c r="BX236" s="851">
        <f t="shared" si="314"/>
        <v>12785.2</v>
      </c>
      <c r="BY236" s="811">
        <f t="shared" ref="BY236:CH236" si="315">BY207+BY12</f>
        <v>3154.7</v>
      </c>
      <c r="BZ236" s="811">
        <f t="shared" si="315"/>
        <v>3404.7959999999994</v>
      </c>
      <c r="CA236" s="811">
        <f t="shared" si="315"/>
        <v>3411.0810000000001</v>
      </c>
      <c r="CB236" s="811">
        <f t="shared" si="315"/>
        <v>3452.1040000000003</v>
      </c>
      <c r="CC236" s="851">
        <f t="shared" si="315"/>
        <v>13422.681</v>
      </c>
      <c r="CD236" s="851">
        <f t="shared" si="315"/>
        <v>13714.450119999998</v>
      </c>
      <c r="CE236" s="851">
        <f t="shared" si="315"/>
        <v>14538.463144199999</v>
      </c>
      <c r="CF236" s="851">
        <f t="shared" si="315"/>
        <v>15298.728287384003</v>
      </c>
      <c r="CG236" s="851">
        <f t="shared" si="315"/>
        <v>15658.185844200703</v>
      </c>
      <c r="CH236" s="851">
        <f t="shared" si="315"/>
        <v>16110.55242979731</v>
      </c>
    </row>
    <row r="237" spans="1:86">
      <c r="A237" s="9"/>
      <c r="B237" s="9"/>
      <c r="C237" s="9"/>
      <c r="D237" s="9"/>
      <c r="E237" s="9"/>
      <c r="F237" s="9"/>
      <c r="G237" s="9"/>
      <c r="H237" s="671" t="s">
        <v>232</v>
      </c>
      <c r="I237" s="671"/>
      <c r="J237" s="671"/>
      <c r="K237" s="671"/>
      <c r="L237" s="672">
        <v>1652.7</v>
      </c>
      <c r="M237" s="672">
        <v>1728.4</v>
      </c>
      <c r="N237" s="672">
        <v>1673</v>
      </c>
      <c r="O237" s="672">
        <v>1793.4</v>
      </c>
      <c r="P237" s="673">
        <v>6847.5</v>
      </c>
      <c r="Q237" s="672">
        <f t="shared" si="308"/>
        <v>1679.3000000000002</v>
      </c>
      <c r="R237" s="672">
        <f t="shared" si="308"/>
        <v>1769.5</v>
      </c>
      <c r="S237" s="672">
        <f t="shared" si="308"/>
        <v>1757.5</v>
      </c>
      <c r="T237" s="672">
        <f t="shared" si="308"/>
        <v>1885.8</v>
      </c>
      <c r="U237" s="673">
        <f>SUM(Q237:T237)</f>
        <v>7092.1</v>
      </c>
      <c r="V237" s="672">
        <f t="shared" si="309"/>
        <v>1915.2</v>
      </c>
      <c r="W237" s="672">
        <f t="shared" si="309"/>
        <v>2127.1999999999998</v>
      </c>
      <c r="X237" s="672">
        <f t="shared" si="309"/>
        <v>2109.5</v>
      </c>
      <c r="Y237" s="672">
        <f t="shared" si="309"/>
        <v>2335.8999999999996</v>
      </c>
      <c r="Z237" s="673">
        <f>SUM(V237:Y237)</f>
        <v>8487.7999999999993</v>
      </c>
      <c r="AA237" s="672">
        <f t="shared" si="310"/>
        <v>2281.3999999999996</v>
      </c>
      <c r="AB237" s="672">
        <f t="shared" si="310"/>
        <v>2488.6999999999998</v>
      </c>
      <c r="AC237" s="672">
        <f t="shared" si="310"/>
        <v>2457.5</v>
      </c>
      <c r="AD237" s="672">
        <f t="shared" si="310"/>
        <v>2280.2000000000003</v>
      </c>
      <c r="AE237" s="673">
        <f>SUM(AA237:AD237)</f>
        <v>9507.7999999999993</v>
      </c>
      <c r="AF237" s="672">
        <f t="shared" si="311"/>
        <v>2174.9</v>
      </c>
      <c r="AG237" s="672">
        <f t="shared" si="311"/>
        <v>2277.7599999999998</v>
      </c>
      <c r="AH237" s="672">
        <f t="shared" si="311"/>
        <v>2416.1000000000004</v>
      </c>
      <c r="AI237" s="672">
        <f t="shared" si="311"/>
        <v>2673.1</v>
      </c>
      <c r="AJ237" s="673">
        <f>SUM(AF237:AI237)</f>
        <v>9541.86</v>
      </c>
      <c r="AK237" s="672">
        <f t="shared" si="312"/>
        <v>2451.6</v>
      </c>
      <c r="AL237" s="672">
        <f t="shared" si="312"/>
        <v>2486.9</v>
      </c>
      <c r="AM237" s="672">
        <f t="shared" si="312"/>
        <v>2504.5</v>
      </c>
      <c r="AN237" s="672">
        <f t="shared" si="312"/>
        <v>2767</v>
      </c>
      <c r="AO237" s="853">
        <f>SUM(AK237:AN237)</f>
        <v>10210</v>
      </c>
      <c r="AP237" s="852">
        <f t="shared" si="313"/>
        <v>2763.1000000000004</v>
      </c>
      <c r="AQ237" s="852">
        <f t="shared" si="313"/>
        <v>2906.6</v>
      </c>
      <c r="AR237" s="852">
        <f t="shared" si="313"/>
        <v>2874.4999999999995</v>
      </c>
      <c r="AS237" s="852">
        <f t="shared" si="313"/>
        <v>2765.2</v>
      </c>
      <c r="AT237" s="853">
        <f>SUM(AP237:AS237)</f>
        <v>11309.400000000001</v>
      </c>
      <c r="AU237" s="852">
        <f t="shared" ref="AU237:BX237" si="316">AU208+AU13</f>
        <v>2517.1</v>
      </c>
      <c r="AV237" s="852">
        <f t="shared" si="316"/>
        <v>2588.4</v>
      </c>
      <c r="AW237" s="852">
        <f t="shared" si="316"/>
        <v>2457.1</v>
      </c>
      <c r="AX237" s="852">
        <f t="shared" si="316"/>
        <v>2727.6</v>
      </c>
      <c r="AY237" s="853">
        <f t="shared" si="316"/>
        <v>10290.200000000001</v>
      </c>
      <c r="AZ237" s="852">
        <f t="shared" si="316"/>
        <v>2464.9</v>
      </c>
      <c r="BA237" s="852">
        <f t="shared" si="316"/>
        <v>2532.3999999999996</v>
      </c>
      <c r="BB237" s="852">
        <f t="shared" si="316"/>
        <v>2460.7000000000003</v>
      </c>
      <c r="BC237" s="852">
        <f t="shared" si="316"/>
        <v>2508.3000000000002</v>
      </c>
      <c r="BD237" s="853">
        <f t="shared" si="316"/>
        <v>10223.1</v>
      </c>
      <c r="BE237" s="852">
        <f t="shared" si="316"/>
        <v>2598.8000000000002</v>
      </c>
      <c r="BF237" s="852">
        <f t="shared" si="316"/>
        <v>2556.1</v>
      </c>
      <c r="BG237" s="852">
        <f t="shared" si="316"/>
        <v>2657.8</v>
      </c>
      <c r="BH237" s="852">
        <f t="shared" si="316"/>
        <v>2668.7</v>
      </c>
      <c r="BI237" s="853">
        <f t="shared" si="316"/>
        <v>10481.4</v>
      </c>
      <c r="BJ237" s="852">
        <f t="shared" si="316"/>
        <v>2447.1999999999998</v>
      </c>
      <c r="BK237" s="852">
        <f t="shared" si="316"/>
        <v>2450.9</v>
      </c>
      <c r="BL237" s="852">
        <f t="shared" si="316"/>
        <v>2422</v>
      </c>
      <c r="BM237" s="852">
        <f t="shared" si="316"/>
        <v>2555</v>
      </c>
      <c r="BN237" s="853">
        <f t="shared" si="316"/>
        <v>9875.0999999999985</v>
      </c>
      <c r="BO237" s="852">
        <f t="shared" si="316"/>
        <v>2309.5</v>
      </c>
      <c r="BP237" s="852">
        <f t="shared" si="316"/>
        <v>2514.9</v>
      </c>
      <c r="BQ237" s="852">
        <f t="shared" si="316"/>
        <v>2354.1</v>
      </c>
      <c r="BR237" s="852">
        <f t="shared" si="316"/>
        <v>2537.4</v>
      </c>
      <c r="BS237" s="853">
        <f t="shared" si="316"/>
        <v>9715.5000000000018</v>
      </c>
      <c r="BT237" s="852">
        <f t="shared" si="316"/>
        <v>2294.8000000000002</v>
      </c>
      <c r="BU237" s="852">
        <f t="shared" si="316"/>
        <v>2500.3000000000002</v>
      </c>
      <c r="BV237" s="852">
        <f t="shared" si="316"/>
        <v>2553.6999999999998</v>
      </c>
      <c r="BW237" s="852">
        <f t="shared" si="316"/>
        <v>2737.5</v>
      </c>
      <c r="BX237" s="853">
        <f t="shared" si="316"/>
        <v>10086.4</v>
      </c>
      <c r="BY237" s="852">
        <f t="shared" ref="BY237:CH237" si="317">BY208+BY13</f>
        <v>2545.2999999999997</v>
      </c>
      <c r="BZ237" s="852">
        <f t="shared" si="317"/>
        <v>2612.4639999999995</v>
      </c>
      <c r="CA237" s="852">
        <f t="shared" si="317"/>
        <v>2648.752</v>
      </c>
      <c r="CB237" s="852">
        <f t="shared" si="317"/>
        <v>2793.2420000000002</v>
      </c>
      <c r="CC237" s="853">
        <f t="shared" si="317"/>
        <v>10599.657999999998</v>
      </c>
      <c r="CD237" s="853">
        <f t="shared" si="317"/>
        <v>10877.571329999999</v>
      </c>
      <c r="CE237" s="853">
        <f t="shared" si="317"/>
        <v>10975.548409800002</v>
      </c>
      <c r="CF237" s="853">
        <f t="shared" si="317"/>
        <v>11141.010712201001</v>
      </c>
      <c r="CG237" s="853">
        <f t="shared" si="317"/>
        <v>11559.415620711232</v>
      </c>
      <c r="CH237" s="853">
        <f t="shared" si="317"/>
        <v>12010.374643503579</v>
      </c>
    </row>
    <row r="238" spans="1:86" s="14" customFormat="1">
      <c r="A238" s="9"/>
      <c r="B238" s="9"/>
      <c r="C238" s="9"/>
      <c r="D238" s="9"/>
      <c r="E238" s="9"/>
      <c r="F238" s="9"/>
      <c r="G238" s="9"/>
      <c r="H238" s="312"/>
      <c r="I238" s="312"/>
      <c r="J238" s="312"/>
      <c r="K238" s="312"/>
      <c r="L238" s="311"/>
      <c r="M238" s="311"/>
      <c r="N238" s="311"/>
      <c r="O238" s="311"/>
      <c r="P238" s="311"/>
      <c r="Q238" s="311"/>
      <c r="R238" s="311"/>
      <c r="S238" s="311"/>
      <c r="T238" s="311"/>
      <c r="U238" s="311"/>
      <c r="V238" s="311"/>
      <c r="W238" s="311"/>
      <c r="X238" s="311"/>
      <c r="Y238" s="311"/>
      <c r="Z238" s="311"/>
      <c r="AA238" s="311"/>
      <c r="AB238" s="311"/>
      <c r="AC238" s="311"/>
      <c r="AD238" s="311"/>
      <c r="AE238" s="311"/>
      <c r="AF238" s="311"/>
      <c r="AG238" s="311"/>
      <c r="AH238" s="311"/>
      <c r="AI238" s="311"/>
      <c r="AJ238" s="311"/>
      <c r="AK238" s="311"/>
      <c r="AL238" s="311"/>
      <c r="AM238" s="311"/>
      <c r="AN238" s="311"/>
      <c r="AO238" s="851"/>
      <c r="AP238" s="851"/>
      <c r="AQ238" s="851"/>
      <c r="AR238" s="851"/>
      <c r="AS238" s="851"/>
      <c r="AT238" s="851"/>
      <c r="AU238" s="851"/>
      <c r="AV238" s="851"/>
      <c r="AW238" s="851"/>
      <c r="AX238" s="851"/>
      <c r="AY238" s="851"/>
      <c r="AZ238" s="851"/>
      <c r="BA238" s="851"/>
      <c r="BB238" s="851"/>
      <c r="BC238" s="851"/>
      <c r="BD238" s="851"/>
      <c r="BE238" s="1086"/>
      <c r="BF238" s="1086"/>
      <c r="BG238" s="1086"/>
      <c r="BH238" s="1086"/>
      <c r="BI238" s="851"/>
      <c r="BJ238" s="1086"/>
      <c r="BK238" s="1086"/>
      <c r="BL238" s="1086"/>
      <c r="BM238" s="1086"/>
      <c r="BN238" s="851"/>
      <c r="BO238" s="1086"/>
      <c r="BP238" s="1086"/>
      <c r="BQ238" s="1086"/>
      <c r="BR238" s="1086"/>
      <c r="BS238" s="851"/>
      <c r="BT238" s="1086"/>
      <c r="BU238" s="1086"/>
      <c r="BV238" s="1086"/>
      <c r="BW238" s="1086"/>
      <c r="BX238" s="851"/>
      <c r="BY238" s="1086"/>
      <c r="BZ238" s="1086"/>
      <c r="CA238" s="1086"/>
      <c r="CB238" s="1086"/>
      <c r="CC238" s="851"/>
      <c r="CD238" s="851"/>
      <c r="CE238" s="851"/>
      <c r="CF238" s="851"/>
      <c r="CG238" s="851"/>
      <c r="CH238" s="851"/>
    </row>
    <row r="239" spans="1:86" ht="13.5" thickBot="1">
      <c r="A239" s="9"/>
      <c r="B239" s="9"/>
      <c r="C239" s="9"/>
      <c r="D239" s="9"/>
      <c r="E239" s="9"/>
      <c r="F239" s="9"/>
      <c r="G239" s="9"/>
      <c r="H239" s="318" t="s">
        <v>583</v>
      </c>
      <c r="I239" s="319"/>
      <c r="J239" s="319"/>
      <c r="K239" s="41"/>
      <c r="L239" s="43" t="str">
        <f>"1Q:" &amp; RIGHT(YEAR(L$4),2) &amp; IF(L$4&lt;=LatestRpQ, "A", "E")</f>
        <v>1Q:05A</v>
      </c>
      <c r="M239" s="43" t="str">
        <f>"2Q:" &amp; RIGHT(YEAR(M$4),2) &amp; IF(M$4&lt;=LatestRpQ, "A", "E")</f>
        <v>2Q:05A</v>
      </c>
      <c r="N239" s="43" t="str">
        <f>"3Q:" &amp; RIGHT(YEAR(N$4),2) &amp; IF(N$4&lt;=LatestRpQ, "A", "E")</f>
        <v>3Q:05A</v>
      </c>
      <c r="O239" s="43" t="str">
        <f>"4Q:" &amp; RIGHT(YEAR(O$4),2) &amp; IF(O$4&lt;=LatestRpQ, "A", "E")</f>
        <v>4Q:05A</v>
      </c>
      <c r="P239" s="44" t="str">
        <f>YEAR(P$4) &amp; IF(P$4&lt;=LatestRpQ, "A", "E")</f>
        <v>2005A</v>
      </c>
      <c r="Q239" s="43" t="str">
        <f>"1Q:" &amp; RIGHT(YEAR(Q$4),2) &amp; IF(Q$4&lt;=LatestRpQ, "A", "E")</f>
        <v>1Q:06A</v>
      </c>
      <c r="R239" s="43" t="str">
        <f>"2Q:" &amp; RIGHT(YEAR(R$4),2) &amp; IF(R$4&lt;=LatestRpQ, "A", "E")</f>
        <v>2Q:06A</v>
      </c>
      <c r="S239" s="43" t="str">
        <f>"3Q:" &amp; RIGHT(YEAR(S$4),2) &amp; IF(S$4&lt;=LatestRpQ, "A", "E")</f>
        <v>3Q:06A</v>
      </c>
      <c r="T239" s="43" t="str">
        <f>"4Q:" &amp; RIGHT(YEAR(T$4),2) &amp; IF(T$4&lt;=LatestRpQ, "A", "E")</f>
        <v>4Q:06A</v>
      </c>
      <c r="U239" s="44" t="str">
        <f>YEAR(U$4) &amp; IF(U$4&lt;=LatestRpQ, "A", "E")</f>
        <v>2006A</v>
      </c>
      <c r="V239" s="43" t="str">
        <f>"1Q:" &amp; RIGHT(YEAR(V$4),2) &amp; IF(V$4&lt;=LatestRpQ, "A", "E")</f>
        <v>1Q:07A</v>
      </c>
      <c r="W239" s="43" t="str">
        <f>"2Q:" &amp; RIGHT(YEAR(W$4),2) &amp; IF(W$4&lt;=LatestRpQ, "A", "E")</f>
        <v>2Q:07A</v>
      </c>
      <c r="X239" s="43" t="str">
        <f>"3Q:" &amp; RIGHT(YEAR(X$4),2) &amp; IF(X$4&lt;=LatestRpQ, "A", "E")</f>
        <v>3Q:07A</v>
      </c>
      <c r="Y239" s="43" t="str">
        <f>"4Q:" &amp; RIGHT(YEAR(Y$4),2) &amp; IF(Y$4&lt;=LatestRpQ, "A", "E")</f>
        <v>4Q:07A</v>
      </c>
      <c r="Z239" s="44" t="str">
        <f>YEAR(Z$4) &amp; IF(Z$4&lt;=LatestRpQ, "A", "E")</f>
        <v>2007A</v>
      </c>
      <c r="AA239" s="43" t="str">
        <f>"1Q:" &amp; RIGHT(YEAR(AA$4),2) &amp; IF(AA$4&lt;=LatestRpQ, "A", "E")</f>
        <v>1Q:08A</v>
      </c>
      <c r="AB239" s="43" t="str">
        <f>"2Q:" &amp; RIGHT(YEAR(AB$4),2) &amp; IF(AB$4&lt;=LatestRpQ, "A", "E")</f>
        <v>2Q:08A</v>
      </c>
      <c r="AC239" s="43" t="str">
        <f>"3Q:" &amp; RIGHT(YEAR(AC$4),2) &amp; IF(AC$4&lt;=LatestRpQ, "A", "E")</f>
        <v>3Q:08A</v>
      </c>
      <c r="AD239" s="43" t="str">
        <f>"4Q:" &amp; RIGHT(YEAR(AD$4),2) &amp; IF(AD$4&lt;=LatestRpQ, "A", "E")</f>
        <v>4Q:08A</v>
      </c>
      <c r="AE239" s="44" t="str">
        <f>YEAR(AE$4) &amp; IF(AE$4&lt;=LatestRpQ, "A", "E")</f>
        <v>2008A</v>
      </c>
      <c r="AF239" s="43" t="str">
        <f>"1Q:" &amp; RIGHT(YEAR(AF$4),2) &amp; IF(AF$4&lt;=LatestRpQ, "A", "E")</f>
        <v>1Q:09A</v>
      </c>
      <c r="AG239" s="43" t="str">
        <f>"2Q:" &amp; RIGHT(YEAR(AG$4),2) &amp; IF(AG$4&lt;=LatestRpQ, "A", "E")</f>
        <v>2Q:09A</v>
      </c>
      <c r="AH239" s="43" t="str">
        <f>"3Q:" &amp; RIGHT(YEAR(AH$4),2) &amp; IF(AH$4&lt;=LatestRpQ, "A", "E")</f>
        <v>3Q:09A</v>
      </c>
      <c r="AI239" s="43" t="str">
        <f>"4Q:" &amp; RIGHT(YEAR(AI$4),2) &amp; IF(AI$4&lt;=LatestRpQ, "A", "E")</f>
        <v>4Q:09A</v>
      </c>
      <c r="AJ239" s="44" t="str">
        <f>YEAR(AJ$4) &amp; IF(AJ$4&lt;=LatestRpQ, "A", "E")</f>
        <v>2009A</v>
      </c>
      <c r="AK239" s="43" t="str">
        <f>"1Q:" &amp; RIGHT(YEAR(AK$4),2) &amp; IF(AK$4&lt;=LatestRpQ, "A", "E")</f>
        <v>1Q:10A</v>
      </c>
      <c r="AL239" s="43" t="str">
        <f>"2Q:" &amp; RIGHT(YEAR(AL$4),2) &amp; IF(AL$4&lt;=LatestRpQ, "A", "E")</f>
        <v>2Q:10A</v>
      </c>
      <c r="AM239" s="43" t="str">
        <f>"3Q:" &amp; RIGHT(YEAR(AM$4),2) &amp; IF(AM$4&lt;=LatestRpQ, "A", "E")</f>
        <v>3Q:10A</v>
      </c>
      <c r="AN239" s="43" t="str">
        <f>"4Q:" &amp; RIGHT(YEAR(AN$4),2) &amp; IF(AN$4&lt;=LatestRpQ, "A", "E")</f>
        <v>4Q:10A</v>
      </c>
      <c r="AO239" s="44" t="str">
        <f>YEAR(AO$4) &amp; IF(AO$4&lt;=LatestRpQ, "A", "E")</f>
        <v>2010A</v>
      </c>
      <c r="AP239" s="43" t="str">
        <f>"1Q:" &amp; RIGHT(YEAR(AP$4),2) &amp; IF(AP$4&lt;=LatestRpQ, "A", "E")</f>
        <v>1Q:11A</v>
      </c>
      <c r="AQ239" s="43" t="str">
        <f>"2Q:" &amp; RIGHT(YEAR(AQ$4),2) &amp; IF(AQ$4&lt;=LatestRpQ, "A", "E")</f>
        <v>2Q:11A</v>
      </c>
      <c r="AR239" s="43" t="str">
        <f>"3Q:" &amp; RIGHT(YEAR(AR$4),2) &amp; IF(AR$4&lt;=LatestRpQ, "A", "E")</f>
        <v>3Q:11A</v>
      </c>
      <c r="AS239" s="43" t="str">
        <f>"4Q:" &amp; RIGHT(YEAR(AS$4),2) &amp; IF(AS$4&lt;=LatestRpQ, "A", "E")</f>
        <v>4Q:11A</v>
      </c>
      <c r="AT239" s="44" t="str">
        <f>YEAR(AT$4) &amp; IF(AT$4&lt;=LatestRpQ, "A", "E")</f>
        <v>2011A</v>
      </c>
      <c r="AU239" s="43" t="str">
        <f>"1Q:" &amp; RIGHT(YEAR(AU$4),2) &amp; IF(AU$4&lt;=LatestRpQ, "A", "E")</f>
        <v>1Q:12A</v>
      </c>
      <c r="AV239" s="43" t="str">
        <f>"2Q:" &amp; RIGHT(YEAR(AV$4),2) &amp; IF(AV$4&lt;=LatestRpQ, "A", "E")</f>
        <v>2Q:12A</v>
      </c>
      <c r="AW239" s="43" t="str">
        <f>"3Q:" &amp; RIGHT(YEAR(AW$4),2) &amp; IF(AW$4&lt;=LatestRpQ, "A", "E")</f>
        <v>3Q:12A</v>
      </c>
      <c r="AX239" s="43" t="str">
        <f>"4Q:" &amp; RIGHT(YEAR(AX$4),2) &amp; IF(AX$4&lt;=LatestRpQ, "A", "E")</f>
        <v>4Q:12A</v>
      </c>
      <c r="AY239" s="44" t="str">
        <f>YEAR(AY$4) &amp; IF(AY$4&lt;=LatestRpQ, "A", "E")</f>
        <v>2012A</v>
      </c>
      <c r="AZ239" s="43" t="str">
        <f>"1Q:" &amp; RIGHT(YEAR(AZ$4),2) &amp; IF(AZ$4&lt;=LatestRpQ, "A", "E")</f>
        <v>1Q:13A</v>
      </c>
      <c r="BA239" s="43" t="str">
        <f>"2Q:" &amp; RIGHT(YEAR(BA$4),2) &amp; IF(BA$4&lt;=LatestRpQ, "A", "E")</f>
        <v>2Q:13A</v>
      </c>
      <c r="BB239" s="43" t="str">
        <f>"3Q:" &amp; RIGHT(YEAR(BB$4),2) &amp; IF(BB$4&lt;=LatestRpQ, "A", "E")</f>
        <v>3Q:13A</v>
      </c>
      <c r="BC239" s="43" t="str">
        <f>"4Q:" &amp; RIGHT(YEAR(BC$4),2) &amp; IF(BC$4&lt;=LatestRpQ, "A", "E")</f>
        <v>4Q:13A</v>
      </c>
      <c r="BD239" s="44" t="str">
        <f>YEAR(BD$4) &amp; IF(BD$4&lt;=LatestRpQ, "A", "E")</f>
        <v>2013A</v>
      </c>
      <c r="BE239" s="43" t="str">
        <f>"1Q:" &amp; RIGHT(YEAR(BE$4),2) &amp; IF(BE$4&lt;=LatestRpQ, "A", "E")</f>
        <v>1Q:14A</v>
      </c>
      <c r="BF239" s="43" t="str">
        <f>"2Q:" &amp; RIGHT(YEAR(BF$4),2) &amp; IF(BF$4&lt;=LatestRpQ, "A", "E")</f>
        <v>2Q:14A</v>
      </c>
      <c r="BG239" s="43" t="str">
        <f>"3Q:" &amp; RIGHT(YEAR(BG$4),2) &amp; IF(BG$4&lt;=LatestRpQ, "A", "E")</f>
        <v>3Q:14A</v>
      </c>
      <c r="BH239" s="43" t="str">
        <f>"4Q:" &amp; RIGHT(YEAR(BH$4),2) &amp; IF(BH$4&lt;=LatestRpQ, "A", "E")</f>
        <v>4Q:14A</v>
      </c>
      <c r="BI239" s="44" t="str">
        <f>YEAR(BI$4) &amp; IF(BI$4&lt;=LatestRpQ, "A", "E")</f>
        <v>2014A</v>
      </c>
      <c r="BJ239" s="43" t="str">
        <f>"1Q:" &amp; RIGHT(YEAR(BJ$4),2) &amp; IF(BJ$4&lt;=LatestRpQ, "A", "E")</f>
        <v>1Q:15A</v>
      </c>
      <c r="BK239" s="43" t="str">
        <f>"2Q:" &amp; RIGHT(YEAR(BK$4),2) &amp; IF(BK$4&lt;=LatestRpQ, "A", "E")</f>
        <v>2Q:15A</v>
      </c>
      <c r="BL239" s="43" t="str">
        <f>"3Q:" &amp; RIGHT(YEAR(BL$4),2) &amp; IF(BL$4&lt;=LatestRpQ, "A", "E")</f>
        <v>3Q:15A</v>
      </c>
      <c r="BM239" s="43" t="str">
        <f>"4Q:" &amp; RIGHT(YEAR(BM$4),2) &amp; IF(BM$4&lt;=LatestRpQ, "A", "E")</f>
        <v>4Q:15A</v>
      </c>
      <c r="BN239" s="44" t="str">
        <f>YEAR(BN$4) &amp; IF(BN$4&lt;=LatestRpQ, "A", "E")</f>
        <v>2015A</v>
      </c>
      <c r="BO239" s="43" t="str">
        <f>"1Q:" &amp; RIGHT(YEAR(BO$4),2) &amp; IF(BO$4&lt;=LatestRpQ, "A", "E")</f>
        <v>1Q:16A</v>
      </c>
      <c r="BP239" s="43" t="str">
        <f>"2Q:" &amp; RIGHT(YEAR(BP$4),2) &amp; IF(BP$4&lt;=LatestRpQ, "A", "E")</f>
        <v>2Q:16A</v>
      </c>
      <c r="BQ239" s="43" t="str">
        <f>"3Q:" &amp; RIGHT(YEAR(BQ$4),2) &amp; IF(BQ$4&lt;=LatestRpQ, "A", "E")</f>
        <v>3Q:16A</v>
      </c>
      <c r="BR239" s="43" t="str">
        <f>"4Q:" &amp; RIGHT(YEAR(BR$4),2) &amp; IF(BR$4&lt;=LatestRpQ, "A", "E")</f>
        <v>4Q:16A</v>
      </c>
      <c r="BS239" s="44" t="str">
        <f>YEAR(BS$4) &amp; IF(BS$4&lt;=LatestRpQ, "A", "E")</f>
        <v>2016A</v>
      </c>
      <c r="BT239" s="43" t="str">
        <f>"1Q:" &amp; RIGHT(YEAR(BT$4),2) &amp; IF(BT$4&lt;=LatestRpQ, "A", "E")</f>
        <v>1Q:17A</v>
      </c>
      <c r="BU239" s="43" t="str">
        <f>"2Q:" &amp; RIGHT(YEAR(BU$4),2) &amp; IF(BU$4&lt;=LatestRpQ, "A", "E")</f>
        <v>2Q:17A</v>
      </c>
      <c r="BV239" s="43" t="str">
        <f>"3Q:" &amp; RIGHT(YEAR(BV$4),2) &amp; IF(BV$4&lt;=LatestRpQ, "A", "E")</f>
        <v>3Q:17A</v>
      </c>
      <c r="BW239" s="43" t="str">
        <f>"4Q:" &amp; RIGHT(YEAR(BW$4),2) &amp; IF(BW$4&lt;=LatestRpQ, "A", "E")</f>
        <v>4Q:17A</v>
      </c>
      <c r="BX239" s="44" t="str">
        <f>YEAR(BX$4) &amp; IF(BX$4&lt;=LatestRpQ, "A", "E")</f>
        <v>2017A</v>
      </c>
      <c r="BY239" s="43" t="str">
        <f>"1Q:" &amp; RIGHT(YEAR(BY$4),2) &amp; IF(BY$4&lt;=LatestRpQ, "A", "E")</f>
        <v>1Q:18A</v>
      </c>
      <c r="BZ239" s="43" t="str">
        <f>"2Q:" &amp; RIGHT(YEAR(BZ$4),2) &amp; IF(BZ$4&lt;=LatestRpQ, "A", "E")</f>
        <v>2Q:18E</v>
      </c>
      <c r="CA239" s="43" t="str">
        <f>"3Q:" &amp; RIGHT(YEAR(CA$4),2) &amp; IF(CA$4&lt;=LatestRpQ, "A", "E")</f>
        <v>3Q:18E</v>
      </c>
      <c r="CB239" s="43" t="str">
        <f>"4Q:" &amp; RIGHT(YEAR(CB$4),2) &amp; IF(CB$4&lt;=LatestRpQ, "A", "E")</f>
        <v>4Q:18E</v>
      </c>
      <c r="CC239" s="44" t="str">
        <f t="shared" ref="CC239:CH239" si="318">YEAR(CC$4) &amp; IF(CC$4&lt;=LatestRpQ, "A", "E")</f>
        <v>2018E</v>
      </c>
      <c r="CD239" s="44" t="str">
        <f t="shared" si="318"/>
        <v>2019E</v>
      </c>
      <c r="CE239" s="44" t="str">
        <f t="shared" si="318"/>
        <v>2020E</v>
      </c>
      <c r="CF239" s="44" t="str">
        <f t="shared" si="318"/>
        <v>2021E</v>
      </c>
      <c r="CG239" s="44" t="str">
        <f t="shared" si="318"/>
        <v>2022E</v>
      </c>
      <c r="CH239" s="44" t="str">
        <f t="shared" si="318"/>
        <v>2023E</v>
      </c>
    </row>
    <row r="240" spans="1:86" ht="4.5" customHeight="1">
      <c r="A240" s="9"/>
      <c r="B240" s="9"/>
      <c r="C240" s="9"/>
      <c r="D240" s="9"/>
      <c r="E240" s="9"/>
      <c r="F240" s="9"/>
      <c r="G240" s="9"/>
      <c r="H240" s="320"/>
      <c r="I240" s="321"/>
      <c r="J240" s="321"/>
      <c r="K240" s="37"/>
      <c r="L240" s="251"/>
      <c r="M240" s="251"/>
      <c r="N240" s="251"/>
      <c r="O240" s="251"/>
      <c r="P240" s="252"/>
      <c r="Q240" s="251"/>
      <c r="R240" s="251"/>
      <c r="S240" s="251"/>
      <c r="T240" s="251"/>
      <c r="U240" s="252"/>
      <c r="V240" s="251"/>
      <c r="W240" s="251"/>
      <c r="X240" s="251"/>
      <c r="Y240" s="251"/>
      <c r="Z240" s="252"/>
      <c r="AA240" s="251"/>
      <c r="AB240" s="251"/>
      <c r="AC240" s="251"/>
      <c r="AD240" s="251"/>
      <c r="AE240" s="252"/>
      <c r="AF240" s="253"/>
      <c r="AG240" s="253"/>
      <c r="AH240" s="253"/>
      <c r="AI240" s="253"/>
      <c r="AJ240" s="254"/>
      <c r="AK240" s="253"/>
      <c r="AL240" s="253"/>
      <c r="AM240" s="253"/>
      <c r="AN240" s="253"/>
      <c r="AO240" s="254"/>
      <c r="AP240" s="253"/>
      <c r="AQ240" s="253"/>
      <c r="AR240" s="253"/>
      <c r="AS240" s="253"/>
      <c r="AT240" s="254"/>
      <c r="AU240" s="253"/>
      <c r="AV240" s="253"/>
      <c r="AW240" s="253"/>
      <c r="AX240" s="253"/>
      <c r="AY240" s="254"/>
      <c r="AZ240" s="253"/>
      <c r="BA240" s="253"/>
      <c r="BB240" s="253"/>
      <c r="BC240" s="253"/>
      <c r="BD240" s="254"/>
      <c r="BE240" s="253"/>
      <c r="BF240" s="253"/>
      <c r="BG240" s="253"/>
      <c r="BH240" s="253"/>
      <c r="BI240" s="254"/>
      <c r="BJ240" s="253"/>
      <c r="BK240" s="253"/>
      <c r="BL240" s="253"/>
      <c r="BM240" s="253"/>
      <c r="BN240" s="254"/>
      <c r="BO240" s="253"/>
      <c r="BP240" s="253"/>
      <c r="BQ240" s="253"/>
      <c r="BR240" s="253"/>
      <c r="BS240" s="254"/>
      <c r="BT240" s="253"/>
      <c r="BU240" s="253"/>
      <c r="BV240" s="253"/>
      <c r="BW240" s="253"/>
      <c r="BX240" s="254"/>
      <c r="BY240" s="253"/>
      <c r="BZ240" s="253"/>
      <c r="CA240" s="253"/>
      <c r="CB240" s="253"/>
      <c r="CC240" s="254"/>
      <c r="CD240" s="254"/>
      <c r="CE240" s="254"/>
      <c r="CF240" s="254"/>
      <c r="CG240" s="254"/>
      <c r="CH240" s="254"/>
    </row>
    <row r="241" spans="1:86">
      <c r="A241" s="9"/>
      <c r="B241" s="9"/>
      <c r="C241" s="9"/>
      <c r="D241" s="9"/>
      <c r="E241" s="9"/>
      <c r="F241" s="9"/>
      <c r="G241" s="9"/>
      <c r="H241" s="255" t="s">
        <v>197</v>
      </c>
      <c r="I241" s="255"/>
      <c r="J241" s="322"/>
      <c r="K241" s="322"/>
      <c r="L241" s="323">
        <v>3.3717362719929866E-2</v>
      </c>
      <c r="M241" s="323">
        <v>2.6652452025586415E-2</v>
      </c>
      <c r="N241" s="323">
        <v>9.3825724532325516E-2</v>
      </c>
      <c r="O241" s="323">
        <v>6.9077299384080471E-2</v>
      </c>
      <c r="P241" s="324">
        <v>5.5601500880618548E-2</v>
      </c>
      <c r="Q241" s="323">
        <f t="shared" ref="Q241:T243" si="319">Q11/L11-1</f>
        <v>6.4962597292467894E-2</v>
      </c>
      <c r="R241" s="323">
        <f t="shared" si="319"/>
        <v>5.7488173531787146E-2</v>
      </c>
      <c r="S241" s="323">
        <f t="shared" si="319"/>
        <v>7.7492246344705418E-2</v>
      </c>
      <c r="T241" s="323">
        <f t="shared" si="319"/>
        <v>9.8602420266284518E-2</v>
      </c>
      <c r="U241" s="324">
        <f t="shared" ref="U241:AD243" si="320">IF(ISERROR(U11/P11-1),"NM",(U11/P11-1))</f>
        <v>7.4750999267324758E-2</v>
      </c>
      <c r="V241" s="323">
        <f t="shared" si="320"/>
        <v>0.14068365373677616</v>
      </c>
      <c r="W241" s="323">
        <f t="shared" si="320"/>
        <v>0.20460434794468241</v>
      </c>
      <c r="X241" s="323">
        <f t="shared" si="320"/>
        <v>0.19253807037021797</v>
      </c>
      <c r="Y241" s="323">
        <f t="shared" si="320"/>
        <v>0.21955136247302653</v>
      </c>
      <c r="Z241" s="324">
        <f t="shared" si="320"/>
        <v>0.19050592114366327</v>
      </c>
      <c r="AA241" s="323">
        <f t="shared" si="320"/>
        <v>0.12188676422926381</v>
      </c>
      <c r="AB241" s="323">
        <f t="shared" si="320"/>
        <v>8.7020515375209495E-2</v>
      </c>
      <c r="AC241" s="323">
        <f t="shared" si="320"/>
        <v>0.11289136131672106</v>
      </c>
      <c r="AD241" s="323">
        <f t="shared" si="320"/>
        <v>-1.752942144679448E-2</v>
      </c>
      <c r="AE241" s="324">
        <f t="shared" ref="AE241:AN243" si="321">IF(ISERROR(AE11/Z11-1),"NM",(AE11/Z11-1))</f>
        <v>7.2508220886722041E-2</v>
      </c>
      <c r="AF241" s="323">
        <f t="shared" si="321"/>
        <v>2.828888888888903E-2</v>
      </c>
      <c r="AG241" s="323">
        <f t="shared" si="321"/>
        <v>7.7596083741275912E-3</v>
      </c>
      <c r="AH241" s="323">
        <f t="shared" si="321"/>
        <v>4.7466589552392913E-2</v>
      </c>
      <c r="AI241" s="323">
        <f t="shared" si="321"/>
        <v>0.13672725749706838</v>
      </c>
      <c r="AJ241" s="324">
        <f t="shared" si="321"/>
        <v>5.5365836897165899E-2</v>
      </c>
      <c r="AK241" s="323">
        <f t="shared" si="321"/>
        <v>8.9814794804745635E-2</v>
      </c>
      <c r="AL241" s="323">
        <f t="shared" si="321"/>
        <v>8.835719084285043E-2</v>
      </c>
      <c r="AM241" s="323">
        <f t="shared" si="321"/>
        <v>1.2344461753859948E-2</v>
      </c>
      <c r="AN241" s="323">
        <f t="shared" si="321"/>
        <v>3.341500709272105E-2</v>
      </c>
      <c r="AO241" s="908">
        <f t="shared" ref="AO241:AX243" si="322">IF(ISERROR(AO11/AJ11-1),"NM",(AO11/AJ11-1))</f>
        <v>5.4448827278760659E-2</v>
      </c>
      <c r="AP241" s="365">
        <f t="shared" si="322"/>
        <v>5.49882012334173E-2</v>
      </c>
      <c r="AQ241" s="365">
        <f t="shared" si="322"/>
        <v>8.2048165311858989E-2</v>
      </c>
      <c r="AR241" s="365">
        <f t="shared" si="322"/>
        <v>7.5384225802053173E-2</v>
      </c>
      <c r="AS241" s="365">
        <f t="shared" si="322"/>
        <v>-3.9447506720765468E-2</v>
      </c>
      <c r="AT241" s="758">
        <f t="shared" si="322"/>
        <v>4.1566118544810626E-2</v>
      </c>
      <c r="AU241" s="365">
        <f t="shared" si="322"/>
        <v>-3.9265441148828906E-2</v>
      </c>
      <c r="AV241" s="365">
        <f t="shared" si="322"/>
        <v>-0.1068419574527838</v>
      </c>
      <c r="AW241" s="365">
        <f t="shared" si="322"/>
        <v>-0.10085677540891558</v>
      </c>
      <c r="AX241" s="365">
        <f t="shared" si="322"/>
        <v>2.7838610296573307E-3</v>
      </c>
      <c r="AY241" s="758">
        <f t="shared" ref="AY241:BH243" si="323">IF(ISERROR(AY11/AT11-1),"NM",(AY11/AT11-1))</f>
        <v>-6.1998604415701597E-2</v>
      </c>
      <c r="AZ241" s="365">
        <f t="shared" si="323"/>
        <v>-1.6434175258741579E-3</v>
      </c>
      <c r="BA241" s="365">
        <f t="shared" si="323"/>
        <v>5.8504470865677449E-2</v>
      </c>
      <c r="BB241" s="365">
        <f t="shared" si="323"/>
        <v>5.6084933217832811E-2</v>
      </c>
      <c r="BC241" s="365">
        <f t="shared" si="323"/>
        <v>-3.1981048267693213E-2</v>
      </c>
      <c r="BD241" s="758">
        <f t="shared" si="323"/>
        <v>1.9200754610563697E-2</v>
      </c>
      <c r="BE241" s="365">
        <f t="shared" si="323"/>
        <v>-0.18561994160183426</v>
      </c>
      <c r="BF241" s="365">
        <f t="shared" si="323"/>
        <v>-0.19527681853625933</v>
      </c>
      <c r="BG241" s="365">
        <f t="shared" si="323"/>
        <v>-0.18148522595044148</v>
      </c>
      <c r="BH241" s="365">
        <f t="shared" si="323"/>
        <v>-0.14193943101866013</v>
      </c>
      <c r="BI241" s="758">
        <f t="shared" ref="BI241:BR243" si="324">IF(ISERROR(BI11/BD11-1),"NM",(BI11/BD11-1))</f>
        <v>-0.17616807716894567</v>
      </c>
      <c r="BJ241" s="365">
        <f t="shared" si="324"/>
        <v>-6.2757176889573274E-2</v>
      </c>
      <c r="BK241" s="365">
        <f t="shared" si="324"/>
        <v>-4.5334994462901457E-2</v>
      </c>
      <c r="BL241" s="365">
        <f t="shared" si="324"/>
        <v>-2.5635647533151729E-2</v>
      </c>
      <c r="BM241" s="365">
        <f t="shared" si="324"/>
        <v>1.6911764705882293E-2</v>
      </c>
      <c r="BN241" s="758">
        <f t="shared" si="324"/>
        <v>-2.8455614106201788E-2</v>
      </c>
      <c r="BO241" s="1102">
        <f t="shared" si="324"/>
        <v>5.5354437854630456E-2</v>
      </c>
      <c r="BP241" s="1102">
        <f t="shared" si="324"/>
        <v>9.8383237874284379E-2</v>
      </c>
      <c r="BQ241" s="1102">
        <f t="shared" si="324"/>
        <v>7.2855126886555599E-2</v>
      </c>
      <c r="BR241" s="1102">
        <f t="shared" si="324"/>
        <v>7.866079449593566E-2</v>
      </c>
      <c r="BS241" s="758">
        <f t="shared" ref="BS241:CB243" si="325">IF(ISERROR(BS11/BN11-1),"NM",(BS11/BN11-1))</f>
        <v>7.5958420751478517E-2</v>
      </c>
      <c r="BT241" s="365">
        <f t="shared" si="325"/>
        <v>8.4782873129789493E-2</v>
      </c>
      <c r="BU241" s="365">
        <f t="shared" si="325"/>
        <v>0.10880088008800848</v>
      </c>
      <c r="BV241" s="365">
        <f t="shared" si="325"/>
        <v>9.6310333296176553E-2</v>
      </c>
      <c r="BW241" s="365">
        <f t="shared" si="325"/>
        <v>9.0800138129963903E-2</v>
      </c>
      <c r="BX241" s="758">
        <f t="shared" si="325"/>
        <v>9.6050299135829409E-2</v>
      </c>
      <c r="BY241" s="365">
        <f t="shared" si="325"/>
        <v>0.10758017492711369</v>
      </c>
      <c r="BZ241" s="365">
        <f t="shared" si="325"/>
        <v>3.5892846512550758E-2</v>
      </c>
      <c r="CA241" s="365">
        <f t="shared" si="325"/>
        <v>7.7199186578545964E-2</v>
      </c>
      <c r="CB241" s="365">
        <f t="shared" si="325"/>
        <v>6.4673457606287954E-3</v>
      </c>
      <c r="CC241" s="758">
        <f>IF(ISERROR(CC11/BX11-1),"NM",(CC11/BX11-1))</f>
        <v>5.4328486447419611E-2</v>
      </c>
      <c r="CD241" s="758">
        <f t="shared" ref="CD241:CH243" si="326">IF(ISERROR(CD11/CC11-1),"NM",(CD11/CC11-1))</f>
        <v>1.7327695560456435E-2</v>
      </c>
      <c r="CE241" s="758">
        <f t="shared" si="326"/>
        <v>3.2475947756531287E-2</v>
      </c>
      <c r="CF241" s="758">
        <f t="shared" si="326"/>
        <v>3.1405402486004652E-2</v>
      </c>
      <c r="CG241" s="758">
        <f t="shared" si="326"/>
        <v>2.319023823197619E-2</v>
      </c>
      <c r="CH241" s="758">
        <f t="shared" si="326"/>
        <v>2.7341369076305577E-2</v>
      </c>
    </row>
    <row r="242" spans="1:86">
      <c r="A242" s="9"/>
      <c r="B242" s="9"/>
      <c r="C242" s="9"/>
      <c r="D242" s="9"/>
      <c r="E242" s="9"/>
      <c r="F242" s="9"/>
      <c r="G242" s="9"/>
      <c r="H242" s="257" t="s">
        <v>231</v>
      </c>
      <c r="I242" s="257"/>
      <c r="L242" s="325">
        <v>-3.1356024953485773E-2</v>
      </c>
      <c r="M242" s="325">
        <v>-2.2300531215484143E-2</v>
      </c>
      <c r="N242" s="325">
        <v>4.7037333028884687E-2</v>
      </c>
      <c r="O242" s="325">
        <v>6.2290472585703638E-2</v>
      </c>
      <c r="P242" s="48">
        <v>1.3875813515615398E-2</v>
      </c>
      <c r="Q242" s="325">
        <f t="shared" si="319"/>
        <v>0.10248008587085478</v>
      </c>
      <c r="R242" s="325">
        <f t="shared" si="319"/>
        <v>7.8541072677389856E-2</v>
      </c>
      <c r="S242" s="325">
        <f t="shared" si="319"/>
        <v>9.505506487842097E-2</v>
      </c>
      <c r="T242" s="325">
        <f t="shared" si="319"/>
        <v>0.13422579659981682</v>
      </c>
      <c r="U242" s="48">
        <f t="shared" si="320"/>
        <v>0.10255012784282047</v>
      </c>
      <c r="V242" s="325">
        <f t="shared" si="320"/>
        <v>0.13671534716884448</v>
      </c>
      <c r="W242" s="325">
        <f t="shared" si="320"/>
        <v>0.20085789814953348</v>
      </c>
      <c r="X242" s="325">
        <f t="shared" si="320"/>
        <v>0.17741654427323206</v>
      </c>
      <c r="Y242" s="325">
        <f t="shared" si="320"/>
        <v>0.20010770542566059</v>
      </c>
      <c r="Z242" s="48">
        <f t="shared" si="320"/>
        <v>0.17967057445029644</v>
      </c>
      <c r="AA242" s="325">
        <f t="shared" si="320"/>
        <v>6.6807915971689891E-2</v>
      </c>
      <c r="AB242" s="325">
        <f t="shared" si="320"/>
        <v>2.8160824057152478E-2</v>
      </c>
      <c r="AC242" s="325">
        <f t="shared" si="320"/>
        <v>7.9073110913780775E-2</v>
      </c>
      <c r="AD242" s="325">
        <f t="shared" si="320"/>
        <v>-7.6284496297956972E-3</v>
      </c>
      <c r="AE242" s="48">
        <f t="shared" si="321"/>
        <v>3.9565032953616575E-2</v>
      </c>
      <c r="AF242" s="325">
        <f t="shared" si="321"/>
        <v>9.1485315867314565E-2</v>
      </c>
      <c r="AG242" s="325">
        <f t="shared" si="321"/>
        <v>9.5940050092914175E-2</v>
      </c>
      <c r="AH242" s="325">
        <f t="shared" si="321"/>
        <v>0.10537246757318086</v>
      </c>
      <c r="AI242" s="325">
        <f t="shared" si="321"/>
        <v>0.11146280804883557</v>
      </c>
      <c r="AJ242" s="48">
        <f t="shared" si="321"/>
        <v>0.10139736252799203</v>
      </c>
      <c r="AK242" s="325">
        <f t="shared" si="321"/>
        <v>6.4188927603561874E-2</v>
      </c>
      <c r="AL242" s="325">
        <f t="shared" si="321"/>
        <v>8.9944671549528454E-2</v>
      </c>
      <c r="AM242" s="325">
        <f t="shared" si="321"/>
        <v>5.8494044242767274E-3</v>
      </c>
      <c r="AN242" s="325">
        <f t="shared" si="321"/>
        <v>3.9083265527529276E-2</v>
      </c>
      <c r="AO242" s="339">
        <f t="shared" si="322"/>
        <v>4.8940521168340911E-2</v>
      </c>
      <c r="AP242" s="341">
        <f t="shared" si="322"/>
        <v>3.0922584400465691E-3</v>
      </c>
      <c r="AQ242" s="341">
        <f t="shared" si="322"/>
        <v>1.5725929182589971E-2</v>
      </c>
      <c r="AR242" s="341">
        <f t="shared" si="322"/>
        <v>1.7551897931131544E-2</v>
      </c>
      <c r="AS242" s="341">
        <f t="shared" si="322"/>
        <v>-6.0387356111821666E-2</v>
      </c>
      <c r="AT242" s="345">
        <f t="shared" si="322"/>
        <v>-6.9159915505673242E-3</v>
      </c>
      <c r="AU242" s="341">
        <f t="shared" si="322"/>
        <v>2.1035070540021072E-2</v>
      </c>
      <c r="AV242" s="341">
        <f t="shared" si="322"/>
        <v>-9.8455084237863866E-2</v>
      </c>
      <c r="AW242" s="341">
        <f t="shared" si="322"/>
        <v>-6.1030099407710092E-2</v>
      </c>
      <c r="AX242" s="341">
        <f t="shared" si="322"/>
        <v>1.3091186887978168E-2</v>
      </c>
      <c r="AY242" s="345">
        <f t="shared" si="323"/>
        <v>-3.2634720149901209E-2</v>
      </c>
      <c r="AZ242" s="341">
        <f t="shared" si="323"/>
        <v>9.4483713991404539E-3</v>
      </c>
      <c r="BA242" s="341">
        <f t="shared" si="323"/>
        <v>0.1360194999446025</v>
      </c>
      <c r="BB242" s="341">
        <f t="shared" si="323"/>
        <v>0.10918883027776749</v>
      </c>
      <c r="BC242" s="341">
        <f t="shared" si="323"/>
        <v>-6.1525278491859514E-2</v>
      </c>
      <c r="BD242" s="345">
        <f t="shared" si="323"/>
        <v>4.5877647649622544E-2</v>
      </c>
      <c r="BE242" s="341">
        <f t="shared" si="323"/>
        <v>-0.37481966290157998</v>
      </c>
      <c r="BF242" s="341">
        <f t="shared" si="323"/>
        <v>-0.33429778933680099</v>
      </c>
      <c r="BG242" s="341">
        <f t="shared" si="323"/>
        <v>-0.36649040540091127</v>
      </c>
      <c r="BH242" s="341">
        <f t="shared" si="323"/>
        <v>-0.22187728268809348</v>
      </c>
      <c r="BI242" s="345">
        <f t="shared" si="324"/>
        <v>-0.32609105718940246</v>
      </c>
      <c r="BJ242" s="341">
        <f t="shared" si="324"/>
        <v>3.6021838239432613E-2</v>
      </c>
      <c r="BK242" s="341">
        <f t="shared" si="324"/>
        <v>3.4233530302290482E-2</v>
      </c>
      <c r="BL242" s="341">
        <f t="shared" si="324"/>
        <v>0.12609585805029133</v>
      </c>
      <c r="BM242" s="341">
        <f t="shared" si="324"/>
        <v>0.1447078150668859</v>
      </c>
      <c r="BN242" s="345">
        <f t="shared" si="324"/>
        <v>8.6846993562177177E-2</v>
      </c>
      <c r="BO242" s="1103">
        <f t="shared" si="324"/>
        <v>0.17520508502200238</v>
      </c>
      <c r="BP242" s="1103">
        <f t="shared" si="324"/>
        <v>0.15468882802908679</v>
      </c>
      <c r="BQ242" s="1103">
        <f t="shared" si="324"/>
        <v>0.16498065358258351</v>
      </c>
      <c r="BR242" s="1103">
        <f t="shared" si="324"/>
        <v>0.16208791208791196</v>
      </c>
      <c r="BS242" s="345">
        <f t="shared" si="325"/>
        <v>0.16246019853905214</v>
      </c>
      <c r="BT242" s="341">
        <f t="shared" si="325"/>
        <v>0.16480214497041423</v>
      </c>
      <c r="BU242" s="341">
        <f t="shared" si="325"/>
        <v>0.19301545759384964</v>
      </c>
      <c r="BV242" s="341">
        <f t="shared" si="325"/>
        <v>0.10096038415366149</v>
      </c>
      <c r="BW242" s="341">
        <f t="shared" si="325"/>
        <v>8.8705409124589796E-2</v>
      </c>
      <c r="BX242" s="345">
        <f t="shared" si="325"/>
        <v>0.1353346357575882</v>
      </c>
      <c r="BY242" s="341">
        <f t="shared" si="325"/>
        <v>0.10290907647735859</v>
      </c>
      <c r="BZ242" s="341">
        <f t="shared" si="325"/>
        <v>3.1064303832179174E-2</v>
      </c>
      <c r="CA242" s="341">
        <f t="shared" si="325"/>
        <v>0.11192200050885037</v>
      </c>
      <c r="CB242" s="341">
        <f t="shared" si="325"/>
        <v>8.3390050234988244E-4</v>
      </c>
      <c r="CC242" s="345">
        <f>IF(ISERROR(CC12/BX12-1),"NM",(CC12/BX12-1))</f>
        <v>5.8561747722656321E-2</v>
      </c>
      <c r="CD242" s="345">
        <f t="shared" si="326"/>
        <v>1.5723581824569566E-2</v>
      </c>
      <c r="CE242" s="345">
        <f t="shared" si="326"/>
        <v>5.822477883469257E-2</v>
      </c>
      <c r="CF242" s="345">
        <f t="shared" si="326"/>
        <v>5.0261850596230007E-2</v>
      </c>
      <c r="CG242" s="345">
        <f t="shared" si="326"/>
        <v>1.7499753098665582E-2</v>
      </c>
      <c r="CH242" s="345">
        <f t="shared" si="326"/>
        <v>2.3336224251652604E-2</v>
      </c>
    </row>
    <row r="243" spans="1:86">
      <c r="A243" s="9"/>
      <c r="B243" s="9"/>
      <c r="C243" s="9"/>
      <c r="D243" s="9"/>
      <c r="E243" s="9"/>
      <c r="F243" s="9"/>
      <c r="G243" s="9"/>
      <c r="H243" s="257" t="s">
        <v>232</v>
      </c>
      <c r="I243" s="257"/>
      <c r="L243" s="325">
        <v>0.12047399605003273</v>
      </c>
      <c r="M243" s="325">
        <v>8.9732294137580437E-2</v>
      </c>
      <c r="N243" s="325">
        <v>0.15484255192436569</v>
      </c>
      <c r="O243" s="325">
        <v>7.7207072996955395E-2</v>
      </c>
      <c r="P243" s="48">
        <v>0.1089566826067232</v>
      </c>
      <c r="Q243" s="325">
        <f t="shared" si="319"/>
        <v>2.160856508682607E-2</v>
      </c>
      <c r="R243" s="325">
        <f t="shared" si="319"/>
        <v>3.3148827663411984E-2</v>
      </c>
      <c r="S243" s="325">
        <f t="shared" si="319"/>
        <v>5.6726616386256756E-2</v>
      </c>
      <c r="T243" s="325">
        <f t="shared" si="319"/>
        <v>5.6520954843364724E-2</v>
      </c>
      <c r="U243" s="48">
        <f t="shared" si="320"/>
        <v>4.2240443178420239E-2</v>
      </c>
      <c r="V243" s="325">
        <f t="shared" si="320"/>
        <v>0.14563230877372346</v>
      </c>
      <c r="W243" s="325">
        <f t="shared" si="320"/>
        <v>0.20912593306043825</v>
      </c>
      <c r="X243" s="325">
        <f t="shared" si="320"/>
        <v>0.21106569877386683</v>
      </c>
      <c r="Y243" s="325">
        <f t="shared" si="320"/>
        <v>0.24420920835467519</v>
      </c>
      <c r="Z243" s="48">
        <f t="shared" si="320"/>
        <v>0.20391090977727444</v>
      </c>
      <c r="AA243" s="325">
        <f t="shared" si="320"/>
        <v>0.19003792949576082</v>
      </c>
      <c r="AB243" s="325">
        <f t="shared" si="320"/>
        <v>0.15757243851438818</v>
      </c>
      <c r="AC243" s="325">
        <f t="shared" si="320"/>
        <v>0.15317584244194848</v>
      </c>
      <c r="AD243" s="325">
        <f t="shared" si="320"/>
        <v>-2.9640472051962186E-2</v>
      </c>
      <c r="AE243" s="48">
        <f t="shared" si="321"/>
        <v>0.11244340202435743</v>
      </c>
      <c r="AF243" s="325">
        <f t="shared" si="321"/>
        <v>-4.1809233653620881E-2</v>
      </c>
      <c r="AG243" s="325">
        <f t="shared" si="321"/>
        <v>-8.612102705259983E-2</v>
      </c>
      <c r="AH243" s="325">
        <f t="shared" si="321"/>
        <v>-1.707871057919097E-2</v>
      </c>
      <c r="AI243" s="325">
        <f t="shared" si="321"/>
        <v>0.16833223343075332</v>
      </c>
      <c r="AJ243" s="48">
        <f t="shared" si="321"/>
        <v>3.2200599815093156E-3</v>
      </c>
      <c r="AK243" s="325">
        <f t="shared" si="321"/>
        <v>0.12219341583916243</v>
      </c>
      <c r="AL243" s="325">
        <f t="shared" si="321"/>
        <v>8.6330393531809158E-2</v>
      </c>
      <c r="AM243" s="325">
        <f t="shared" si="321"/>
        <v>2.0486157401235383E-2</v>
      </c>
      <c r="AN243" s="325">
        <f t="shared" si="321"/>
        <v>2.6669356465604199E-2</v>
      </c>
      <c r="AO243" s="339">
        <f t="shared" si="322"/>
        <v>6.1299443917482321E-2</v>
      </c>
      <c r="AP243" s="341">
        <f t="shared" si="322"/>
        <v>0.11717013207793925</v>
      </c>
      <c r="AQ243" s="341">
        <f t="shared" si="322"/>
        <v>0.16700602174760637</v>
      </c>
      <c r="AR243" s="341">
        <f t="shared" si="322"/>
        <v>0.14683852987284429</v>
      </c>
      <c r="AS243" s="341">
        <f t="shared" si="322"/>
        <v>-1.4226204511514462E-2</v>
      </c>
      <c r="AT243" s="345">
        <f t="shared" si="322"/>
        <v>0.10116059893682383</v>
      </c>
      <c r="AU243" s="341">
        <f t="shared" si="322"/>
        <v>-0.10413984158570377</v>
      </c>
      <c r="AV243" s="341">
        <f t="shared" si="322"/>
        <v>-0.11619273888187687</v>
      </c>
      <c r="AW243" s="341">
        <f t="shared" si="322"/>
        <v>-0.14451701093560143</v>
      </c>
      <c r="AX243" s="341">
        <f t="shared" si="322"/>
        <v>-9.0495933662894101E-3</v>
      </c>
      <c r="AY243" s="345">
        <f t="shared" si="323"/>
        <v>-9.455028032350199E-2</v>
      </c>
      <c r="AZ243" s="341">
        <f t="shared" si="323"/>
        <v>-1.5243902439024404E-2</v>
      </c>
      <c r="BA243" s="341">
        <f t="shared" si="323"/>
        <v>-2.9653897849462485E-2</v>
      </c>
      <c r="BB243" s="341">
        <f t="shared" si="323"/>
        <v>-7.8118064802484843E-3</v>
      </c>
      <c r="BC243" s="341">
        <f t="shared" si="323"/>
        <v>-0.10069598101138499</v>
      </c>
      <c r="BD243" s="345">
        <f t="shared" si="323"/>
        <v>-1.2394455950294647E-2</v>
      </c>
      <c r="BE243" s="341">
        <f t="shared" si="323"/>
        <v>5.218929677134021E-2</v>
      </c>
      <c r="BF243" s="341">
        <f t="shared" si="323"/>
        <v>-1.0172279456324151E-2</v>
      </c>
      <c r="BG243" s="341">
        <f t="shared" si="323"/>
        <v>6.7370492976648322E-2</v>
      </c>
      <c r="BH243" s="341">
        <f t="shared" si="323"/>
        <v>5.4621096895410171E-2</v>
      </c>
      <c r="BI243" s="345">
        <f t="shared" si="324"/>
        <v>1.1872499677377579E-2</v>
      </c>
      <c r="BJ243" s="341">
        <f t="shared" si="324"/>
        <v>-0.13652795292139563</v>
      </c>
      <c r="BK243" s="341">
        <f t="shared" si="324"/>
        <v>-0.11658722176061576</v>
      </c>
      <c r="BL243" s="341">
        <f t="shared" si="324"/>
        <v>-0.14677284157585924</v>
      </c>
      <c r="BM243" s="341">
        <f t="shared" si="324"/>
        <v>-9.8579003181336167E-2</v>
      </c>
      <c r="BN243" s="345">
        <f t="shared" si="324"/>
        <v>-0.12477150023381378</v>
      </c>
      <c r="BO243" s="1103">
        <f t="shared" si="324"/>
        <v>-5.2039723493330636E-2</v>
      </c>
      <c r="BP243" s="1103">
        <f t="shared" si="324"/>
        <v>3.9354487401613847E-2</v>
      </c>
      <c r="BQ243" s="1103">
        <f t="shared" si="324"/>
        <v>-2.4216524216524205E-2</v>
      </c>
      <c r="BR243" s="1103">
        <f t="shared" si="324"/>
        <v>-1.7081549103571514E-2</v>
      </c>
      <c r="BS243" s="345">
        <f t="shared" si="325"/>
        <v>-1.3770157373226843E-2</v>
      </c>
      <c r="BT243" s="341">
        <f t="shared" si="325"/>
        <v>-4.159605607764516E-3</v>
      </c>
      <c r="BU243" s="341">
        <f t="shared" si="325"/>
        <v>1.0668698799771503E-2</v>
      </c>
      <c r="BV243" s="341">
        <f t="shared" si="325"/>
        <v>9.0410269317895642E-2</v>
      </c>
      <c r="BW243" s="341">
        <f t="shared" si="325"/>
        <v>9.3642282650325592E-2</v>
      </c>
      <c r="BX243" s="345">
        <f t="shared" si="325"/>
        <v>4.8018912063827912E-2</v>
      </c>
      <c r="BY243" s="341">
        <f t="shared" si="325"/>
        <v>0.11370668316831667</v>
      </c>
      <c r="BZ243" s="341">
        <f t="shared" si="325"/>
        <v>4.2580113100848083E-2</v>
      </c>
      <c r="CA243" s="341">
        <f t="shared" si="325"/>
        <v>3.3145284151239407E-2</v>
      </c>
      <c r="CB243" s="341">
        <f t="shared" si="325"/>
        <v>1.407634389774115E-2</v>
      </c>
      <c r="CC243" s="345">
        <f>IF(ISERROR(CC13/BX13-1),"NM",(CC13/BX13-1))</f>
        <v>4.8721422025893357E-2</v>
      </c>
      <c r="CD243" s="345">
        <f t="shared" si="326"/>
        <v>1.9472322152438881E-2</v>
      </c>
      <c r="CE243" s="345">
        <f t="shared" si="326"/>
        <v>-1.8224745251509411E-3</v>
      </c>
      <c r="CF243" s="345">
        <f t="shared" si="326"/>
        <v>4.7769054590558468E-3</v>
      </c>
      <c r="CG243" s="345">
        <f t="shared" si="326"/>
        <v>3.1589942646361502E-2</v>
      </c>
      <c r="CH243" s="345">
        <f t="shared" si="326"/>
        <v>3.3172598763001604E-2</v>
      </c>
    </row>
    <row r="244" spans="1:86">
      <c r="A244" s="9"/>
      <c r="B244" s="9"/>
      <c r="C244" s="9"/>
      <c r="D244" s="9"/>
      <c r="E244" s="9"/>
      <c r="F244" s="9"/>
      <c r="G244" s="9"/>
      <c r="H244" s="259"/>
      <c r="I244" s="259"/>
      <c r="L244" s="325"/>
      <c r="M244" s="325"/>
      <c r="N244" s="325"/>
      <c r="O244" s="325"/>
      <c r="P244" s="48"/>
      <c r="Q244" s="325"/>
      <c r="R244" s="325"/>
      <c r="S244" s="325"/>
      <c r="T244" s="325"/>
      <c r="U244" s="48"/>
      <c r="V244" s="325"/>
      <c r="W244" s="325"/>
      <c r="X244" s="325"/>
      <c r="Y244" s="325"/>
      <c r="Z244" s="48"/>
      <c r="AA244" s="325"/>
      <c r="AB244" s="325"/>
      <c r="AC244" s="325"/>
      <c r="AD244" s="325"/>
      <c r="AE244" s="48"/>
      <c r="AF244" s="325"/>
      <c r="AG244" s="325"/>
      <c r="AH244" s="325"/>
      <c r="AI244" s="325"/>
      <c r="AJ244" s="48"/>
      <c r="AK244" s="325"/>
      <c r="AL244" s="325"/>
      <c r="AM244" s="325"/>
      <c r="AN244" s="325"/>
      <c r="AO244" s="339"/>
      <c r="AP244" s="341"/>
      <c r="AQ244" s="341"/>
      <c r="AR244" s="341"/>
      <c r="AS244" s="341"/>
      <c r="AT244" s="345"/>
      <c r="AU244" s="341"/>
      <c r="AV244" s="341"/>
      <c r="AW244" s="341"/>
      <c r="AX244" s="341"/>
      <c r="AY244" s="345"/>
      <c r="AZ244" s="341"/>
      <c r="BA244" s="341"/>
      <c r="BB244" s="341"/>
      <c r="BC244" s="341"/>
      <c r="BD244" s="345"/>
      <c r="BE244" s="341"/>
      <c r="BF244" s="341"/>
      <c r="BG244" s="341"/>
      <c r="BH244" s="341"/>
      <c r="BI244" s="345"/>
      <c r="BJ244" s="341"/>
      <c r="BK244" s="341"/>
      <c r="BL244" s="341"/>
      <c r="BM244" s="341"/>
      <c r="BN244" s="345"/>
      <c r="BO244" s="1103"/>
      <c r="BP244" s="1103"/>
      <c r="BQ244" s="1103"/>
      <c r="BR244" s="1103"/>
      <c r="BS244" s="345"/>
      <c r="BT244" s="341"/>
      <c r="BU244" s="341"/>
      <c r="BV244" s="341"/>
      <c r="BW244" s="341"/>
      <c r="BX244" s="345"/>
      <c r="BY244" s="341"/>
      <c r="BZ244" s="341"/>
      <c r="CA244" s="341"/>
      <c r="CB244" s="341"/>
      <c r="CC244" s="345"/>
      <c r="CD244" s="345"/>
      <c r="CE244" s="345"/>
      <c r="CF244" s="345"/>
      <c r="CG244" s="345"/>
      <c r="CH244" s="345"/>
    </row>
    <row r="245" spans="1:86">
      <c r="A245" s="9"/>
      <c r="B245" s="9"/>
      <c r="C245" s="9"/>
      <c r="D245" s="9"/>
      <c r="E245" s="9"/>
      <c r="F245" s="9"/>
      <c r="G245" s="9"/>
      <c r="H245" s="260" t="s">
        <v>233</v>
      </c>
      <c r="I245" s="260"/>
      <c r="J245" s="59"/>
      <c r="K245" s="59"/>
      <c r="L245" s="326">
        <v>-4.6926106401441792E-2</v>
      </c>
      <c r="M245" s="326">
        <v>-2.8808134061382273E-2</v>
      </c>
      <c r="N245" s="326">
        <v>5.8256496227997001E-2</v>
      </c>
      <c r="O245" s="326">
        <v>3.9084967320261566E-2</v>
      </c>
      <c r="P245" s="327">
        <v>4.4605980505534326E-3</v>
      </c>
      <c r="Q245" s="326">
        <f t="shared" ref="Q245:Q261" si="327">Q15/L15-1</f>
        <v>5.5469953775038494E-2</v>
      </c>
      <c r="R245" s="326">
        <f t="shared" ref="R245:R261" si="328">R15/M15-1</f>
        <v>8.97634742148119E-2</v>
      </c>
      <c r="S245" s="326">
        <f t="shared" ref="S245:S261" si="329">S15/N15-1</f>
        <v>0.10636963696369639</v>
      </c>
      <c r="T245" s="326">
        <f t="shared" ref="T245:T261" si="330">T15/O15-1</f>
        <v>0.16951817838721839</v>
      </c>
      <c r="U245" s="327">
        <f t="shared" ref="U245:AZ245" si="331">IF(ISERROR(U15/P15-1),"NM",(U15/P15-1))</f>
        <v>0.10670230263157898</v>
      </c>
      <c r="V245" s="326">
        <f t="shared" si="331"/>
        <v>0.19276708692767097</v>
      </c>
      <c r="W245" s="326">
        <f t="shared" si="331"/>
        <v>0.1748799146059421</v>
      </c>
      <c r="X245" s="326">
        <f t="shared" si="331"/>
        <v>0.13575753959967796</v>
      </c>
      <c r="Y245" s="326">
        <f t="shared" si="331"/>
        <v>0.16646049588554845</v>
      </c>
      <c r="Z245" s="327">
        <f t="shared" si="331"/>
        <v>0.16681404421326396</v>
      </c>
      <c r="AA245" s="326">
        <f t="shared" si="331"/>
        <v>9.6634214186370082E-2</v>
      </c>
      <c r="AB245" s="326">
        <f t="shared" si="331"/>
        <v>7.3389864728447662E-2</v>
      </c>
      <c r="AC245" s="326">
        <f t="shared" si="331"/>
        <v>0.13484267479119594</v>
      </c>
      <c r="AD245" s="326">
        <f t="shared" si="331"/>
        <v>-2.5728513463666447E-2</v>
      </c>
      <c r="AE245" s="327">
        <f t="shared" si="331"/>
        <v>6.623191359282643E-2</v>
      </c>
      <c r="AF245" s="326">
        <f t="shared" si="331"/>
        <v>5.3977272727272707E-2</v>
      </c>
      <c r="AG245" s="326">
        <f t="shared" si="331"/>
        <v>2.7804946863537738E-2</v>
      </c>
      <c r="AH245" s="326">
        <f t="shared" si="331"/>
        <v>4.253841881133158E-2</v>
      </c>
      <c r="AI245" s="326">
        <f t="shared" si="331"/>
        <v>0.16469474680548979</v>
      </c>
      <c r="AJ245" s="327">
        <f t="shared" si="331"/>
        <v>7.2322964449541338E-2</v>
      </c>
      <c r="AK245" s="326">
        <f t="shared" si="331"/>
        <v>8.0188679245283279E-2</v>
      </c>
      <c r="AL245" s="326">
        <f t="shared" si="331"/>
        <v>8.14235976081219E-2</v>
      </c>
      <c r="AM245" s="326">
        <f t="shared" si="331"/>
        <v>-1.1099764684988855E-2</v>
      </c>
      <c r="AN245" s="326">
        <f t="shared" si="331"/>
        <v>4.1243396993092318E-2</v>
      </c>
      <c r="AO245" s="356">
        <f t="shared" si="331"/>
        <v>4.6907358329350668E-2</v>
      </c>
      <c r="AP245" s="735">
        <f t="shared" si="331"/>
        <v>7.1740486587648089E-2</v>
      </c>
      <c r="AQ245" s="735">
        <f t="shared" si="331"/>
        <v>0.1227736176333718</v>
      </c>
      <c r="AR245" s="735">
        <f t="shared" si="331"/>
        <v>0.11704754635657544</v>
      </c>
      <c r="AS245" s="735">
        <f t="shared" si="331"/>
        <v>-0.1505170731707316</v>
      </c>
      <c r="AT245" s="737">
        <f t="shared" si="331"/>
        <v>3.4710620683784388E-2</v>
      </c>
      <c r="AU245" s="735">
        <f t="shared" si="331"/>
        <v>-0.20784134375519714</v>
      </c>
      <c r="AV245" s="735">
        <f t="shared" si="331"/>
        <v>-0.31157918534986262</v>
      </c>
      <c r="AW245" s="735">
        <f t="shared" si="331"/>
        <v>-0.26897106109324764</v>
      </c>
      <c r="AX245" s="735">
        <f t="shared" si="331"/>
        <v>-6.606027195883879E-2</v>
      </c>
      <c r="AY245" s="737">
        <f t="shared" si="331"/>
        <v>-0.22005573895247788</v>
      </c>
      <c r="AZ245" s="735">
        <f t="shared" si="331"/>
        <v>-2.9654122710334407E-2</v>
      </c>
      <c r="BA245" s="735">
        <f t="shared" ref="BA245:CC245" si="332">IF(ISERROR(BA15/AV15-1),"NM",(BA15/AV15-1))</f>
        <v>9.7153804050355674E-2</v>
      </c>
      <c r="BB245" s="735">
        <f t="shared" si="332"/>
        <v>3.2603914669012468E-2</v>
      </c>
      <c r="BC245" s="735">
        <f t="shared" si="332"/>
        <v>-0.2696507624200688</v>
      </c>
      <c r="BD245" s="737">
        <f t="shared" si="332"/>
        <v>-4.8509381469126311E-2</v>
      </c>
      <c r="BE245" s="735">
        <f t="shared" si="332"/>
        <v>-0.47836434443963649</v>
      </c>
      <c r="BF245" s="735">
        <f t="shared" si="332"/>
        <v>-0.55415315540034915</v>
      </c>
      <c r="BG245" s="735">
        <f t="shared" si="332"/>
        <v>-0.53681912571215584</v>
      </c>
      <c r="BH245" s="735">
        <f t="shared" si="332"/>
        <v>-0.41507273706896564</v>
      </c>
      <c r="BI245" s="737">
        <f t="shared" si="332"/>
        <v>-0.50160749424905071</v>
      </c>
      <c r="BJ245" s="735">
        <f t="shared" si="332"/>
        <v>-0.24792617171298204</v>
      </c>
      <c r="BK245" s="735">
        <f t="shared" si="332"/>
        <v>-0.14523889448360738</v>
      </c>
      <c r="BL245" s="735">
        <f t="shared" si="332"/>
        <v>-0.16714564892516393</v>
      </c>
      <c r="BM245" s="735">
        <f t="shared" si="332"/>
        <v>-0.16891191709844566</v>
      </c>
      <c r="BN245" s="737">
        <f t="shared" si="332"/>
        <v>-0.18378979563464481</v>
      </c>
      <c r="BO245" s="1104">
        <f t="shared" si="332"/>
        <v>-0.11250517027436924</v>
      </c>
      <c r="BP245" s="1104">
        <f t="shared" si="332"/>
        <v>-6.0479120303704725E-2</v>
      </c>
      <c r="BQ245" s="1104">
        <f t="shared" si="332"/>
        <v>-2.2084195997239431E-2</v>
      </c>
      <c r="BR245" s="1104">
        <f t="shared" si="332"/>
        <v>-9.891936824605152E-2</v>
      </c>
      <c r="BS245" s="737">
        <f t="shared" si="332"/>
        <v>-7.3309487310509236E-2</v>
      </c>
      <c r="BT245" s="735">
        <f t="shared" si="332"/>
        <v>-9.9891253689606829E-2</v>
      </c>
      <c r="BU245" s="735">
        <f t="shared" si="332"/>
        <v>-0.18252751846175286</v>
      </c>
      <c r="BV245" s="735">
        <f t="shared" si="332"/>
        <v>-0.28341566690190534</v>
      </c>
      <c r="BW245" s="735">
        <f t="shared" si="332"/>
        <v>-0.23539360393603936</v>
      </c>
      <c r="BX245" s="737">
        <f t="shared" si="332"/>
        <v>-0.20188949748189544</v>
      </c>
      <c r="BY245" s="1104">
        <f t="shared" si="332"/>
        <v>-0.18415602347255799</v>
      </c>
      <c r="BZ245" s="1104">
        <f t="shared" si="332"/>
        <v>-0.22938639850008535</v>
      </c>
      <c r="CA245" s="1104">
        <f t="shared" si="332"/>
        <v>-0.13837502462083917</v>
      </c>
      <c r="CB245" s="1104">
        <f t="shared" si="332"/>
        <v>-0.1259199678262618</v>
      </c>
      <c r="CC245" s="737">
        <f t="shared" si="332"/>
        <v>-0.17233383998894569</v>
      </c>
      <c r="CD245" s="737">
        <f t="shared" ref="CD245:CH249" si="333">IF(ISERROR(CD15/CC15-1),"NM",(CD15/CC15-1))</f>
        <v>-0.17630131901570778</v>
      </c>
      <c r="CE245" s="737">
        <f t="shared" si="333"/>
        <v>-0.24808175168052282</v>
      </c>
      <c r="CF245" s="737">
        <f t="shared" si="333"/>
        <v>-0.21350232139670178</v>
      </c>
      <c r="CG245" s="737">
        <f t="shared" si="333"/>
        <v>-0.12880569161484623</v>
      </c>
      <c r="CH245" s="737">
        <f t="shared" si="333"/>
        <v>-0.12397721831146102</v>
      </c>
    </row>
    <row r="246" spans="1:86">
      <c r="A246" s="9"/>
      <c r="B246" s="9"/>
      <c r="C246" s="9"/>
      <c r="D246" s="9"/>
      <c r="E246" s="9"/>
      <c r="F246" s="9"/>
      <c r="G246" s="9"/>
      <c r="H246" s="257" t="s">
        <v>231</v>
      </c>
      <c r="I246" s="257"/>
      <c r="L246" s="325">
        <v>-0.12657677250978683</v>
      </c>
      <c r="M246" s="325">
        <v>-8.7874729576594257E-2</v>
      </c>
      <c r="N246" s="325">
        <v>6.191240541160381E-3</v>
      </c>
      <c r="O246" s="325">
        <v>2.2194682289319534E-2</v>
      </c>
      <c r="P246" s="48">
        <v>-4.8382236103120424E-2</v>
      </c>
      <c r="Q246" s="325">
        <f t="shared" si="327"/>
        <v>0.10072211155378485</v>
      </c>
      <c r="R246" s="325">
        <f t="shared" si="328"/>
        <v>0.11655748814095324</v>
      </c>
      <c r="S246" s="325">
        <f t="shared" si="329"/>
        <v>0.12710802187784864</v>
      </c>
      <c r="T246" s="325">
        <f t="shared" si="330"/>
        <v>0.23090488261875897</v>
      </c>
      <c r="U246" s="48">
        <f t="shared" ref="U246:AD249" si="334">IF(ISERROR(U16/P16-1),"NM",(U16/P16-1))</f>
        <v>0.14542968187706951</v>
      </c>
      <c r="V246" s="325">
        <f t="shared" si="334"/>
        <v>0.21728311277004875</v>
      </c>
      <c r="W246" s="325">
        <f t="shared" si="334"/>
        <v>0.20099130082945593</v>
      </c>
      <c r="X246" s="325">
        <f t="shared" si="334"/>
        <v>0.1478542182682101</v>
      </c>
      <c r="Y246" s="325">
        <f t="shared" si="334"/>
        <v>0.19770773638968508</v>
      </c>
      <c r="Z246" s="48">
        <f t="shared" si="334"/>
        <v>0.19047918263732666</v>
      </c>
      <c r="AA246" s="325">
        <f t="shared" si="334"/>
        <v>9.1525738710276583E-2</v>
      </c>
      <c r="AB246" s="325">
        <f t="shared" si="334"/>
        <v>5.4914511917796727E-2</v>
      </c>
      <c r="AC246" s="325">
        <f t="shared" si="334"/>
        <v>0.16038400563678001</v>
      </c>
      <c r="AD246" s="325">
        <f t="shared" si="334"/>
        <v>9.4946172248804306E-3</v>
      </c>
      <c r="AE246" s="48">
        <f t="shared" ref="AE246:AN249" si="335">IF(ISERROR(AE16/Z16-1),"NM",(AE16/Z16-1))</f>
        <v>7.5688799746648439E-2</v>
      </c>
      <c r="AF246" s="325">
        <f t="shared" si="335"/>
        <v>0.10164297267387434</v>
      </c>
      <c r="AG246" s="325">
        <f t="shared" si="335"/>
        <v>8.7025948103792494E-2</v>
      </c>
      <c r="AH246" s="325">
        <f t="shared" si="335"/>
        <v>4.7134724857684995E-2</v>
      </c>
      <c r="AI246" s="325">
        <f t="shared" si="335"/>
        <v>0.10997556098644745</v>
      </c>
      <c r="AJ246" s="48">
        <f t="shared" si="335"/>
        <v>8.6162904808635643E-2</v>
      </c>
      <c r="AK246" s="325">
        <f t="shared" si="335"/>
        <v>6.429178579707906E-2</v>
      </c>
      <c r="AL246" s="325">
        <f t="shared" si="335"/>
        <v>9.5262578038927792E-2</v>
      </c>
      <c r="AM246" s="325">
        <f t="shared" si="335"/>
        <v>-3.4792693534357877E-3</v>
      </c>
      <c r="AN246" s="325">
        <f t="shared" si="335"/>
        <v>5.8580197491326258E-2</v>
      </c>
      <c r="AO246" s="339">
        <f t="shared" ref="AO246:AX249" si="336">IF(ISERROR(AO16/AJ16-1),"NM",(AO16/AJ16-1))</f>
        <v>5.3469461510661676E-2</v>
      </c>
      <c r="AP246" s="341">
        <f t="shared" si="336"/>
        <v>2.5266826399477305E-2</v>
      </c>
      <c r="AQ246" s="341">
        <f t="shared" si="336"/>
        <v>7.8728540772531996E-2</v>
      </c>
      <c r="AR246" s="341">
        <f t="shared" si="336"/>
        <v>9.9214431189990959E-2</v>
      </c>
      <c r="AS246" s="341">
        <f t="shared" si="336"/>
        <v>-0.14590949199546199</v>
      </c>
      <c r="AT246" s="345">
        <f t="shared" si="336"/>
        <v>9.7943360949586111E-3</v>
      </c>
      <c r="AU246" s="341">
        <f t="shared" si="336"/>
        <v>-0.15310530415692947</v>
      </c>
      <c r="AV246" s="341">
        <f t="shared" si="336"/>
        <v>-0.31045629740146707</v>
      </c>
      <c r="AW246" s="341">
        <f t="shared" si="336"/>
        <v>-0.24073583906828999</v>
      </c>
      <c r="AX246" s="341">
        <f t="shared" si="336"/>
        <v>-2.5311785108110052E-2</v>
      </c>
      <c r="AY246" s="345">
        <f t="shared" ref="AY246:BH249" si="337">IF(ISERROR(AY16/AT16-1),"NM",(AY16/AT16-1))</f>
        <v>-0.18917954815695592</v>
      </c>
      <c r="AZ246" s="341">
        <f t="shared" si="337"/>
        <v>1.6472949243247603E-2</v>
      </c>
      <c r="BA246" s="341">
        <f t="shared" si="337"/>
        <v>0.2273710782545979</v>
      </c>
      <c r="BB246" s="341">
        <f t="shared" si="337"/>
        <v>0.11059787345302419</v>
      </c>
      <c r="BC246" s="341">
        <f t="shared" si="337"/>
        <v>-0.42216838279830404</v>
      </c>
      <c r="BD246" s="345">
        <f t="shared" si="337"/>
        <v>-3.3268388745731459E-2</v>
      </c>
      <c r="BE246" s="341">
        <f t="shared" si="337"/>
        <v>-0.75</v>
      </c>
      <c r="BF246" s="341">
        <f t="shared" si="337"/>
        <v>-0.77956515351843692</v>
      </c>
      <c r="BG246" s="341">
        <f t="shared" si="337"/>
        <v>-0.82005807109785767</v>
      </c>
      <c r="BH246" s="341">
        <f t="shared" si="337"/>
        <v>-0.68972746331236889</v>
      </c>
      <c r="BI246" s="345">
        <f t="shared" ref="BI246:BR249" si="338">IF(ISERROR(BI16/BD16-1),"NM",(BI16/BD16-1))</f>
        <v>-0.76810055260591614</v>
      </c>
      <c r="BJ246" s="341">
        <f t="shared" si="338"/>
        <v>-0.32346166502138862</v>
      </c>
      <c r="BK246" s="341">
        <f t="shared" si="338"/>
        <v>-0.21126291236254591</v>
      </c>
      <c r="BL246" s="341">
        <f t="shared" si="338"/>
        <v>-2.9219363279546551E-2</v>
      </c>
      <c r="BM246" s="341">
        <f t="shared" si="338"/>
        <v>-8.0658783783783883E-2</v>
      </c>
      <c r="BN246" s="345">
        <f t="shared" si="338"/>
        <v>-0.17521726941407367</v>
      </c>
      <c r="BO246" s="1103">
        <f t="shared" si="338"/>
        <v>-3.6478599221789865E-2</v>
      </c>
      <c r="BP246" s="1103">
        <f t="shared" si="338"/>
        <v>1.5631601182932053E-2</v>
      </c>
      <c r="BQ246" s="1103">
        <f t="shared" si="338"/>
        <v>0.40251572327044016</v>
      </c>
      <c r="BR246" s="1103">
        <f t="shared" si="338"/>
        <v>9.8300413412953702E-2</v>
      </c>
      <c r="BS246" s="345">
        <f t="shared" ref="BS246:BY249" si="339">IF(ISERROR(BS16/BN16-1),"NM",(BS16/BN16-1))</f>
        <v>0.12145932472241117</v>
      </c>
      <c r="BT246" s="1103">
        <f t="shared" si="339"/>
        <v>8.4300858152448255E-2</v>
      </c>
      <c r="BU246" s="341">
        <f t="shared" si="339"/>
        <v>-0.20049916805324464</v>
      </c>
      <c r="BV246" s="341">
        <f t="shared" si="339"/>
        <v>-0.65278667520819988</v>
      </c>
      <c r="BW246" s="341">
        <f t="shared" si="339"/>
        <v>-0.68381430363864493</v>
      </c>
      <c r="BX246" s="345">
        <f t="shared" si="339"/>
        <v>-0.40290967872297423</v>
      </c>
      <c r="BY246" s="1103">
        <f t="shared" ref="BY246:CB248" si="340">IF(ISERROR(BY16/BT16-1),"NM",(BY16/BT16-1))</f>
        <v>-0.57541899441340782</v>
      </c>
      <c r="BZ246" s="1103">
        <f t="shared" si="340"/>
        <v>-0.60352757544224778</v>
      </c>
      <c r="CA246" s="1103">
        <f t="shared" si="340"/>
        <v>-0.41531365313653135</v>
      </c>
      <c r="CB246" s="1103">
        <f t="shared" si="340"/>
        <v>-0.22857142857142865</v>
      </c>
      <c r="CC246" s="345">
        <f t="shared" ref="CC246:CC254" si="341">IF(ISERROR(CC16/BX16-1),"NM",(CC16/BX16-1))</f>
        <v>-0.51082571912013541</v>
      </c>
      <c r="CD246" s="345">
        <f t="shared" si="333"/>
        <v>-0.2304643343871714</v>
      </c>
      <c r="CE246" s="345">
        <f t="shared" si="333"/>
        <v>-0.12857846951310781</v>
      </c>
      <c r="CF246" s="345">
        <f t="shared" si="333"/>
        <v>-9.0359464317367633E-2</v>
      </c>
      <c r="CG246" s="345">
        <f t="shared" si="333"/>
        <v>-8.9401818295841817E-2</v>
      </c>
      <c r="CH246" s="345">
        <f t="shared" si="333"/>
        <v>-8.836129709338536E-2</v>
      </c>
    </row>
    <row r="247" spans="1:86">
      <c r="A247" s="9"/>
      <c r="B247" s="9"/>
      <c r="C247" s="9"/>
      <c r="D247" s="9"/>
      <c r="E247" s="9"/>
      <c r="F247" s="9"/>
      <c r="G247" s="9"/>
      <c r="H247" s="257" t="s">
        <v>232</v>
      </c>
      <c r="I247" s="257"/>
      <c r="L247" s="325">
        <v>7.9688850475367223E-2</v>
      </c>
      <c r="M247" s="325">
        <v>6.3283006745904258E-2</v>
      </c>
      <c r="N247" s="325">
        <v>0.13943510904540579</v>
      </c>
      <c r="O247" s="325">
        <v>6.2422166874221308E-2</v>
      </c>
      <c r="P247" s="48">
        <v>8.4730950101960634E-2</v>
      </c>
      <c r="Q247" s="325">
        <f t="shared" si="327"/>
        <v>-2.7217419148257704E-3</v>
      </c>
      <c r="R247" s="325">
        <f t="shared" si="328"/>
        <v>5.3927492447130021E-2</v>
      </c>
      <c r="S247" s="325">
        <f t="shared" si="329"/>
        <v>7.7816128020081532E-2</v>
      </c>
      <c r="T247" s="325">
        <f t="shared" si="330"/>
        <v>8.7912087912088044E-2</v>
      </c>
      <c r="U247" s="48">
        <f t="shared" si="334"/>
        <v>5.5093036639171533E-2</v>
      </c>
      <c r="V247" s="325">
        <f t="shared" si="334"/>
        <v>0.15797078182693891</v>
      </c>
      <c r="W247" s="325">
        <f t="shared" si="334"/>
        <v>0.13788161100759644</v>
      </c>
      <c r="X247" s="325">
        <f t="shared" si="334"/>
        <v>0.11834061135371177</v>
      </c>
      <c r="Y247" s="325">
        <f t="shared" si="334"/>
        <v>0.11946127946127927</v>
      </c>
      <c r="Z247" s="48">
        <f t="shared" si="334"/>
        <v>0.13257699720010185</v>
      </c>
      <c r="AA247" s="325">
        <f t="shared" si="334"/>
        <v>0.1042562040759738</v>
      </c>
      <c r="AB247" s="325">
        <f t="shared" si="334"/>
        <v>0.10102027963219529</v>
      </c>
      <c r="AC247" s="325">
        <f t="shared" si="334"/>
        <v>9.709748796043205E-2</v>
      </c>
      <c r="AD247" s="325">
        <f t="shared" si="334"/>
        <v>-8.2410972088546641E-2</v>
      </c>
      <c r="AE247" s="48">
        <f t="shared" si="335"/>
        <v>5.1850900568272795E-2</v>
      </c>
      <c r="AF247" s="325">
        <f t="shared" si="335"/>
        <v>-1.6321406151914464E-2</v>
      </c>
      <c r="AG247" s="325">
        <f t="shared" si="335"/>
        <v>-5.7052968767875578E-2</v>
      </c>
      <c r="AH247" s="325">
        <f t="shared" si="335"/>
        <v>3.5354134535532378E-2</v>
      </c>
      <c r="AI247" s="325">
        <f t="shared" si="335"/>
        <v>0.26157073554477517</v>
      </c>
      <c r="AJ247" s="48">
        <f t="shared" si="335"/>
        <v>5.0799706977596282E-2</v>
      </c>
      <c r="AK247" s="325">
        <f t="shared" si="335"/>
        <v>0.10644543714103372</v>
      </c>
      <c r="AL247" s="325">
        <f t="shared" si="335"/>
        <v>5.8563750409473148E-2</v>
      </c>
      <c r="AM247" s="325">
        <f t="shared" si="335"/>
        <v>-2.3146556663229068E-2</v>
      </c>
      <c r="AN247" s="325">
        <f t="shared" si="335"/>
        <v>1.4238204115568198E-2</v>
      </c>
      <c r="AO247" s="339">
        <f t="shared" si="336"/>
        <v>3.6358830312871238E-2</v>
      </c>
      <c r="AP247" s="341">
        <f t="shared" si="336"/>
        <v>0.14557619102549313</v>
      </c>
      <c r="AQ247" s="341">
        <f t="shared" si="336"/>
        <v>0.19805157593123202</v>
      </c>
      <c r="AR247" s="341">
        <f t="shared" si="336"/>
        <v>0.14580645161290318</v>
      </c>
      <c r="AS247" s="341">
        <f t="shared" si="336"/>
        <v>-0.15800799262219489</v>
      </c>
      <c r="AT247" s="345">
        <f t="shared" si="336"/>
        <v>7.5424631425528244E-2</v>
      </c>
      <c r="AU247" s="341">
        <f t="shared" si="336"/>
        <v>-0.28567113080253759</v>
      </c>
      <c r="AV247" s="341">
        <f t="shared" si="336"/>
        <v>-0.31330718454032336</v>
      </c>
      <c r="AW247" s="341">
        <f t="shared" si="336"/>
        <v>-0.3126535626535627</v>
      </c>
      <c r="AX247" s="341">
        <f t="shared" si="336"/>
        <v>-0.13326031398320537</v>
      </c>
      <c r="AY247" s="345">
        <f t="shared" si="337"/>
        <v>-0.26742943522114215</v>
      </c>
      <c r="AZ247" s="341">
        <f t="shared" si="337"/>
        <v>-0.10741471666196778</v>
      </c>
      <c r="BA247" s="341">
        <f t="shared" si="337"/>
        <v>-0.10406798551128438</v>
      </c>
      <c r="BB247" s="341">
        <f t="shared" si="337"/>
        <v>-0.10068513553768255</v>
      </c>
      <c r="BC247" s="341">
        <f t="shared" si="337"/>
        <v>1.3198539736029247E-2</v>
      </c>
      <c r="BD247" s="345">
        <f t="shared" si="337"/>
        <v>-7.4391632275508712E-2</v>
      </c>
      <c r="BE247" s="341">
        <f t="shared" si="337"/>
        <v>4.3114339861023199E-2</v>
      </c>
      <c r="BF247" s="341">
        <f t="shared" si="337"/>
        <v>-7.6970922096097016E-2</v>
      </c>
      <c r="BG247" s="341">
        <f t="shared" si="337"/>
        <v>6.0947333554157046E-2</v>
      </c>
      <c r="BH247" s="341">
        <f t="shared" si="337"/>
        <v>-0.12458425720620836</v>
      </c>
      <c r="BI247" s="345">
        <f t="shared" si="338"/>
        <v>-2.8942614444401604E-2</v>
      </c>
      <c r="BJ247" s="341">
        <f t="shared" si="338"/>
        <v>-0.21317183951551844</v>
      </c>
      <c r="BK247" s="341">
        <f t="shared" si="338"/>
        <v>-0.11185983827493262</v>
      </c>
      <c r="BL247" s="341">
        <f t="shared" si="338"/>
        <v>-0.21651576646893544</v>
      </c>
      <c r="BM247" s="341">
        <f t="shared" si="338"/>
        <v>-0.20199461769827454</v>
      </c>
      <c r="BN247" s="345">
        <f t="shared" si="338"/>
        <v>-0.18742083597213421</v>
      </c>
      <c r="BO247" s="1103">
        <f t="shared" si="338"/>
        <v>-0.14258225899557442</v>
      </c>
      <c r="BP247" s="1103">
        <f t="shared" si="338"/>
        <v>-9.4650986342943888E-2</v>
      </c>
      <c r="BQ247" s="1103">
        <f t="shared" si="338"/>
        <v>-0.21040047818290486</v>
      </c>
      <c r="BR247" s="1103">
        <f t="shared" si="338"/>
        <v>-0.18409045824241221</v>
      </c>
      <c r="BS247" s="345">
        <f t="shared" si="339"/>
        <v>-0.15704612986506883</v>
      </c>
      <c r="BT247" s="1103">
        <f t="shared" si="339"/>
        <v>-0.18177737881508083</v>
      </c>
      <c r="BU247" s="341">
        <f t="shared" si="339"/>
        <v>-0.17347580138277818</v>
      </c>
      <c r="BV247" s="341">
        <f t="shared" si="339"/>
        <v>7.570022710068125E-3</v>
      </c>
      <c r="BW247" s="341">
        <f t="shared" si="339"/>
        <v>2.5285679552637941E-2</v>
      </c>
      <c r="BX247" s="345">
        <f t="shared" si="339"/>
        <v>-8.691129731291547E-2</v>
      </c>
      <c r="BY247" s="1103">
        <f t="shared" si="340"/>
        <v>4.6352166758091062E-2</v>
      </c>
      <c r="BZ247" s="1103">
        <f t="shared" si="340"/>
        <v>-4.7105196451204145E-2</v>
      </c>
      <c r="CA247" s="1103">
        <f t="shared" si="340"/>
        <v>-6.3193087903831713E-2</v>
      </c>
      <c r="CB247" s="1103">
        <f t="shared" si="340"/>
        <v>-0.107517192316813</v>
      </c>
      <c r="CC247" s="345">
        <f t="shared" si="341"/>
        <v>-4.5728751344851659E-2</v>
      </c>
      <c r="CD247" s="345">
        <f t="shared" si="333"/>
        <v>-0.16591653380588445</v>
      </c>
      <c r="CE247" s="345">
        <f t="shared" si="333"/>
        <v>-0.26922120528255578</v>
      </c>
      <c r="CF247" s="345">
        <f t="shared" si="333"/>
        <v>-0.23947791608813895</v>
      </c>
      <c r="CG247" s="345">
        <f t="shared" si="333"/>
        <v>-0.1387472201521972</v>
      </c>
      <c r="CH247" s="345">
        <f t="shared" si="333"/>
        <v>-0.13347789574980617</v>
      </c>
    </row>
    <row r="248" spans="1:86">
      <c r="A248" s="9"/>
      <c r="B248" s="9"/>
      <c r="C248" s="9"/>
      <c r="D248" s="9"/>
      <c r="E248" s="9"/>
      <c r="F248" s="9"/>
      <c r="G248" s="9"/>
      <c r="H248" s="264" t="s">
        <v>234</v>
      </c>
      <c r="I248" s="264"/>
      <c r="L248" s="328"/>
      <c r="M248" s="328"/>
      <c r="N248" s="328"/>
      <c r="O248" s="328"/>
      <c r="P248" s="329">
        <v>-5.2114652234916847E-2</v>
      </c>
      <c r="Q248" s="328">
        <f t="shared" si="327"/>
        <v>-2.8454510848877068E-2</v>
      </c>
      <c r="R248" s="328">
        <f t="shared" si="328"/>
        <v>1.3044260525368889E-2</v>
      </c>
      <c r="S248" s="328">
        <f t="shared" si="329"/>
        <v>4.8277836084343217E-2</v>
      </c>
      <c r="T248" s="328">
        <f t="shared" si="330"/>
        <v>0.12079188982402456</v>
      </c>
      <c r="U248" s="330">
        <f t="shared" si="334"/>
        <v>3.7945536993961637E-2</v>
      </c>
      <c r="V248" s="328">
        <f t="shared" si="334"/>
        <v>9.9422078558135007E-2</v>
      </c>
      <c r="W248" s="328">
        <f t="shared" si="334"/>
        <v>8.8091643726134761E-2</v>
      </c>
      <c r="X248" s="328">
        <f t="shared" si="334"/>
        <v>7.3723491398925978E-2</v>
      </c>
      <c r="Y248" s="328">
        <f t="shared" si="334"/>
        <v>0.10290980459083543</v>
      </c>
      <c r="Z248" s="330">
        <f t="shared" si="334"/>
        <v>9.106754798985861E-2</v>
      </c>
      <c r="AA248" s="328">
        <f t="shared" si="334"/>
        <v>1.3007840342123878E-2</v>
      </c>
      <c r="AB248" s="328">
        <f t="shared" si="334"/>
        <v>2.3504447890312585E-2</v>
      </c>
      <c r="AC248" s="328">
        <f t="shared" si="334"/>
        <v>2.8312282783758524E-2</v>
      </c>
      <c r="AD248" s="328">
        <f t="shared" si="334"/>
        <v>-9.7949709864603385E-2</v>
      </c>
      <c r="AE248" s="330">
        <f t="shared" si="335"/>
        <v>-1.0332164567729674E-2</v>
      </c>
      <c r="AF248" s="328">
        <f t="shared" si="335"/>
        <v>3.6939313984170052E-3</v>
      </c>
      <c r="AG248" s="328">
        <f t="shared" si="335"/>
        <v>-2.3698269675464512E-2</v>
      </c>
      <c r="AH248" s="328">
        <f t="shared" si="335"/>
        <v>2.5801665155387177E-2</v>
      </c>
      <c r="AI248" s="328">
        <f t="shared" si="335"/>
        <v>0.19289819023929988</v>
      </c>
      <c r="AJ248" s="330">
        <f t="shared" si="335"/>
        <v>4.8359573174566739E-2</v>
      </c>
      <c r="AK248" s="328">
        <f t="shared" si="335"/>
        <v>7.7900455660707912E-2</v>
      </c>
      <c r="AL248" s="328">
        <f t="shared" si="335"/>
        <v>4.8775706888384285E-2</v>
      </c>
      <c r="AM248" s="328">
        <f t="shared" si="335"/>
        <v>-9.8039215686273051E-3</v>
      </c>
      <c r="AN248" s="328">
        <f t="shared" si="335"/>
        <v>-2.4014955421340356E-2</v>
      </c>
      <c r="AO248" s="352">
        <f t="shared" si="336"/>
        <v>2.0600786277340744E-2</v>
      </c>
      <c r="AP248" s="338">
        <f t="shared" si="336"/>
        <v>5.6418177383952495E-2</v>
      </c>
      <c r="AQ248" s="338">
        <f t="shared" si="336"/>
        <v>0.11369831010045939</v>
      </c>
      <c r="AR248" s="338">
        <f t="shared" si="336"/>
        <v>-2.3616296055835151E-2</v>
      </c>
      <c r="AS248" s="338">
        <f t="shared" si="336"/>
        <v>-0.43502283777810524</v>
      </c>
      <c r="AT248" s="736">
        <f t="shared" si="336"/>
        <v>-7.919589325600529E-2</v>
      </c>
      <c r="AU248" s="338">
        <f t="shared" si="336"/>
        <v>-0.55606002308580216</v>
      </c>
      <c r="AV248" s="338">
        <f t="shared" si="336"/>
        <v>-0.72477449129431504</v>
      </c>
      <c r="AW248" s="338">
        <f t="shared" si="336"/>
        <v>-0.68348433214196658</v>
      </c>
      <c r="AX248" s="338">
        <f t="shared" si="336"/>
        <v>-0.49471899856565382</v>
      </c>
      <c r="AY248" s="736">
        <f t="shared" si="337"/>
        <v>-0.63001106477146995</v>
      </c>
      <c r="AZ248" s="338">
        <f t="shared" si="337"/>
        <v>-0.50632691974345645</v>
      </c>
      <c r="BA248" s="338">
        <f t="shared" si="337"/>
        <v>-0.28048780487804881</v>
      </c>
      <c r="BB248" s="338">
        <f t="shared" si="337"/>
        <v>-0.26811974789915971</v>
      </c>
      <c r="BC248" s="338">
        <f t="shared" si="337"/>
        <v>-0.10141935483870967</v>
      </c>
      <c r="BD248" s="736">
        <f t="shared" si="337"/>
        <v>-0.31280193236714982</v>
      </c>
      <c r="BE248" s="338">
        <f t="shared" si="337"/>
        <v>-5.9691011235954994E-3</v>
      </c>
      <c r="BF248" s="341">
        <f t="shared" si="337"/>
        <v>-0.13912429378531077</v>
      </c>
      <c r="BG248" s="341">
        <f t="shared" si="337"/>
        <v>-7.6426264800861232E-2</v>
      </c>
      <c r="BH248" s="341">
        <f t="shared" si="337"/>
        <v>-0.27311889718552551</v>
      </c>
      <c r="BI248" s="345">
        <f t="shared" si="338"/>
        <v>-0.1318101933216167</v>
      </c>
      <c r="BJ248" s="341">
        <f t="shared" si="338"/>
        <v>-0.2246555987283646</v>
      </c>
      <c r="BK248" s="338">
        <f t="shared" si="338"/>
        <v>4.0607054963084588E-2</v>
      </c>
      <c r="BL248" s="338">
        <f t="shared" si="338"/>
        <v>-7.575757575757569E-2</v>
      </c>
      <c r="BM248" s="338">
        <f t="shared" si="338"/>
        <v>-9.4824180165942407E-2</v>
      </c>
      <c r="BN248" s="345">
        <f t="shared" si="338"/>
        <v>-9.3695777906304345E-2</v>
      </c>
      <c r="BO248" s="1103">
        <f t="shared" si="338"/>
        <v>-3.0523917995444183E-2</v>
      </c>
      <c r="BP248" s="1103">
        <f t="shared" si="338"/>
        <v>-0.16949152542372881</v>
      </c>
      <c r="BQ248" s="1103">
        <f t="shared" si="338"/>
        <v>-0.37410676754939054</v>
      </c>
      <c r="BR248" s="1103">
        <f t="shared" si="338"/>
        <v>-0.33216935835879524</v>
      </c>
      <c r="BS248" s="345">
        <f t="shared" si="339"/>
        <v>-0.22846202935545612</v>
      </c>
      <c r="BT248" s="1103">
        <f t="shared" si="339"/>
        <v>-0.30686090225563911</v>
      </c>
      <c r="BU248" s="338">
        <f t="shared" si="339"/>
        <v>-0.33175130517323204</v>
      </c>
      <c r="BV248" s="338">
        <f t="shared" si="339"/>
        <v>-5.574210879785102E-2</v>
      </c>
      <c r="BW248" s="338">
        <f t="shared" si="339"/>
        <v>-5.228758169934733E-3</v>
      </c>
      <c r="BX248" s="345">
        <f t="shared" si="339"/>
        <v>-0.19892473118279574</v>
      </c>
      <c r="BY248" s="1103">
        <f t="shared" si="340"/>
        <v>-0.1688135593220339</v>
      </c>
      <c r="BZ248" s="1103">
        <f t="shared" si="340"/>
        <v>-0.10000000000000009</v>
      </c>
      <c r="CA248" s="1103">
        <f t="shared" si="340"/>
        <v>-9.1038406827880447E-2</v>
      </c>
      <c r="CB248" s="1103">
        <f t="shared" si="340"/>
        <v>-0.16885676741130085</v>
      </c>
      <c r="CC248" s="345">
        <f t="shared" si="341"/>
        <v>-0.13333333333333341</v>
      </c>
      <c r="CD248" s="345">
        <f t="shared" si="333"/>
        <v>-9.9999999999999978E-2</v>
      </c>
      <c r="CE248" s="345">
        <f t="shared" si="333"/>
        <v>-9.9999999999999867E-2</v>
      </c>
      <c r="CF248" s="345">
        <f t="shared" si="333"/>
        <v>-0.10000000000000009</v>
      </c>
      <c r="CG248" s="345">
        <f t="shared" si="333"/>
        <v>-9.9999999999999978E-2</v>
      </c>
      <c r="CH248" s="345">
        <f t="shared" si="333"/>
        <v>-9.9999999999999978E-2</v>
      </c>
    </row>
    <row r="249" spans="1:86">
      <c r="A249" s="9"/>
      <c r="B249" s="9"/>
      <c r="C249" s="9"/>
      <c r="D249" s="9"/>
      <c r="E249" s="9"/>
      <c r="F249" s="9"/>
      <c r="G249" s="9"/>
      <c r="H249" s="264" t="s">
        <v>788</v>
      </c>
      <c r="I249" s="264"/>
      <c r="L249" s="328">
        <v>-5.4720932349995532E-2</v>
      </c>
      <c r="M249" s="328">
        <v>-9.5355934999587832E-2</v>
      </c>
      <c r="N249" s="328">
        <v>1.1136075021979108E-2</v>
      </c>
      <c r="O249" s="328">
        <v>-4.9101796407185594E-2</v>
      </c>
      <c r="P249" s="329">
        <v>-4.9232996968188503E-2</v>
      </c>
      <c r="Q249" s="328">
        <f t="shared" si="327"/>
        <v>-2.9666730880369974E-2</v>
      </c>
      <c r="R249" s="328">
        <f t="shared" si="328"/>
        <v>1.6777605543904395E-2</v>
      </c>
      <c r="S249" s="328">
        <f t="shared" si="329"/>
        <v>4.7918075548256445E-2</v>
      </c>
      <c r="T249" s="328">
        <f t="shared" si="330"/>
        <v>0.12051927920945538</v>
      </c>
      <c r="U249" s="329">
        <f t="shared" si="334"/>
        <v>3.8456046832611612E-2</v>
      </c>
      <c r="V249" s="328">
        <f t="shared" si="334"/>
        <v>9.9861028389914619E-2</v>
      </c>
      <c r="W249" s="328">
        <f t="shared" si="334"/>
        <v>8.7705138552596429E-2</v>
      </c>
      <c r="X249" s="328">
        <f t="shared" si="334"/>
        <v>7.5135982299253223E-2</v>
      </c>
      <c r="Y249" s="328">
        <f t="shared" si="334"/>
        <v>0.10141794916133517</v>
      </c>
      <c r="Z249" s="329">
        <f t="shared" si="334"/>
        <v>9.102158669049909E-2</v>
      </c>
      <c r="AA249" s="328">
        <f t="shared" si="334"/>
        <v>1.1010830324909682E-2</v>
      </c>
      <c r="AB249" s="328">
        <f t="shared" si="334"/>
        <v>2.2178250474070405E-2</v>
      </c>
      <c r="AC249" s="328">
        <f t="shared" si="334"/>
        <v>1.9979420339564458E-2</v>
      </c>
      <c r="AD249" s="328">
        <f t="shared" si="334"/>
        <v>-9.9850851715205358E-2</v>
      </c>
      <c r="AE249" s="329">
        <f t="shared" si="335"/>
        <v>-1.3610586011342241E-2</v>
      </c>
      <c r="AF249" s="328">
        <f t="shared" si="335"/>
        <v>2.4995536511336347E-3</v>
      </c>
      <c r="AG249" s="328">
        <f t="shared" si="335"/>
        <v>-2.9520890466204319E-2</v>
      </c>
      <c r="AH249" s="328">
        <f t="shared" si="335"/>
        <v>2.8163093736864209E-2</v>
      </c>
      <c r="AI249" s="328">
        <f t="shared" si="335"/>
        <v>0.19168047440481373</v>
      </c>
      <c r="AJ249" s="329">
        <f t="shared" si="335"/>
        <v>4.6739917380009377E-2</v>
      </c>
      <c r="AK249" s="328">
        <f t="shared" si="335"/>
        <v>8.1923419412288423E-2</v>
      </c>
      <c r="AL249" s="328">
        <f t="shared" si="335"/>
        <v>4.9617686170212894E-2</v>
      </c>
      <c r="AM249" s="328">
        <f t="shared" si="335"/>
        <v>-8.3401471790677251E-3</v>
      </c>
      <c r="AN249" s="328">
        <f t="shared" si="335"/>
        <v>-2.246615440907429E-2</v>
      </c>
      <c r="AO249" s="736">
        <f t="shared" si="336"/>
        <v>2.2540024818438864E-2</v>
      </c>
      <c r="AP249" s="338">
        <f t="shared" si="336"/>
        <v>5.5061728395061849E-2</v>
      </c>
      <c r="AQ249" s="338">
        <f t="shared" si="336"/>
        <v>0.1151318394172145</v>
      </c>
      <c r="AR249" s="338">
        <f t="shared" si="336"/>
        <v>-2.5148416886543568E-2</v>
      </c>
      <c r="AS249" s="338">
        <f t="shared" si="336"/>
        <v>-0.43883814942356647</v>
      </c>
      <c r="AT249" s="736">
        <f t="shared" si="336"/>
        <v>-8.0453595941509914E-2</v>
      </c>
      <c r="AU249" s="338">
        <f t="shared" si="336"/>
        <v>-0.56104220297995155</v>
      </c>
      <c r="AV249" s="338">
        <f t="shared" si="336"/>
        <v>-0.73052616629979417</v>
      </c>
      <c r="AW249" s="338">
        <f t="shared" si="336"/>
        <v>-0.68324452338661934</v>
      </c>
      <c r="AX249" s="338">
        <f t="shared" si="336"/>
        <v>-0.48665955176093911</v>
      </c>
      <c r="AY249" s="736">
        <f t="shared" si="337"/>
        <v>-0.63187728521667641</v>
      </c>
      <c r="AZ249" s="338">
        <f t="shared" si="337"/>
        <v>-0.49386884663230857</v>
      </c>
      <c r="BA249" s="338">
        <f t="shared" si="337"/>
        <v>-0.25375494071146243</v>
      </c>
      <c r="BB249" s="338">
        <f t="shared" si="337"/>
        <v>-0.25580774365821102</v>
      </c>
      <c r="BC249" s="338">
        <f t="shared" si="337"/>
        <v>-9.5114345114345134E-2</v>
      </c>
      <c r="BD249" s="736">
        <f t="shared" si="337"/>
        <v>-0.29773729062591836</v>
      </c>
      <c r="BE249" s="338">
        <f t="shared" si="337"/>
        <v>-5.9691011235954994E-3</v>
      </c>
      <c r="BF249" s="338">
        <f t="shared" si="337"/>
        <v>-0.13912429378531077</v>
      </c>
      <c r="BG249" s="338">
        <f t="shared" si="337"/>
        <v>-7.6426264800861232E-2</v>
      </c>
      <c r="BH249" s="338">
        <f t="shared" si="337"/>
        <v>-0.27311889718552551</v>
      </c>
      <c r="BI249" s="736">
        <f t="shared" si="338"/>
        <v>-0.1318101933216167</v>
      </c>
      <c r="BJ249" s="338">
        <f t="shared" si="338"/>
        <v>-0.2246555987283646</v>
      </c>
      <c r="BK249" s="338">
        <f t="shared" si="338"/>
        <v>4.0607054963084588E-2</v>
      </c>
      <c r="BL249" s="338">
        <f t="shared" si="338"/>
        <v>-7.575757575757569E-2</v>
      </c>
      <c r="BM249" s="338">
        <f t="shared" si="338"/>
        <v>-9.4824180165942407E-2</v>
      </c>
      <c r="BN249" s="736">
        <f t="shared" si="338"/>
        <v>-9.3695777906304345E-2</v>
      </c>
      <c r="BO249" s="1105">
        <f t="shared" si="338"/>
        <v>-3.0523917995444183E-2</v>
      </c>
      <c r="BP249" s="1105">
        <f t="shared" si="338"/>
        <v>-0.16949152542372881</v>
      </c>
      <c r="BQ249" s="1105">
        <f t="shared" si="338"/>
        <v>-0.37410676754939054</v>
      </c>
      <c r="BR249" s="1105">
        <f t="shared" si="338"/>
        <v>-0.33216935835879524</v>
      </c>
      <c r="BS249" s="736">
        <f t="shared" si="339"/>
        <v>-0.22846202935545612</v>
      </c>
      <c r="BT249" s="1105">
        <f t="shared" si="339"/>
        <v>-0.30686090225563911</v>
      </c>
      <c r="BU249" s="338">
        <f t="shared" si="339"/>
        <v>-0.33175130517323204</v>
      </c>
      <c r="BV249" s="338">
        <f t="shared" si="339"/>
        <v>-5.574210879785102E-2</v>
      </c>
      <c r="BW249" s="338">
        <f t="shared" si="339"/>
        <v>-5.228758169934733E-3</v>
      </c>
      <c r="BX249" s="736">
        <f t="shared" si="339"/>
        <v>-0.19892473118279574</v>
      </c>
      <c r="BY249" s="1105">
        <f t="shared" si="339"/>
        <v>-0.1688135593220339</v>
      </c>
      <c r="BZ249" s="1105">
        <f>IF(ISERROR(BZ19/BU19-1),"NM",(BZ19/BU19-1))</f>
        <v>-0.10000000000000009</v>
      </c>
      <c r="CA249" s="1105">
        <f>IF(ISERROR(CA19/BV19-1),"NM",(CA19/BV19-1))</f>
        <v>-9.1038406827880447E-2</v>
      </c>
      <c r="CB249" s="1105">
        <f>IF(ISERROR(CB19/BW19-1),"NM",(CB19/BW19-1))</f>
        <v>-0.16885676741130085</v>
      </c>
      <c r="CC249" s="736">
        <f t="shared" si="341"/>
        <v>-0.13333333333333341</v>
      </c>
      <c r="CD249" s="736">
        <f t="shared" si="333"/>
        <v>-9.9999999999999978E-2</v>
      </c>
      <c r="CE249" s="736">
        <f t="shared" si="333"/>
        <v>-9.9999999999999867E-2</v>
      </c>
      <c r="CF249" s="736">
        <f t="shared" si="333"/>
        <v>-0.10000000000000009</v>
      </c>
      <c r="CG249" s="736">
        <f t="shared" si="333"/>
        <v>-9.9999999999999978E-2</v>
      </c>
      <c r="CH249" s="736">
        <f t="shared" si="333"/>
        <v>-9.9999999999999978E-2</v>
      </c>
    </row>
    <row r="250" spans="1:86">
      <c r="A250" s="9"/>
      <c r="B250" s="9"/>
      <c r="C250" s="9"/>
      <c r="D250" s="9"/>
      <c r="E250" s="9"/>
      <c r="F250" s="9"/>
      <c r="G250" s="9"/>
      <c r="H250" s="267" t="s">
        <v>1145</v>
      </c>
      <c r="I250" s="267"/>
      <c r="L250" s="325">
        <v>-0.16669350942180705</v>
      </c>
      <c r="M250" s="325">
        <v>-0.21088924005171683</v>
      </c>
      <c r="N250" s="325">
        <v>-9.581912793827374E-2</v>
      </c>
      <c r="O250" s="325">
        <v>-0.15276510312100744</v>
      </c>
      <c r="P250" s="48">
        <v>-0.15993724713070756</v>
      </c>
      <c r="Q250" s="325">
        <f t="shared" si="327"/>
        <v>-4.5419404715887124E-2</v>
      </c>
      <c r="R250" s="325">
        <f t="shared" si="328"/>
        <v>-1.1651192426724855E-2</v>
      </c>
      <c r="S250" s="325">
        <f t="shared" si="329"/>
        <v>2.996626314744999E-2</v>
      </c>
      <c r="T250" s="325">
        <f t="shared" si="330"/>
        <v>0.18591124515295143</v>
      </c>
      <c r="U250" s="276">
        <f t="shared" ref="U250:U263" si="342">IF(ISERROR(U20/P20-1),"NM",(U20/P20-1))</f>
        <v>3.5138588559072259E-2</v>
      </c>
      <c r="V250" s="325">
        <f t="shared" ref="V250:V263" si="343">IF(ISERROR(V20/Q20-1),"NM",(V20/Q20-1))</f>
        <v>5.9526219882567233E-2</v>
      </c>
      <c r="W250" s="325">
        <f t="shared" ref="W250:W263" si="344">IF(ISERROR(W20/R20-1),"NM",(W20/R20-1))</f>
        <v>3.7944372812672711E-2</v>
      </c>
      <c r="X250" s="325">
        <f t="shared" ref="X250:X263" si="345">IF(ISERROR(X20/S20-1),"NM",(X20/S20-1))</f>
        <v>4.1618497109826569E-2</v>
      </c>
      <c r="Y250" s="325">
        <f t="shared" ref="Y250:Y263" si="346">IF(ISERROR(Y20/T20-1),"NM",(Y20/T20-1))</f>
        <v>0.1055404178019983</v>
      </c>
      <c r="Z250" s="276">
        <f t="shared" ref="Z250:Z263" si="347">IF(ISERROR(Z20/U20-1),"NM",(Z20/U20-1))</f>
        <v>6.1577173242178151E-2</v>
      </c>
      <c r="AA250" s="325">
        <f t="shared" ref="AA250:AA263" si="348">IF(ISERROR(AA20/V20-1),"NM",(AA20/V20-1))</f>
        <v>-4.5862793808522762E-2</v>
      </c>
      <c r="AB250" s="325">
        <f t="shared" ref="AB250:AB263" si="349">IF(ISERROR(AB20/W20-1),"NM",(AB20/W20-1))</f>
        <v>1.7746228926363017E-4</v>
      </c>
      <c r="AC250" s="325">
        <f t="shared" ref="AC250:AC263" si="350">IF(ISERROR(AC20/X20-1),"NM",(AC20/X20-1))</f>
        <v>2.7746947835738167E-2</v>
      </c>
      <c r="AD250" s="325">
        <f t="shared" ref="AD250:AD263" si="351">IF(ISERROR(AD20/Y20-1),"NM",(AD20/Y20-1))</f>
        <v>-4.0420637528754577E-2</v>
      </c>
      <c r="AE250" s="276">
        <f t="shared" ref="AE250:AE263" si="352">IF(ISERROR(AE20/Z20-1),"NM",(AE20/Z20-1))</f>
        <v>-1.4982110912343471E-2</v>
      </c>
      <c r="AF250" s="325">
        <f t="shared" ref="AF250:AI251" si="353">AF20/AA20-1</f>
        <v>7.2301221710394437E-2</v>
      </c>
      <c r="AG250" s="325">
        <f t="shared" si="353"/>
        <v>3.3002129169623862E-2</v>
      </c>
      <c r="AH250" s="325">
        <f t="shared" si="353"/>
        <v>2.5197984161267062E-2</v>
      </c>
      <c r="AI250" s="325">
        <f t="shared" si="353"/>
        <v>0.10376712328767135</v>
      </c>
      <c r="AJ250" s="276">
        <f t="shared" ref="AJ250:AJ263" si="354">IF(ISERROR(AJ20/AE20-1),"NM",(AJ20/AE20-1))</f>
        <v>5.8706015891032859E-2</v>
      </c>
      <c r="AK250" s="325">
        <f t="shared" ref="AK250:AN251" si="355">AK20/AF20-1</f>
        <v>8.9839372431826714E-2</v>
      </c>
      <c r="AL250" s="325">
        <f t="shared" si="355"/>
        <v>9.6186877361731371E-2</v>
      </c>
      <c r="AM250" s="325">
        <f t="shared" si="355"/>
        <v>6.1446629213483206E-2</v>
      </c>
      <c r="AN250" s="325">
        <f t="shared" si="355"/>
        <v>3.8318336953149235E-2</v>
      </c>
      <c r="AO250" s="345">
        <f t="shared" ref="AO250:AO263" si="356">IF(ISERROR(AO20/AJ20-1),"NM",(AO20/AJ20-1))</f>
        <v>7.0246161763444892E-2</v>
      </c>
      <c r="AP250" s="341">
        <f t="shared" ref="AP250:AS251" si="357">AP20/AK20-1</f>
        <v>2.3307626392459424E-2</v>
      </c>
      <c r="AQ250" s="341">
        <f t="shared" si="357"/>
        <v>0.11438420557818874</v>
      </c>
      <c r="AR250" s="341">
        <f t="shared" si="357"/>
        <v>-6.8475024809791507E-2</v>
      </c>
      <c r="AS250" s="341">
        <f t="shared" si="357"/>
        <v>-0.560884506200508</v>
      </c>
      <c r="AT250" s="345">
        <f t="shared" ref="AT250:AT263" si="358">IF(ISERROR(AT20/AO20-1),"NM",(AT20/AO20-1))</f>
        <v>-0.1323128706523482</v>
      </c>
      <c r="AU250" s="341">
        <f t="shared" ref="AU250:AX251" si="359">AU20/AP20-1</f>
        <v>-0.66035839892815273</v>
      </c>
      <c r="AV250" s="341">
        <f t="shared" si="359"/>
        <v>-0.95809898762654666</v>
      </c>
      <c r="AW250" s="341">
        <f t="shared" si="359"/>
        <v>-0.87961647727272729</v>
      </c>
      <c r="AX250" s="341">
        <f t="shared" si="359"/>
        <v>-0.79550867642055123</v>
      </c>
      <c r="AY250" s="345">
        <f t="shared" ref="AY250:AY263" si="360">IF(ISERROR(AY20/AT20-1),"NM",(AY20/AT20-1))</f>
        <v>-0.83351805671007662</v>
      </c>
      <c r="AZ250" s="341">
        <f t="shared" ref="AZ250:BC251" si="361">AZ20/AU20-1</f>
        <v>-0.84220907297830372</v>
      </c>
      <c r="BA250" s="341">
        <f t="shared" si="361"/>
        <v>-0.34563758389261745</v>
      </c>
      <c r="BB250" s="341">
        <f t="shared" si="361"/>
        <v>-0.51474926253687314</v>
      </c>
      <c r="BC250" s="341">
        <f t="shared" si="361"/>
        <v>-0.34775374376039925</v>
      </c>
      <c r="BD250" s="345">
        <f>IF(ISERROR(BD20/AY20-1),"NM",(BD20/AY20-1))</f>
        <v>-0.65714285714285725</v>
      </c>
      <c r="BE250" s="341">
        <f t="shared" ref="BE250:BH251" si="362">BE20/AZ20-1</f>
        <v>-0.15000000000000002</v>
      </c>
      <c r="BF250" s="341">
        <f t="shared" si="362"/>
        <v>1.0307692307692307</v>
      </c>
      <c r="BG250" s="341">
        <f t="shared" si="362"/>
        <v>-0.42857142857142849</v>
      </c>
      <c r="BH250" s="341">
        <f t="shared" si="362"/>
        <v>-0.12755102040816324</v>
      </c>
      <c r="BI250" s="345">
        <f>IF(ISERROR(BI20/BD20-1),"NM",(BI20/BD20-1))</f>
        <v>-3.0744336569579422E-2</v>
      </c>
      <c r="BJ250" s="341">
        <f t="shared" ref="BJ250:BM251" si="363">BJ20/BE20-1</f>
        <v>-2.2058823529411686E-2</v>
      </c>
      <c r="BK250" s="341">
        <f t="shared" si="363"/>
        <v>0.45454545454545459</v>
      </c>
      <c r="BL250" s="341">
        <f t="shared" si="363"/>
        <v>1.4946808510638294</v>
      </c>
      <c r="BM250" s="341">
        <f t="shared" si="363"/>
        <v>-0.2485380116959065</v>
      </c>
      <c r="BN250" s="345">
        <f>IF(ISERROR(BN20/BI20-1),"NM",(BN20/BI20-1))</f>
        <v>0.3088480801335558</v>
      </c>
      <c r="BO250" s="341">
        <f t="shared" ref="BO250:BR251" si="364">BO20/BJ20-1</f>
        <v>0.42481203007518786</v>
      </c>
      <c r="BP250" s="341">
        <f t="shared" si="364"/>
        <v>-0.74826388888888884</v>
      </c>
      <c r="BQ250" s="341">
        <f t="shared" si="364"/>
        <v>-0.84434968017057566</v>
      </c>
      <c r="BR250" s="341">
        <f t="shared" si="364"/>
        <v>-0.6108949416342413</v>
      </c>
      <c r="BS250" s="345">
        <f>IF(ISERROR(BS20/BN20-1),"NM",(BS20/BN20-1))</f>
        <v>-0.55548469387755106</v>
      </c>
      <c r="BT250" s="341">
        <f t="shared" ref="BT250:BY251" si="365">BT20/BO20-1</f>
        <v>-0.37467018469656987</v>
      </c>
      <c r="BU250" s="341">
        <f t="shared" si="365"/>
        <v>-0.10344827586206895</v>
      </c>
      <c r="BV250" s="341">
        <f t="shared" si="365"/>
        <v>0.72602739726027399</v>
      </c>
      <c r="BW250" s="341">
        <f t="shared" si="365"/>
        <v>1.62</v>
      </c>
      <c r="BX250" s="345">
        <f>IF(ISERROR(BX20/BS20-1),"NM",(BX20/BS20-1))</f>
        <v>8.3213773314203987E-2</v>
      </c>
      <c r="BY250" s="341">
        <f t="shared" si="365"/>
        <v>-0.62869198312236285</v>
      </c>
      <c r="BZ250" s="1106">
        <v>-0.1</v>
      </c>
      <c r="CA250" s="1106">
        <v>0</v>
      </c>
      <c r="CB250" s="1106">
        <v>-0.5</v>
      </c>
      <c r="CC250" s="345">
        <f t="shared" si="341"/>
        <v>-0.3880794701986755</v>
      </c>
      <c r="CD250" s="909">
        <v>-0.1</v>
      </c>
      <c r="CE250" s="909">
        <v>-0.1</v>
      </c>
      <c r="CF250" s="909">
        <v>-0.1</v>
      </c>
      <c r="CG250" s="909">
        <v>-0.1</v>
      </c>
      <c r="CH250" s="909">
        <v>-0.1</v>
      </c>
    </row>
    <row r="251" spans="1:86">
      <c r="A251" s="9"/>
      <c r="B251" s="9"/>
      <c r="C251" s="9"/>
      <c r="D251" s="9"/>
      <c r="E251" s="9"/>
      <c r="F251" s="9"/>
      <c r="G251" s="9"/>
      <c r="H251" s="267" t="s">
        <v>1146</v>
      </c>
      <c r="I251" s="267"/>
      <c r="L251" s="325">
        <v>9.0909090909090828E-2</v>
      </c>
      <c r="M251" s="325">
        <v>6.0441689267725529E-2</v>
      </c>
      <c r="N251" s="325">
        <v>0.13893653516295035</v>
      </c>
      <c r="O251" s="325">
        <v>5.6547619047619069E-2</v>
      </c>
      <c r="P251" s="48">
        <v>8.5002002402883248E-2</v>
      </c>
      <c r="Q251" s="325">
        <f t="shared" si="327"/>
        <v>-1.4016897081413071E-2</v>
      </c>
      <c r="R251" s="325">
        <f t="shared" si="328"/>
        <v>4.5305078553160572E-2</v>
      </c>
      <c r="S251" s="325">
        <f t="shared" si="329"/>
        <v>6.4947289156626509E-2</v>
      </c>
      <c r="T251" s="325">
        <f t="shared" si="330"/>
        <v>6.7077464788732444E-2</v>
      </c>
      <c r="U251" s="276">
        <f t="shared" si="342"/>
        <v>4.1570545353880162E-2</v>
      </c>
      <c r="V251" s="325">
        <f t="shared" si="343"/>
        <v>0.13865628042843237</v>
      </c>
      <c r="W251" s="325">
        <f t="shared" si="344"/>
        <v>0.13491786088780144</v>
      </c>
      <c r="X251" s="325">
        <f t="shared" si="345"/>
        <v>0.10588651228566381</v>
      </c>
      <c r="Y251" s="325">
        <f t="shared" si="346"/>
        <v>9.767365121267102E-2</v>
      </c>
      <c r="Z251" s="276">
        <f t="shared" si="347"/>
        <v>0.11849390919158354</v>
      </c>
      <c r="AA251" s="325">
        <f t="shared" si="348"/>
        <v>6.1912091670942138E-2</v>
      </c>
      <c r="AB251" s="325">
        <f t="shared" si="349"/>
        <v>4.1268863566369163E-2</v>
      </c>
      <c r="AC251" s="325">
        <f t="shared" si="350"/>
        <v>1.3267263427109821E-2</v>
      </c>
      <c r="AD251" s="325">
        <f t="shared" si="351"/>
        <v>-0.1542161430933412</v>
      </c>
      <c r="AE251" s="276">
        <f t="shared" si="352"/>
        <v>-1.2396039603960518E-2</v>
      </c>
      <c r="AF251" s="325">
        <f t="shared" si="353"/>
        <v>-5.363182477049433E-2</v>
      </c>
      <c r="AG251" s="325">
        <f t="shared" si="353"/>
        <v>-8.163265306122458E-2</v>
      </c>
      <c r="AH251" s="325">
        <f t="shared" si="353"/>
        <v>3.0761949834358759E-2</v>
      </c>
      <c r="AI251" s="325">
        <f t="shared" si="353"/>
        <v>0.28292162786564767</v>
      </c>
      <c r="AJ251" s="276">
        <f t="shared" si="354"/>
        <v>3.6171151301279236E-2</v>
      </c>
      <c r="AK251" s="325">
        <f t="shared" si="355"/>
        <v>7.4710687542545839E-2</v>
      </c>
      <c r="AL251" s="325">
        <f t="shared" si="355"/>
        <v>5.9581320450885489E-3</v>
      </c>
      <c r="AM251" s="325">
        <f t="shared" si="355"/>
        <v>-6.9176614631159983E-2</v>
      </c>
      <c r="AN251" s="325">
        <f t="shared" si="355"/>
        <v>-7.6741931015376075E-2</v>
      </c>
      <c r="AO251" s="345">
        <f t="shared" si="356"/>
        <v>-2.051162970703202E-2</v>
      </c>
      <c r="AP251" s="341">
        <f t="shared" si="357"/>
        <v>8.440221694378458E-2</v>
      </c>
      <c r="AQ251" s="341">
        <f t="shared" si="357"/>
        <v>0.11589562990235303</v>
      </c>
      <c r="AR251" s="341">
        <f t="shared" si="357"/>
        <v>1.7921736270963384E-2</v>
      </c>
      <c r="AS251" s="341">
        <f t="shared" si="357"/>
        <v>-0.31627906976744191</v>
      </c>
      <c r="AT251" s="345">
        <f t="shared" si="358"/>
        <v>-2.9317634043225849E-2</v>
      </c>
      <c r="AU251" s="341">
        <f t="shared" si="359"/>
        <v>-0.47444509345794394</v>
      </c>
      <c r="AV251" s="341">
        <f t="shared" si="359"/>
        <v>-0.49835030842059969</v>
      </c>
      <c r="AW251" s="341">
        <f t="shared" si="359"/>
        <v>-0.50460345663059281</v>
      </c>
      <c r="AX251" s="341">
        <f t="shared" si="359"/>
        <v>-0.2874698266403336</v>
      </c>
      <c r="AY251" s="345">
        <f t="shared" si="360"/>
        <v>-0.45414580534863835</v>
      </c>
      <c r="AZ251" s="341">
        <f t="shared" si="361"/>
        <v>-0.29758266185051396</v>
      </c>
      <c r="BA251" s="341">
        <f t="shared" si="361"/>
        <v>-0.24592507863883328</v>
      </c>
      <c r="BB251" s="341">
        <f t="shared" si="361"/>
        <v>-0.19856537332898594</v>
      </c>
      <c r="BC251" s="341">
        <f t="shared" si="361"/>
        <v>-4.8352325223283033E-2</v>
      </c>
      <c r="BD251" s="345">
        <f>IF(ISERROR(BD21/AY21-1),"NM",(BD21/AY21-1))</f>
        <v>-0.20111856823266228</v>
      </c>
      <c r="BE251" s="341">
        <f t="shared" si="362"/>
        <v>1.2262658227848E-2</v>
      </c>
      <c r="BF251" s="341">
        <f t="shared" si="362"/>
        <v>-0.22563519150549871</v>
      </c>
      <c r="BG251" s="341">
        <f t="shared" si="362"/>
        <v>-2.9292107404393919E-2</v>
      </c>
      <c r="BH251" s="341">
        <f t="shared" si="362"/>
        <v>-0.29158576051779939</v>
      </c>
      <c r="BI251" s="345">
        <f>IF(ISERROR(BI21/BD21-1),"NM",(BI21/BD21-1))</f>
        <v>-0.14347054979930918</v>
      </c>
      <c r="BJ251" s="341">
        <f t="shared" si="363"/>
        <v>-0.24618991793669398</v>
      </c>
      <c r="BK251" s="341">
        <f t="shared" si="363"/>
        <v>-3.9666993143976481E-2</v>
      </c>
      <c r="BL251" s="341">
        <f t="shared" si="363"/>
        <v>-0.19949706621961438</v>
      </c>
      <c r="BM251" s="341">
        <f t="shared" si="363"/>
        <v>-7.0808588396528038E-2</v>
      </c>
      <c r="BN251" s="345">
        <f>IF(ISERROR(BN21/BI21-1),"NM",(BN21/BI21-1))</f>
        <v>-0.14625108979947699</v>
      </c>
      <c r="BO251" s="341">
        <f t="shared" si="364"/>
        <v>-9.3312597200622127E-2</v>
      </c>
      <c r="BP251" s="341">
        <f t="shared" si="364"/>
        <v>5.0994390617020713E-4</v>
      </c>
      <c r="BQ251" s="341">
        <f t="shared" si="364"/>
        <v>-0.25863874345549742</v>
      </c>
      <c r="BR251" s="341">
        <f t="shared" si="364"/>
        <v>-0.29695181907571289</v>
      </c>
      <c r="BS251" s="345">
        <f>IF(ISERROR(BS21/BN21-1),"NM",(BS21/BN21-1))</f>
        <v>-0.16300740362522326</v>
      </c>
      <c r="BT251" s="341">
        <f t="shared" si="365"/>
        <v>-0.29216695254431102</v>
      </c>
      <c r="BU251" s="341">
        <f t="shared" si="365"/>
        <v>-0.34862385321100919</v>
      </c>
      <c r="BV251" s="341">
        <f t="shared" si="365"/>
        <v>-9.6045197740112997E-2</v>
      </c>
      <c r="BW251" s="341">
        <f t="shared" si="365"/>
        <v>-0.11888111888111885</v>
      </c>
      <c r="BX251" s="345">
        <f>IF(ISERROR(BX21/BS21-1),"NM",(BX21/BS21-1))</f>
        <v>-0.22891566265060248</v>
      </c>
      <c r="BY251" s="341">
        <f t="shared" si="365"/>
        <v>-8.077544426494343E-2</v>
      </c>
      <c r="BZ251" s="1106">
        <v>-0.1</v>
      </c>
      <c r="CA251" s="1106">
        <v>-0.1</v>
      </c>
      <c r="CB251" s="1106">
        <v>-0.1</v>
      </c>
      <c r="CC251" s="345">
        <f t="shared" si="341"/>
        <v>-9.5292721518987489E-2</v>
      </c>
      <c r="CD251" s="909">
        <v>-0.1</v>
      </c>
      <c r="CE251" s="909">
        <v>-0.1</v>
      </c>
      <c r="CF251" s="909">
        <v>-0.1</v>
      </c>
      <c r="CG251" s="909">
        <v>-0.1</v>
      </c>
      <c r="CH251" s="909">
        <v>-0.1</v>
      </c>
    </row>
    <row r="252" spans="1:86">
      <c r="A252" s="9"/>
      <c r="B252" s="9"/>
      <c r="C252" s="9"/>
      <c r="D252" s="9"/>
      <c r="E252" s="9"/>
      <c r="F252" s="9"/>
      <c r="G252" s="9"/>
      <c r="H252" s="266" t="s">
        <v>209</v>
      </c>
      <c r="I252" s="266"/>
      <c r="L252" s="328">
        <v>-0.15166548547129688</v>
      </c>
      <c r="M252" s="328">
        <v>-0.30907054871220607</v>
      </c>
      <c r="N252" s="328">
        <v>-0.13875305623471879</v>
      </c>
      <c r="O252" s="328">
        <v>-8.4514721919302094E-2</v>
      </c>
      <c r="P252" s="330">
        <v>-0.1721913904304786</v>
      </c>
      <c r="Q252" s="328">
        <f t="shared" si="327"/>
        <v>0.27151211361737682</v>
      </c>
      <c r="R252" s="328">
        <f t="shared" si="328"/>
        <v>0.16855753646677485</v>
      </c>
      <c r="S252" s="328">
        <f t="shared" si="329"/>
        <v>-0.1029098651525906</v>
      </c>
      <c r="T252" s="328">
        <f t="shared" si="330"/>
        <v>-6.9088743299583033E-2</v>
      </c>
      <c r="U252" s="330">
        <f t="shared" si="342"/>
        <v>4.9284290632361172E-2</v>
      </c>
      <c r="V252" s="328">
        <f t="shared" si="343"/>
        <v>-8.0814717477003972E-2</v>
      </c>
      <c r="W252" s="328">
        <f t="shared" si="344"/>
        <v>-1.3176144244105403E-2</v>
      </c>
      <c r="X252" s="328">
        <f t="shared" si="345"/>
        <v>3.2436708860759556E-2</v>
      </c>
      <c r="Y252" s="328">
        <f t="shared" si="346"/>
        <v>2.5591810620599897E-3</v>
      </c>
      <c r="Z252" s="330">
        <f t="shared" si="347"/>
        <v>-1.6750129511310941E-2</v>
      </c>
      <c r="AA252" s="328">
        <f t="shared" si="348"/>
        <v>5.8613295210864891E-2</v>
      </c>
      <c r="AB252" s="328">
        <f t="shared" si="349"/>
        <v>-4.9894588896697289E-2</v>
      </c>
      <c r="AC252" s="328">
        <f t="shared" si="350"/>
        <v>0.14559386973180066</v>
      </c>
      <c r="AD252" s="328">
        <f t="shared" si="351"/>
        <v>-6.3178047223994782E-2</v>
      </c>
      <c r="AE252" s="330">
        <f t="shared" si="352"/>
        <v>1.7913593256058791E-2</v>
      </c>
      <c r="AF252" s="328">
        <f t="shared" ref="AF252:AI254" si="366">IF(ISERROR(AF22/AA22-1),"NM",(AF22/AA22-1))</f>
        <v>7.2923700202565778E-2</v>
      </c>
      <c r="AG252" s="328">
        <f t="shared" si="366"/>
        <v>5.6213017751479466E-2</v>
      </c>
      <c r="AH252" s="328">
        <f t="shared" si="366"/>
        <v>-2.608695652173898E-2</v>
      </c>
      <c r="AI252" s="328">
        <f t="shared" si="366"/>
        <v>0.10490463215258838</v>
      </c>
      <c r="AJ252" s="330">
        <f t="shared" si="354"/>
        <v>5.1587301587301848E-2</v>
      </c>
      <c r="AK252" s="328">
        <f t="shared" ref="AK252:AN254" si="367">IF(ISERROR(AK22/AF22-1),"NM",(AK22/AF22-1))</f>
        <v>-7.8665827564505797E-2</v>
      </c>
      <c r="AL252" s="328">
        <f t="shared" si="367"/>
        <v>3.0112044817927286E-2</v>
      </c>
      <c r="AM252" s="328">
        <f t="shared" si="367"/>
        <v>-0.1215659340659343</v>
      </c>
      <c r="AN252" s="328">
        <f t="shared" si="367"/>
        <v>-4.2540073982737181E-2</v>
      </c>
      <c r="AO252" s="352">
        <f t="shared" si="356"/>
        <v>-5.3814602132895906E-2</v>
      </c>
      <c r="AP252" s="338">
        <f t="shared" ref="AP252:AS254" si="368">IF(ISERROR(AP22/AK22-1),"NM",(AP22/AK22-1))</f>
        <v>-5.2595628415300633E-2</v>
      </c>
      <c r="AQ252" s="338">
        <f t="shared" si="368"/>
        <v>7.1380013596192837E-2</v>
      </c>
      <c r="AR252" s="338">
        <f t="shared" si="368"/>
        <v>0.19702892885066459</v>
      </c>
      <c r="AS252" s="338">
        <f t="shared" si="368"/>
        <v>9.8518995492594907E-2</v>
      </c>
      <c r="AT252" s="736">
        <f t="shared" si="358"/>
        <v>7.5082365181203592E-2</v>
      </c>
      <c r="AU252" s="338">
        <f t="shared" ref="AU252:AX254" si="369">IF(ISERROR(AU22/AP22-1),"NM",(AU22/AP22-1))</f>
        <v>0.14563806777217025</v>
      </c>
      <c r="AV252" s="338">
        <f t="shared" si="369"/>
        <v>-2.9187817258883197E-2</v>
      </c>
      <c r="AW252" s="338">
        <f t="shared" si="369"/>
        <v>-4.8987589810581267E-2</v>
      </c>
      <c r="AX252" s="338">
        <f t="shared" si="369"/>
        <v>-3.927315357561556E-2</v>
      </c>
      <c r="AY252" s="736">
        <f t="shared" si="360"/>
        <v>2.258064516128977E-3</v>
      </c>
      <c r="AZ252" s="338">
        <f t="shared" ref="AZ252:BC254" si="370">IF(ISERROR(AZ22/AU22-1),"NM",(AZ22/AU22-1))</f>
        <v>4.9087476400251573E-2</v>
      </c>
      <c r="BA252" s="338">
        <f t="shared" si="370"/>
        <v>0.10000000000000009</v>
      </c>
      <c r="BB252" s="338">
        <f t="shared" si="370"/>
        <v>0.18956043956043955</v>
      </c>
      <c r="BC252" s="338">
        <f t="shared" si="370"/>
        <v>0.22696766320927408</v>
      </c>
      <c r="BD252" s="736">
        <f>IF(ISERROR(BD22/AY22-1),"NM",(BD22/AY22-1))</f>
        <v>0.14145477953009333</v>
      </c>
      <c r="BE252" s="338">
        <f t="shared" ref="BE252:BH254" si="371">IF(ISERROR(BE22/AZ22-1),"NM",(BE22/AZ22-1))</f>
        <v>-7.3785242951409757E-2</v>
      </c>
      <c r="BF252" s="338">
        <f t="shared" si="371"/>
        <v>0.17290552584670227</v>
      </c>
      <c r="BG252" s="338">
        <f t="shared" si="371"/>
        <v>0.10796766743648978</v>
      </c>
      <c r="BH252" s="338">
        <f t="shared" si="371"/>
        <v>-3.0830432620586823E-2</v>
      </c>
      <c r="BI252" s="736">
        <f>IF(ISERROR(BI22/BD22-1),"NM",(BI22/BD22-1))</f>
        <v>4.1308332158466188E-2</v>
      </c>
      <c r="BJ252" s="338">
        <f t="shared" ref="BJ252:BM254" si="372">IF(ISERROR(BJ22/BE22-1),"NM",(BJ22/BE22-1))</f>
        <v>0.125</v>
      </c>
      <c r="BK252" s="338">
        <f t="shared" si="372"/>
        <v>-2.8368794326241065E-2</v>
      </c>
      <c r="BL252" s="338">
        <f t="shared" si="372"/>
        <v>2.6055237102657669E-2</v>
      </c>
      <c r="BM252" s="338">
        <f t="shared" si="372"/>
        <v>0.13699332991277591</v>
      </c>
      <c r="BN252" s="736">
        <f>IF(ISERROR(BN22/BI22-1),"NM",(BN22/BI22-1))</f>
        <v>6.1467641483888391E-2</v>
      </c>
      <c r="BO252" s="338">
        <f t="shared" ref="BO252:BR254" si="373">IF(ISERROR(BO22/BJ22-1),"NM",(BO22/BJ22-1))</f>
        <v>8.290155440414515E-2</v>
      </c>
      <c r="BP252" s="1105">
        <f t="shared" si="373"/>
        <v>0.17101147028154307</v>
      </c>
      <c r="BQ252" s="1105">
        <f t="shared" si="373"/>
        <v>9.6495683087862716E-3</v>
      </c>
      <c r="BR252" s="1105">
        <f t="shared" si="373"/>
        <v>9.7472924187725685E-2</v>
      </c>
      <c r="BS252" s="736">
        <f>IF(ISERROR(BS22/BN22-1),"NM",(BS22/BN22-1))</f>
        <v>9.0178571428571441E-2</v>
      </c>
      <c r="BT252" s="338">
        <f t="shared" ref="BT252:BY254" si="374">IF(ISERROR(BT22/BO22-1),"NM",(BT22/BO22-1))</f>
        <v>4.3062200956937691E-2</v>
      </c>
      <c r="BU252" s="338">
        <f t="shared" si="374"/>
        <v>-0.16918967052537848</v>
      </c>
      <c r="BV252" s="338">
        <f t="shared" si="374"/>
        <v>-0.31086519114688138</v>
      </c>
      <c r="BW252" s="338">
        <f t="shared" si="374"/>
        <v>-0.59580592105263164</v>
      </c>
      <c r="BX252" s="736">
        <f>IF(ISERROR(BX22/BS22-1),"NM",(BX22/BS22-1))</f>
        <v>-0.276822276822277</v>
      </c>
      <c r="BY252" s="338">
        <f t="shared" si="374"/>
        <v>-0.33435270132517836</v>
      </c>
      <c r="BZ252" s="1105">
        <f>IF(ISERROR(BZ22/BU22-1),"NM",(BZ22/BU22-1))</f>
        <v>-0.3670793140407288</v>
      </c>
      <c r="CA252" s="1105">
        <f>IF(ISERROR(CA22/BV22-1),"NM",(CA22/BV22-1))</f>
        <v>-0.2194014598540146</v>
      </c>
      <c r="CB252" s="1105">
        <f>IF(ISERROR(CB22/BW22-1),"NM",(CB22/BW22-1))</f>
        <v>6.7202441505594956E-2</v>
      </c>
      <c r="CC252" s="736">
        <f t="shared" si="341"/>
        <v>-0.25489241223103054</v>
      </c>
      <c r="CD252" s="736">
        <f>IF(ISERROR(CD22/CC22-1),"NM",(CD22/CC22-1))</f>
        <v>-0.40000000000000013</v>
      </c>
      <c r="CE252" s="736">
        <f>IF(ISERROR(CE22/CD22-1),"NM",(CE22/CD22-1))</f>
        <v>-0.61707118212749512</v>
      </c>
      <c r="CF252" s="736">
        <f>IF(ISERROR(CF22/CE22-1),"NM",(CF22/CE22-1))</f>
        <v>-0.19901464774117461</v>
      </c>
      <c r="CG252" s="736">
        <f>IF(ISERROR(CG22/CF22-1),"NM",(CG22/CF22-1))</f>
        <v>-0.18653123708612551</v>
      </c>
      <c r="CH252" s="736">
        <f>IF(ISERROR(CH22/CG22-1),"NM",(CH22/CG22-1))</f>
        <v>-0.1744612070208047</v>
      </c>
    </row>
    <row r="253" spans="1:86">
      <c r="A253" s="9"/>
      <c r="B253" s="9"/>
      <c r="C253" s="9"/>
      <c r="D253" s="9"/>
      <c r="E253" s="9"/>
      <c r="F253" s="9"/>
      <c r="G253" s="9"/>
      <c r="H253" s="257" t="s">
        <v>1147</v>
      </c>
      <c r="I253" s="257"/>
      <c r="L253" s="325">
        <v>-0.20014245014245025</v>
      </c>
      <c r="M253" s="325">
        <v>-0.37450648618161309</v>
      </c>
      <c r="N253" s="325">
        <v>-0.22118380062305298</v>
      </c>
      <c r="O253" s="325">
        <v>-0.15647784632641615</v>
      </c>
      <c r="P253" s="48">
        <v>-0.24051789794364054</v>
      </c>
      <c r="Q253" s="325">
        <f t="shared" si="327"/>
        <v>0.20480854853072139</v>
      </c>
      <c r="R253" s="325">
        <f t="shared" si="328"/>
        <v>0.1352569882777277</v>
      </c>
      <c r="S253" s="325">
        <f t="shared" si="329"/>
        <v>-0.10160000000000002</v>
      </c>
      <c r="T253" s="325">
        <f t="shared" si="330"/>
        <v>-9.7074468085106336E-2</v>
      </c>
      <c r="U253" s="276">
        <f t="shared" si="342"/>
        <v>2.1460088247091891E-2</v>
      </c>
      <c r="V253" s="325">
        <f t="shared" si="343"/>
        <v>-0.13008130081300817</v>
      </c>
      <c r="W253" s="325">
        <f t="shared" si="344"/>
        <v>-6.9102462271644183E-2</v>
      </c>
      <c r="X253" s="325">
        <f t="shared" si="345"/>
        <v>-7.7471059661620711E-2</v>
      </c>
      <c r="Y253" s="325">
        <f t="shared" si="346"/>
        <v>-7.1428571428571508E-2</v>
      </c>
      <c r="Z253" s="276">
        <f t="shared" si="347"/>
        <v>-8.7767524052621337E-2</v>
      </c>
      <c r="AA253" s="325">
        <f t="shared" si="348"/>
        <v>-1.8691588785046731E-2</v>
      </c>
      <c r="AB253" s="325">
        <f t="shared" si="349"/>
        <v>-0.1348122866894198</v>
      </c>
      <c r="AC253" s="325">
        <f t="shared" si="350"/>
        <v>5.6949806949807114E-2</v>
      </c>
      <c r="AD253" s="325">
        <f t="shared" si="351"/>
        <v>-0.11657414750198247</v>
      </c>
      <c r="AE253" s="276">
        <f t="shared" si="352"/>
        <v>-5.768402927249261E-2</v>
      </c>
      <c r="AF253" s="325">
        <f t="shared" si="366"/>
        <v>8.658008658009031E-4</v>
      </c>
      <c r="AG253" s="325">
        <f t="shared" si="366"/>
        <v>4.2406311637080751E-2</v>
      </c>
      <c r="AH253" s="325">
        <f t="shared" si="366"/>
        <v>-2.3744292237442899E-2</v>
      </c>
      <c r="AI253" s="325">
        <f t="shared" si="366"/>
        <v>5.4757630161579751E-2</v>
      </c>
      <c r="AJ253" s="276">
        <f t="shared" si="354"/>
        <v>1.8044769301050811E-2</v>
      </c>
      <c r="AK253" s="325">
        <f t="shared" si="367"/>
        <v>-0.10986159169550169</v>
      </c>
      <c r="AL253" s="325">
        <f t="shared" si="367"/>
        <v>-5.0141911069063405E-2</v>
      </c>
      <c r="AM253" s="325">
        <f t="shared" si="367"/>
        <v>-0.20392890551917686</v>
      </c>
      <c r="AN253" s="325">
        <f t="shared" si="367"/>
        <v>-0.13702127659574459</v>
      </c>
      <c r="AO253" s="345">
        <f t="shared" si="356"/>
        <v>-0.1254206865604669</v>
      </c>
      <c r="AP253" s="341">
        <f t="shared" si="368"/>
        <v>-0.15840621963070955</v>
      </c>
      <c r="AQ253" s="341">
        <f t="shared" si="368"/>
        <v>-2.3904382470119612E-2</v>
      </c>
      <c r="AR253" s="341">
        <f t="shared" si="368"/>
        <v>0.1316098707403055</v>
      </c>
      <c r="AS253" s="341">
        <f t="shared" si="368"/>
        <v>9.6646942800789004E-2</v>
      </c>
      <c r="AT253" s="345">
        <f t="shared" si="358"/>
        <v>5.9004617752693722E-3</v>
      </c>
      <c r="AU253" s="341">
        <f t="shared" si="369"/>
        <v>0.210161662817552</v>
      </c>
      <c r="AV253" s="341">
        <f t="shared" si="369"/>
        <v>-4.5918367346938771E-2</v>
      </c>
      <c r="AW253" s="341">
        <f t="shared" si="369"/>
        <v>-6.5420560747663559E-2</v>
      </c>
      <c r="AX253" s="341">
        <f t="shared" si="369"/>
        <v>-0.13848920863309355</v>
      </c>
      <c r="AY253" s="345">
        <f t="shared" si="360"/>
        <v>-2.0402958428972107E-2</v>
      </c>
      <c r="AZ253" s="341">
        <f t="shared" si="370"/>
        <v>6.6793893129770687E-3</v>
      </c>
      <c r="BA253" s="341">
        <f t="shared" si="370"/>
        <v>9.7326203208556006E-2</v>
      </c>
      <c r="BB253" s="341">
        <f t="shared" si="370"/>
        <v>0.23444444444444446</v>
      </c>
      <c r="BC253" s="341">
        <f t="shared" si="370"/>
        <v>0.32567849686847605</v>
      </c>
      <c r="BD253" s="345">
        <f>IF(ISERROR(BD23/AY23-1),"NM",(BD23/AY23-1))</f>
        <v>0.16167664670658666</v>
      </c>
      <c r="BE253" s="341">
        <f t="shared" si="371"/>
        <v>-0.21232227488151667</v>
      </c>
      <c r="BF253" s="341">
        <f t="shared" si="371"/>
        <v>0.26218323586744652</v>
      </c>
      <c r="BG253" s="341">
        <f t="shared" si="371"/>
        <v>8.8208820882088368E-2</v>
      </c>
      <c r="BH253" s="341">
        <f t="shared" si="371"/>
        <v>-6.2204724409448908E-2</v>
      </c>
      <c r="BI253" s="345">
        <f>IF(ISERROR(BI23/BD23-1),"NM",(BI23/BD23-1))</f>
        <v>1.4343343792021512E-2</v>
      </c>
      <c r="BJ253" s="341">
        <f t="shared" si="372"/>
        <v>0.30565583634175697</v>
      </c>
      <c r="BK253" s="341">
        <f t="shared" si="372"/>
        <v>-6.4864864864864868E-2</v>
      </c>
      <c r="BL253" s="341">
        <f t="shared" si="372"/>
        <v>6.534325889164605E-2</v>
      </c>
      <c r="BM253" s="341">
        <f t="shared" si="372"/>
        <v>0.20654911838790935</v>
      </c>
      <c r="BN253" s="345">
        <f>IF(ISERROR(BN23/BI23-1),"NM",(BN23/BI23-1))</f>
        <v>0.10936809544851944</v>
      </c>
      <c r="BO253" s="341">
        <f t="shared" si="373"/>
        <v>7.4654377880184253E-2</v>
      </c>
      <c r="BP253" s="341">
        <f t="shared" si="373"/>
        <v>0.18497109826589608</v>
      </c>
      <c r="BQ253" s="341">
        <f t="shared" si="373"/>
        <v>-7.2204968944099446E-2</v>
      </c>
      <c r="BR253" s="341">
        <f t="shared" si="373"/>
        <v>8.0723729993041227E-2</v>
      </c>
      <c r="BS253" s="345">
        <f>IF(ISERROR(BS23/BN23-1),"NM",(BS23/BN23-1))</f>
        <v>6.5325632344154894E-2</v>
      </c>
      <c r="BT253" s="341">
        <f t="shared" si="374"/>
        <v>4.9742710120068701E-2</v>
      </c>
      <c r="BU253" s="341">
        <f t="shared" si="374"/>
        <v>-0.29268292682926833</v>
      </c>
      <c r="BV253" s="341">
        <f t="shared" si="374"/>
        <v>-0.55732217573221754</v>
      </c>
      <c r="BW253" s="341">
        <f t="shared" si="374"/>
        <v>-0.94848679974243399</v>
      </c>
      <c r="BX253" s="345">
        <f>IF(ISERROR(BX23/BS23-1),"NM",(BX23/BS23-1))</f>
        <v>-0.46756403065993646</v>
      </c>
      <c r="BY253" s="341">
        <f t="shared" si="374"/>
        <v>-0.61683006535947715</v>
      </c>
      <c r="BZ253" s="1106">
        <v>-0.7</v>
      </c>
      <c r="CA253" s="1106">
        <v>-0.6</v>
      </c>
      <c r="CB253" s="1106">
        <v>0.6</v>
      </c>
      <c r="CC253" s="345">
        <f t="shared" si="341"/>
        <v>-0.60916432584269664</v>
      </c>
      <c r="CD253" s="909">
        <v>-0.4</v>
      </c>
      <c r="CE253" s="909">
        <v>-0.2</v>
      </c>
      <c r="CF253" s="909">
        <v>-0.1</v>
      </c>
      <c r="CG253" s="909">
        <v>-0.1</v>
      </c>
      <c r="CH253" s="909">
        <v>-0.1</v>
      </c>
    </row>
    <row r="254" spans="1:86">
      <c r="A254" s="9"/>
      <c r="B254" s="9"/>
      <c r="C254" s="9"/>
      <c r="D254" s="9"/>
      <c r="E254" s="9"/>
      <c r="F254" s="9"/>
      <c r="G254" s="9"/>
      <c r="H254" s="257" t="s">
        <v>1148</v>
      </c>
      <c r="I254" s="257"/>
      <c r="L254" s="325"/>
      <c r="M254" s="325"/>
      <c r="N254" s="325"/>
      <c r="O254" s="325"/>
      <c r="P254" s="48">
        <v>4.2254901960784315</v>
      </c>
      <c r="Q254" s="325">
        <f t="shared" si="327"/>
        <v>1.2837837837837833</v>
      </c>
      <c r="R254" s="325">
        <f t="shared" si="328"/>
        <v>0.46399999999999997</v>
      </c>
      <c r="S254" s="325">
        <f t="shared" si="329"/>
        <v>-0.11320754716981141</v>
      </c>
      <c r="T254" s="325">
        <f t="shared" si="330"/>
        <v>0.17142857142857149</v>
      </c>
      <c r="U254" s="48">
        <f t="shared" si="342"/>
        <v>0.30956848030018791</v>
      </c>
      <c r="V254" s="325">
        <f t="shared" si="343"/>
        <v>0.31360946745562135</v>
      </c>
      <c r="W254" s="325">
        <f t="shared" si="344"/>
        <v>0.37158469945355188</v>
      </c>
      <c r="X254" s="325">
        <f t="shared" si="345"/>
        <v>0.90780141843971629</v>
      </c>
      <c r="Y254" s="325">
        <f t="shared" si="346"/>
        <v>0.49268292682926829</v>
      </c>
      <c r="Z254" s="48">
        <f t="shared" si="347"/>
        <v>0.50143266475644643</v>
      </c>
      <c r="AA254" s="325">
        <f t="shared" si="348"/>
        <v>0.46846846846846857</v>
      </c>
      <c r="AB254" s="325">
        <f t="shared" si="349"/>
        <v>0.34661354581673298</v>
      </c>
      <c r="AC254" s="325">
        <f t="shared" si="350"/>
        <v>0.48698884758364325</v>
      </c>
      <c r="AD254" s="325">
        <f t="shared" si="351"/>
        <v>0.1568627450980391</v>
      </c>
      <c r="AE254" s="276">
        <f t="shared" si="352"/>
        <v>0.35305343511450404</v>
      </c>
      <c r="AF254" s="325">
        <f t="shared" si="366"/>
        <v>0.3282208588957054</v>
      </c>
      <c r="AG254" s="325">
        <f t="shared" si="366"/>
        <v>9.7633136094674722E-2</v>
      </c>
      <c r="AH254" s="325">
        <f t="shared" si="366"/>
        <v>-3.2499999999999973E-2</v>
      </c>
      <c r="AI254" s="325">
        <f t="shared" si="366"/>
        <v>0.26271186440677985</v>
      </c>
      <c r="AJ254" s="276">
        <f t="shared" si="354"/>
        <v>0.155148095909732</v>
      </c>
      <c r="AK254" s="325">
        <f t="shared" si="367"/>
        <v>4.6189376443419583E-3</v>
      </c>
      <c r="AL254" s="325">
        <f t="shared" si="367"/>
        <v>0.25876010781671166</v>
      </c>
      <c r="AM254" s="325">
        <f t="shared" si="367"/>
        <v>0.10594315245478025</v>
      </c>
      <c r="AN254" s="325">
        <f t="shared" si="367"/>
        <v>0.2058165548098434</v>
      </c>
      <c r="AO254" s="345">
        <f t="shared" si="356"/>
        <v>0.14102564102564097</v>
      </c>
      <c r="AP254" s="341">
        <f t="shared" si="368"/>
        <v>0.19770114942528738</v>
      </c>
      <c r="AQ254" s="341">
        <f t="shared" si="368"/>
        <v>0.27623126338329751</v>
      </c>
      <c r="AR254" s="341">
        <f t="shared" si="368"/>
        <v>0.32710280373831768</v>
      </c>
      <c r="AS254" s="341">
        <f t="shared" si="368"/>
        <v>0.10204081632653073</v>
      </c>
      <c r="AT254" s="345">
        <f t="shared" si="358"/>
        <v>0.21936864633493847</v>
      </c>
      <c r="AU254" s="341">
        <f t="shared" si="369"/>
        <v>3.8387715930902067E-2</v>
      </c>
      <c r="AV254" s="341">
        <f t="shared" si="369"/>
        <v>-1.6778523489933139E-3</v>
      </c>
      <c r="AW254" s="341">
        <f t="shared" si="369"/>
        <v>-2.1126760563380254E-2</v>
      </c>
      <c r="AX254" s="341">
        <f t="shared" si="369"/>
        <v>0.14646464646464641</v>
      </c>
      <c r="AY254" s="345">
        <f t="shared" si="360"/>
        <v>4.1246160596752901E-2</v>
      </c>
      <c r="AZ254" s="341">
        <f t="shared" si="370"/>
        <v>0.1312384473197783</v>
      </c>
      <c r="BA254" s="341">
        <f t="shared" si="370"/>
        <v>0.10420168067226898</v>
      </c>
      <c r="BB254" s="341">
        <f t="shared" si="370"/>
        <v>0.11690647482014382</v>
      </c>
      <c r="BC254" s="341">
        <f t="shared" si="370"/>
        <v>8.8105726872246715E-2</v>
      </c>
      <c r="BD254" s="345">
        <f>IF(ISERROR(BD24/AY24-1),"NM",(BD24/AY24-1))</f>
        <v>0.1087231352718081</v>
      </c>
      <c r="BE254" s="341">
        <f t="shared" si="371"/>
        <v>0.16503267973856195</v>
      </c>
      <c r="BF254" s="341">
        <f t="shared" si="371"/>
        <v>3.3485540334855513E-2</v>
      </c>
      <c r="BG254" s="341">
        <f t="shared" si="371"/>
        <v>0.14331723027375198</v>
      </c>
      <c r="BH254" s="341">
        <f t="shared" si="371"/>
        <v>2.2941970310391469E-2</v>
      </c>
      <c r="BI254" s="345">
        <f>IF(ISERROR(BI24/BD24-1),"NM",(BI24/BD24-1))</f>
        <v>8.7039148612694683E-2</v>
      </c>
      <c r="BJ254" s="341">
        <f t="shared" si="372"/>
        <v>-8.5553997194950826E-2</v>
      </c>
      <c r="BK254" s="341">
        <f t="shared" si="372"/>
        <v>4.1237113402061709E-2</v>
      </c>
      <c r="BL254" s="341">
        <f t="shared" si="372"/>
        <v>-4.0845070422535268E-2</v>
      </c>
      <c r="BM254" s="341">
        <f t="shared" si="372"/>
        <v>2.7704485488126762E-2</v>
      </c>
      <c r="BN254" s="345">
        <f>IF(ISERROR(BN24/BI24-1),"NM",(BN24/BI24-1))</f>
        <v>-1.4335664335664466E-2</v>
      </c>
      <c r="BO254" s="341">
        <f t="shared" si="373"/>
        <v>9.6625766871165641E-2</v>
      </c>
      <c r="BP254" s="341">
        <f t="shared" si="373"/>
        <v>0.14710042432814707</v>
      </c>
      <c r="BQ254" s="341">
        <f t="shared" si="373"/>
        <v>0.16446402349486045</v>
      </c>
      <c r="BR254" s="341">
        <f t="shared" si="373"/>
        <v>0.12836970474967901</v>
      </c>
      <c r="BS254" s="345">
        <f>IF(ISERROR(BS24/BN24-1),"NM",(BS24/BN24-1))</f>
        <v>0.13444483859524636</v>
      </c>
      <c r="BT254" s="341">
        <f t="shared" si="374"/>
        <v>3.2167832167832033E-2</v>
      </c>
      <c r="BU254" s="341">
        <f t="shared" si="374"/>
        <v>4.9321824907521572E-2</v>
      </c>
      <c r="BV254" s="341">
        <f t="shared" si="374"/>
        <v>6.0529634300126034E-2</v>
      </c>
      <c r="BW254" s="341">
        <f t="shared" si="374"/>
        <v>2.7303754266211566E-2</v>
      </c>
      <c r="BX254" s="345">
        <f>IF(ISERROR(BX24/BS24-1),"NM",(BX24/BS24-1))</f>
        <v>4.2213883677298281E-2</v>
      </c>
      <c r="BY254" s="341">
        <f t="shared" si="374"/>
        <v>0.13414634146341475</v>
      </c>
      <c r="BZ254" s="1106">
        <v>0.03</v>
      </c>
      <c r="CA254" s="1106">
        <v>0.02</v>
      </c>
      <c r="CB254" s="1106">
        <v>0.02</v>
      </c>
      <c r="CC254" s="345">
        <f t="shared" si="341"/>
        <v>4.7827782778277816E-2</v>
      </c>
      <c r="CD254" s="909">
        <v>-0.4</v>
      </c>
      <c r="CE254" s="909">
        <v>-0.75</v>
      </c>
      <c r="CF254" s="909">
        <v>-0.3</v>
      </c>
      <c r="CG254" s="909">
        <v>-0.3</v>
      </c>
      <c r="CH254" s="909">
        <v>-0.3</v>
      </c>
    </row>
    <row r="255" spans="1:86">
      <c r="A255" s="9"/>
      <c r="B255" s="9"/>
      <c r="C255" s="9"/>
      <c r="D255" s="9"/>
      <c r="E255" s="9"/>
      <c r="F255" s="9"/>
      <c r="G255" s="9"/>
      <c r="H255" s="266" t="s">
        <v>210</v>
      </c>
      <c r="I255" s="266"/>
      <c r="L255" s="328"/>
      <c r="M255" s="328"/>
      <c r="N255" s="328">
        <v>4.6042944785276081</v>
      </c>
      <c r="O255" s="328">
        <v>2.7324632952691683</v>
      </c>
      <c r="P255" s="330">
        <v>6.2385516506922265</v>
      </c>
      <c r="Q255" s="328">
        <f t="shared" si="327"/>
        <v>1.1835205992509366</v>
      </c>
      <c r="R255" s="328">
        <f t="shared" si="328"/>
        <v>0.92317224287484501</v>
      </c>
      <c r="S255" s="328">
        <f t="shared" si="329"/>
        <v>0.90804597701149459</v>
      </c>
      <c r="T255" s="328">
        <f t="shared" si="330"/>
        <v>0.85358391608391582</v>
      </c>
      <c r="U255" s="330">
        <f t="shared" si="342"/>
        <v>0.9365896719140796</v>
      </c>
      <c r="V255" s="328">
        <f t="shared" si="343"/>
        <v>0.89451114922813035</v>
      </c>
      <c r="W255" s="328">
        <f t="shared" si="344"/>
        <v>0.67364690721649501</v>
      </c>
      <c r="X255" s="328">
        <f t="shared" si="345"/>
        <v>0.47217441193344811</v>
      </c>
      <c r="Y255" s="328">
        <f t="shared" si="346"/>
        <v>0.481490214572035</v>
      </c>
      <c r="Z255" s="330">
        <f t="shared" si="347"/>
        <v>0.59750816683126962</v>
      </c>
      <c r="AA255" s="328">
        <f t="shared" si="348"/>
        <v>0.36962426437301943</v>
      </c>
      <c r="AB255" s="328">
        <f t="shared" si="349"/>
        <v>0.25948026948989411</v>
      </c>
      <c r="AC255" s="328">
        <f t="shared" si="350"/>
        <v>0.39594699922057663</v>
      </c>
      <c r="AD255" s="328">
        <f t="shared" si="351"/>
        <v>0.14785930288078952</v>
      </c>
      <c r="AE255" s="330">
        <f t="shared" si="352"/>
        <v>0.28257561346775706</v>
      </c>
      <c r="AF255" s="328">
        <f t="shared" ref="AF255:AF263" si="375">IF(ISERROR(AF25/AA25-1),"NM",(AF25/AA25-1))</f>
        <v>0.17220294166253525</v>
      </c>
      <c r="AG255" s="328">
        <f t="shared" ref="AG255:AG263" si="376">IF(ISERROR(AG25/AB25-1),"NM",(AG25/AB25-1))</f>
        <v>0.13778083447959655</v>
      </c>
      <c r="AH255" s="328">
        <f>AH25/AC25-1</f>
        <v>0.10301507537688459</v>
      </c>
      <c r="AI255" s="328">
        <f>AI25/AD25-1</f>
        <v>0.15196894065446487</v>
      </c>
      <c r="AJ255" s="330">
        <f t="shared" si="354"/>
        <v>0.1400630329996293</v>
      </c>
      <c r="AK255" s="328">
        <f>AK25/AF25-1</f>
        <v>0.1323840406034118</v>
      </c>
      <c r="AL255" s="328">
        <f>AL25/AG25-1</f>
        <v>0.1655584659815974</v>
      </c>
      <c r="AM255" s="328">
        <f>AM25/AH25-1</f>
        <v>1.99949379903821E-2</v>
      </c>
      <c r="AN255" s="328">
        <f>AN25/AI25-1</f>
        <v>0.18235435724602778</v>
      </c>
      <c r="AO255" s="352">
        <f t="shared" si="356"/>
        <v>0.12503455565493127</v>
      </c>
      <c r="AP255" s="338">
        <f>AP25/AK25-1</f>
        <v>0.13134960159362552</v>
      </c>
      <c r="AQ255" s="338">
        <f>AQ25/AL25-1</f>
        <v>0.15639045753140479</v>
      </c>
      <c r="AR255" s="338">
        <f>AR25/AM25-1</f>
        <v>0.32580645161290311</v>
      </c>
      <c r="AS255" s="338">
        <f>AS25/AN25-1</f>
        <v>0.2022803624147409</v>
      </c>
      <c r="AT255" s="736">
        <f t="shared" si="358"/>
        <v>0.20308163737280305</v>
      </c>
      <c r="AU255" s="338">
        <f>AU25/AP25-1</f>
        <v>0.22691757455705952</v>
      </c>
      <c r="AV255" s="338">
        <f>AV25/AQ25-1</f>
        <v>0.21895555112617093</v>
      </c>
      <c r="AW255" s="338">
        <f>AW25/AR25-1</f>
        <v>0.15646640464158712</v>
      </c>
      <c r="AX255" s="338">
        <f>AX25/AS25-1</f>
        <v>0.20270956816257391</v>
      </c>
      <c r="AY255" s="736">
        <f t="shared" si="360"/>
        <v>0.20003844582742625</v>
      </c>
      <c r="AZ255" s="338">
        <f t="shared" ref="AZ255:CC255" si="377">AZ25/AU25-1</f>
        <v>0.19131760696026534</v>
      </c>
      <c r="BA255" s="338">
        <f t="shared" si="377"/>
        <v>0.22410268988635451</v>
      </c>
      <c r="BB255" s="338">
        <f t="shared" si="377"/>
        <v>0.1132869396342453</v>
      </c>
      <c r="BC255" s="338">
        <f t="shared" si="377"/>
        <v>-0.37820332300760351</v>
      </c>
      <c r="BD255" s="736">
        <f t="shared" si="377"/>
        <v>1.8060950702815326E-2</v>
      </c>
      <c r="BE255" s="338">
        <f t="shared" si="377"/>
        <v>-0.63996386086432766</v>
      </c>
      <c r="BF255" s="338">
        <f t="shared" si="377"/>
        <v>-0.73196633716270365</v>
      </c>
      <c r="BG255" s="338">
        <f t="shared" si="377"/>
        <v>-0.7325192615205699</v>
      </c>
      <c r="BH255" s="338">
        <f t="shared" si="377"/>
        <v>-0.58412590579710133</v>
      </c>
      <c r="BI255" s="736">
        <f t="shared" si="377"/>
        <v>-0.68240106993942251</v>
      </c>
      <c r="BJ255" s="338">
        <f t="shared" si="377"/>
        <v>-0.39983270598076115</v>
      </c>
      <c r="BK255" s="338">
        <f t="shared" si="377"/>
        <v>-0.31696984799401939</v>
      </c>
      <c r="BL255" s="338">
        <f t="shared" si="377"/>
        <v>-0.33994565217391304</v>
      </c>
      <c r="BM255" s="338">
        <f t="shared" si="377"/>
        <v>-0.39123332425809965</v>
      </c>
      <c r="BN255" s="736">
        <f t="shared" si="377"/>
        <v>-0.36363636363636376</v>
      </c>
      <c r="BO255" s="338">
        <f t="shared" si="377"/>
        <v>-0.30766550522648073</v>
      </c>
      <c r="BP255" s="1105">
        <f t="shared" si="377"/>
        <v>-0.13717621306092675</v>
      </c>
      <c r="BQ255" s="1105">
        <f t="shared" si="377"/>
        <v>0.29065459036640595</v>
      </c>
      <c r="BR255" s="1105">
        <f t="shared" si="377"/>
        <v>-0.1864937388193203</v>
      </c>
      <c r="BS255" s="736">
        <f t="shared" si="377"/>
        <v>-9.4394706111327387E-2</v>
      </c>
      <c r="BT255" s="338">
        <f t="shared" si="377"/>
        <v>-0.1212883744338199</v>
      </c>
      <c r="BU255" s="338">
        <f t="shared" si="377"/>
        <v>-0.12600422832980973</v>
      </c>
      <c r="BV255" s="338">
        <f t="shared" si="377"/>
        <v>-0.4159489633173844</v>
      </c>
      <c r="BW255" s="338">
        <f t="shared" si="377"/>
        <v>5.9923034634414618E-2</v>
      </c>
      <c r="BX255" s="736">
        <f t="shared" si="377"/>
        <v>-0.18633139909735652</v>
      </c>
      <c r="BY255" s="338">
        <f t="shared" si="377"/>
        <v>-2.9209621993127155E-2</v>
      </c>
      <c r="BZ255" s="1105">
        <f t="shared" si="377"/>
        <v>-0.22089985486211916</v>
      </c>
      <c r="CA255" s="1105">
        <f t="shared" si="377"/>
        <v>-0.12495903877662462</v>
      </c>
      <c r="CB255" s="1105">
        <f t="shared" si="377"/>
        <v>-0.18877593360995848</v>
      </c>
      <c r="CC255" s="736">
        <f t="shared" si="377"/>
        <v>-0.14531959852086629</v>
      </c>
      <c r="CD255" s="736">
        <f>CD25/CC25-1</f>
        <v>-0.1095702171319789</v>
      </c>
      <c r="CE255" s="736">
        <f>CE25/CD25-1</f>
        <v>-0.24462606860411051</v>
      </c>
      <c r="CF255" s="736">
        <f>CF25/CE25-1</f>
        <v>-0.38185862062489417</v>
      </c>
      <c r="CG255" s="736">
        <f>CG25/CF25-1</f>
        <v>-0.19119551935184542</v>
      </c>
      <c r="CH255" s="736">
        <f>CH25/CG25-1</f>
        <v>-0.19020278352440734</v>
      </c>
    </row>
    <row r="256" spans="1:86">
      <c r="A256" s="9"/>
      <c r="B256" s="9"/>
      <c r="C256" s="9"/>
      <c r="D256" s="9"/>
      <c r="E256" s="9"/>
      <c r="F256" s="9"/>
      <c r="G256" s="9"/>
      <c r="H256" s="257" t="s">
        <v>1149</v>
      </c>
      <c r="I256" s="257"/>
      <c r="L256" s="325"/>
      <c r="M256" s="325"/>
      <c r="N256" s="325">
        <v>4.2662538699690407</v>
      </c>
      <c r="O256" s="325">
        <v>2.5182119205298013</v>
      </c>
      <c r="P256" s="48">
        <v>5.86299892125135</v>
      </c>
      <c r="Q256" s="325">
        <f t="shared" si="327"/>
        <v>1.009765625</v>
      </c>
      <c r="R256" s="325">
        <f t="shared" si="328"/>
        <v>0.78505291005291</v>
      </c>
      <c r="S256" s="325">
        <f t="shared" si="329"/>
        <v>0.8018812463256908</v>
      </c>
      <c r="T256" s="325">
        <f t="shared" si="330"/>
        <v>0.77129411764705869</v>
      </c>
      <c r="U256" s="48">
        <f t="shared" si="342"/>
        <v>0.8211254322540078</v>
      </c>
      <c r="V256" s="325">
        <f t="shared" si="343"/>
        <v>0.87706511175898916</v>
      </c>
      <c r="W256" s="325">
        <f t="shared" si="344"/>
        <v>0.69544275657651</v>
      </c>
      <c r="X256" s="325">
        <f t="shared" si="345"/>
        <v>0.44959216965742255</v>
      </c>
      <c r="Y256" s="325">
        <f t="shared" si="346"/>
        <v>0.45403825717321999</v>
      </c>
      <c r="Z256" s="48">
        <f t="shared" si="347"/>
        <v>0.58423959951665827</v>
      </c>
      <c r="AA256" s="325">
        <f t="shared" si="348"/>
        <v>0.32306497540771417</v>
      </c>
      <c r="AB256" s="325">
        <f t="shared" si="349"/>
        <v>0.18618881118881103</v>
      </c>
      <c r="AC256" s="325">
        <f t="shared" si="350"/>
        <v>0.34391177132568096</v>
      </c>
      <c r="AD256" s="325">
        <f t="shared" si="351"/>
        <v>0.10122419148547435</v>
      </c>
      <c r="AE256" s="276">
        <f t="shared" si="352"/>
        <v>0.22783982566058292</v>
      </c>
      <c r="AF256" s="325">
        <f t="shared" si="375"/>
        <v>0.16826452748972809</v>
      </c>
      <c r="AG256" s="325">
        <f t="shared" si="376"/>
        <v>0.14462048636698599</v>
      </c>
      <c r="AH256" s="325">
        <f t="shared" ref="AH256:AI263" si="378">IF(ISERROR(AH26/AC26-1),"NM",(AH26/AC26-1))</f>
        <v>9.3116730865851594E-2</v>
      </c>
      <c r="AI256" s="325">
        <f t="shared" si="378"/>
        <v>0.12941762070681939</v>
      </c>
      <c r="AJ256" s="276">
        <f t="shared" si="354"/>
        <v>0.13227137595953331</v>
      </c>
      <c r="AK256" s="325">
        <f t="shared" ref="AK256:AN263" si="379">IF(ISERROR(AK26/AF26-1),"NM",(AK26/AF26-1))</f>
        <v>8.9599732038184499E-2</v>
      </c>
      <c r="AL256" s="325">
        <f t="shared" si="379"/>
        <v>0.13938516014807667</v>
      </c>
      <c r="AM256" s="325">
        <f t="shared" si="379"/>
        <v>-1.4554925693274101E-2</v>
      </c>
      <c r="AN256" s="325">
        <f t="shared" si="379"/>
        <v>0.13162920522991017</v>
      </c>
      <c r="AO256" s="345">
        <f t="shared" si="356"/>
        <v>8.629202915588996E-2</v>
      </c>
      <c r="AP256" s="341">
        <f t="shared" ref="AP256:AS263" si="380">IF(ISERROR(AP26/AK26-1),"NM",(AP26/AK26-1))</f>
        <v>6.2250230556409436E-2</v>
      </c>
      <c r="AQ256" s="341">
        <f t="shared" si="380"/>
        <v>7.1337759570560877E-2</v>
      </c>
      <c r="AR256" s="341">
        <f t="shared" si="380"/>
        <v>0.25855099502487544</v>
      </c>
      <c r="AS256" s="341">
        <f t="shared" si="380"/>
        <v>0.18706997273789439</v>
      </c>
      <c r="AT256" s="345">
        <f t="shared" si="358"/>
        <v>0.14480519480519494</v>
      </c>
      <c r="AU256" s="341">
        <f t="shared" ref="AU256:AX263" si="381">IF(ISERROR(AU26/AP26-1),"NM",(AU26/AP26-1))</f>
        <v>0.24092027203009692</v>
      </c>
      <c r="AV256" s="341">
        <f t="shared" si="381"/>
        <v>0.25922995780590719</v>
      </c>
      <c r="AW256" s="341">
        <f t="shared" si="381"/>
        <v>0.19159975293390974</v>
      </c>
      <c r="AX256" s="341">
        <f t="shared" si="381"/>
        <v>0.24737532808398943</v>
      </c>
      <c r="AY256" s="345">
        <f t="shared" si="360"/>
        <v>0.2345749038885736</v>
      </c>
      <c r="AZ256" s="341">
        <f t="shared" ref="AZ256:BI263" si="382">IF(ISERROR(AZ26/AU26-1),"NM",(AZ26/AU26-1))</f>
        <v>0.23239272388059717</v>
      </c>
      <c r="BA256" s="341">
        <f t="shared" si="382"/>
        <v>0.27476439790575924</v>
      </c>
      <c r="BB256" s="341">
        <f t="shared" si="382"/>
        <v>0.14990669707650839</v>
      </c>
      <c r="BC256" s="341">
        <f t="shared" si="382"/>
        <v>-0.49386287918639316</v>
      </c>
      <c r="BD256" s="345">
        <f t="shared" si="382"/>
        <v>1.0975547501148819E-2</v>
      </c>
      <c r="BE256" s="341">
        <f t="shared" si="382"/>
        <v>-0.83347525782950138</v>
      </c>
      <c r="BF256" s="341">
        <f t="shared" si="382"/>
        <v>-0.90775423032692626</v>
      </c>
      <c r="BG256" s="341">
        <f t="shared" si="382"/>
        <v>-0.93743238369996396</v>
      </c>
      <c r="BH256" s="341">
        <f t="shared" si="382"/>
        <v>-0.8912177377446735</v>
      </c>
      <c r="BI256" s="345">
        <f t="shared" si="382"/>
        <v>-0.89383457887295492</v>
      </c>
      <c r="BJ256" s="341">
        <f t="shared" ref="BJ256:BS263" si="383">IF(ISERROR(BJ26/BE26-1),"NM",(BJ26/BE26-1))</f>
        <v>-0.69090909090909092</v>
      </c>
      <c r="BK256" s="341">
        <f t="shared" si="383"/>
        <v>-0.63935886019590382</v>
      </c>
      <c r="BL256" s="341">
        <f t="shared" si="383"/>
        <v>-0.64553314121037464</v>
      </c>
      <c r="BM256" s="341">
        <f t="shared" si="383"/>
        <v>-0.60031847133757954</v>
      </c>
      <c r="BN256" s="345">
        <f t="shared" si="383"/>
        <v>-0.65612366230677766</v>
      </c>
      <c r="BO256" s="341">
        <f t="shared" si="383"/>
        <v>-0.5716911764705882</v>
      </c>
      <c r="BP256" s="341">
        <f t="shared" si="383"/>
        <v>0.49382716049382713</v>
      </c>
      <c r="BQ256" s="341">
        <f t="shared" si="383"/>
        <v>5.5975609756097562</v>
      </c>
      <c r="BR256" s="341">
        <f t="shared" si="383"/>
        <v>-7.569721115537853E-2</v>
      </c>
      <c r="BS256" s="345">
        <f t="shared" si="383"/>
        <v>0.86237897648686035</v>
      </c>
      <c r="BT256" s="341">
        <f t="shared" ref="BT256:BY266" si="384">IF(ISERROR(BT26/BO26-1),"NM",(BT26/BO26-1))</f>
        <v>0.46351931330472107</v>
      </c>
      <c r="BU256" s="341">
        <f t="shared" si="384"/>
        <v>-0.2214876033057851</v>
      </c>
      <c r="BV256" s="341">
        <f t="shared" si="384"/>
        <v>-0.87923598274799752</v>
      </c>
      <c r="BW256" s="341">
        <f t="shared" si="384"/>
        <v>-0.39224137931034486</v>
      </c>
      <c r="BX256" s="345">
        <f t="shared" si="384"/>
        <v>-0.57333828444114365</v>
      </c>
      <c r="BY256" s="341">
        <f t="shared" si="384"/>
        <v>-0.64222873900293265</v>
      </c>
      <c r="BZ256" s="1106">
        <v>-0.8</v>
      </c>
      <c r="CA256" s="1106">
        <v>-0.5</v>
      </c>
      <c r="CB256" s="1106">
        <v>-0.3</v>
      </c>
      <c r="CC256" s="345">
        <f t="shared" ref="CC256:CC266" si="385">IF(ISERROR(CC26/BX26-1),"NM",(CC26/BX26-1))</f>
        <v>-0.64064403829416894</v>
      </c>
      <c r="CD256" s="909">
        <v>-0.25</v>
      </c>
      <c r="CE256" s="909">
        <v>-0.15</v>
      </c>
      <c r="CF256" s="909">
        <v>-0.1</v>
      </c>
      <c r="CG256" s="909">
        <v>-0.1</v>
      </c>
      <c r="CH256" s="909">
        <v>-0.1</v>
      </c>
    </row>
    <row r="257" spans="1:86">
      <c r="A257" s="9"/>
      <c r="B257" s="9"/>
      <c r="C257" s="9"/>
      <c r="D257" s="9"/>
      <c r="E257" s="9"/>
      <c r="F257" s="9"/>
      <c r="G257" s="9"/>
      <c r="H257" s="257" t="s">
        <v>1150</v>
      </c>
      <c r="I257" s="257"/>
      <c r="L257" s="325"/>
      <c r="M257" s="325"/>
      <c r="N257" s="325"/>
      <c r="O257" s="325"/>
      <c r="P257" s="48">
        <v>35.25</v>
      </c>
      <c r="Q257" s="325">
        <f t="shared" si="327"/>
        <v>5.2272727272727266</v>
      </c>
      <c r="R257" s="325">
        <f t="shared" si="328"/>
        <v>2.9705882352941178</v>
      </c>
      <c r="S257" s="325">
        <f t="shared" si="329"/>
        <v>2.3412698412698414</v>
      </c>
      <c r="T257" s="325">
        <f t="shared" si="330"/>
        <v>1.9263803680981595</v>
      </c>
      <c r="U257" s="48">
        <f t="shared" si="342"/>
        <v>2.6252873563218388</v>
      </c>
      <c r="V257" s="325">
        <f t="shared" si="343"/>
        <v>1.0255474452554747</v>
      </c>
      <c r="W257" s="325">
        <f t="shared" si="344"/>
        <v>0.52839506172839501</v>
      </c>
      <c r="X257" s="325">
        <f t="shared" si="345"/>
        <v>0.63657957244655594</v>
      </c>
      <c r="Y257" s="325">
        <f t="shared" si="346"/>
        <v>0.69811320754716966</v>
      </c>
      <c r="Z257" s="48">
        <f t="shared" si="347"/>
        <v>0.69499048826886511</v>
      </c>
      <c r="AA257" s="325">
        <f t="shared" si="348"/>
        <v>0.69369369369369371</v>
      </c>
      <c r="AB257" s="325">
        <f t="shared" si="349"/>
        <v>0.80129240710823924</v>
      </c>
      <c r="AC257" s="325">
        <f t="shared" si="350"/>
        <v>0.73149492017416518</v>
      </c>
      <c r="AD257" s="325">
        <f t="shared" si="351"/>
        <v>0.46296296296296302</v>
      </c>
      <c r="AE257" s="276">
        <f t="shared" si="352"/>
        <v>0.65843621399176944</v>
      </c>
      <c r="AF257" s="325">
        <f t="shared" si="375"/>
        <v>0.19361702127659575</v>
      </c>
      <c r="AG257" s="325">
        <f t="shared" si="376"/>
        <v>0.10448430493273553</v>
      </c>
      <c r="AH257" s="325">
        <f t="shared" si="378"/>
        <v>0.15255658005029349</v>
      </c>
      <c r="AI257" s="325">
        <f t="shared" si="378"/>
        <v>0.26666666666666661</v>
      </c>
      <c r="AJ257" s="276">
        <f t="shared" si="354"/>
        <v>0.17967516354613133</v>
      </c>
      <c r="AK257" s="325">
        <f t="shared" si="379"/>
        <v>0.36007130124777165</v>
      </c>
      <c r="AL257" s="325">
        <f t="shared" si="379"/>
        <v>0.2976045473000406</v>
      </c>
      <c r="AM257" s="325">
        <f t="shared" si="379"/>
        <v>0.18400000000000016</v>
      </c>
      <c r="AN257" s="325">
        <f t="shared" si="379"/>
        <v>0.41239173884077296</v>
      </c>
      <c r="AO257" s="345">
        <f t="shared" si="356"/>
        <v>0.31408356439430163</v>
      </c>
      <c r="AP257" s="341">
        <f t="shared" si="380"/>
        <v>0.42595019659239841</v>
      </c>
      <c r="AQ257" s="341">
        <f t="shared" si="380"/>
        <v>0.53316645807259055</v>
      </c>
      <c r="AR257" s="341">
        <f t="shared" si="380"/>
        <v>0.59152334152334163</v>
      </c>
      <c r="AS257" s="341">
        <f t="shared" si="380"/>
        <v>0.25754716981132075</v>
      </c>
      <c r="AT257" s="345">
        <f t="shared" si="358"/>
        <v>0.43815483119906862</v>
      </c>
      <c r="AU257" s="341">
        <f t="shared" si="381"/>
        <v>0.18244485294117663</v>
      </c>
      <c r="AV257" s="341">
        <f t="shared" si="381"/>
        <v>9.4285714285714306E-2</v>
      </c>
      <c r="AW257" s="341">
        <f t="shared" si="381"/>
        <v>4.6700115785411001E-2</v>
      </c>
      <c r="AX257" s="341">
        <f t="shared" si="381"/>
        <v>4.951237809452369E-2</v>
      </c>
      <c r="AY257" s="345">
        <f t="shared" si="360"/>
        <v>8.9142972781544039E-2</v>
      </c>
      <c r="AZ257" s="341">
        <f t="shared" si="382"/>
        <v>5.4411193159735749E-2</v>
      </c>
      <c r="BA257" s="341">
        <f t="shared" si="382"/>
        <v>4.3640432674375118E-2</v>
      </c>
      <c r="BB257" s="341">
        <f t="shared" si="382"/>
        <v>-1.6961651917403953E-2</v>
      </c>
      <c r="BC257" s="341">
        <f t="shared" si="382"/>
        <v>9.3280914939242177E-2</v>
      </c>
      <c r="BD257" s="345">
        <f t="shared" si="382"/>
        <v>4.384986993682638E-2</v>
      </c>
      <c r="BE257" s="341">
        <f t="shared" si="382"/>
        <v>0.11389605602653874</v>
      </c>
      <c r="BF257" s="341">
        <f t="shared" si="382"/>
        <v>3.288062902072908E-2</v>
      </c>
      <c r="BG257" s="341">
        <f t="shared" si="382"/>
        <v>0.12003000750187542</v>
      </c>
      <c r="BH257" s="341">
        <f t="shared" si="382"/>
        <v>-4.5766590389014761E-3</v>
      </c>
      <c r="BI257" s="345">
        <f t="shared" si="382"/>
        <v>6.2922748309006904E-2</v>
      </c>
      <c r="BJ257" s="341">
        <f t="shared" si="383"/>
        <v>-0.2303110522832561</v>
      </c>
      <c r="BK257" s="341">
        <f t="shared" si="383"/>
        <v>-0.19169550173010386</v>
      </c>
      <c r="BL257" s="341">
        <f t="shared" si="383"/>
        <v>-0.26892163429336913</v>
      </c>
      <c r="BM257" s="341">
        <f t="shared" si="383"/>
        <v>-0.34811165845648606</v>
      </c>
      <c r="BN257" s="345">
        <f t="shared" si="383"/>
        <v>-0.26065477685673633</v>
      </c>
      <c r="BO257" s="341">
        <f t="shared" si="383"/>
        <v>-0.24591573516766974</v>
      </c>
      <c r="BP257" s="341">
        <f t="shared" si="383"/>
        <v>-0.24657534246575341</v>
      </c>
      <c r="BQ257" s="341">
        <f t="shared" si="383"/>
        <v>-0.30737517178195151</v>
      </c>
      <c r="BR257" s="341">
        <f t="shared" si="383"/>
        <v>-0.20050377833753152</v>
      </c>
      <c r="BS257" s="345">
        <f t="shared" si="383"/>
        <v>-0.2510758776896943</v>
      </c>
      <c r="BT257" s="341">
        <f t="shared" si="384"/>
        <v>-0.19897377423033069</v>
      </c>
      <c r="BU257" s="341">
        <f t="shared" si="384"/>
        <v>-9.3181818181818254E-2</v>
      </c>
      <c r="BV257" s="341">
        <f t="shared" si="384"/>
        <v>8.1349206349206504E-2</v>
      </c>
      <c r="BW257" s="341">
        <f t="shared" si="384"/>
        <v>0.12602394454946442</v>
      </c>
      <c r="BX257" s="345">
        <f t="shared" si="384"/>
        <v>-2.8731286859216665E-2</v>
      </c>
      <c r="BY257" s="341">
        <f t="shared" si="384"/>
        <v>0.11957295373665477</v>
      </c>
      <c r="BZ257" s="1106">
        <v>-0.05</v>
      </c>
      <c r="CA257" s="1106">
        <v>-0.08</v>
      </c>
      <c r="CB257" s="1106">
        <v>-0.18</v>
      </c>
      <c r="CC257" s="345">
        <f t="shared" si="385"/>
        <v>-5.6711816907986767E-2</v>
      </c>
      <c r="CD257" s="909">
        <v>-0.1</v>
      </c>
      <c r="CE257" s="909">
        <v>-0.25</v>
      </c>
      <c r="CF257" s="909">
        <v>-0.4</v>
      </c>
      <c r="CG257" s="909">
        <v>-0.2</v>
      </c>
      <c r="CH257" s="909">
        <v>-0.2</v>
      </c>
    </row>
    <row r="258" spans="1:86">
      <c r="A258" s="9"/>
      <c r="B258" s="9"/>
      <c r="C258" s="9"/>
      <c r="D258" s="9"/>
      <c r="E258" s="9"/>
      <c r="F258" s="9"/>
      <c r="G258" s="9"/>
      <c r="H258" s="264" t="s">
        <v>296</v>
      </c>
      <c r="I258" s="264"/>
      <c r="L258" s="328">
        <v>-0.31878787878787873</v>
      </c>
      <c r="M258" s="328">
        <v>-0.12009237875288681</v>
      </c>
      <c r="N258" s="328">
        <v>-0.20283687943262407</v>
      </c>
      <c r="O258" s="328">
        <v>-7.0674248578391441E-2</v>
      </c>
      <c r="P258" s="329">
        <v>-0.18872987477638636</v>
      </c>
      <c r="Q258" s="328">
        <f t="shared" si="327"/>
        <v>-0.31138790035587183</v>
      </c>
      <c r="R258" s="328">
        <f t="shared" si="328"/>
        <v>-0.30008748906386695</v>
      </c>
      <c r="S258" s="328">
        <f t="shared" si="329"/>
        <v>-0.30338078291814952</v>
      </c>
      <c r="T258" s="328">
        <f t="shared" si="330"/>
        <v>-0.30506993006993011</v>
      </c>
      <c r="U258" s="329">
        <f t="shared" si="342"/>
        <v>-0.3049614112458654</v>
      </c>
      <c r="V258" s="328">
        <f t="shared" si="343"/>
        <v>-6.2015503875969102E-2</v>
      </c>
      <c r="W258" s="328">
        <f t="shared" si="344"/>
        <v>-9.6249999999999836E-2</v>
      </c>
      <c r="X258" s="328">
        <f t="shared" si="345"/>
        <v>-8.9399744572158379E-2</v>
      </c>
      <c r="Y258" s="328">
        <f t="shared" si="346"/>
        <v>-8.6792452830188771E-2</v>
      </c>
      <c r="Z258" s="329">
        <f t="shared" si="347"/>
        <v>-8.3756345177665281E-2</v>
      </c>
      <c r="AA258" s="328">
        <f t="shared" si="348"/>
        <v>-8.8154269972451682E-2</v>
      </c>
      <c r="AB258" s="328">
        <f t="shared" si="349"/>
        <v>-0.12724757952973742</v>
      </c>
      <c r="AC258" s="328">
        <f t="shared" si="350"/>
        <v>-9.5371669004207571E-2</v>
      </c>
      <c r="AD258" s="328">
        <f t="shared" si="351"/>
        <v>-0.16391184573002759</v>
      </c>
      <c r="AE258" s="329">
        <f t="shared" si="352"/>
        <v>-0.11876731301939036</v>
      </c>
      <c r="AF258" s="328">
        <f t="shared" si="375"/>
        <v>-0.19939577039274925</v>
      </c>
      <c r="AG258" s="328">
        <f t="shared" si="376"/>
        <v>-7.9397781299524461E-2</v>
      </c>
      <c r="AH258" s="328">
        <f t="shared" si="378"/>
        <v>-9.7674418604651092E-2</v>
      </c>
      <c r="AI258" s="328">
        <f t="shared" si="378"/>
        <v>-9.884678747940745E-3</v>
      </c>
      <c r="AJ258" s="329">
        <f t="shared" si="354"/>
        <v>-9.866404715127719E-2</v>
      </c>
      <c r="AK258" s="328">
        <f t="shared" si="379"/>
        <v>-2.264150943396237E-2</v>
      </c>
      <c r="AL258" s="328">
        <f t="shared" si="379"/>
        <v>-0.11688758822516798</v>
      </c>
      <c r="AM258" s="328">
        <f t="shared" si="379"/>
        <v>-0.16494845360824761</v>
      </c>
      <c r="AN258" s="328">
        <f t="shared" si="379"/>
        <v>-9.3178036605657155E-2</v>
      </c>
      <c r="AO258" s="736">
        <f t="shared" si="356"/>
        <v>-0.10109420637342514</v>
      </c>
      <c r="AP258" s="338">
        <f t="shared" si="380"/>
        <v>-0.14285714285714279</v>
      </c>
      <c r="AQ258" s="338">
        <f t="shared" si="380"/>
        <v>-4.6783625730994149E-2</v>
      </c>
      <c r="AR258" s="338">
        <f t="shared" si="380"/>
        <v>2.6748971193415905E-2</v>
      </c>
      <c r="AS258" s="338">
        <f t="shared" si="380"/>
        <v>-0.16513761467889909</v>
      </c>
      <c r="AT258" s="736">
        <f t="shared" si="358"/>
        <v>-8.4869059165858407E-2</v>
      </c>
      <c r="AU258" s="338">
        <f t="shared" si="381"/>
        <v>-3.828828828828823E-2</v>
      </c>
      <c r="AV258" s="338">
        <f t="shared" si="381"/>
        <v>-8.7934560327198263E-2</v>
      </c>
      <c r="AW258" s="338">
        <f t="shared" si="381"/>
        <v>-0.11022044088176353</v>
      </c>
      <c r="AX258" s="338">
        <f t="shared" si="381"/>
        <v>6.3736263736263732E-2</v>
      </c>
      <c r="AY258" s="736">
        <f t="shared" si="360"/>
        <v>-4.5574986751457325E-2</v>
      </c>
      <c r="AZ258" s="338">
        <f t="shared" si="382"/>
        <v>1.1709601873536313E-2</v>
      </c>
      <c r="BA258" s="338">
        <f t="shared" si="382"/>
        <v>2.9147982062780242E-2</v>
      </c>
      <c r="BB258" s="338">
        <f t="shared" si="382"/>
        <v>-2.2522522522522515E-2</v>
      </c>
      <c r="BC258" s="338">
        <f t="shared" si="382"/>
        <v>-0.12603305785123975</v>
      </c>
      <c r="BD258" s="736">
        <f t="shared" si="382"/>
        <v>-2.9428095502498475E-2</v>
      </c>
      <c r="BE258" s="338">
        <f t="shared" si="382"/>
        <v>-6.944444444444442E-2</v>
      </c>
      <c r="BF258" s="338">
        <f t="shared" si="382"/>
        <v>-8.4967320261437829E-2</v>
      </c>
      <c r="BG258" s="338">
        <f t="shared" si="382"/>
        <v>1.612903225806428E-2</v>
      </c>
      <c r="BH258" s="338">
        <f t="shared" si="382"/>
        <v>3.7825059101654901E-2</v>
      </c>
      <c r="BI258" s="736">
        <f t="shared" si="382"/>
        <v>-2.6315789473684292E-2</v>
      </c>
      <c r="BJ258" s="338">
        <f t="shared" si="383"/>
        <v>-7.4626865671641784E-2</v>
      </c>
      <c r="BK258" s="338">
        <f t="shared" si="383"/>
        <v>-7.8571428571428514E-2</v>
      </c>
      <c r="BL258" s="338">
        <f t="shared" si="383"/>
        <v>-9.5238095238095011E-2</v>
      </c>
      <c r="BM258" s="338">
        <f t="shared" si="383"/>
        <v>-0.11617312072892938</v>
      </c>
      <c r="BN258" s="736">
        <f t="shared" si="383"/>
        <v>-9.1656874265569677E-2</v>
      </c>
      <c r="BO258" s="338">
        <f t="shared" si="383"/>
        <v>3.2258064516129004E-2</v>
      </c>
      <c r="BP258" s="1105">
        <f t="shared" si="383"/>
        <v>2.5839793281652312E-3</v>
      </c>
      <c r="BQ258" s="1105">
        <f t="shared" si="383"/>
        <v>-1.2531328320801949E-2</v>
      </c>
      <c r="BR258" s="1105">
        <f t="shared" si="383"/>
        <v>0.6726804123711343</v>
      </c>
      <c r="BS258" s="736">
        <f t="shared" si="383"/>
        <v>0.17399741267787827</v>
      </c>
      <c r="BT258" s="338">
        <f t="shared" si="384"/>
        <v>0.296875</v>
      </c>
      <c r="BU258" s="338">
        <f t="shared" si="384"/>
        <v>6.1855670103093008E-2</v>
      </c>
      <c r="BV258" s="338">
        <f t="shared" si="384"/>
        <v>-0.10406091370558401</v>
      </c>
      <c r="BW258" s="338">
        <f t="shared" si="384"/>
        <v>-0.35901386748844377</v>
      </c>
      <c r="BX258" s="736">
        <f t="shared" si="384"/>
        <v>-7.493112947658398E-2</v>
      </c>
      <c r="BY258" s="338">
        <f t="shared" si="384"/>
        <v>-0.13654618473895574</v>
      </c>
      <c r="BZ258" s="1105">
        <f>IF(ISERROR(BZ28/BU28-1),"NM",(BZ28/BU28-1))</f>
        <v>-7.4368932038835101E-2</v>
      </c>
      <c r="CA258" s="1105">
        <f>IF(ISERROR(CA28/BV28-1),"NM",(CA28/BV28-1))</f>
        <v>-2.9320113314447505E-2</v>
      </c>
      <c r="CB258" s="1105">
        <f>IF(ISERROR(CB28/BW28-1),"NM",(CB28/BW28-1))</f>
        <v>-5.721153846153848E-2</v>
      </c>
      <c r="CC258" s="736">
        <f t="shared" si="385"/>
        <v>-7.9088743299583042E-2</v>
      </c>
      <c r="CD258" s="736">
        <f>IF(ISERROR(CD28/CC28-1),"NM",(CD28/CC28-1))</f>
        <v>-7.3157268417614718E-2</v>
      </c>
      <c r="CE258" s="736">
        <f>IF(ISERROR(CE28/CD28-1),"NM",(CE28/CD28-1))</f>
        <v>-7.2486599792686124E-2</v>
      </c>
      <c r="CF258" s="736">
        <f>IF(ISERROR(CF28/CE28-1),"NM",(CF28/CE28-1))</f>
        <v>-7.1819565958717191E-2</v>
      </c>
      <c r="CG258" s="736">
        <f>IF(ISERROR(CG28/CF28-1),"NM",(CG28/CF28-1))</f>
        <v>-7.1157103341797145E-2</v>
      </c>
      <c r="CH258" s="736">
        <f>IF(ISERROR(CH28/CG28-1),"NM",(CH28/CG28-1))</f>
        <v>-7.0500122330832027E-2</v>
      </c>
    </row>
    <row r="259" spans="1:86">
      <c r="A259" s="9"/>
      <c r="B259" s="9"/>
      <c r="C259" s="9"/>
      <c r="D259" s="9"/>
      <c r="E259" s="9"/>
      <c r="F259" s="9"/>
      <c r="G259" s="9"/>
      <c r="H259" s="257" t="s">
        <v>231</v>
      </c>
      <c r="I259" s="257"/>
      <c r="L259" s="325">
        <v>-0.44680851063829785</v>
      </c>
      <c r="M259" s="325">
        <v>-0.14841498559077815</v>
      </c>
      <c r="N259" s="325">
        <v>-0.2640449438202247</v>
      </c>
      <c r="O259" s="325">
        <v>2.7439024390244038E-2</v>
      </c>
      <c r="P259" s="48">
        <v>-0.23885155772755029</v>
      </c>
      <c r="Q259" s="325">
        <f t="shared" si="327"/>
        <v>-0.36713286713286708</v>
      </c>
      <c r="R259" s="325">
        <f t="shared" si="328"/>
        <v>-0.33164128595600684</v>
      </c>
      <c r="S259" s="325">
        <f t="shared" si="329"/>
        <v>-0.42290076335877869</v>
      </c>
      <c r="T259" s="325">
        <f t="shared" si="330"/>
        <v>-0.41543026706231456</v>
      </c>
      <c r="U259" s="276">
        <f t="shared" si="342"/>
        <v>-0.3864365971107544</v>
      </c>
      <c r="V259" s="325">
        <f t="shared" si="343"/>
        <v>-3.0386740331491802E-2</v>
      </c>
      <c r="W259" s="325">
        <f t="shared" si="344"/>
        <v>-5.82278481012658E-2</v>
      </c>
      <c r="X259" s="325">
        <f t="shared" si="345"/>
        <v>-0.10052910052910047</v>
      </c>
      <c r="Y259" s="325">
        <f t="shared" si="346"/>
        <v>-4.3147208121827263E-2</v>
      </c>
      <c r="Z259" s="276">
        <f t="shared" si="347"/>
        <v>-5.8207979071288496E-2</v>
      </c>
      <c r="AA259" s="325">
        <f t="shared" si="348"/>
        <v>-6.8376068376068355E-2</v>
      </c>
      <c r="AB259" s="325">
        <f t="shared" si="349"/>
        <v>-0.16129032258064524</v>
      </c>
      <c r="AC259" s="325">
        <f t="shared" si="350"/>
        <v>-4.1176470588235259E-2</v>
      </c>
      <c r="AD259" s="325">
        <f t="shared" si="351"/>
        <v>-0.10344827586206906</v>
      </c>
      <c r="AE259" s="276">
        <f t="shared" si="352"/>
        <v>-9.5138888888888773E-2</v>
      </c>
      <c r="AF259" s="325">
        <f t="shared" si="375"/>
        <v>-0.13149847094801237</v>
      </c>
      <c r="AG259" s="325">
        <f t="shared" si="376"/>
        <v>1.9230769230769384E-2</v>
      </c>
      <c r="AH259" s="325">
        <f t="shared" si="378"/>
        <v>-7.975460122699396E-2</v>
      </c>
      <c r="AI259" s="325">
        <f t="shared" si="378"/>
        <v>-5.6213017751479244E-2</v>
      </c>
      <c r="AJ259" s="276">
        <f t="shared" si="354"/>
        <v>-6.2931696085955613E-2</v>
      </c>
      <c r="AK259" s="325">
        <f t="shared" si="379"/>
        <v>-8.4507042253521125E-2</v>
      </c>
      <c r="AL259" s="325">
        <f t="shared" si="379"/>
        <v>-0.23584905660377353</v>
      </c>
      <c r="AM259" s="325">
        <f t="shared" si="379"/>
        <v>-0.21000000000000008</v>
      </c>
      <c r="AN259" s="325">
        <f t="shared" si="379"/>
        <v>-0.21003134796238243</v>
      </c>
      <c r="AO259" s="345">
        <f t="shared" si="356"/>
        <v>-0.18755118755118749</v>
      </c>
      <c r="AP259" s="341">
        <f t="shared" si="380"/>
        <v>-0.2153846153846154</v>
      </c>
      <c r="AQ259" s="341">
        <f t="shared" si="380"/>
        <v>-0.15637860082304533</v>
      </c>
      <c r="AR259" s="341">
        <f t="shared" si="380"/>
        <v>-4.6413502109704519E-2</v>
      </c>
      <c r="AS259" s="341">
        <f t="shared" si="380"/>
        <v>-0.23809523809523814</v>
      </c>
      <c r="AT259" s="345">
        <f t="shared" si="358"/>
        <v>-0.16633064516129037</v>
      </c>
      <c r="AU259" s="341">
        <f t="shared" si="381"/>
        <v>-0.13235294117647056</v>
      </c>
      <c r="AV259" s="341">
        <f t="shared" si="381"/>
        <v>-0.13170731707317074</v>
      </c>
      <c r="AW259" s="341">
        <f t="shared" si="381"/>
        <v>-0.11061946902654862</v>
      </c>
      <c r="AX259" s="341">
        <f t="shared" si="381"/>
        <v>9.375E-2</v>
      </c>
      <c r="AY259" s="345">
        <f t="shared" si="360"/>
        <v>-7.3760580411124654E-2</v>
      </c>
      <c r="AZ259" s="341">
        <f t="shared" si="382"/>
        <v>5.0847457627118731E-2</v>
      </c>
      <c r="BA259" s="341">
        <f t="shared" si="382"/>
        <v>0.151685393258427</v>
      </c>
      <c r="BB259" s="341">
        <f t="shared" si="382"/>
        <v>-3.9800995024875663E-2</v>
      </c>
      <c r="BC259" s="341">
        <f t="shared" si="382"/>
        <v>-0.18095238095238098</v>
      </c>
      <c r="BD259" s="345">
        <f t="shared" si="382"/>
        <v>-1.3054830287206109E-2</v>
      </c>
      <c r="BE259" s="341">
        <f t="shared" si="382"/>
        <v>-0.12365591397849462</v>
      </c>
      <c r="BF259" s="341">
        <f t="shared" si="382"/>
        <v>-0.16097560975609759</v>
      </c>
      <c r="BG259" s="341">
        <f t="shared" si="382"/>
        <v>-2.0725388601036343E-2</v>
      </c>
      <c r="BH259" s="341">
        <f t="shared" si="382"/>
        <v>9.8837209302325535E-2</v>
      </c>
      <c r="BI259" s="345">
        <f t="shared" si="382"/>
        <v>-5.6878306878306972E-2</v>
      </c>
      <c r="BJ259" s="341">
        <f t="shared" si="383"/>
        <v>-0.1165644171779141</v>
      </c>
      <c r="BK259" s="341">
        <f t="shared" si="383"/>
        <v>-4.6511627906976827E-2</v>
      </c>
      <c r="BL259" s="341">
        <f t="shared" si="383"/>
        <v>3.7037037037037202E-2</v>
      </c>
      <c r="BM259" s="341">
        <f t="shared" si="383"/>
        <v>-2.1164021164021052E-2</v>
      </c>
      <c r="BN259" s="345">
        <f t="shared" si="383"/>
        <v>-3.3660589060308443E-2</v>
      </c>
      <c r="BO259" s="341">
        <f t="shared" si="383"/>
        <v>0.22916666666666652</v>
      </c>
      <c r="BP259" s="341">
        <f t="shared" si="383"/>
        <v>7.317073170731736E-2</v>
      </c>
      <c r="BQ259" s="341">
        <f t="shared" si="383"/>
        <v>-9.1836734693877542E-2</v>
      </c>
      <c r="BR259" s="341">
        <f t="shared" si="383"/>
        <v>1.4702702702702704</v>
      </c>
      <c r="BS259" s="345">
        <f t="shared" si="383"/>
        <v>0.4339622641509433</v>
      </c>
      <c r="BT259" s="341">
        <f t="shared" si="384"/>
        <v>0.45762711864406791</v>
      </c>
      <c r="BU259" s="341">
        <f t="shared" si="384"/>
        <v>0.27272727272727249</v>
      </c>
      <c r="BV259" s="341">
        <f t="shared" si="384"/>
        <v>-0.17977528089887651</v>
      </c>
      <c r="BW259" s="341">
        <f t="shared" si="384"/>
        <v>-0.61050328227571116</v>
      </c>
      <c r="BX259" s="345">
        <f t="shared" si="384"/>
        <v>-0.18421052631578938</v>
      </c>
      <c r="BY259" s="341">
        <f t="shared" si="384"/>
        <v>-0.2441860465116279</v>
      </c>
      <c r="BZ259" s="1106">
        <v>-0.12</v>
      </c>
      <c r="CA259" s="1106">
        <v>0</v>
      </c>
      <c r="CB259" s="1106">
        <v>0</v>
      </c>
      <c r="CC259" s="345">
        <f t="shared" si="385"/>
        <v>-0.1115136476426799</v>
      </c>
      <c r="CD259" s="909">
        <v>-0.1</v>
      </c>
      <c r="CE259" s="909">
        <v>-0.1</v>
      </c>
      <c r="CF259" s="909">
        <v>-0.1</v>
      </c>
      <c r="CG259" s="909">
        <v>-0.1</v>
      </c>
      <c r="CH259" s="909">
        <v>-0.1</v>
      </c>
    </row>
    <row r="260" spans="1:86">
      <c r="A260" s="9"/>
      <c r="B260" s="9"/>
      <c r="C260" s="9"/>
      <c r="D260" s="9"/>
      <c r="E260" s="9"/>
      <c r="F260" s="9"/>
      <c r="G260" s="9"/>
      <c r="H260" s="257" t="s">
        <v>232</v>
      </c>
      <c r="I260" s="257"/>
      <c r="L260" s="325">
        <v>-0.10389610389610382</v>
      </c>
      <c r="M260" s="325">
        <v>-8.7603305785123875E-2</v>
      </c>
      <c r="N260" s="325">
        <v>-9.8076923076923062E-2</v>
      </c>
      <c r="O260" s="325">
        <v>-0.18260869565217386</v>
      </c>
      <c r="P260" s="48">
        <v>-0.11787564766839376</v>
      </c>
      <c r="Q260" s="325">
        <f t="shared" si="327"/>
        <v>-0.25362318840579712</v>
      </c>
      <c r="R260" s="325">
        <f t="shared" si="328"/>
        <v>-0.26630434782608703</v>
      </c>
      <c r="S260" s="325">
        <f t="shared" si="329"/>
        <v>-0.13646055437100213</v>
      </c>
      <c r="T260" s="325">
        <f t="shared" si="330"/>
        <v>-0.14680851063829781</v>
      </c>
      <c r="U260" s="276">
        <f t="shared" si="342"/>
        <v>-0.20558002936857567</v>
      </c>
      <c r="V260" s="325">
        <f t="shared" si="343"/>
        <v>-8.9805825242718518E-2</v>
      </c>
      <c r="W260" s="325">
        <f t="shared" si="344"/>
        <v>-0.1333333333333333</v>
      </c>
      <c r="X260" s="325">
        <f t="shared" si="345"/>
        <v>-7.9012345679012386E-2</v>
      </c>
      <c r="Y260" s="325">
        <f t="shared" si="346"/>
        <v>-0.12967581047381549</v>
      </c>
      <c r="Z260" s="276">
        <f t="shared" si="347"/>
        <v>-0.10782501540357381</v>
      </c>
      <c r="AA260" s="325">
        <f t="shared" si="348"/>
        <v>-0.10666666666666669</v>
      </c>
      <c r="AB260" s="325">
        <f t="shared" si="349"/>
        <v>-9.1168091168091214E-2</v>
      </c>
      <c r="AC260" s="325">
        <f t="shared" si="350"/>
        <v>-0.14477211796246647</v>
      </c>
      <c r="AD260" s="325">
        <f t="shared" si="351"/>
        <v>-0.22922636103151861</v>
      </c>
      <c r="AE260" s="276">
        <f t="shared" si="352"/>
        <v>-0.14226519337016552</v>
      </c>
      <c r="AF260" s="325">
        <f t="shared" si="375"/>
        <v>-0.26567164179104474</v>
      </c>
      <c r="AG260" s="325">
        <f t="shared" si="376"/>
        <v>-0.17586206896551726</v>
      </c>
      <c r="AH260" s="325">
        <f t="shared" si="378"/>
        <v>-0.11598746081504696</v>
      </c>
      <c r="AI260" s="325">
        <f t="shared" si="378"/>
        <v>4.8327137546468446E-2</v>
      </c>
      <c r="AJ260" s="276">
        <f t="shared" si="354"/>
        <v>-0.13615136876006451</v>
      </c>
      <c r="AK260" s="325">
        <f t="shared" si="379"/>
        <v>4.8780487804878092E-2</v>
      </c>
      <c r="AL260" s="325">
        <f t="shared" si="379"/>
        <v>2.7006466337010204E-2</v>
      </c>
      <c r="AM260" s="325">
        <f t="shared" si="379"/>
        <v>-0.11702127659574468</v>
      </c>
      <c r="AN260" s="325">
        <f t="shared" si="379"/>
        <v>3.9007092198581672E-2</v>
      </c>
      <c r="AO260" s="345">
        <f t="shared" si="356"/>
        <v>-2.702954609003827E-3</v>
      </c>
      <c r="AP260" s="341">
        <f t="shared" si="380"/>
        <v>-6.9767441860465129E-2</v>
      </c>
      <c r="AQ260" s="341">
        <f t="shared" si="380"/>
        <v>5.1851851851851816E-2</v>
      </c>
      <c r="AR260" s="341">
        <f t="shared" si="380"/>
        <v>9.6385542168674787E-2</v>
      </c>
      <c r="AS260" s="341">
        <f t="shared" si="380"/>
        <v>-0.10238907849829348</v>
      </c>
      <c r="AT260" s="345">
        <f t="shared" si="358"/>
        <v>-9.3457943925232545E-3</v>
      </c>
      <c r="AU260" s="341">
        <f t="shared" si="381"/>
        <v>4.1666666666666741E-2</v>
      </c>
      <c r="AV260" s="341">
        <f t="shared" si="381"/>
        <v>-5.6338028169014009E-2</v>
      </c>
      <c r="AW260" s="341">
        <f t="shared" si="381"/>
        <v>-0.10989010989010983</v>
      </c>
      <c r="AX260" s="341">
        <f t="shared" si="381"/>
        <v>4.1825095057034245E-2</v>
      </c>
      <c r="AY260" s="345">
        <f t="shared" si="360"/>
        <v>-2.3584905660377409E-2</v>
      </c>
      <c r="AZ260" s="341">
        <f t="shared" si="382"/>
        <v>-1.5999999999999903E-2</v>
      </c>
      <c r="BA260" s="341">
        <f t="shared" si="382"/>
        <v>-5.2238805970149294E-2</v>
      </c>
      <c r="BB260" s="341">
        <f t="shared" si="382"/>
        <v>-8.2304526748970819E-3</v>
      </c>
      <c r="BC260" s="341">
        <f t="shared" si="382"/>
        <v>-8.3941605839416011E-2</v>
      </c>
      <c r="BD260" s="345">
        <f t="shared" si="382"/>
        <v>-4.1545893719806881E-2</v>
      </c>
      <c r="BE260" s="341">
        <f t="shared" si="382"/>
        <v>-2.8455284552845628E-2</v>
      </c>
      <c r="BF260" s="341">
        <f t="shared" si="382"/>
        <v>-2.3622047244094446E-2</v>
      </c>
      <c r="BG260" s="341">
        <f t="shared" si="382"/>
        <v>4.5643153526970792E-2</v>
      </c>
      <c r="BH260" s="341">
        <f t="shared" si="382"/>
        <v>-3.9840637450200278E-3</v>
      </c>
      <c r="BI260" s="345">
        <f t="shared" si="382"/>
        <v>-3.0241935483868998E-3</v>
      </c>
      <c r="BJ260" s="341">
        <f t="shared" si="383"/>
        <v>-4.6025104602510414E-2</v>
      </c>
      <c r="BK260" s="341">
        <f t="shared" si="383"/>
        <v>-0.10080645161290325</v>
      </c>
      <c r="BL260" s="341">
        <f t="shared" si="383"/>
        <v>-0.19444444444444442</v>
      </c>
      <c r="BM260" s="341">
        <f t="shared" si="383"/>
        <v>-0.18799999999999994</v>
      </c>
      <c r="BN260" s="345">
        <f t="shared" si="383"/>
        <v>-0.1334681496461072</v>
      </c>
      <c r="BO260" s="341">
        <f t="shared" si="383"/>
        <v>-9.2105263157894801E-2</v>
      </c>
      <c r="BP260" s="341">
        <f t="shared" si="383"/>
        <v>-4.9327354260089717E-2</v>
      </c>
      <c r="BQ260" s="341">
        <f t="shared" si="383"/>
        <v>6.4039408866995107E-2</v>
      </c>
      <c r="BR260" s="341">
        <f t="shared" si="383"/>
        <v>-5.4187192118226646E-2</v>
      </c>
      <c r="BS260" s="345">
        <f t="shared" si="383"/>
        <v>-3.5005834305717576E-2</v>
      </c>
      <c r="BT260" s="341">
        <f t="shared" si="384"/>
        <v>0.15942028985507251</v>
      </c>
      <c r="BU260" s="341">
        <f t="shared" si="384"/>
        <v>-0.1132075471698113</v>
      </c>
      <c r="BV260" s="341">
        <f t="shared" si="384"/>
        <v>-4.1666666666666741E-2</v>
      </c>
      <c r="BW260" s="341">
        <f t="shared" si="384"/>
        <v>0.23958333333333348</v>
      </c>
      <c r="BX260" s="345">
        <f t="shared" si="384"/>
        <v>5.5622732769044614E-2</v>
      </c>
      <c r="BY260" s="341">
        <f t="shared" si="384"/>
        <v>-2.083333333333337E-2</v>
      </c>
      <c r="BZ260" s="1106">
        <v>-0.02</v>
      </c>
      <c r="CA260" s="1106">
        <v>-0.05</v>
      </c>
      <c r="CB260" s="1106">
        <v>-0.1</v>
      </c>
      <c r="CC260" s="345">
        <f t="shared" si="385"/>
        <v>-4.9152348224513087E-2</v>
      </c>
      <c r="CD260" s="909">
        <v>-0.05</v>
      </c>
      <c r="CE260" s="909">
        <v>-0.05</v>
      </c>
      <c r="CF260" s="909">
        <v>-0.05</v>
      </c>
      <c r="CG260" s="909">
        <v>-0.05</v>
      </c>
      <c r="CH260" s="909">
        <v>-0.05</v>
      </c>
    </row>
    <row r="261" spans="1:86" s="15" customFormat="1" collapsed="1">
      <c r="A261" s="760"/>
      <c r="B261" s="760"/>
      <c r="C261" s="760"/>
      <c r="D261" s="760"/>
      <c r="E261" s="760"/>
      <c r="F261" s="760"/>
      <c r="G261" s="760"/>
      <c r="H261" s="266" t="s">
        <v>298</v>
      </c>
      <c r="I261" s="266"/>
      <c r="L261" s="328">
        <v>-0.96218487394957986</v>
      </c>
      <c r="M261" s="328">
        <v>-0.95833333333333337</v>
      </c>
      <c r="N261" s="328">
        <v>-0.93396226415094341</v>
      </c>
      <c r="O261" s="328">
        <v>-0.96</v>
      </c>
      <c r="P261" s="330">
        <v>-0.95381062355658197</v>
      </c>
      <c r="Q261" s="328">
        <f t="shared" si="327"/>
        <v>-1.3333333333333335</v>
      </c>
      <c r="R261" s="328">
        <f t="shared" si="328"/>
        <v>-2.2222222222222223</v>
      </c>
      <c r="S261" s="328">
        <f t="shared" si="329"/>
        <v>-1.1785714285714286</v>
      </c>
      <c r="T261" s="328">
        <f t="shared" si="330"/>
        <v>-0.625</v>
      </c>
      <c r="U261" s="330">
        <f t="shared" si="342"/>
        <v>-1.3374999999999999</v>
      </c>
      <c r="V261" s="328">
        <f t="shared" si="343"/>
        <v>-1.3333333333333333</v>
      </c>
      <c r="W261" s="328">
        <f t="shared" si="344"/>
        <v>-1.5454545454545454</v>
      </c>
      <c r="X261" s="328">
        <f t="shared" si="345"/>
        <v>31.4</v>
      </c>
      <c r="Y261" s="328">
        <f t="shared" si="346"/>
        <v>-1</v>
      </c>
      <c r="Z261" s="330">
        <f t="shared" si="347"/>
        <v>4.481481481481481</v>
      </c>
      <c r="AA261" s="328">
        <f t="shared" si="348"/>
        <v>-1</v>
      </c>
      <c r="AB261" s="328">
        <f t="shared" si="349"/>
        <v>-0.5</v>
      </c>
      <c r="AC261" s="328">
        <f t="shared" si="350"/>
        <v>-1.0123456790123457</v>
      </c>
      <c r="AD261" s="338" t="str">
        <f t="shared" si="351"/>
        <v>NM</v>
      </c>
      <c r="AE261" s="352">
        <f t="shared" si="352"/>
        <v>-1.0540540540540542</v>
      </c>
      <c r="AF261" s="338" t="str">
        <f t="shared" si="375"/>
        <v>NM</v>
      </c>
      <c r="AG261" s="338">
        <f t="shared" si="376"/>
        <v>-1</v>
      </c>
      <c r="AH261" s="338">
        <f t="shared" si="378"/>
        <v>0</v>
      </c>
      <c r="AI261" s="338" t="str">
        <f t="shared" si="378"/>
        <v>NM</v>
      </c>
      <c r="AJ261" s="352">
        <f t="shared" si="354"/>
        <v>-0.24999999999999989</v>
      </c>
      <c r="AK261" s="338" t="str">
        <f t="shared" si="379"/>
        <v>NM</v>
      </c>
      <c r="AL261" s="338" t="str">
        <f t="shared" si="379"/>
        <v>NM</v>
      </c>
      <c r="AM261" s="338">
        <f t="shared" si="379"/>
        <v>-1</v>
      </c>
      <c r="AN261" s="338">
        <f t="shared" si="379"/>
        <v>-1</v>
      </c>
      <c r="AO261" s="352">
        <f t="shared" si="356"/>
        <v>-1</v>
      </c>
      <c r="AP261" s="338" t="str">
        <f t="shared" si="380"/>
        <v>NM</v>
      </c>
      <c r="AQ261" s="338" t="str">
        <f t="shared" si="380"/>
        <v>NM</v>
      </c>
      <c r="AR261" s="338" t="str">
        <f t="shared" si="380"/>
        <v>NM</v>
      </c>
      <c r="AS261" s="338" t="str">
        <f t="shared" si="380"/>
        <v>NM</v>
      </c>
      <c r="AT261" s="352" t="str">
        <f t="shared" si="358"/>
        <v>NM</v>
      </c>
      <c r="AU261" s="338">
        <f t="shared" si="381"/>
        <v>0.87769784172662768</v>
      </c>
      <c r="AV261" s="338">
        <f t="shared" si="381"/>
        <v>0.92805755395683676</v>
      </c>
      <c r="AW261" s="338">
        <f t="shared" si="381"/>
        <v>0.3909774436090292</v>
      </c>
      <c r="AX261" s="338">
        <f t="shared" si="381"/>
        <v>0.21093750000002043</v>
      </c>
      <c r="AY261" s="352">
        <f t="shared" si="360"/>
        <v>0.61224489795919301</v>
      </c>
      <c r="AZ261" s="338">
        <f t="shared" si="382"/>
        <v>-7.6628352490526463E-3</v>
      </c>
      <c r="BA261" s="338">
        <f t="shared" si="382"/>
        <v>-0.63059701492536879</v>
      </c>
      <c r="BB261" s="338">
        <f t="shared" si="382"/>
        <v>-0.62162162162163392</v>
      </c>
      <c r="BC261" s="338">
        <f t="shared" si="382"/>
        <v>-0.35483870967742592</v>
      </c>
      <c r="BD261" s="352">
        <f t="shared" si="382"/>
        <v>-0.39240506329114466</v>
      </c>
      <c r="BE261" s="338">
        <f t="shared" si="382"/>
        <v>-0.67181467181466914</v>
      </c>
      <c r="BF261" s="338">
        <f t="shared" si="382"/>
        <v>-7.0707070707082265E-2</v>
      </c>
      <c r="BG261" s="338">
        <f t="shared" si="382"/>
        <v>0.21428571428574372</v>
      </c>
      <c r="BH261" s="338">
        <f t="shared" si="382"/>
        <v>-6.9999999999997287E-2</v>
      </c>
      <c r="BI261" s="352">
        <f t="shared" si="382"/>
        <v>-0.3276515151515117</v>
      </c>
      <c r="BJ261" s="338">
        <f t="shared" si="383"/>
        <v>-7.0588235294109514E-2</v>
      </c>
      <c r="BK261" s="338">
        <f t="shared" si="383"/>
        <v>-0.3913043478260827</v>
      </c>
      <c r="BL261" s="338">
        <f t="shared" si="383"/>
        <v>-0.18823529411765039</v>
      </c>
      <c r="BM261" s="338">
        <f t="shared" si="383"/>
        <v>-6.4516129032261782E-2</v>
      </c>
      <c r="BN261" s="352">
        <f t="shared" si="383"/>
        <v>-0.18028169014084339</v>
      </c>
      <c r="BO261" s="338">
        <f t="shared" si="383"/>
        <v>-0.27848101265823122</v>
      </c>
      <c r="BP261" s="1105">
        <f t="shared" si="383"/>
        <v>0.26785714285713969</v>
      </c>
      <c r="BQ261" s="1105">
        <f t="shared" si="383"/>
        <v>0.14492753623189447</v>
      </c>
      <c r="BR261" s="1105">
        <f t="shared" si="383"/>
        <v>-0.14942528735632721</v>
      </c>
      <c r="BS261" s="352">
        <f t="shared" si="383"/>
        <v>-3.4364261168386423E-2</v>
      </c>
      <c r="BT261" s="338">
        <f t="shared" si="384"/>
        <v>0.98245614035086781</v>
      </c>
      <c r="BU261" s="338">
        <f t="shared" si="384"/>
        <v>0.60563380281689216</v>
      </c>
      <c r="BV261" s="338">
        <f t="shared" si="384"/>
        <v>0.48101265822785</v>
      </c>
      <c r="BW261" s="338">
        <f t="shared" si="384"/>
        <v>0.67567567567567366</v>
      </c>
      <c r="BX261" s="352">
        <f t="shared" si="384"/>
        <v>0.66548042704625954</v>
      </c>
      <c r="BY261" s="338">
        <f t="shared" si="384"/>
        <v>-0.38053097345132858</v>
      </c>
      <c r="BZ261" s="1105">
        <f>IF(ISERROR(BZ31/BU31-1),"NM",(BZ31/BU31-1))</f>
        <v>-0.28771929824561393</v>
      </c>
      <c r="CA261" s="1105">
        <f>IF(ISERROR(CA31/BV31-1),"NM",(CA31/BV31-1))</f>
        <v>-0.29743589743589716</v>
      </c>
      <c r="CB261" s="1105">
        <f>IF(ISERROR(CB31/BW31-1),"NM",(CB31/BW31-1))</f>
        <v>-0.38306451612903258</v>
      </c>
      <c r="CC261" s="352">
        <f t="shared" si="385"/>
        <v>-0.33782051282051306</v>
      </c>
      <c r="CD261" s="352">
        <f>IF(ISERROR(CD31/CC31-1),"NM",(CD31/CC31-1))</f>
        <v>0</v>
      </c>
      <c r="CE261" s="352">
        <f>IF(ISERROR(CE31/CD31-1),"NM",(CE31/CD31-1))</f>
        <v>0</v>
      </c>
      <c r="CF261" s="352">
        <f>IF(ISERROR(CF31/CE31-1),"NM",(CF31/CE31-1))</f>
        <v>0</v>
      </c>
      <c r="CG261" s="352">
        <f>IF(ISERROR(CG31/CF31-1),"NM",(CG31/CF31-1))</f>
        <v>0</v>
      </c>
      <c r="CH261" s="352">
        <f>IF(ISERROR(CH31/CG31-1),"NM",(CH31/CG31-1))</f>
        <v>0</v>
      </c>
    </row>
    <row r="262" spans="1:86">
      <c r="A262" s="9"/>
      <c r="B262" s="9"/>
      <c r="C262" s="9"/>
      <c r="D262" s="9"/>
      <c r="E262" s="9"/>
      <c r="F262" s="9"/>
      <c r="G262" s="9"/>
      <c r="H262" s="257" t="s">
        <v>231</v>
      </c>
      <c r="I262" s="257"/>
      <c r="L262" s="325">
        <v>-1</v>
      </c>
      <c r="M262" s="325">
        <v>-1</v>
      </c>
      <c r="N262" s="325">
        <v>-0.97959183673469385</v>
      </c>
      <c r="O262" s="325">
        <v>-1.0105263157894737</v>
      </c>
      <c r="P262" s="48">
        <v>-0.99746835443037973</v>
      </c>
      <c r="Q262" s="325"/>
      <c r="R262" s="331"/>
      <c r="S262" s="331"/>
      <c r="T262" s="331"/>
      <c r="U262" s="48">
        <f t="shared" si="342"/>
        <v>-2.75</v>
      </c>
      <c r="V262" s="325">
        <f t="shared" si="343"/>
        <v>-1</v>
      </c>
      <c r="W262" s="325">
        <f t="shared" si="344"/>
        <v>-1</v>
      </c>
      <c r="X262" s="325">
        <f t="shared" si="345"/>
        <v>-1</v>
      </c>
      <c r="Y262" s="325" t="str">
        <f t="shared" si="346"/>
        <v>NM</v>
      </c>
      <c r="Z262" s="48">
        <f t="shared" si="347"/>
        <v>-1</v>
      </c>
      <c r="AA262" s="341" t="str">
        <f t="shared" si="348"/>
        <v>NM</v>
      </c>
      <c r="AB262" s="341" t="str">
        <f t="shared" si="349"/>
        <v>NM</v>
      </c>
      <c r="AC262" s="341" t="str">
        <f t="shared" si="350"/>
        <v>NM</v>
      </c>
      <c r="AD262" s="341" t="str">
        <f t="shared" si="351"/>
        <v>NM</v>
      </c>
      <c r="AE262" s="339" t="str">
        <f t="shared" si="352"/>
        <v>NM</v>
      </c>
      <c r="AF262" s="341" t="str">
        <f t="shared" si="375"/>
        <v>NM</v>
      </c>
      <c r="AG262" s="341" t="str">
        <f t="shared" si="376"/>
        <v>NM</v>
      </c>
      <c r="AH262" s="341" t="str">
        <f t="shared" si="378"/>
        <v>NM</v>
      </c>
      <c r="AI262" s="341" t="str">
        <f t="shared" si="378"/>
        <v>NM</v>
      </c>
      <c r="AJ262" s="339" t="str">
        <f t="shared" si="354"/>
        <v>NM</v>
      </c>
      <c r="AK262" s="341" t="str">
        <f t="shared" si="379"/>
        <v>NM</v>
      </c>
      <c r="AL262" s="341" t="str">
        <f t="shared" si="379"/>
        <v>NM</v>
      </c>
      <c r="AM262" s="341" t="str">
        <f t="shared" si="379"/>
        <v>NM</v>
      </c>
      <c r="AN262" s="341" t="str">
        <f t="shared" si="379"/>
        <v>NM</v>
      </c>
      <c r="AO262" s="339" t="str">
        <f t="shared" si="356"/>
        <v>NM</v>
      </c>
      <c r="AP262" s="341" t="str">
        <f t="shared" si="380"/>
        <v>NM</v>
      </c>
      <c r="AQ262" s="341" t="str">
        <f t="shared" si="380"/>
        <v>NM</v>
      </c>
      <c r="AR262" s="341" t="str">
        <f t="shared" si="380"/>
        <v>NM</v>
      </c>
      <c r="AS262" s="341" t="str">
        <f t="shared" si="380"/>
        <v>NM</v>
      </c>
      <c r="AT262" s="339" t="str">
        <f t="shared" si="358"/>
        <v>NM</v>
      </c>
      <c r="AU262" s="341" t="str">
        <f t="shared" si="381"/>
        <v>NM</v>
      </c>
      <c r="AV262" s="341" t="str">
        <f t="shared" si="381"/>
        <v>NM</v>
      </c>
      <c r="AW262" s="341" t="str">
        <f t="shared" si="381"/>
        <v>NM</v>
      </c>
      <c r="AX262" s="341" t="str">
        <f t="shared" si="381"/>
        <v>NM</v>
      </c>
      <c r="AY262" s="339" t="str">
        <f t="shared" si="360"/>
        <v>NM</v>
      </c>
      <c r="AZ262" s="341">
        <f t="shared" si="382"/>
        <v>-0.80000000000001659</v>
      </c>
      <c r="BA262" s="341">
        <f t="shared" si="382"/>
        <v>-0.89312977099236024</v>
      </c>
      <c r="BB262" s="341">
        <f t="shared" si="382"/>
        <v>-0.63265306122451692</v>
      </c>
      <c r="BC262" s="341">
        <f t="shared" si="382"/>
        <v>-0.24242424242427019</v>
      </c>
      <c r="BD262" s="345">
        <f t="shared" si="382"/>
        <v>-0.75801749271137808</v>
      </c>
      <c r="BE262" s="341">
        <f t="shared" si="382"/>
        <v>-0.49999999999996725</v>
      </c>
      <c r="BF262" s="341">
        <f t="shared" si="382"/>
        <v>7.1428571428504339E-2</v>
      </c>
      <c r="BG262" s="341">
        <f t="shared" si="382"/>
        <v>-0.27777777777774648</v>
      </c>
      <c r="BH262" s="341">
        <f t="shared" si="382"/>
        <v>-0.28000000000000025</v>
      </c>
      <c r="BI262" s="345">
        <f t="shared" si="382"/>
        <v>-0.28915662650600993</v>
      </c>
      <c r="BJ262" s="341">
        <f t="shared" si="383"/>
        <v>0.30769230769231504</v>
      </c>
      <c r="BK262" s="341">
        <f t="shared" si="383"/>
        <v>-0.2666666666666675</v>
      </c>
      <c r="BL262" s="341">
        <f t="shared" si="383"/>
        <v>1.0769230769230731</v>
      </c>
      <c r="BM262" s="341">
        <f t="shared" si="383"/>
        <v>1.6111111111110694</v>
      </c>
      <c r="BN262" s="345">
        <f t="shared" si="383"/>
        <v>0.72881355932202574</v>
      </c>
      <c r="BO262" s="341">
        <f t="shared" si="383"/>
        <v>0.52941176470587803</v>
      </c>
      <c r="BP262" s="341">
        <f t="shared" si="383"/>
        <v>2.9090909090909078</v>
      </c>
      <c r="BQ262" s="341">
        <f t="shared" si="383"/>
        <v>0.96296296296296857</v>
      </c>
      <c r="BR262" s="341">
        <f t="shared" si="383"/>
        <v>4.2553191489354658E-2</v>
      </c>
      <c r="BS262" s="345">
        <f t="shared" si="383"/>
        <v>0.6764705882352906</v>
      </c>
      <c r="BT262" s="341">
        <f t="shared" si="384"/>
        <v>2.3846153846153979</v>
      </c>
      <c r="BU262" s="341">
        <f t="shared" si="384"/>
        <v>0.90697674418604191</v>
      </c>
      <c r="BV262" s="341">
        <f t="shared" si="384"/>
        <v>0.64150943396227711</v>
      </c>
      <c r="BW262" s="341">
        <f t="shared" si="384"/>
        <v>0.93877551020408845</v>
      </c>
      <c r="BX262" s="345">
        <f t="shared" si="384"/>
        <v>1.0584795321637501</v>
      </c>
      <c r="BY262" s="341">
        <f t="shared" si="384"/>
        <v>-0.56818181818181801</v>
      </c>
      <c r="BZ262" s="1106">
        <v>-0.4</v>
      </c>
      <c r="CA262" s="1106">
        <v>-0.4</v>
      </c>
      <c r="CB262" s="1106">
        <v>-0.5</v>
      </c>
      <c r="CC262" s="345">
        <f t="shared" si="385"/>
        <v>-0.46903409090909076</v>
      </c>
      <c r="CD262" s="909">
        <v>0</v>
      </c>
      <c r="CE262" s="909">
        <v>0</v>
      </c>
      <c r="CF262" s="909">
        <v>0</v>
      </c>
      <c r="CG262" s="909">
        <v>0</v>
      </c>
      <c r="CH262" s="909">
        <v>0</v>
      </c>
    </row>
    <row r="263" spans="1:86">
      <c r="A263" s="9"/>
      <c r="B263" s="9"/>
      <c r="C263" s="9"/>
      <c r="D263" s="9"/>
      <c r="E263" s="9"/>
      <c r="F263" s="9"/>
      <c r="G263" s="9"/>
      <c r="H263" s="257" t="s">
        <v>232</v>
      </c>
      <c r="I263" s="257"/>
      <c r="L263" s="325">
        <v>-0.73529411764705888</v>
      </c>
      <c r="M263" s="325">
        <v>-0.4375</v>
      </c>
      <c r="N263" s="325">
        <v>-0.375</v>
      </c>
      <c r="O263" s="325">
        <v>0</v>
      </c>
      <c r="P263" s="48">
        <v>-0.5</v>
      </c>
      <c r="Q263" s="325"/>
      <c r="R263" s="331"/>
      <c r="S263" s="331"/>
      <c r="T263" s="331"/>
      <c r="U263" s="48">
        <f t="shared" si="342"/>
        <v>-1.263157894736842</v>
      </c>
      <c r="V263" s="325">
        <f t="shared" si="343"/>
        <v>-1.5</v>
      </c>
      <c r="W263" s="325">
        <f t="shared" si="344"/>
        <v>-1.6666666666666665</v>
      </c>
      <c r="X263" s="325">
        <f t="shared" si="345"/>
        <v>39.499999999999993</v>
      </c>
      <c r="Y263" s="325">
        <f t="shared" si="346"/>
        <v>-1</v>
      </c>
      <c r="Z263" s="48">
        <f t="shared" si="347"/>
        <v>6.3999999999999995</v>
      </c>
      <c r="AA263" s="341">
        <f t="shared" si="348"/>
        <v>-1</v>
      </c>
      <c r="AB263" s="341">
        <f t="shared" si="349"/>
        <v>-0.5</v>
      </c>
      <c r="AC263" s="341">
        <f t="shared" si="350"/>
        <v>-1.0123456790123457</v>
      </c>
      <c r="AD263" s="341" t="str">
        <f t="shared" si="351"/>
        <v>NM</v>
      </c>
      <c r="AE263" s="339">
        <f t="shared" si="352"/>
        <v>-1.0540540540540542</v>
      </c>
      <c r="AF263" s="341" t="str">
        <f t="shared" si="375"/>
        <v>NM</v>
      </c>
      <c r="AG263" s="341">
        <f t="shared" si="376"/>
        <v>-1</v>
      </c>
      <c r="AH263" s="341">
        <f t="shared" si="378"/>
        <v>0</v>
      </c>
      <c r="AI263" s="341" t="str">
        <f t="shared" si="378"/>
        <v>NM</v>
      </c>
      <c r="AJ263" s="339">
        <f t="shared" si="354"/>
        <v>-0.24999999999999989</v>
      </c>
      <c r="AK263" s="341" t="str">
        <f t="shared" si="379"/>
        <v>NM</v>
      </c>
      <c r="AL263" s="341" t="str">
        <f t="shared" si="379"/>
        <v>NM</v>
      </c>
      <c r="AM263" s="341">
        <f t="shared" si="379"/>
        <v>-1</v>
      </c>
      <c r="AN263" s="341">
        <f t="shared" si="379"/>
        <v>-1</v>
      </c>
      <c r="AO263" s="339">
        <f t="shared" si="356"/>
        <v>-1</v>
      </c>
      <c r="AP263" s="341" t="str">
        <f t="shared" si="380"/>
        <v>NM</v>
      </c>
      <c r="AQ263" s="341" t="str">
        <f t="shared" si="380"/>
        <v>NM</v>
      </c>
      <c r="AR263" s="341" t="str">
        <f t="shared" si="380"/>
        <v>NM</v>
      </c>
      <c r="AS263" s="341" t="str">
        <f t="shared" si="380"/>
        <v>NM</v>
      </c>
      <c r="AT263" s="339" t="str">
        <f t="shared" si="358"/>
        <v>NM</v>
      </c>
      <c r="AU263" s="341">
        <f t="shared" si="381"/>
        <v>-5.7553956834534903E-2</v>
      </c>
      <c r="AV263" s="341">
        <f t="shared" si="381"/>
        <v>-1.4388489208637223E-2</v>
      </c>
      <c r="AW263" s="341">
        <f t="shared" si="381"/>
        <v>2.2556390977441776E-2</v>
      </c>
      <c r="AX263" s="341">
        <f t="shared" si="381"/>
        <v>-4.6874999999993672E-2</v>
      </c>
      <c r="AY263" s="339">
        <f t="shared" si="360"/>
        <v>-2.4118738404453444E-2</v>
      </c>
      <c r="AZ263" s="341">
        <f t="shared" si="382"/>
        <v>0.77862595419848035</v>
      </c>
      <c r="BA263" s="341">
        <f t="shared" si="382"/>
        <v>-0.3795620437956152</v>
      </c>
      <c r="BB263" s="341">
        <f t="shared" si="382"/>
        <v>-0.61764705882353632</v>
      </c>
      <c r="BC263" s="341">
        <f t="shared" si="382"/>
        <v>-0.38524590163934658</v>
      </c>
      <c r="BD263" s="345">
        <f t="shared" si="382"/>
        <v>-0.15399239543726206</v>
      </c>
      <c r="BE263" s="341">
        <f t="shared" si="382"/>
        <v>-0.69098712446351873</v>
      </c>
      <c r="BF263" s="341">
        <f t="shared" si="382"/>
        <v>-9.4117647058827414E-2</v>
      </c>
      <c r="BG263" s="341">
        <f t="shared" si="382"/>
        <v>0.3846153846154079</v>
      </c>
      <c r="BH263" s="341">
        <f t="shared" si="382"/>
        <v>4.6629367034256575E-15</v>
      </c>
      <c r="BI263" s="345">
        <f t="shared" si="382"/>
        <v>-0.33483146067415581</v>
      </c>
      <c r="BJ263" s="341">
        <f t="shared" si="383"/>
        <v>-0.13888888888888007</v>
      </c>
      <c r="BK263" s="341">
        <f t="shared" si="383"/>
        <v>-0.4155844155844105</v>
      </c>
      <c r="BL263" s="341">
        <f t="shared" si="383"/>
        <v>-0.41666666666666896</v>
      </c>
      <c r="BM263" s="341">
        <f t="shared" si="383"/>
        <v>-0.46666666666666545</v>
      </c>
      <c r="BN263" s="345">
        <f t="shared" si="383"/>
        <v>-0.36148648648648318</v>
      </c>
      <c r="BO263" s="341">
        <f t="shared" si="383"/>
        <v>-0.50000000000000022</v>
      </c>
      <c r="BP263" s="341">
        <f t="shared" si="383"/>
        <v>-0.37777777777777666</v>
      </c>
      <c r="BQ263" s="341">
        <f t="shared" si="383"/>
        <v>-0.38095238095236617</v>
      </c>
      <c r="BR263" s="341">
        <f t="shared" si="383"/>
        <v>-0.37500000000000167</v>
      </c>
      <c r="BS263" s="339">
        <f t="shared" si="383"/>
        <v>-0.41798941798941514</v>
      </c>
      <c r="BT263" s="341">
        <f t="shared" si="384"/>
        <v>-0.19354838709678468</v>
      </c>
      <c r="BU263" s="341">
        <f t="shared" si="384"/>
        <v>0.1428571428571308</v>
      </c>
      <c r="BV263" s="341">
        <f t="shared" si="384"/>
        <v>0.15384615384614109</v>
      </c>
      <c r="BW263" s="341">
        <f t="shared" si="384"/>
        <v>0.15999999999998682</v>
      </c>
      <c r="BX263" s="339">
        <f t="shared" si="384"/>
        <v>5.4545454545442462E-2</v>
      </c>
      <c r="BY263" s="341">
        <f t="shared" si="384"/>
        <v>0.27999999999999536</v>
      </c>
      <c r="BZ263" s="1106">
        <v>0</v>
      </c>
      <c r="CA263" s="1106">
        <v>0</v>
      </c>
      <c r="CB263" s="1106">
        <v>0</v>
      </c>
      <c r="CC263" s="339">
        <f t="shared" si="385"/>
        <v>6.0344827586205962E-2</v>
      </c>
      <c r="CD263" s="909">
        <v>0</v>
      </c>
      <c r="CE263" s="909">
        <v>0</v>
      </c>
      <c r="CF263" s="909">
        <v>0</v>
      </c>
      <c r="CG263" s="909">
        <v>0</v>
      </c>
      <c r="CH263" s="909">
        <v>0</v>
      </c>
    </row>
    <row r="264" spans="1:86" s="292" customFormat="1" hidden="1">
      <c r="A264" s="285"/>
      <c r="B264" s="285"/>
      <c r="C264" s="285"/>
      <c r="D264" s="285"/>
      <c r="E264" s="285"/>
      <c r="F264" s="285"/>
      <c r="G264" s="285"/>
      <c r="H264" s="976" t="s">
        <v>236</v>
      </c>
      <c r="I264" s="957"/>
      <c r="L264" s="297"/>
      <c r="M264" s="297"/>
      <c r="N264" s="297"/>
      <c r="O264" s="297"/>
      <c r="P264" s="348"/>
      <c r="Q264" s="297"/>
      <c r="R264" s="297"/>
      <c r="S264" s="297"/>
      <c r="T264" s="297"/>
      <c r="U264" s="296"/>
      <c r="V264" s="297"/>
      <c r="W264" s="297"/>
      <c r="X264" s="297"/>
      <c r="Y264" s="297"/>
      <c r="Z264" s="296"/>
      <c r="AA264" s="297"/>
      <c r="AB264" s="297"/>
      <c r="AC264" s="297"/>
      <c r="AD264" s="297"/>
      <c r="AE264" s="296"/>
      <c r="AF264" s="297"/>
      <c r="AG264" s="297"/>
      <c r="AH264" s="297"/>
      <c r="AI264" s="297"/>
      <c r="AJ264" s="296"/>
      <c r="AK264" s="297"/>
      <c r="AL264" s="297"/>
      <c r="AM264" s="297"/>
      <c r="AN264" s="297"/>
      <c r="AO264" s="848"/>
      <c r="AP264" s="847"/>
      <c r="AQ264" s="847"/>
      <c r="AR264" s="847"/>
      <c r="AS264" s="847"/>
      <c r="AT264" s="848"/>
      <c r="AU264" s="847"/>
      <c r="AV264" s="847"/>
      <c r="AW264" s="847"/>
      <c r="AX264" s="847"/>
      <c r="AY264" s="848"/>
      <c r="AZ264" s="979" t="str">
        <f t="shared" ref="AZ264:BI266" si="386">IF(ISERROR(AZ34/AU34-1),"NM",(AZ34/AU34-1))</f>
        <v>NM</v>
      </c>
      <c r="BA264" s="979">
        <f t="shared" si="386"/>
        <v>1.6666666666666665</v>
      </c>
      <c r="BB264" s="979">
        <f t="shared" si="386"/>
        <v>0</v>
      </c>
      <c r="BC264" s="979">
        <f t="shared" si="386"/>
        <v>-1</v>
      </c>
      <c r="BD264" s="980">
        <f t="shared" si="386"/>
        <v>4.7619047619047672E-2</v>
      </c>
      <c r="BE264" s="979">
        <f t="shared" si="386"/>
        <v>0</v>
      </c>
      <c r="BF264" s="979">
        <f t="shared" si="386"/>
        <v>-1</v>
      </c>
      <c r="BG264" s="979">
        <f t="shared" si="386"/>
        <v>-1</v>
      </c>
      <c r="BH264" s="979" t="str">
        <f t="shared" si="386"/>
        <v>NM</v>
      </c>
      <c r="BI264" s="980">
        <f t="shared" si="386"/>
        <v>-1</v>
      </c>
      <c r="BJ264" s="979">
        <f t="shared" ref="BJ264:BS266" si="387">IF(ISERROR(BJ34/BE34-1),"NM",(BJ34/BE34-1))</f>
        <v>-1</v>
      </c>
      <c r="BK264" s="979" t="str">
        <f t="shared" si="387"/>
        <v>NM</v>
      </c>
      <c r="BL264" s="979" t="str">
        <f t="shared" si="387"/>
        <v>NM</v>
      </c>
      <c r="BM264" s="979" t="str">
        <f t="shared" si="387"/>
        <v>NM</v>
      </c>
      <c r="BN264" s="980" t="str">
        <f t="shared" si="387"/>
        <v>NM</v>
      </c>
      <c r="BO264" s="1107" t="str">
        <f t="shared" si="387"/>
        <v>NM</v>
      </c>
      <c r="BP264" s="1107" t="str">
        <f t="shared" si="387"/>
        <v>NM</v>
      </c>
      <c r="BQ264" s="1107" t="str">
        <f t="shared" si="387"/>
        <v>NM</v>
      </c>
      <c r="BR264" s="1107" t="str">
        <f t="shared" si="387"/>
        <v>NM</v>
      </c>
      <c r="BS264" s="980" t="str">
        <f t="shared" si="387"/>
        <v>NM</v>
      </c>
      <c r="BT264" s="1107" t="str">
        <f>IF(ISERROR(BT34/BO34-1),"NM",(BT34/BO34-1))</f>
        <v>NM</v>
      </c>
      <c r="BU264" s="979"/>
      <c r="BV264" s="979"/>
      <c r="BW264" s="979"/>
      <c r="BX264" s="980" t="str">
        <f>IF(ISERROR(BX34/BS34-1),"NM",(BX34/BS34-1))</f>
        <v>NM</v>
      </c>
      <c r="BY264" s="1107" t="str">
        <f t="shared" si="384"/>
        <v>NM</v>
      </c>
      <c r="BZ264" s="1107" t="str">
        <f t="shared" ref="BZ264:CB266" si="388">IF(ISERROR(BZ34/BU34-1),"NM",(BZ34/BU34-1))</f>
        <v>NM</v>
      </c>
      <c r="CA264" s="1107" t="str">
        <f t="shared" si="388"/>
        <v>NM</v>
      </c>
      <c r="CB264" s="1107" t="str">
        <f t="shared" si="388"/>
        <v>NM</v>
      </c>
      <c r="CC264" s="980" t="str">
        <f t="shared" si="385"/>
        <v>NM</v>
      </c>
      <c r="CD264" s="980" t="str">
        <f t="shared" ref="CD264:CH266" si="389">IF(ISERROR(CD34/CC34-1),"NM",(CD34/CC34-1))</f>
        <v>NM</v>
      </c>
      <c r="CE264" s="980" t="str">
        <f t="shared" si="389"/>
        <v>NM</v>
      </c>
      <c r="CF264" s="980" t="str">
        <f t="shared" si="389"/>
        <v>NM</v>
      </c>
      <c r="CG264" s="980" t="str">
        <f t="shared" si="389"/>
        <v>NM</v>
      </c>
      <c r="CH264" s="980" t="str">
        <f t="shared" si="389"/>
        <v>NM</v>
      </c>
    </row>
    <row r="265" spans="1:86" s="292" customFormat="1" hidden="1">
      <c r="A265" s="285"/>
      <c r="B265" s="285"/>
      <c r="C265" s="285"/>
      <c r="D265" s="285"/>
      <c r="E265" s="285"/>
      <c r="F265" s="285"/>
      <c r="G265" s="285"/>
      <c r="H265" s="939" t="s">
        <v>231</v>
      </c>
      <c r="I265" s="957"/>
      <c r="L265" s="297"/>
      <c r="M265" s="297"/>
      <c r="N265" s="297"/>
      <c r="O265" s="297"/>
      <c r="P265" s="348"/>
      <c r="Q265" s="297"/>
      <c r="R265" s="297"/>
      <c r="S265" s="297"/>
      <c r="T265" s="297"/>
      <c r="U265" s="296"/>
      <c r="V265" s="297"/>
      <c r="W265" s="297"/>
      <c r="X265" s="297"/>
      <c r="Y265" s="297"/>
      <c r="Z265" s="296"/>
      <c r="AA265" s="297"/>
      <c r="AB265" s="297"/>
      <c r="AC265" s="297"/>
      <c r="AD265" s="297"/>
      <c r="AE265" s="296"/>
      <c r="AF265" s="297"/>
      <c r="AG265" s="297"/>
      <c r="AH265" s="297"/>
      <c r="AI265" s="297"/>
      <c r="AJ265" s="296"/>
      <c r="AK265" s="297"/>
      <c r="AL265" s="297"/>
      <c r="AM265" s="297"/>
      <c r="AN265" s="297"/>
      <c r="AO265" s="848"/>
      <c r="AP265" s="847"/>
      <c r="AQ265" s="847"/>
      <c r="AR265" s="847"/>
      <c r="AS265" s="847"/>
      <c r="AT265" s="848"/>
      <c r="AU265" s="847"/>
      <c r="AV265" s="847"/>
      <c r="AW265" s="847"/>
      <c r="AX265" s="847"/>
      <c r="AY265" s="848"/>
      <c r="AZ265" s="847" t="str">
        <f t="shared" si="386"/>
        <v>NM</v>
      </c>
      <c r="BA265" s="847" t="str">
        <f t="shared" si="386"/>
        <v>NM</v>
      </c>
      <c r="BB265" s="847">
        <f t="shared" si="386"/>
        <v>7</v>
      </c>
      <c r="BC265" s="847">
        <f t="shared" si="386"/>
        <v>-1</v>
      </c>
      <c r="BD265" s="848">
        <f t="shared" si="386"/>
        <v>-4.7619047619047672E-2</v>
      </c>
      <c r="BE265" s="847">
        <f t="shared" si="386"/>
        <v>0</v>
      </c>
      <c r="BF265" s="847">
        <f t="shared" si="386"/>
        <v>-1</v>
      </c>
      <c r="BG265" s="847">
        <f t="shared" si="386"/>
        <v>-1</v>
      </c>
      <c r="BH265" s="847" t="str">
        <f t="shared" si="386"/>
        <v>NM</v>
      </c>
      <c r="BI265" s="848">
        <f t="shared" si="386"/>
        <v>-1</v>
      </c>
      <c r="BJ265" s="847">
        <f t="shared" si="387"/>
        <v>-1</v>
      </c>
      <c r="BK265" s="919" t="str">
        <f t="shared" si="387"/>
        <v>NM</v>
      </c>
      <c r="BL265" s="919" t="str">
        <f t="shared" si="387"/>
        <v>NM</v>
      </c>
      <c r="BM265" s="919" t="str">
        <f t="shared" si="387"/>
        <v>NM</v>
      </c>
      <c r="BN265" s="848" t="str">
        <f t="shared" si="387"/>
        <v>NM</v>
      </c>
      <c r="BO265" s="1108" t="str">
        <f t="shared" si="387"/>
        <v>NM</v>
      </c>
      <c r="BP265" s="1108" t="str">
        <f t="shared" si="387"/>
        <v>NM</v>
      </c>
      <c r="BQ265" s="1108" t="str">
        <f t="shared" si="387"/>
        <v>NM</v>
      </c>
      <c r="BR265" s="1108" t="str">
        <f t="shared" si="387"/>
        <v>NM</v>
      </c>
      <c r="BS265" s="848" t="str">
        <f t="shared" si="387"/>
        <v>NM</v>
      </c>
      <c r="BT265" s="1108" t="str">
        <f>IF(ISERROR(BT35/BO35-1),"NM",(BT35/BO35-1))</f>
        <v>NM</v>
      </c>
      <c r="BU265" s="919"/>
      <c r="BV265" s="919"/>
      <c r="BW265" s="919"/>
      <c r="BX265" s="848" t="str">
        <f>IF(ISERROR(BX35/BS35-1),"NM",(BX35/BS35-1))</f>
        <v>NM</v>
      </c>
      <c r="BY265" s="1108" t="str">
        <f t="shared" si="384"/>
        <v>NM</v>
      </c>
      <c r="BZ265" s="1108" t="str">
        <f t="shared" si="388"/>
        <v>NM</v>
      </c>
      <c r="CA265" s="1108" t="str">
        <f t="shared" si="388"/>
        <v>NM</v>
      </c>
      <c r="CB265" s="1108" t="str">
        <f t="shared" si="388"/>
        <v>NM</v>
      </c>
      <c r="CC265" s="848" t="str">
        <f t="shared" si="385"/>
        <v>NM</v>
      </c>
      <c r="CD265" s="848" t="str">
        <f t="shared" si="389"/>
        <v>NM</v>
      </c>
      <c r="CE265" s="848" t="str">
        <f t="shared" si="389"/>
        <v>NM</v>
      </c>
      <c r="CF265" s="848" t="str">
        <f t="shared" si="389"/>
        <v>NM</v>
      </c>
      <c r="CG265" s="848" t="str">
        <f t="shared" si="389"/>
        <v>NM</v>
      </c>
      <c r="CH265" s="848" t="str">
        <f t="shared" si="389"/>
        <v>NM</v>
      </c>
    </row>
    <row r="266" spans="1:86" s="292" customFormat="1" hidden="1">
      <c r="A266" s="285"/>
      <c r="B266" s="285"/>
      <c r="C266" s="285"/>
      <c r="D266" s="285"/>
      <c r="E266" s="285"/>
      <c r="F266" s="285"/>
      <c r="G266" s="285"/>
      <c r="H266" s="939" t="s">
        <v>232</v>
      </c>
      <c r="I266" s="957"/>
      <c r="L266" s="297"/>
      <c r="M266" s="297"/>
      <c r="N266" s="297"/>
      <c r="O266" s="297"/>
      <c r="P266" s="348"/>
      <c r="Q266" s="297"/>
      <c r="R266" s="297"/>
      <c r="S266" s="297"/>
      <c r="T266" s="297"/>
      <c r="U266" s="296"/>
      <c r="V266" s="297"/>
      <c r="W266" s="297"/>
      <c r="X266" s="297"/>
      <c r="Y266" s="297"/>
      <c r="Z266" s="296"/>
      <c r="AA266" s="297"/>
      <c r="AB266" s="297"/>
      <c r="AC266" s="297"/>
      <c r="AD266" s="297"/>
      <c r="AE266" s="296"/>
      <c r="AF266" s="297"/>
      <c r="AG266" s="297"/>
      <c r="AH266" s="297"/>
      <c r="AI266" s="297"/>
      <c r="AJ266" s="296"/>
      <c r="AK266" s="297"/>
      <c r="AL266" s="297"/>
      <c r="AM266" s="297"/>
      <c r="AN266" s="297"/>
      <c r="AO266" s="848"/>
      <c r="AP266" s="847"/>
      <c r="AQ266" s="847"/>
      <c r="AR266" s="847"/>
      <c r="AS266" s="847"/>
      <c r="AT266" s="848"/>
      <c r="AU266" s="847"/>
      <c r="AV266" s="847"/>
      <c r="AW266" s="847"/>
      <c r="AX266" s="847"/>
      <c r="AY266" s="848"/>
      <c r="AZ266" s="847" t="str">
        <f t="shared" si="386"/>
        <v>NM</v>
      </c>
      <c r="BA266" s="847">
        <f t="shared" si="386"/>
        <v>-0.66666666666666663</v>
      </c>
      <c r="BB266" s="847">
        <f t="shared" si="386"/>
        <v>-0.875</v>
      </c>
      <c r="BC266" s="847">
        <f t="shared" si="386"/>
        <v>-1</v>
      </c>
      <c r="BD266" s="848" t="str">
        <f t="shared" si="386"/>
        <v>NM</v>
      </c>
      <c r="BE266" s="847" t="str">
        <f t="shared" si="386"/>
        <v>NM</v>
      </c>
      <c r="BF266" s="847">
        <f t="shared" si="386"/>
        <v>-1</v>
      </c>
      <c r="BG266" s="847">
        <f t="shared" si="386"/>
        <v>-1</v>
      </c>
      <c r="BH266" s="847" t="str">
        <f t="shared" si="386"/>
        <v>NM</v>
      </c>
      <c r="BI266" s="848">
        <f t="shared" si="386"/>
        <v>-1</v>
      </c>
      <c r="BJ266" s="847" t="str">
        <f t="shared" si="387"/>
        <v>NM</v>
      </c>
      <c r="BK266" s="919" t="str">
        <f t="shared" si="387"/>
        <v>NM</v>
      </c>
      <c r="BL266" s="919" t="str">
        <f t="shared" si="387"/>
        <v>NM</v>
      </c>
      <c r="BM266" s="919" t="str">
        <f t="shared" si="387"/>
        <v>NM</v>
      </c>
      <c r="BN266" s="848" t="str">
        <f t="shared" si="387"/>
        <v>NM</v>
      </c>
      <c r="BO266" s="1108" t="str">
        <f t="shared" si="387"/>
        <v>NM</v>
      </c>
      <c r="BP266" s="1108" t="str">
        <f t="shared" si="387"/>
        <v>NM</v>
      </c>
      <c r="BQ266" s="1108" t="str">
        <f t="shared" si="387"/>
        <v>NM</v>
      </c>
      <c r="BR266" s="1108" t="str">
        <f t="shared" si="387"/>
        <v>NM</v>
      </c>
      <c r="BS266" s="848" t="str">
        <f t="shared" si="387"/>
        <v>NM</v>
      </c>
      <c r="BT266" s="1108" t="str">
        <f>IF(ISERROR(BT36/BO36-1),"NM",(BT36/BO36-1))</f>
        <v>NM</v>
      </c>
      <c r="BU266" s="919"/>
      <c r="BV266" s="919"/>
      <c r="BW266" s="919"/>
      <c r="BX266" s="848" t="str">
        <f>IF(ISERROR(BX36/BS36-1),"NM",(BX36/BS36-1))</f>
        <v>NM</v>
      </c>
      <c r="BY266" s="1108" t="str">
        <f t="shared" si="384"/>
        <v>NM</v>
      </c>
      <c r="BZ266" s="1108" t="str">
        <f t="shared" si="388"/>
        <v>NM</v>
      </c>
      <c r="CA266" s="1108" t="str">
        <f t="shared" si="388"/>
        <v>NM</v>
      </c>
      <c r="CB266" s="1108" t="str">
        <f t="shared" si="388"/>
        <v>NM</v>
      </c>
      <c r="CC266" s="848" t="str">
        <f t="shared" si="385"/>
        <v>NM</v>
      </c>
      <c r="CD266" s="848" t="str">
        <f t="shared" si="389"/>
        <v>NM</v>
      </c>
      <c r="CE266" s="848" t="str">
        <f t="shared" si="389"/>
        <v>NM</v>
      </c>
      <c r="CF266" s="848" t="str">
        <f t="shared" si="389"/>
        <v>NM</v>
      </c>
      <c r="CG266" s="848" t="str">
        <f t="shared" si="389"/>
        <v>NM</v>
      </c>
      <c r="CH266" s="848" t="str">
        <f t="shared" si="389"/>
        <v>NM</v>
      </c>
    </row>
    <row r="267" spans="1:86" hidden="1">
      <c r="A267" s="9"/>
      <c r="B267" s="9"/>
      <c r="C267" s="9"/>
      <c r="D267" s="9"/>
      <c r="E267" s="9"/>
      <c r="F267" s="9"/>
      <c r="G267" s="9"/>
      <c r="H267" s="304" t="s">
        <v>235</v>
      </c>
      <c r="I267" s="304"/>
      <c r="L267" s="328">
        <v>-0.62611275964391688</v>
      </c>
      <c r="M267" s="328">
        <v>0.88607594936708867</v>
      </c>
      <c r="N267" s="328">
        <v>-3.703703703703709E-2</v>
      </c>
      <c r="O267" s="328">
        <v>-0.11842105263157887</v>
      </c>
      <c r="P267" s="330">
        <v>-0.2332859174964439</v>
      </c>
      <c r="Q267" s="328">
        <f t="shared" ref="Q267:T270" si="390">Q37/L37-1</f>
        <v>7.1428571428571397E-2</v>
      </c>
      <c r="R267" s="328">
        <f t="shared" si="390"/>
        <v>-0.26174496644295309</v>
      </c>
      <c r="S267" s="328">
        <f t="shared" si="390"/>
        <v>7.6923076923076872E-2</v>
      </c>
      <c r="T267" s="328">
        <f t="shared" si="390"/>
        <v>0.14179104477611926</v>
      </c>
      <c r="U267" s="330">
        <f>(U37/P37)-1</f>
        <v>-1.8552875695732052E-3</v>
      </c>
      <c r="V267" s="328">
        <f>V37/Q37-1</f>
        <v>6.6666666666666652E-2</v>
      </c>
      <c r="W267" s="328">
        <f>W37/R37-1</f>
        <v>0.1272727272727272</v>
      </c>
      <c r="X267" s="328">
        <f>X37/S37-1</f>
        <v>-3.5714285714285698E-2</v>
      </c>
      <c r="Y267" s="328">
        <f>Y37/T37-1</f>
        <v>0.21568627450980382</v>
      </c>
      <c r="Z267" s="330">
        <f>(Z37/U37)-1</f>
        <v>9.4795539033457166E-2</v>
      </c>
      <c r="AA267" s="328">
        <f>AA37/V37-1</f>
        <v>0.16666666666666674</v>
      </c>
      <c r="AB267" s="328">
        <f>AB37/W37-1</f>
        <v>0.15322580645161299</v>
      </c>
      <c r="AC267" s="328">
        <f>AC37/X37-1</f>
        <v>0.74814814814814801</v>
      </c>
      <c r="AD267" s="328">
        <f>AD37/Y37-1</f>
        <v>3.2258064516129004E-2</v>
      </c>
      <c r="AE267" s="330">
        <f>IF(ISERROR(AE37/Z37-1),"NM",(AE37/Z37-1))</f>
        <v>0.25466893039049232</v>
      </c>
      <c r="AF267" s="328">
        <f t="shared" ref="AF267:AI269" si="391">AF37/AA37-1</f>
        <v>8.3333333333333481E-2</v>
      </c>
      <c r="AG267" s="328">
        <f t="shared" si="391"/>
        <v>0.48111888111888113</v>
      </c>
      <c r="AH267" s="328">
        <f t="shared" si="391"/>
        <v>-9.3220338983050821E-2</v>
      </c>
      <c r="AI267" s="328">
        <f t="shared" si="391"/>
        <v>0.265625</v>
      </c>
      <c r="AJ267" s="330">
        <f>IF(ISERROR(AJ37/AE37-1),"NM",(AJ37/AE37-1))</f>
        <v>0.15128552097428982</v>
      </c>
      <c r="AK267" s="328">
        <f t="shared" ref="AK267:AN270" si="392">AK37/AF37-1</f>
        <v>-0.17032967032967039</v>
      </c>
      <c r="AL267" s="328">
        <f t="shared" si="392"/>
        <v>9.442870632672129E-4</v>
      </c>
      <c r="AM267" s="328">
        <f t="shared" si="392"/>
        <v>-9.3457943925233655E-2</v>
      </c>
      <c r="AN267" s="328">
        <f t="shared" si="392"/>
        <v>-0.11111111111111105</v>
      </c>
      <c r="AO267" s="352">
        <f>IF(ISERROR(AO37/AJ37-1),"NM",(AO37/AJ37-1))</f>
        <v>-9.1443347437705658E-2</v>
      </c>
      <c r="AP267" s="338">
        <f t="shared" ref="AP267:AS269" si="393">AP37/AK37-1</f>
        <v>0.1655629139072845</v>
      </c>
      <c r="AQ267" s="338">
        <f t="shared" si="393"/>
        <v>2.8301886792452935E-2</v>
      </c>
      <c r="AR267" s="338">
        <f t="shared" si="393"/>
        <v>7.2164948453608435E-2</v>
      </c>
      <c r="AS267" s="338">
        <f t="shared" si="393"/>
        <v>-0.19907407407407418</v>
      </c>
      <c r="AT267" s="736">
        <f>IF(ISERROR(AT37/AO37-1),"NM",(AT37/AO37-1))</f>
        <v>2.5873221216039521E-3</v>
      </c>
      <c r="AU267" s="338">
        <f t="shared" ref="AU267:AW269" si="394">AU37/AP37-1</f>
        <v>-0.19318181818181812</v>
      </c>
      <c r="AV267" s="338">
        <f t="shared" si="394"/>
        <v>-0.35321100917431192</v>
      </c>
      <c r="AW267" s="338">
        <f t="shared" si="394"/>
        <v>-0.69711538461538458</v>
      </c>
      <c r="AX267" s="338">
        <f>IF(ISERROR(AX37/AS37-1),"NM",(AX37/AS37-1))</f>
        <v>-0.8439306358381502</v>
      </c>
      <c r="AY267" s="736">
        <f>IF(ISERROR(AY37/AT37-1),"NM",(AY37/AT37-1))</f>
        <v>-0.51870967741935481</v>
      </c>
      <c r="AZ267" s="910"/>
      <c r="BA267" s="910"/>
      <c r="BB267" s="910"/>
      <c r="BC267" s="910"/>
      <c r="BD267" s="861"/>
      <c r="BE267" s="354"/>
      <c r="BF267" s="354"/>
      <c r="BG267" s="354"/>
      <c r="BH267" s="354"/>
      <c r="BI267" s="861"/>
      <c r="BJ267" s="354"/>
      <c r="BK267" s="910"/>
      <c r="BL267" s="910"/>
      <c r="BM267" s="910"/>
      <c r="BN267" s="861"/>
      <c r="BO267" s="1109"/>
      <c r="BP267" s="1109"/>
      <c r="BQ267" s="1109"/>
      <c r="BR267" s="1109"/>
      <c r="BS267" s="861"/>
      <c r="BT267" s="1109"/>
      <c r="BU267" s="910"/>
      <c r="BV267" s="910"/>
      <c r="BW267" s="910"/>
      <c r="BX267" s="861"/>
      <c r="BY267" s="1109"/>
      <c r="BZ267" s="1109"/>
      <c r="CA267" s="1109"/>
      <c r="CB267" s="1109"/>
      <c r="CC267" s="861"/>
      <c r="CD267" s="861"/>
      <c r="CE267" s="861"/>
      <c r="CF267" s="861"/>
      <c r="CG267" s="861"/>
      <c r="CH267" s="861"/>
    </row>
    <row r="268" spans="1:86" hidden="1">
      <c r="A268" s="9"/>
      <c r="B268" s="9"/>
      <c r="C268" s="9"/>
      <c r="D268" s="9"/>
      <c r="E268" s="9"/>
      <c r="F268" s="9"/>
      <c r="G268" s="9"/>
      <c r="H268" s="279" t="s">
        <v>1151</v>
      </c>
      <c r="I268" s="279"/>
      <c r="L268" s="325">
        <v>-0.63204747774480707</v>
      </c>
      <c r="M268" s="325">
        <v>0.83544303797468356</v>
      </c>
      <c r="N268" s="325">
        <v>-5.9259259259259345E-2</v>
      </c>
      <c r="O268" s="325">
        <v>-0.13907284768211914</v>
      </c>
      <c r="P268" s="48">
        <v>-0.25071225071225078</v>
      </c>
      <c r="Q268" s="325">
        <f t="shared" si="390"/>
        <v>4.8387096774193505E-2</v>
      </c>
      <c r="R268" s="325">
        <f t="shared" si="390"/>
        <v>-0.26896551724137929</v>
      </c>
      <c r="S268" s="325">
        <f t="shared" si="390"/>
        <v>7.0866141732283561E-2</v>
      </c>
      <c r="T268" s="325">
        <f t="shared" si="390"/>
        <v>0.13076923076923075</v>
      </c>
      <c r="U268" s="276">
        <f t="shared" ref="U268:AD270" si="395">IF(ISERROR(U38/P38-1),"NM",(U38/P38-1))</f>
        <v>-1.3307984790874472E-2</v>
      </c>
      <c r="V268" s="325">
        <f t="shared" si="395"/>
        <v>6.1538461538461542E-2</v>
      </c>
      <c r="W268" s="325">
        <f t="shared" si="395"/>
        <v>0.11320754716981152</v>
      </c>
      <c r="X268" s="325">
        <f t="shared" si="395"/>
        <v>-5.1470588235294046E-2</v>
      </c>
      <c r="Y268" s="325">
        <f t="shared" si="395"/>
        <v>0.21768707482993199</v>
      </c>
      <c r="Z268" s="276">
        <f t="shared" si="395"/>
        <v>8.6705202312138629E-2</v>
      </c>
      <c r="AA268" s="325">
        <f t="shared" si="395"/>
        <v>0.16666666666666674</v>
      </c>
      <c r="AB268" s="325">
        <f t="shared" si="395"/>
        <v>0.14406779661016933</v>
      </c>
      <c r="AC268" s="325">
        <f t="shared" si="395"/>
        <v>0.75968992248061995</v>
      </c>
      <c r="AD268" s="325">
        <f t="shared" si="395"/>
        <v>2.7932960893854775E-2</v>
      </c>
      <c r="AE268" s="276">
        <f>IF(ISERROR(AE38/Z38-1),"NM",(AE38/Z38-1))</f>
        <v>0.25354609929077987</v>
      </c>
      <c r="AF268" s="325">
        <f t="shared" si="391"/>
        <v>9.3167701863354102E-2</v>
      </c>
      <c r="AG268" s="325">
        <f t="shared" si="391"/>
        <v>0.5185185185185186</v>
      </c>
      <c r="AH268" s="325">
        <f t="shared" si="391"/>
        <v>-0.10132158590308371</v>
      </c>
      <c r="AI268" s="325">
        <f t="shared" si="391"/>
        <v>0.27173913043478271</v>
      </c>
      <c r="AJ268" s="276">
        <f>IF(ISERROR(AJ38/AE38-1),"NM",(AJ38/AE38-1))</f>
        <v>0.15841584158415878</v>
      </c>
      <c r="AK268" s="325">
        <f t="shared" si="392"/>
        <v>-0.1875</v>
      </c>
      <c r="AL268" s="325">
        <f t="shared" si="392"/>
        <v>-4.8780487804879202E-3</v>
      </c>
      <c r="AM268" s="325">
        <f t="shared" si="392"/>
        <v>-0.10784313725490191</v>
      </c>
      <c r="AN268" s="325">
        <f t="shared" si="392"/>
        <v>-0.12820512820512819</v>
      </c>
      <c r="AO268" s="345">
        <f>IF(ISERROR(AO38/AJ38-1),"NM",(AO38/AJ38-1))</f>
        <v>-0.10500610500610497</v>
      </c>
      <c r="AP268" s="341">
        <f t="shared" si="393"/>
        <v>0.18181818181818166</v>
      </c>
      <c r="AQ268" s="341">
        <f t="shared" si="393"/>
        <v>4.9019607843137081E-3</v>
      </c>
      <c r="AR268" s="341">
        <f t="shared" si="393"/>
        <v>7.6923076923077094E-2</v>
      </c>
      <c r="AS268" s="341">
        <f t="shared" si="393"/>
        <v>-0.19607843137254899</v>
      </c>
      <c r="AT268" s="345">
        <f>IF(ISERROR(AT38/AO38-1),"NM",(AT38/AO38-1))</f>
        <v>1.3642564802180956E-3</v>
      </c>
      <c r="AU268" s="341">
        <f t="shared" si="394"/>
        <v>-0.23076923076923073</v>
      </c>
      <c r="AV268" s="341">
        <f t="shared" si="394"/>
        <v>-0.36097560975609755</v>
      </c>
      <c r="AW268" s="341">
        <f t="shared" si="394"/>
        <v>-0.75510204081632659</v>
      </c>
      <c r="AX268" s="341">
        <f>AX38/AS38-1</f>
        <v>-0.91463414634146345</v>
      </c>
      <c r="AY268" s="345">
        <f>IF(ISERROR(AY38/AT38-1),"NM",(AY38/AT38-1))</f>
        <v>-0.55994550408719346</v>
      </c>
      <c r="AZ268" s="912"/>
      <c r="BA268" s="912"/>
      <c r="BB268" s="912"/>
      <c r="BC268" s="912"/>
      <c r="BD268" s="861"/>
      <c r="BE268" s="369"/>
      <c r="BF268" s="369"/>
      <c r="BG268" s="369"/>
      <c r="BH268" s="369"/>
      <c r="BI268" s="914"/>
      <c r="BJ268" s="369"/>
      <c r="BK268" s="911"/>
      <c r="BL268" s="911"/>
      <c r="BM268" s="911"/>
      <c r="BN268" s="914"/>
      <c r="BO268" s="1110"/>
      <c r="BP268" s="1110"/>
      <c r="BQ268" s="1110"/>
      <c r="BR268" s="1110"/>
      <c r="BS268" s="914"/>
      <c r="BT268" s="1110"/>
      <c r="BU268" s="911"/>
      <c r="BV268" s="911"/>
      <c r="BW268" s="911"/>
      <c r="BX268" s="914"/>
      <c r="BY268" s="1110"/>
      <c r="BZ268" s="1110"/>
      <c r="CA268" s="1110"/>
      <c r="CB268" s="1110"/>
      <c r="CC268" s="914"/>
      <c r="CD268" s="914"/>
      <c r="CE268" s="914"/>
      <c r="CF268" s="914"/>
      <c r="CG268" s="914"/>
      <c r="CH268" s="914"/>
    </row>
    <row r="269" spans="1:86" hidden="1">
      <c r="A269" s="9"/>
      <c r="B269" s="9"/>
      <c r="C269" s="9"/>
      <c r="D269" s="9"/>
      <c r="E269" s="9"/>
      <c r="F269" s="9"/>
      <c r="G269" s="9"/>
      <c r="H269" s="279" t="s">
        <v>232</v>
      </c>
      <c r="I269" s="279"/>
      <c r="L269" s="325"/>
      <c r="M269" s="325"/>
      <c r="N269" s="325"/>
      <c r="O269" s="325"/>
      <c r="P269" s="48"/>
      <c r="Q269" s="325">
        <f t="shared" si="390"/>
        <v>1.5</v>
      </c>
      <c r="R269" s="325">
        <f t="shared" si="390"/>
        <v>0</v>
      </c>
      <c r="S269" s="325">
        <f t="shared" si="390"/>
        <v>0.33333333333333348</v>
      </c>
      <c r="T269" s="325">
        <f t="shared" si="390"/>
        <v>0.49999999999999978</v>
      </c>
      <c r="U269" s="276">
        <f t="shared" si="395"/>
        <v>0.46153846153846145</v>
      </c>
      <c r="V269" s="325">
        <f t="shared" si="395"/>
        <v>0.19999999999999996</v>
      </c>
      <c r="W269" s="325">
        <f t="shared" si="395"/>
        <v>0.49999999999999978</v>
      </c>
      <c r="X269" s="325">
        <f t="shared" si="395"/>
        <v>0.49999999999999978</v>
      </c>
      <c r="Y269" s="325">
        <f t="shared" si="395"/>
        <v>0.16666666666666674</v>
      </c>
      <c r="Z269" s="276">
        <f t="shared" si="395"/>
        <v>0.31578947368421062</v>
      </c>
      <c r="AA269" s="325">
        <f t="shared" si="395"/>
        <v>0.16666666666666674</v>
      </c>
      <c r="AB269" s="325">
        <f t="shared" si="395"/>
        <v>0.33333333333333348</v>
      </c>
      <c r="AC269" s="325">
        <f t="shared" si="395"/>
        <v>0.5</v>
      </c>
      <c r="AD269" s="325">
        <f t="shared" si="395"/>
        <v>0.14285714285714302</v>
      </c>
      <c r="AE269" s="276">
        <f>IF(ISERROR(AE39/Z39-1),"NM",(AE39/Z39-1))</f>
        <v>0.28000000000000003</v>
      </c>
      <c r="AF269" s="325">
        <f t="shared" si="391"/>
        <v>-0.14285714285714279</v>
      </c>
      <c r="AG269" s="325">
        <f t="shared" si="391"/>
        <v>-0.15000000000000002</v>
      </c>
      <c r="AH269" s="325">
        <f t="shared" si="391"/>
        <v>0.11111111111111116</v>
      </c>
      <c r="AI269" s="325">
        <f t="shared" si="391"/>
        <v>0.125</v>
      </c>
      <c r="AJ269" s="276">
        <f>IF(ISERROR(AJ39/AE39-1),"NM",(AJ39/AE39-1))</f>
        <v>-6.2499999999999778E-3</v>
      </c>
      <c r="AK269" s="325">
        <f t="shared" si="392"/>
        <v>0.33333333333333348</v>
      </c>
      <c r="AL269" s="325">
        <f t="shared" si="392"/>
        <v>0.17647058823529416</v>
      </c>
      <c r="AM269" s="325">
        <f t="shared" si="392"/>
        <v>0.19999999999999996</v>
      </c>
      <c r="AN269" s="325">
        <f t="shared" si="392"/>
        <v>0.33333333333333326</v>
      </c>
      <c r="AO269" s="345">
        <f>IF(ISERROR(AO39/AJ39-1),"NM",(AO39/AJ39-1))</f>
        <v>0.25786163522012573</v>
      </c>
      <c r="AP269" s="341">
        <f t="shared" si="393"/>
        <v>-0.12500000000000011</v>
      </c>
      <c r="AQ269" s="341">
        <f t="shared" si="393"/>
        <v>0.625</v>
      </c>
      <c r="AR269" s="341">
        <f t="shared" si="393"/>
        <v>0</v>
      </c>
      <c r="AS269" s="341">
        <f t="shared" si="393"/>
        <v>-0.25</v>
      </c>
      <c r="AT269" s="345">
        <f>IF(ISERROR(AT39/AO39-1),"NM",(AT39/AO39-1))</f>
        <v>2.5000000000000133E-2</v>
      </c>
      <c r="AU269" s="341">
        <f t="shared" si="394"/>
        <v>0.71428571428571441</v>
      </c>
      <c r="AV269" s="341">
        <f t="shared" si="394"/>
        <v>-0.23076923076923084</v>
      </c>
      <c r="AW269" s="341">
        <f t="shared" si="394"/>
        <v>0.25</v>
      </c>
      <c r="AX269" s="341">
        <f>AX39/AS39-1</f>
        <v>0.44444444444444442</v>
      </c>
      <c r="AY269" s="345">
        <f>IF(ISERROR(AY39/AT39-1),"NM",(AY39/AT39-1))</f>
        <v>0.21951219512195097</v>
      </c>
      <c r="AZ269" s="912"/>
      <c r="BA269" s="912"/>
      <c r="BB269" s="912"/>
      <c r="BC269" s="912"/>
      <c r="BD269" s="914"/>
      <c r="BE269" s="342"/>
      <c r="BF269" s="342"/>
      <c r="BG269" s="342"/>
      <c r="BH269" s="342"/>
      <c r="BI269" s="913"/>
      <c r="BJ269" s="342"/>
      <c r="BK269" s="915"/>
      <c r="BL269" s="915"/>
      <c r="BM269" s="915"/>
      <c r="BN269" s="913"/>
      <c r="BO269" s="1111"/>
      <c r="BP269" s="1111"/>
      <c r="BQ269" s="1111"/>
      <c r="BR269" s="1111"/>
      <c r="BS269" s="773"/>
      <c r="BT269" s="1111"/>
      <c r="BU269" s="915"/>
      <c r="BV269" s="915"/>
      <c r="BW269" s="915"/>
      <c r="BX269" s="913"/>
      <c r="BY269" s="1111"/>
      <c r="BZ269" s="1111"/>
      <c r="CA269" s="1111"/>
      <c r="CB269" s="1111"/>
      <c r="CC269" s="913"/>
      <c r="CD269" s="913"/>
      <c r="CE269" s="913"/>
      <c r="CF269" s="913"/>
      <c r="CG269" s="913"/>
      <c r="CH269" s="913"/>
    </row>
    <row r="270" spans="1:86" hidden="1">
      <c r="A270" s="9"/>
      <c r="B270" s="9"/>
      <c r="C270" s="9"/>
      <c r="D270" s="9"/>
      <c r="E270" s="9"/>
      <c r="F270" s="9"/>
      <c r="G270" s="9"/>
      <c r="H270" s="306" t="s">
        <v>295</v>
      </c>
      <c r="I270" s="306"/>
      <c r="L270" s="333"/>
      <c r="M270" s="333"/>
      <c r="N270" s="333"/>
      <c r="O270" s="333"/>
      <c r="P270" s="330">
        <v>4.1714285714285708</v>
      </c>
      <c r="Q270" s="328">
        <f t="shared" si="390"/>
        <v>-2.0408163265306256E-2</v>
      </c>
      <c r="R270" s="328">
        <f t="shared" si="390"/>
        <v>-2.0833333333333259E-2</v>
      </c>
      <c r="S270" s="328">
        <f t="shared" si="390"/>
        <v>0.38888888888888884</v>
      </c>
      <c r="T270" s="328">
        <f t="shared" si="390"/>
        <v>0.14583333333333348</v>
      </c>
      <c r="U270" s="330">
        <f t="shared" si="395"/>
        <v>0.10497237569060758</v>
      </c>
      <c r="V270" s="328">
        <f t="shared" si="395"/>
        <v>0.12500000000000022</v>
      </c>
      <c r="W270" s="328">
        <f t="shared" si="395"/>
        <v>0.2127659574468086</v>
      </c>
      <c r="X270" s="328">
        <f t="shared" si="395"/>
        <v>0.14000000000000012</v>
      </c>
      <c r="Y270" s="328">
        <f t="shared" si="395"/>
        <v>0</v>
      </c>
      <c r="Z270" s="330">
        <f t="shared" si="395"/>
        <v>0.11499999999999999</v>
      </c>
      <c r="AA270" s="328">
        <f t="shared" si="395"/>
        <v>0</v>
      </c>
      <c r="AB270" s="328">
        <f t="shared" si="395"/>
        <v>0.26315789473684204</v>
      </c>
      <c r="AC270" s="328">
        <f t="shared" si="395"/>
        <v>0.10526315789473673</v>
      </c>
      <c r="AD270" s="328">
        <f t="shared" si="395"/>
        <v>0.1272727272727272</v>
      </c>
      <c r="AE270" s="330">
        <f>IF(ISERROR(AE40/Z40-1),"NM",(AE40/Z40-1))</f>
        <v>0.12556053811659185</v>
      </c>
      <c r="AF270" s="328">
        <f>IF(ISERROR(AF40/AA40-1),"NM",(AF40/AA40-1))</f>
        <v>0.14814814814814814</v>
      </c>
      <c r="AG270" s="328">
        <f>IF(ISERROR(AG40/AB40-1),"NM",(AG40/AB40-1))</f>
        <v>-0.23750000000000004</v>
      </c>
      <c r="AH270" s="328">
        <f>AH40/AC40-1</f>
        <v>-0.30158730158730152</v>
      </c>
      <c r="AI270" s="328">
        <f>AI40/AD40-1</f>
        <v>-0.11290322580645162</v>
      </c>
      <c r="AJ270" s="330">
        <f>IF(ISERROR(AJ40/AE40-1),"NM",(AJ40/AE40-1))</f>
        <v>-0.13984063745019915</v>
      </c>
      <c r="AK270" s="328">
        <f t="shared" si="392"/>
        <v>-0.11290322580645162</v>
      </c>
      <c r="AL270" s="328">
        <f t="shared" si="392"/>
        <v>-0.14389799635701273</v>
      </c>
      <c r="AM270" s="328">
        <f t="shared" si="392"/>
        <v>2.2727272727272707E-2</v>
      </c>
      <c r="AN270" s="328">
        <f t="shared" si="392"/>
        <v>-3.6363636363636376E-2</v>
      </c>
      <c r="AO270" s="352">
        <f>IF(ISERROR(AO40/AJ40-1),"NM",(AO40/AJ40-1))</f>
        <v>-7.3645206113941764E-2</v>
      </c>
      <c r="AP270" s="910"/>
      <c r="AQ270" s="910"/>
      <c r="AR270" s="910"/>
      <c r="AS270" s="910"/>
      <c r="AT270" s="782"/>
      <c r="AU270" s="910"/>
      <c r="AV270" s="910"/>
      <c r="AW270" s="910"/>
      <c r="AX270" s="910"/>
      <c r="AY270" s="782"/>
      <c r="AZ270" s="910"/>
      <c r="BA270" s="910"/>
      <c r="BB270" s="910"/>
      <c r="BC270" s="910"/>
      <c r="BD270" s="861"/>
      <c r="BE270" s="354"/>
      <c r="BF270" s="354"/>
      <c r="BG270" s="354"/>
      <c r="BH270" s="354"/>
      <c r="BI270" s="861"/>
      <c r="BJ270" s="354"/>
      <c r="BK270" s="910"/>
      <c r="BL270" s="910"/>
      <c r="BM270" s="910"/>
      <c r="BN270" s="861"/>
      <c r="BO270" s="1109"/>
      <c r="BP270" s="1109"/>
      <c r="BQ270" s="1109"/>
      <c r="BR270" s="1109"/>
      <c r="BS270" s="861"/>
      <c r="BT270" s="1109"/>
      <c r="BU270" s="910"/>
      <c r="BV270" s="910"/>
      <c r="BW270" s="910"/>
      <c r="BX270" s="861"/>
      <c r="BY270" s="1109"/>
      <c r="BZ270" s="1109"/>
      <c r="CA270" s="1109"/>
      <c r="CB270" s="1109"/>
      <c r="CC270" s="861"/>
      <c r="CD270" s="861"/>
      <c r="CE270" s="861"/>
      <c r="CF270" s="861"/>
      <c r="CG270" s="861"/>
      <c r="CH270" s="861"/>
    </row>
    <row r="271" spans="1:86" hidden="1">
      <c r="A271" s="9"/>
      <c r="B271" s="9"/>
      <c r="C271" s="9"/>
      <c r="D271" s="9"/>
      <c r="E271" s="9"/>
      <c r="F271" s="9"/>
      <c r="G271" s="9"/>
      <c r="H271" s="279" t="s">
        <v>231</v>
      </c>
      <c r="I271" s="279"/>
      <c r="L271" s="335"/>
      <c r="M271" s="335"/>
      <c r="N271" s="335"/>
      <c r="O271" s="335"/>
      <c r="P271" s="48"/>
      <c r="Q271" s="335"/>
      <c r="R271" s="335"/>
      <c r="S271" s="335"/>
      <c r="T271" s="335"/>
      <c r="U271" s="48"/>
      <c r="V271" s="335"/>
      <c r="W271" s="335"/>
      <c r="X271" s="335"/>
      <c r="Y271" s="335"/>
      <c r="Z271" s="48"/>
      <c r="AA271" s="335"/>
      <c r="AB271" s="335"/>
      <c r="AC271" s="335"/>
      <c r="AD271" s="335"/>
      <c r="AE271" s="276"/>
      <c r="AF271" s="335"/>
      <c r="AG271" s="335"/>
      <c r="AH271" s="335"/>
      <c r="AI271" s="335"/>
      <c r="AJ271" s="276"/>
      <c r="AK271" s="335"/>
      <c r="AL271" s="335"/>
      <c r="AM271" s="335"/>
      <c r="AN271" s="335"/>
      <c r="AO271" s="345"/>
      <c r="AP271" s="911"/>
      <c r="AQ271" s="912"/>
      <c r="AR271" s="912"/>
      <c r="AS271" s="912"/>
      <c r="AT271" s="773"/>
      <c r="AU271" s="912"/>
      <c r="AV271" s="912"/>
      <c r="AW271" s="912"/>
      <c r="AX271" s="912"/>
      <c r="AY271" s="913"/>
      <c r="AZ271" s="912"/>
      <c r="BA271" s="912"/>
      <c r="BB271" s="912"/>
      <c r="BC271" s="912"/>
      <c r="BD271" s="914"/>
      <c r="BE271" s="369"/>
      <c r="BF271" s="369"/>
      <c r="BG271" s="369"/>
      <c r="BH271" s="369"/>
      <c r="BI271" s="914"/>
      <c r="BJ271" s="369"/>
      <c r="BK271" s="911"/>
      <c r="BL271" s="911"/>
      <c r="BM271" s="911"/>
      <c r="BN271" s="914"/>
      <c r="BO271" s="1110"/>
      <c r="BP271" s="1110"/>
      <c r="BQ271" s="1110"/>
      <c r="BR271" s="1110"/>
      <c r="BS271" s="914"/>
      <c r="BT271" s="1110"/>
      <c r="BU271" s="911"/>
      <c r="BV271" s="911"/>
      <c r="BW271" s="911"/>
      <c r="BX271" s="914"/>
      <c r="BY271" s="1110"/>
      <c r="BZ271" s="1110"/>
      <c r="CA271" s="1110"/>
      <c r="CB271" s="1110"/>
      <c r="CC271" s="914"/>
      <c r="CD271" s="914"/>
      <c r="CE271" s="914"/>
      <c r="CF271" s="914"/>
      <c r="CG271" s="914"/>
      <c r="CH271" s="914"/>
    </row>
    <row r="272" spans="1:86" hidden="1">
      <c r="A272" s="9"/>
      <c r="B272" s="9"/>
      <c r="C272" s="9"/>
      <c r="D272" s="9"/>
      <c r="E272" s="9"/>
      <c r="F272" s="9"/>
      <c r="G272" s="9"/>
      <c r="H272" s="279" t="s">
        <v>232</v>
      </c>
      <c r="I272" s="279"/>
      <c r="L272" s="336"/>
      <c r="M272" s="336"/>
      <c r="N272" s="336"/>
      <c r="O272" s="336"/>
      <c r="P272" s="48">
        <v>4.1714285714285708</v>
      </c>
      <c r="Q272" s="325">
        <f t="shared" ref="Q272:T273" si="396">Q42/L42-1</f>
        <v>-2.0408163265306256E-2</v>
      </c>
      <c r="R272" s="325">
        <f t="shared" si="396"/>
        <v>-2.0833333333333259E-2</v>
      </c>
      <c r="S272" s="325">
        <f t="shared" si="396"/>
        <v>0.38888888888888884</v>
      </c>
      <c r="T272" s="325">
        <f t="shared" si="396"/>
        <v>0.14583333333333348</v>
      </c>
      <c r="U272" s="48">
        <f t="shared" ref="U272:AD273" si="397">IF(ISERROR(U42/P42-1),"NM",(U42/P42-1))</f>
        <v>0.10497237569060758</v>
      </c>
      <c r="V272" s="325">
        <f t="shared" si="397"/>
        <v>0.12500000000000022</v>
      </c>
      <c r="W272" s="325">
        <f t="shared" si="397"/>
        <v>0.2127659574468086</v>
      </c>
      <c r="X272" s="325">
        <f t="shared" si="397"/>
        <v>0.14000000000000012</v>
      </c>
      <c r="Y272" s="325">
        <f t="shared" si="397"/>
        <v>0</v>
      </c>
      <c r="Z272" s="48">
        <f t="shared" si="397"/>
        <v>0.11499999999999999</v>
      </c>
      <c r="AA272" s="325">
        <f t="shared" si="397"/>
        <v>0</v>
      </c>
      <c r="AB272" s="325">
        <f t="shared" si="397"/>
        <v>0.26315789473684204</v>
      </c>
      <c r="AC272" s="325">
        <f t="shared" si="397"/>
        <v>0.10526315789473673</v>
      </c>
      <c r="AD272" s="325">
        <f t="shared" si="397"/>
        <v>0.1272727272727272</v>
      </c>
      <c r="AE272" s="276">
        <f t="shared" ref="AE272:AN273" si="398">IF(ISERROR(AE42/Z42-1),"NM",(AE42/Z42-1))</f>
        <v>0.12556053811659185</v>
      </c>
      <c r="AF272" s="325">
        <f t="shared" si="398"/>
        <v>0.14814814814814814</v>
      </c>
      <c r="AG272" s="325">
        <f t="shared" si="398"/>
        <v>-0.23750000000000004</v>
      </c>
      <c r="AH272" s="325">
        <f t="shared" si="398"/>
        <v>-0.30158730158730152</v>
      </c>
      <c r="AI272" s="325">
        <f t="shared" si="398"/>
        <v>-0.11290322580645162</v>
      </c>
      <c r="AJ272" s="276">
        <f t="shared" si="398"/>
        <v>-0.13984063745019915</v>
      </c>
      <c r="AK272" s="325">
        <f t="shared" si="398"/>
        <v>-0.11290322580645162</v>
      </c>
      <c r="AL272" s="325">
        <f t="shared" si="398"/>
        <v>-0.14389799635701273</v>
      </c>
      <c r="AM272" s="325">
        <f t="shared" si="398"/>
        <v>2.2727272727272707E-2</v>
      </c>
      <c r="AN272" s="325">
        <f t="shared" si="398"/>
        <v>-3.6363636363636376E-2</v>
      </c>
      <c r="AO272" s="345">
        <f>IF(ISERROR(AO42/AJ42-1),"NM",(AO42/AJ42-1))</f>
        <v>-7.3645206113941764E-2</v>
      </c>
      <c r="AP272" s="772"/>
      <c r="AQ272" s="912"/>
      <c r="AR272" s="912"/>
      <c r="AS272" s="912"/>
      <c r="AT272" s="773"/>
      <c r="AU272" s="912"/>
      <c r="AV272" s="912"/>
      <c r="AW272" s="912"/>
      <c r="AX272" s="912"/>
      <c r="AY272" s="913"/>
      <c r="AZ272" s="912"/>
      <c r="BA272" s="912"/>
      <c r="BB272" s="912"/>
      <c r="BC272" s="912"/>
      <c r="BD272" s="913"/>
      <c r="BE272" s="342"/>
      <c r="BF272" s="342"/>
      <c r="BG272" s="342"/>
      <c r="BH272" s="342"/>
      <c r="BI272" s="913"/>
      <c r="BJ272" s="342"/>
      <c r="BK272" s="915"/>
      <c r="BL272" s="915"/>
      <c r="BM272" s="915"/>
      <c r="BN272" s="913"/>
      <c r="BO272" s="1111"/>
      <c r="BP272" s="1111"/>
      <c r="BQ272" s="1111"/>
      <c r="BR272" s="1111"/>
      <c r="BS272" s="773"/>
      <c r="BT272" s="1111"/>
      <c r="BU272" s="915"/>
      <c r="BV272" s="915"/>
      <c r="BW272" s="915"/>
      <c r="BX272" s="913"/>
      <c r="BY272" s="1111"/>
      <c r="BZ272" s="1111"/>
      <c r="CA272" s="1111"/>
      <c r="CB272" s="1111"/>
      <c r="CC272" s="913"/>
      <c r="CD272" s="913"/>
      <c r="CE272" s="913"/>
      <c r="CF272" s="913"/>
      <c r="CG272" s="913"/>
      <c r="CH272" s="913"/>
    </row>
    <row r="273" spans="1:86" hidden="1">
      <c r="A273" s="9"/>
      <c r="B273" s="9"/>
      <c r="C273" s="9"/>
      <c r="D273" s="9"/>
      <c r="E273" s="9"/>
      <c r="F273" s="9"/>
      <c r="G273" s="9"/>
      <c r="H273" s="304" t="s">
        <v>297</v>
      </c>
      <c r="I273" s="304"/>
      <c r="L273" s="328">
        <v>-0.10773480662983426</v>
      </c>
      <c r="M273" s="328">
        <v>-0.27906976744186052</v>
      </c>
      <c r="N273" s="328">
        <v>-0.25144508670520238</v>
      </c>
      <c r="O273" s="328">
        <v>-0.30203045685279184</v>
      </c>
      <c r="P273" s="330">
        <v>-0.23825065274151425</v>
      </c>
      <c r="Q273" s="328">
        <f t="shared" si="396"/>
        <v>-0.41795665634674917</v>
      </c>
      <c r="R273" s="328">
        <f t="shared" si="396"/>
        <v>-0.29032258064516125</v>
      </c>
      <c r="S273" s="328">
        <f t="shared" si="396"/>
        <v>-0.25096525096525102</v>
      </c>
      <c r="T273" s="328">
        <f t="shared" si="396"/>
        <v>-0.21090909090909093</v>
      </c>
      <c r="U273" s="330">
        <f t="shared" si="397"/>
        <v>-0.29820051413881754</v>
      </c>
      <c r="V273" s="328">
        <f t="shared" si="397"/>
        <v>-0.18617021276595747</v>
      </c>
      <c r="W273" s="328">
        <f t="shared" si="397"/>
        <v>-0.29545454545454541</v>
      </c>
      <c r="X273" s="328">
        <f t="shared" si="397"/>
        <v>-0.41237113402061853</v>
      </c>
      <c r="Y273" s="328">
        <f t="shared" si="397"/>
        <v>-0.39170506912442393</v>
      </c>
      <c r="Z273" s="330">
        <f t="shared" si="397"/>
        <v>-0.32356532356532341</v>
      </c>
      <c r="AA273" s="328">
        <f t="shared" si="397"/>
        <v>-0.3856209150326797</v>
      </c>
      <c r="AB273" s="328">
        <f t="shared" si="397"/>
        <v>-0.19999999999999996</v>
      </c>
      <c r="AC273" s="328">
        <f t="shared" si="397"/>
        <v>-7.8947368421052655E-2</v>
      </c>
      <c r="AD273" s="328">
        <f t="shared" si="397"/>
        <v>-7.5757575757575801E-2</v>
      </c>
      <c r="AE273" s="330">
        <f t="shared" si="398"/>
        <v>-0.19675090252707594</v>
      </c>
      <c r="AF273" s="328">
        <f t="shared" si="398"/>
        <v>-4.2553191489361764E-2</v>
      </c>
      <c r="AG273" s="328">
        <f t="shared" si="398"/>
        <v>-0.15161290322580656</v>
      </c>
      <c r="AH273" s="328">
        <f t="shared" si="398"/>
        <v>-0.10476190476190472</v>
      </c>
      <c r="AI273" s="328">
        <f t="shared" si="398"/>
        <v>-6.5573770491803351E-2</v>
      </c>
      <c r="AJ273" s="330">
        <f t="shared" si="398"/>
        <v>-9.3932584269662778E-2</v>
      </c>
      <c r="AK273" s="328">
        <f t="shared" si="398"/>
        <v>-0.19999999999999996</v>
      </c>
      <c r="AL273" s="328">
        <f t="shared" si="398"/>
        <v>-0.16349809885931543</v>
      </c>
      <c r="AM273" s="328">
        <f t="shared" si="398"/>
        <v>-0.13829787234042556</v>
      </c>
      <c r="AN273" s="328">
        <f t="shared" si="398"/>
        <v>-0.32456140350877183</v>
      </c>
      <c r="AO273" s="352">
        <f>IF(ISERROR(AO43/AJ43-1),"NM",(AO43/AJ43-1))</f>
        <v>-0.21130952380952395</v>
      </c>
      <c r="AP273" s="910"/>
      <c r="AQ273" s="910"/>
      <c r="AR273" s="910"/>
      <c r="AS273" s="910"/>
      <c r="AT273" s="782"/>
      <c r="AU273" s="910"/>
      <c r="AV273" s="910"/>
      <c r="AW273" s="910"/>
      <c r="AX273" s="910"/>
      <c r="AY273" s="782"/>
      <c r="AZ273" s="910"/>
      <c r="BA273" s="910"/>
      <c r="BB273" s="910"/>
      <c r="BC273" s="910"/>
      <c r="BD273" s="782"/>
      <c r="BE273" s="338"/>
      <c r="BF273" s="338"/>
      <c r="BG273" s="338"/>
      <c r="BH273" s="338"/>
      <c r="BI273" s="782"/>
      <c r="BJ273" s="338"/>
      <c r="BK273" s="910"/>
      <c r="BL273" s="910"/>
      <c r="BM273" s="910"/>
      <c r="BN273" s="782"/>
      <c r="BO273" s="1112"/>
      <c r="BP273" s="1112"/>
      <c r="BQ273" s="1112"/>
      <c r="BR273" s="1112"/>
      <c r="BS273" s="782"/>
      <c r="BT273" s="1112"/>
      <c r="BU273" s="910"/>
      <c r="BV273" s="910"/>
      <c r="BW273" s="910"/>
      <c r="BX273" s="782"/>
      <c r="BY273" s="1112"/>
      <c r="BZ273" s="1112"/>
      <c r="CA273" s="1112"/>
      <c r="CB273" s="1112"/>
      <c r="CC273" s="782"/>
      <c r="CD273" s="782"/>
      <c r="CE273" s="782"/>
      <c r="CF273" s="782"/>
      <c r="CG273" s="782"/>
      <c r="CH273" s="782"/>
    </row>
    <row r="274" spans="1:86" hidden="1">
      <c r="A274" s="9"/>
      <c r="B274" s="9"/>
      <c r="C274" s="9"/>
      <c r="D274" s="9"/>
      <c r="E274" s="9"/>
      <c r="F274" s="9"/>
      <c r="G274" s="9"/>
      <c r="H274" s="279" t="s">
        <v>231</v>
      </c>
      <c r="I274" s="279"/>
      <c r="L274" s="331"/>
      <c r="M274" s="331"/>
      <c r="N274" s="331"/>
      <c r="O274" s="331"/>
      <c r="P274" s="48">
        <v>-9.5238095238095344E-2</v>
      </c>
      <c r="Q274" s="325"/>
      <c r="R274" s="331"/>
      <c r="S274" s="331"/>
      <c r="T274" s="331"/>
      <c r="U274" s="48">
        <f>(U44/P44)-1</f>
        <v>-1</v>
      </c>
      <c r="V274" s="325"/>
      <c r="W274" s="325"/>
      <c r="X274" s="325"/>
      <c r="Y274" s="331"/>
      <c r="Z274" s="339" t="str">
        <f t="shared" ref="Z274:AO274" si="399">IF(ISERROR(Z44/U44-1),"NM",(Z44/U44-1))</f>
        <v>NM</v>
      </c>
      <c r="AA274" s="341" t="str">
        <f t="shared" si="399"/>
        <v>NM</v>
      </c>
      <c r="AB274" s="341" t="str">
        <f t="shared" si="399"/>
        <v>NM</v>
      </c>
      <c r="AC274" s="341" t="str">
        <f t="shared" si="399"/>
        <v>NM</v>
      </c>
      <c r="AD274" s="341" t="str">
        <f t="shared" si="399"/>
        <v>NM</v>
      </c>
      <c r="AE274" s="339" t="str">
        <f t="shared" si="399"/>
        <v>NM</v>
      </c>
      <c r="AF274" s="341" t="str">
        <f t="shared" si="399"/>
        <v>NM</v>
      </c>
      <c r="AG274" s="341" t="str">
        <f t="shared" si="399"/>
        <v>NM</v>
      </c>
      <c r="AH274" s="341" t="str">
        <f t="shared" si="399"/>
        <v>NM</v>
      </c>
      <c r="AI274" s="341" t="str">
        <f t="shared" si="399"/>
        <v>NM</v>
      </c>
      <c r="AJ274" s="345" t="str">
        <f t="shared" si="399"/>
        <v>NM</v>
      </c>
      <c r="AK274" s="341" t="str">
        <f t="shared" si="399"/>
        <v>NM</v>
      </c>
      <c r="AL274" s="341" t="str">
        <f t="shared" si="399"/>
        <v>NM</v>
      </c>
      <c r="AM274" s="341" t="str">
        <f t="shared" si="399"/>
        <v>NM</v>
      </c>
      <c r="AN274" s="341">
        <f t="shared" si="399"/>
        <v>-1</v>
      </c>
      <c r="AO274" s="345">
        <f t="shared" si="399"/>
        <v>-1</v>
      </c>
      <c r="AP274" s="772"/>
      <c r="AQ274" s="912"/>
      <c r="AR274" s="912"/>
      <c r="AS274" s="912"/>
      <c r="AT274" s="773"/>
      <c r="AU274" s="912"/>
      <c r="AV274" s="912"/>
      <c r="AW274" s="912"/>
      <c r="AX274" s="912"/>
      <c r="AY274" s="913"/>
      <c r="AZ274" s="912"/>
      <c r="BA274" s="912"/>
      <c r="BB274" s="912"/>
      <c r="BC274" s="912"/>
      <c r="BD274" s="913"/>
      <c r="BE274" s="342"/>
      <c r="BF274" s="342"/>
      <c r="BG274" s="342"/>
      <c r="BH274" s="342"/>
      <c r="BI274" s="913"/>
      <c r="BJ274" s="342"/>
      <c r="BK274" s="912"/>
      <c r="BL274" s="912"/>
      <c r="BM274" s="912"/>
      <c r="BN274" s="913"/>
      <c r="BO274" s="1111"/>
      <c r="BP274" s="1111"/>
      <c r="BQ274" s="1111"/>
      <c r="BR274" s="1111"/>
      <c r="BS274" s="773"/>
      <c r="BT274" s="1111"/>
      <c r="BU274" s="912"/>
      <c r="BV274" s="912"/>
      <c r="BW274" s="912"/>
      <c r="BX274" s="913"/>
      <c r="BY274" s="1111"/>
      <c r="BZ274" s="1111"/>
      <c r="CA274" s="1111"/>
      <c r="CB274" s="1111"/>
      <c r="CC274" s="913"/>
      <c r="CD274" s="913"/>
      <c r="CE274" s="913"/>
      <c r="CF274" s="913"/>
      <c r="CG274" s="913"/>
      <c r="CH274" s="913"/>
    </row>
    <row r="275" spans="1:86" hidden="1">
      <c r="A275" s="9"/>
      <c r="B275" s="9"/>
      <c r="C275" s="9"/>
      <c r="D275" s="9"/>
      <c r="E275" s="9"/>
      <c r="F275" s="9"/>
      <c r="G275" s="9"/>
      <c r="H275" s="279" t="s">
        <v>232</v>
      </c>
      <c r="I275" s="279"/>
      <c r="L275" s="325">
        <v>-0.12994350282485867</v>
      </c>
      <c r="M275" s="325">
        <v>-0.28837209302325573</v>
      </c>
      <c r="N275" s="325">
        <v>-0.25144508670520238</v>
      </c>
      <c r="O275" s="325">
        <v>-0.27821522309711288</v>
      </c>
      <c r="P275" s="48">
        <v>-0.24023825281270672</v>
      </c>
      <c r="Q275" s="325">
        <f>Q45/L45-1</f>
        <v>-0.38961038961038963</v>
      </c>
      <c r="R275" s="325">
        <f>R45/M45-1</f>
        <v>-0.28104575163398693</v>
      </c>
      <c r="S275" s="325">
        <f>S45/N45-1</f>
        <v>-0.25096525096525102</v>
      </c>
      <c r="T275" s="325">
        <f>T45/O45-1</f>
        <v>-0.21090909090909093</v>
      </c>
      <c r="U275" s="48">
        <f>(U45/P45)-1</f>
        <v>-0.28658536585365857</v>
      </c>
      <c r="V275" s="325">
        <f>V45/Q45-1</f>
        <v>-0.18617021276595747</v>
      </c>
      <c r="W275" s="325">
        <f>W45/R45-1</f>
        <v>-0.29545454545454541</v>
      </c>
      <c r="X275" s="325">
        <f>X45/S45-1</f>
        <v>-0.41237113402061853</v>
      </c>
      <c r="Y275" s="325">
        <f>Y45/T45-1</f>
        <v>-0.39170506912442393</v>
      </c>
      <c r="Z275" s="48">
        <f>(Z45/U45)-1</f>
        <v>-0.32356532356532341</v>
      </c>
      <c r="AA275" s="325">
        <f>AA45/V45-1</f>
        <v>-0.3856209150326797</v>
      </c>
      <c r="AB275" s="325">
        <f>AB45/W45-1</f>
        <v>-0.19999999999999996</v>
      </c>
      <c r="AC275" s="325">
        <f>AC45/X45-1</f>
        <v>-7.8947368421052655E-2</v>
      </c>
      <c r="AD275" s="325">
        <f>AD45/Y45-1</f>
        <v>-7.5757575757575801E-2</v>
      </c>
      <c r="AE275" s="276">
        <f>(AE45/Z45)-1</f>
        <v>-0.19675090252707594</v>
      </c>
      <c r="AF275" s="325">
        <f>AF45/AA45-1</f>
        <v>-4.2553191489361764E-2</v>
      </c>
      <c r="AG275" s="325">
        <f>AG45/AB45-1</f>
        <v>-0.15161290322580656</v>
      </c>
      <c r="AH275" s="325">
        <f>AH45/AC45-1</f>
        <v>-0.10476190476190472</v>
      </c>
      <c r="AI275" s="325">
        <f>AI45/AD45-1</f>
        <v>-0.12295081967213117</v>
      </c>
      <c r="AJ275" s="276">
        <f>IF(ISERROR(AJ45/AE45-1),"NM",(AJ45/AE45-1))</f>
        <v>-0.10966292134831446</v>
      </c>
      <c r="AK275" s="325">
        <f>AK45/AF45-1</f>
        <v>-0.19999999999999996</v>
      </c>
      <c r="AL275" s="325">
        <f>AL45/AG45-1</f>
        <v>-0.16349809885931543</v>
      </c>
      <c r="AM275" s="325">
        <f>AM45/AH45-1</f>
        <v>-0.13829787234042556</v>
      </c>
      <c r="AN275" s="325">
        <f>AN45/AI45-1</f>
        <v>-0.28037383177570085</v>
      </c>
      <c r="AO275" s="345">
        <f>IF(ISERROR(AO45/AJ45-1),"NM",(AO45/AJ45-1))</f>
        <v>-0.19737506309944475</v>
      </c>
      <c r="AP275" s="772"/>
      <c r="AQ275" s="912"/>
      <c r="AR275" s="912"/>
      <c r="AS275" s="912"/>
      <c r="AT275" s="773"/>
      <c r="AU275" s="912"/>
      <c r="AV275" s="912"/>
      <c r="AW275" s="912"/>
      <c r="AX275" s="912"/>
      <c r="AY275" s="913"/>
      <c r="AZ275" s="912"/>
      <c r="BA275" s="912"/>
      <c r="BB275" s="912"/>
      <c r="BC275" s="912"/>
      <c r="BD275" s="913"/>
      <c r="BE275" s="342"/>
      <c r="BF275" s="342"/>
      <c r="BG275" s="342"/>
      <c r="BH275" s="342"/>
      <c r="BI275" s="913"/>
      <c r="BJ275" s="342"/>
      <c r="BK275" s="912"/>
      <c r="BL275" s="912"/>
      <c r="BM275" s="912"/>
      <c r="BN275" s="913"/>
      <c r="BO275" s="1111"/>
      <c r="BP275" s="1111"/>
      <c r="BQ275" s="1111"/>
      <c r="BR275" s="1111"/>
      <c r="BS275" s="773"/>
      <c r="BT275" s="1111"/>
      <c r="BU275" s="912"/>
      <c r="BV275" s="912"/>
      <c r="BW275" s="912"/>
      <c r="BX275" s="913"/>
      <c r="BY275" s="1111"/>
      <c r="BZ275" s="1111"/>
      <c r="CA275" s="1111"/>
      <c r="CB275" s="1111"/>
      <c r="CC275" s="913"/>
      <c r="CD275" s="913"/>
      <c r="CE275" s="913"/>
      <c r="CF275" s="913"/>
      <c r="CG275" s="913"/>
      <c r="CH275" s="913"/>
    </row>
    <row r="276" spans="1:86" ht="9.75" customHeight="1">
      <c r="A276" s="9"/>
      <c r="B276" s="9"/>
      <c r="C276" s="9"/>
      <c r="D276" s="9"/>
      <c r="E276" s="9"/>
      <c r="F276" s="9"/>
      <c r="G276" s="9"/>
      <c r="H276" s="259"/>
      <c r="I276" s="259"/>
      <c r="L276" s="66"/>
      <c r="M276" s="66"/>
      <c r="N276" s="66"/>
      <c r="O276" s="66"/>
      <c r="Q276" s="66"/>
      <c r="R276" s="66"/>
      <c r="S276" s="66"/>
      <c r="T276" s="66"/>
      <c r="V276" s="66"/>
      <c r="W276" s="66"/>
      <c r="X276" s="66"/>
      <c r="Y276" s="66"/>
      <c r="AA276" s="66"/>
      <c r="AB276" s="66"/>
      <c r="AC276" s="66"/>
      <c r="AD276" s="66"/>
      <c r="AF276" s="66"/>
      <c r="AG276" s="66"/>
      <c r="AH276" s="66"/>
      <c r="AI276" s="66"/>
      <c r="AK276" s="66"/>
      <c r="AL276" s="66"/>
      <c r="AM276" s="66"/>
      <c r="AN276" s="66"/>
      <c r="AO276" s="33"/>
      <c r="AP276" s="855"/>
      <c r="AQ276" s="855"/>
      <c r="AR276" s="855"/>
      <c r="AS276" s="855"/>
      <c r="AU276" s="855"/>
      <c r="AV276" s="855"/>
      <c r="AW276" s="855"/>
      <c r="AX276" s="855"/>
      <c r="AZ276" s="855"/>
      <c r="BA276" s="855"/>
      <c r="BB276" s="855"/>
      <c r="BC276" s="855"/>
      <c r="BE276" s="855"/>
      <c r="BF276" s="855"/>
      <c r="BG276" s="855"/>
      <c r="BH276" s="855"/>
      <c r="BJ276" s="855"/>
      <c r="BK276" s="855"/>
      <c r="BL276" s="855"/>
      <c r="BM276" s="855"/>
      <c r="BO276" s="1113"/>
      <c r="BP276" s="1113"/>
      <c r="BQ276" s="1113"/>
      <c r="BR276" s="1113"/>
      <c r="BT276" s="1113"/>
      <c r="BU276" s="855"/>
      <c r="BV276" s="855"/>
      <c r="BW276" s="855"/>
      <c r="BY276" s="1113"/>
      <c r="BZ276" s="1113"/>
      <c r="CA276" s="1113"/>
      <c r="CB276" s="1113"/>
    </row>
    <row r="277" spans="1:86">
      <c r="A277" s="9"/>
      <c r="B277" s="9"/>
      <c r="C277" s="9"/>
      <c r="D277" s="9"/>
      <c r="E277" s="9"/>
      <c r="F277" s="9"/>
      <c r="G277" s="9"/>
      <c r="H277" s="260" t="s">
        <v>299</v>
      </c>
      <c r="I277" s="260"/>
      <c r="J277" s="59"/>
      <c r="K277" s="59"/>
      <c r="L277" s="326">
        <v>8.2868224387474765E-2</v>
      </c>
      <c r="M277" s="326">
        <v>2.0105441872933838E-2</v>
      </c>
      <c r="N277" s="326">
        <v>0.12989774222942163</v>
      </c>
      <c r="O277" s="326">
        <v>9.5872170439414317E-2</v>
      </c>
      <c r="P277" s="327">
        <v>8.1530859593510918E-2</v>
      </c>
      <c r="Q277" s="326">
        <f t="shared" ref="Q277:T282" si="400">Q47/L47-1</f>
        <v>7.3469031187210598E-2</v>
      </c>
      <c r="R277" s="326">
        <f t="shared" si="400"/>
        <v>7.8398738612473817E-2</v>
      </c>
      <c r="S277" s="326">
        <f t="shared" si="400"/>
        <v>9.3996415770609243E-2</v>
      </c>
      <c r="T277" s="326">
        <f t="shared" si="400"/>
        <v>8.0113406237343199E-2</v>
      </c>
      <c r="U277" s="327">
        <f>(U47/P47)-1</f>
        <v>8.0599974139045738E-2</v>
      </c>
      <c r="V277" s="326">
        <f>V47/Q47-1</f>
        <v>3.0110677083333481E-2</v>
      </c>
      <c r="W277" s="326">
        <f>W47/R47-1</f>
        <v>0.10502802371862563</v>
      </c>
      <c r="X277" s="326">
        <f>X47/S47-1</f>
        <v>0.11704480301416975</v>
      </c>
      <c r="Y277" s="326">
        <f>Y47/T47-1</f>
        <v>0.11714414279286012</v>
      </c>
      <c r="Z277" s="327">
        <f>(Z47/U47)-1</f>
        <v>9.2816401419967498E-2</v>
      </c>
      <c r="AA277" s="326">
        <f>AA47/V47-1</f>
        <v>3.973771527887493E-2</v>
      </c>
      <c r="AB277" s="326">
        <f>AB47/W47-1</f>
        <v>3.7415466039400158E-2</v>
      </c>
      <c r="AC277" s="326">
        <f>AC47/X47-1</f>
        <v>5.5726646135798585E-3</v>
      </c>
      <c r="AD277" s="326">
        <f>AD47/Y47-1</f>
        <v>-6.3775510204081676E-2</v>
      </c>
      <c r="AE277" s="327">
        <f>(AE47/Z47)-1</f>
        <v>2.5184320023357021E-3</v>
      </c>
      <c r="AF277" s="326">
        <f t="shared" ref="AF277:BK277" si="401">IF(ISERROR(AF47/AA47-1),"NM",(AF47/AA47-1))</f>
        <v>7.6741888914215739E-3</v>
      </c>
      <c r="AG277" s="326">
        <f t="shared" si="401"/>
        <v>-1.5701835187415747E-2</v>
      </c>
      <c r="AH277" s="326">
        <f t="shared" si="401"/>
        <v>5.636575761995033E-2</v>
      </c>
      <c r="AI277" s="326">
        <f t="shared" si="401"/>
        <v>8.5114011186003369E-2</v>
      </c>
      <c r="AJ277" s="327">
        <f t="shared" si="401"/>
        <v>3.3483816943969291E-2</v>
      </c>
      <c r="AK277" s="326">
        <f t="shared" si="401"/>
        <v>5.971949932136944E-2</v>
      </c>
      <c r="AL277" s="326">
        <f t="shared" si="401"/>
        <v>4.7914537051700901E-2</v>
      </c>
      <c r="AM277" s="326">
        <f t="shared" si="401"/>
        <v>-1.24249326982806E-3</v>
      </c>
      <c r="AN277" s="326">
        <f t="shared" si="401"/>
        <v>3.4361990352210325E-2</v>
      </c>
      <c r="AO277" s="356">
        <f t="shared" si="401"/>
        <v>3.451616426002313E-2</v>
      </c>
      <c r="AP277" s="735">
        <f t="shared" si="401"/>
        <v>8.7306105023480907E-2</v>
      </c>
      <c r="AQ277" s="735">
        <f t="shared" si="401"/>
        <v>0.11204231641134843</v>
      </c>
      <c r="AR277" s="735">
        <f t="shared" si="401"/>
        <v>0.12633906973529618</v>
      </c>
      <c r="AS277" s="735">
        <f t="shared" si="401"/>
        <v>0.13185970740433151</v>
      </c>
      <c r="AT277" s="737">
        <f t="shared" si="401"/>
        <v>0.11492687245671096</v>
      </c>
      <c r="AU277" s="735">
        <f t="shared" si="401"/>
        <v>0.10555591911524109</v>
      </c>
      <c r="AV277" s="735">
        <f t="shared" si="401"/>
        <v>5.1334321719792575E-2</v>
      </c>
      <c r="AW277" s="735">
        <f t="shared" si="401"/>
        <v>8.7132601092225759E-3</v>
      </c>
      <c r="AX277" s="735">
        <f t="shared" si="401"/>
        <v>3.3865778630692844E-4</v>
      </c>
      <c r="AY277" s="737">
        <f t="shared" si="401"/>
        <v>3.9582792480491014E-2</v>
      </c>
      <c r="AZ277" s="735">
        <f t="shared" si="401"/>
        <v>2.107257014324615E-2</v>
      </c>
      <c r="BA277" s="735">
        <f t="shared" si="401"/>
        <v>4.8416475703625172E-2</v>
      </c>
      <c r="BB277" s="735">
        <f t="shared" si="401"/>
        <v>7.3483788551614859E-2</v>
      </c>
      <c r="BC277" s="735">
        <f t="shared" si="401"/>
        <v>0.1456863962083168</v>
      </c>
      <c r="BD277" s="737">
        <f t="shared" si="401"/>
        <v>7.300771208226231E-2</v>
      </c>
      <c r="BE277" s="735">
        <f t="shared" si="401"/>
        <v>-4.973913043478273E-2</v>
      </c>
      <c r="BF277" s="735">
        <f t="shared" si="401"/>
        <v>-2.5051841058118085E-2</v>
      </c>
      <c r="BG277" s="735">
        <f t="shared" si="401"/>
        <v>-3.1960106533688415E-2</v>
      </c>
      <c r="BH277" s="735">
        <f t="shared" si="401"/>
        <v>-8.7909381925634134E-2</v>
      </c>
      <c r="BI277" s="737">
        <f t="shared" si="401"/>
        <v>-5.0023957834211874E-2</v>
      </c>
      <c r="BJ277" s="735">
        <f t="shared" si="401"/>
        <v>-7.8696925329427847E-3</v>
      </c>
      <c r="BK277" s="735">
        <f t="shared" si="401"/>
        <v>-5.8461715336858955E-2</v>
      </c>
      <c r="BL277" s="735">
        <f t="shared" ref="BL277:CC277" si="402">IF(ISERROR(BL47/BG47-1),"NM",(BL47/BG47-1))</f>
        <v>4.5717965228589952E-2</v>
      </c>
      <c r="BM277" s="735">
        <f t="shared" si="402"/>
        <v>7.2462203023758054E-2</v>
      </c>
      <c r="BN277" s="737">
        <f t="shared" si="402"/>
        <v>1.4079635687625158E-2</v>
      </c>
      <c r="BO277" s="1104">
        <f t="shared" si="402"/>
        <v>8.0182008239562341E-2</v>
      </c>
      <c r="BP277" s="1104">
        <f t="shared" si="402"/>
        <v>0.19567739178216015</v>
      </c>
      <c r="BQ277" s="1104">
        <f t="shared" si="402"/>
        <v>0.10602328705776976</v>
      </c>
      <c r="BR277" s="1104">
        <f t="shared" si="402"/>
        <v>0.20425938978954794</v>
      </c>
      <c r="BS277" s="737">
        <f t="shared" si="402"/>
        <v>0.1486471123237838</v>
      </c>
      <c r="BT277" s="1104">
        <f t="shared" si="402"/>
        <v>0.20857289235498389</v>
      </c>
      <c r="BU277" s="735">
        <f t="shared" si="402"/>
        <v>0.27210988562091498</v>
      </c>
      <c r="BV277" s="735">
        <f t="shared" si="402"/>
        <v>0.29603198704322287</v>
      </c>
      <c r="BW277" s="735">
        <f t="shared" si="402"/>
        <v>0.21668966093900233</v>
      </c>
      <c r="BX277" s="737">
        <f t="shared" si="402"/>
        <v>0.24774830504280665</v>
      </c>
      <c r="BY277" s="1104">
        <f t="shared" si="402"/>
        <v>0.27116009608591196</v>
      </c>
      <c r="BZ277" s="1104">
        <f t="shared" si="402"/>
        <v>0.16533456428370696</v>
      </c>
      <c r="CA277" s="1104">
        <f t="shared" si="402"/>
        <v>0.18549224821337917</v>
      </c>
      <c r="CB277" s="1104">
        <f t="shared" si="402"/>
        <v>0.1147089547110165</v>
      </c>
      <c r="CC277" s="737">
        <f t="shared" si="402"/>
        <v>0.17812201917642501</v>
      </c>
      <c r="CD277" s="737">
        <f t="shared" ref="CD277:CH280" si="403">IF(ISERROR(CD47/CC47-1),"NM",(CD47/CC47-1))</f>
        <v>6.6031605372760316E-2</v>
      </c>
      <c r="CE277" s="737">
        <f t="shared" si="403"/>
        <v>1.6275124730459112E-2</v>
      </c>
      <c r="CF277" s="737">
        <f t="shared" si="403"/>
        <v>9.29588846641205E-3</v>
      </c>
      <c r="CG277" s="737">
        <f t="shared" si="403"/>
        <v>-5.4729709012416583E-3</v>
      </c>
      <c r="CH277" s="737">
        <f t="shared" si="403"/>
        <v>-1.5200077432371617E-2</v>
      </c>
    </row>
    <row r="278" spans="1:86">
      <c r="A278" s="9"/>
      <c r="B278" s="9"/>
      <c r="C278" s="9"/>
      <c r="D278" s="9"/>
      <c r="E278" s="9"/>
      <c r="F278" s="9"/>
      <c r="G278" s="9"/>
      <c r="H278" s="257" t="s">
        <v>231</v>
      </c>
      <c r="I278" s="257"/>
      <c r="L278" s="336">
        <v>2.8246013667426073E-2</v>
      </c>
      <c r="M278" s="336">
        <v>-2.4287856071964042E-2</v>
      </c>
      <c r="N278" s="336">
        <v>9.9827586206896912E-2</v>
      </c>
      <c r="O278" s="336">
        <v>0.11141594269166299</v>
      </c>
      <c r="P278" s="343">
        <v>5.3404122423485134E-2</v>
      </c>
      <c r="Q278" s="336">
        <f t="shared" si="400"/>
        <v>0.12272928666371286</v>
      </c>
      <c r="R278" s="336">
        <f t="shared" si="400"/>
        <v>0.10709895513214507</v>
      </c>
      <c r="S278" s="336">
        <f t="shared" si="400"/>
        <v>0.13622824894184049</v>
      </c>
      <c r="T278" s="336">
        <f t="shared" si="400"/>
        <v>0.10353812397147544</v>
      </c>
      <c r="U278" s="343">
        <f t="shared" ref="U278:AD280" si="404">IF(ISERROR(U48/P48-1),"NM",(U48/P48-1))</f>
        <v>0.11554995552920255</v>
      </c>
      <c r="V278" s="336">
        <f t="shared" si="404"/>
        <v>-4.2094185740595425E-3</v>
      </c>
      <c r="W278" s="336">
        <f t="shared" si="404"/>
        <v>9.1047883414295594E-2</v>
      </c>
      <c r="X278" s="336">
        <f t="shared" si="404"/>
        <v>9.8647902869757109E-2</v>
      </c>
      <c r="Y278" s="336">
        <f t="shared" si="404"/>
        <v>6.3004846526655944E-2</v>
      </c>
      <c r="Z278" s="343">
        <f t="shared" si="404"/>
        <v>6.1324828915022112E-2</v>
      </c>
      <c r="AA278" s="336">
        <f t="shared" si="404"/>
        <v>-8.1241743725231297E-2</v>
      </c>
      <c r="AB278" s="336">
        <f t="shared" si="404"/>
        <v>-8.0142475512021361E-2</v>
      </c>
      <c r="AC278" s="336">
        <f t="shared" si="404"/>
        <v>-0.12181338691447929</v>
      </c>
      <c r="AD278" s="336">
        <f t="shared" si="404"/>
        <v>-0.11643675473462711</v>
      </c>
      <c r="AE278" s="343">
        <f t="shared" ref="AE278:AN280" si="405">IF(ISERROR(AE48/Z48-1),"NM",(AE48/Z48-1))</f>
        <v>-0.10050707399524228</v>
      </c>
      <c r="AF278" s="336">
        <f t="shared" si="405"/>
        <v>5.8375269590222878E-2</v>
      </c>
      <c r="AG278" s="336">
        <f t="shared" si="405"/>
        <v>4.7559120453602777E-2</v>
      </c>
      <c r="AH278" s="336">
        <f t="shared" si="405"/>
        <v>0.14428714428714429</v>
      </c>
      <c r="AI278" s="336">
        <f t="shared" si="405"/>
        <v>6.4831966128605645E-2</v>
      </c>
      <c r="AJ278" s="343">
        <f t="shared" si="405"/>
        <v>7.8257994919441964E-2</v>
      </c>
      <c r="AK278" s="336">
        <f t="shared" si="405"/>
        <v>3.301181904632533E-2</v>
      </c>
      <c r="AL278" s="336">
        <f t="shared" si="405"/>
        <v>4.450223765330219E-2</v>
      </c>
      <c r="AM278" s="336">
        <f t="shared" si="405"/>
        <v>-3.9115221194701233E-2</v>
      </c>
      <c r="AN278" s="336">
        <f t="shared" si="405"/>
        <v>2.7708747514910259E-2</v>
      </c>
      <c r="AO278" s="357">
        <f t="shared" ref="AO278:AX280" si="406">IF(ISERROR(AO48/AJ48-1),"NM",(AO48/AJ48-1))</f>
        <v>1.5816871544799271E-2</v>
      </c>
      <c r="AP278" s="369">
        <f t="shared" si="406"/>
        <v>4.1557075223566775E-2</v>
      </c>
      <c r="AQ278" s="369">
        <f t="shared" si="406"/>
        <v>6.4079878665318724E-2</v>
      </c>
      <c r="AR278" s="369">
        <f t="shared" si="406"/>
        <v>0.10703602549096125</v>
      </c>
      <c r="AS278" s="369">
        <f t="shared" si="406"/>
        <v>0.16479264901462942</v>
      </c>
      <c r="AT278" s="344">
        <f t="shared" si="406"/>
        <v>9.5596645062905106E-2</v>
      </c>
      <c r="AU278" s="369">
        <f t="shared" si="406"/>
        <v>0.17335858585858555</v>
      </c>
      <c r="AV278" s="369">
        <f t="shared" si="406"/>
        <v>7.494951894524271E-2</v>
      </c>
      <c r="AW278" s="369">
        <f t="shared" si="406"/>
        <v>3.0897556390977243E-2</v>
      </c>
      <c r="AX278" s="369">
        <f t="shared" si="406"/>
        <v>-6.5808594560930023E-2</v>
      </c>
      <c r="AY278" s="344">
        <f t="shared" ref="AY278:BH280" si="407">IF(ISERROR(AY48/AT48-1),"NM",(AY48/AT48-1))</f>
        <v>4.7353921995070491E-2</v>
      </c>
      <c r="AZ278" s="369">
        <f t="shared" si="407"/>
        <v>4.1967071989670313E-3</v>
      </c>
      <c r="BA278" s="369">
        <f t="shared" si="407"/>
        <v>7.3812154696132559E-2</v>
      </c>
      <c r="BB278" s="369">
        <f t="shared" si="407"/>
        <v>0.11601139601139598</v>
      </c>
      <c r="BC278" s="369">
        <f t="shared" si="407"/>
        <v>0.27811111111111098</v>
      </c>
      <c r="BD278" s="344">
        <f t="shared" si="407"/>
        <v>0.11706074533473587</v>
      </c>
      <c r="BE278" s="369">
        <f t="shared" si="407"/>
        <v>-0.1091941705957995</v>
      </c>
      <c r="BF278" s="369">
        <f t="shared" si="407"/>
        <v>-4.7334842560197599E-2</v>
      </c>
      <c r="BG278" s="369">
        <f t="shared" si="407"/>
        <v>-0.1168181354028387</v>
      </c>
      <c r="BH278" s="369">
        <f t="shared" si="407"/>
        <v>-0.13935495088237848</v>
      </c>
      <c r="BI278" s="344">
        <f t="shared" ref="BI278:BR280" si="408">IF(ISERROR(BI48/BD48-1),"NM",(BI48/BD48-1))</f>
        <v>-0.10474396470529923</v>
      </c>
      <c r="BJ278" s="369">
        <f t="shared" si="408"/>
        <v>8.2040178034403999E-2</v>
      </c>
      <c r="BK278" s="369">
        <f t="shared" si="408"/>
        <v>-1.166558651976668E-2</v>
      </c>
      <c r="BL278" s="369">
        <f t="shared" si="408"/>
        <v>0.19412648861140025</v>
      </c>
      <c r="BM278" s="369">
        <f t="shared" si="408"/>
        <v>0.17373737373737375</v>
      </c>
      <c r="BN278" s="344">
        <f t="shared" si="408"/>
        <v>0.10999446290143977</v>
      </c>
      <c r="BO278" s="1114">
        <f t="shared" si="408"/>
        <v>0.14496942745969998</v>
      </c>
      <c r="BP278" s="1114">
        <f t="shared" si="408"/>
        <v>0.2424043715846993</v>
      </c>
      <c r="BQ278" s="1114">
        <f t="shared" si="408"/>
        <v>0.12829202168861342</v>
      </c>
      <c r="BR278" s="1114">
        <f t="shared" si="408"/>
        <v>0.29079173838209993</v>
      </c>
      <c r="BS278" s="344">
        <f t="shared" ref="BS278:BY280" si="409">IF(ISERROR(BS48/BN48-1),"NM",(BS48/BN48-1))</f>
        <v>0.20517297283815128</v>
      </c>
      <c r="BT278" s="1114">
        <f t="shared" si="409"/>
        <v>0.27866783182833288</v>
      </c>
      <c r="BU278" s="369">
        <f t="shared" si="409"/>
        <v>0.3653237156931739</v>
      </c>
      <c r="BV278" s="369">
        <f t="shared" si="409"/>
        <v>0.39397580022311862</v>
      </c>
      <c r="BW278" s="369">
        <f t="shared" si="409"/>
        <v>0.25315021001400084</v>
      </c>
      <c r="BX278" s="344">
        <f t="shared" si="409"/>
        <v>0.31894285891678198</v>
      </c>
      <c r="BY278" s="1114">
        <f t="shared" si="409"/>
        <v>0.30298428126661103</v>
      </c>
      <c r="BZ278" s="1114">
        <f t="shared" ref="BZ278:CB280" si="410">IF(ISERROR(BZ48/BU48-1),"NM",(BZ48/BU48-1))</f>
        <v>0.18957412537851925</v>
      </c>
      <c r="CA278" s="1114">
        <f t="shared" si="410"/>
        <v>0.20560329967988178</v>
      </c>
      <c r="CB278" s="1114">
        <f t="shared" si="410"/>
        <v>0.12252234517982563</v>
      </c>
      <c r="CC278" s="344">
        <f t="shared" ref="CC278:CC313" si="411">IF(ISERROR(CC48/BX48-1),"NM",(CC48/BX48-1))</f>
        <v>0.19731884512788334</v>
      </c>
      <c r="CD278" s="344">
        <f t="shared" si="403"/>
        <v>7.8529284990406456E-2</v>
      </c>
      <c r="CE278" s="344">
        <f t="shared" si="403"/>
        <v>2.1272552319272275E-2</v>
      </c>
      <c r="CF278" s="344">
        <f t="shared" si="403"/>
        <v>6.5692144116578088E-3</v>
      </c>
      <c r="CG278" s="344">
        <f t="shared" si="403"/>
        <v>-3.7694272531220152E-3</v>
      </c>
      <c r="CH278" s="344">
        <f t="shared" si="403"/>
        <v>-1.1478831792591904E-2</v>
      </c>
    </row>
    <row r="279" spans="1:86">
      <c r="A279" s="9"/>
      <c r="B279" s="9"/>
      <c r="C279" s="9"/>
      <c r="D279" s="9"/>
      <c r="E279" s="9"/>
      <c r="F279" s="9"/>
      <c r="G279" s="9"/>
      <c r="H279" s="257" t="s">
        <v>232</v>
      </c>
      <c r="I279" s="257"/>
      <c r="L279" s="336">
        <v>0.1731058705469144</v>
      </c>
      <c r="M279" s="336">
        <v>8.5600530856005275E-2</v>
      </c>
      <c r="N279" s="336">
        <v>0.17267598724552369</v>
      </c>
      <c r="O279" s="336">
        <v>7.4192176870748305E-2</v>
      </c>
      <c r="P279" s="343">
        <v>0.12320684868116616</v>
      </c>
      <c r="Q279" s="336">
        <f t="shared" si="400"/>
        <v>2.1385799828912422E-3</v>
      </c>
      <c r="R279" s="336">
        <f t="shared" si="400"/>
        <v>4.034229828850866E-2</v>
      </c>
      <c r="S279" s="336">
        <f t="shared" si="400"/>
        <v>3.7649027400125323E-2</v>
      </c>
      <c r="T279" s="336">
        <f t="shared" si="400"/>
        <v>4.6309123293093224E-2</v>
      </c>
      <c r="U279" s="343">
        <f t="shared" si="404"/>
        <v>3.2032135132351591E-2</v>
      </c>
      <c r="V279" s="336">
        <f t="shared" si="404"/>
        <v>8.578745198463511E-2</v>
      </c>
      <c r="W279" s="336">
        <f t="shared" si="404"/>
        <v>0.12475518997258139</v>
      </c>
      <c r="X279" s="336">
        <f t="shared" si="404"/>
        <v>0.14392259625075599</v>
      </c>
      <c r="Y279" s="336">
        <f t="shared" si="404"/>
        <v>0.1995460563646676</v>
      </c>
      <c r="Z279" s="343">
        <f t="shared" si="404"/>
        <v>0.14011976047904162</v>
      </c>
      <c r="AA279" s="336">
        <f t="shared" si="404"/>
        <v>0.21973270440251591</v>
      </c>
      <c r="AB279" s="336">
        <f t="shared" si="404"/>
        <v>0.1983283997910501</v>
      </c>
      <c r="AC279" s="336">
        <f t="shared" si="404"/>
        <v>0.18431718061674007</v>
      </c>
      <c r="AD279" s="336">
        <f t="shared" si="404"/>
        <v>7.2532324187954966E-3</v>
      </c>
      <c r="AE279" s="343">
        <f t="shared" si="405"/>
        <v>0.14657738095238093</v>
      </c>
      <c r="AF279" s="336">
        <f t="shared" si="405"/>
        <v>-4.9145987753786646E-2</v>
      </c>
      <c r="AG279" s="336">
        <f t="shared" si="405"/>
        <v>-8.2170880557977388E-2</v>
      </c>
      <c r="AH279" s="336">
        <f t="shared" si="405"/>
        <v>-3.5113822347864976E-2</v>
      </c>
      <c r="AI279" s="336">
        <f t="shared" si="405"/>
        <v>0.10911083281152156</v>
      </c>
      <c r="AJ279" s="343">
        <f t="shared" si="405"/>
        <v>-1.5631560865747907E-2</v>
      </c>
      <c r="AK279" s="336">
        <f t="shared" si="405"/>
        <v>9.303507880020323E-2</v>
      </c>
      <c r="AL279" s="336">
        <f t="shared" si="405"/>
        <v>5.2006649251959081E-2</v>
      </c>
      <c r="AM279" s="336">
        <f t="shared" si="405"/>
        <v>4.5489591364687776E-2</v>
      </c>
      <c r="AN279" s="336">
        <f t="shared" si="405"/>
        <v>4.1919548341566859E-2</v>
      </c>
      <c r="AO279" s="357">
        <f t="shared" si="406"/>
        <v>5.6984973339796241E-2</v>
      </c>
      <c r="AP279" s="369">
        <f t="shared" si="406"/>
        <v>0.14124031007751925</v>
      </c>
      <c r="AQ279" s="369">
        <f t="shared" si="406"/>
        <v>0.16914973664409305</v>
      </c>
      <c r="AR279" s="369">
        <f t="shared" si="406"/>
        <v>0.14823008849557495</v>
      </c>
      <c r="AS279" s="369">
        <f t="shared" si="406"/>
        <v>9.4960715253319172E-2</v>
      </c>
      <c r="AT279" s="344">
        <f t="shared" si="406"/>
        <v>0.13724914700810809</v>
      </c>
      <c r="AU279" s="369">
        <f t="shared" si="406"/>
        <v>3.2604265724765824E-2</v>
      </c>
      <c r="AV279" s="369">
        <f t="shared" si="406"/>
        <v>2.5743338911056846E-2</v>
      </c>
      <c r="AW279" s="369">
        <f t="shared" si="406"/>
        <v>-1.5542710340398114E-2</v>
      </c>
      <c r="AX279" s="369">
        <f t="shared" si="406"/>
        <v>7.9178522825683162E-2</v>
      </c>
      <c r="AY279" s="344">
        <f t="shared" si="407"/>
        <v>3.093747983740891E-2</v>
      </c>
      <c r="AZ279" s="369">
        <f t="shared" si="407"/>
        <v>4.1705038810682771E-2</v>
      </c>
      <c r="BA279" s="369">
        <f t="shared" si="407"/>
        <v>1.9575856443719397E-2</v>
      </c>
      <c r="BB279" s="369">
        <f t="shared" si="407"/>
        <v>2.4791231732776531E-2</v>
      </c>
      <c r="BC279" s="369">
        <f t="shared" si="407"/>
        <v>9.0565172532386384E-3</v>
      </c>
      <c r="BD279" s="344">
        <f t="shared" si="407"/>
        <v>2.321870012829752E-2</v>
      </c>
      <c r="BE279" s="369">
        <f t="shared" si="407"/>
        <v>2.033341752967921E-2</v>
      </c>
      <c r="BF279" s="369">
        <f t="shared" si="407"/>
        <v>1.6000000000000458E-3</v>
      </c>
      <c r="BG279" s="369">
        <f t="shared" si="407"/>
        <v>7.3847720906544456E-2</v>
      </c>
      <c r="BH279" s="369">
        <f t="shared" si="407"/>
        <v>-2.0677118836628039E-2</v>
      </c>
      <c r="BI279" s="344">
        <f t="shared" si="408"/>
        <v>1.7492889690815971E-2</v>
      </c>
      <c r="BJ279" s="369">
        <f t="shared" si="408"/>
        <v>-0.10038371085530395</v>
      </c>
      <c r="BK279" s="369">
        <f t="shared" si="408"/>
        <v>-0.1116982059474072</v>
      </c>
      <c r="BL279" s="369">
        <f t="shared" si="408"/>
        <v>-0.10647379653782307</v>
      </c>
      <c r="BM279" s="369">
        <f t="shared" si="408"/>
        <v>-4.385150812064964E-2</v>
      </c>
      <c r="BN279" s="344">
        <f t="shared" si="408"/>
        <v>-9.0048390490216845E-2</v>
      </c>
      <c r="BO279" s="1114">
        <f t="shared" si="408"/>
        <v>0</v>
      </c>
      <c r="BP279" s="1114">
        <f t="shared" si="408"/>
        <v>0.13653340711025042</v>
      </c>
      <c r="BQ279" s="1114">
        <f t="shared" si="408"/>
        <v>7.5504246284501031E-2</v>
      </c>
      <c r="BR279" s="1114">
        <f t="shared" si="408"/>
        <v>8.226158699344821E-2</v>
      </c>
      <c r="BS279" s="344">
        <f t="shared" si="409"/>
        <v>7.3790255986788011E-2</v>
      </c>
      <c r="BT279" s="1114">
        <f t="shared" si="409"/>
        <v>0.1092460099064394</v>
      </c>
      <c r="BU279" s="369">
        <f t="shared" si="409"/>
        <v>0.14313534566699126</v>
      </c>
      <c r="BV279" s="369">
        <f t="shared" si="409"/>
        <v>0.15521283158544108</v>
      </c>
      <c r="BW279" s="369">
        <f t="shared" si="409"/>
        <v>0.1553811659192823</v>
      </c>
      <c r="BX279" s="344">
        <f t="shared" si="409"/>
        <v>0.1419299270971115</v>
      </c>
      <c r="BY279" s="1114">
        <f t="shared" si="409"/>
        <v>0.21917638303150566</v>
      </c>
      <c r="BZ279" s="1114">
        <f t="shared" si="410"/>
        <v>0.12527683134582612</v>
      </c>
      <c r="CA279" s="1114">
        <f t="shared" si="410"/>
        <v>0.15060130300117436</v>
      </c>
      <c r="CB279" s="1114">
        <f t="shared" si="410"/>
        <v>0.10045895594799159</v>
      </c>
      <c r="CC279" s="344">
        <f t="shared" si="411"/>
        <v>0.14516633892734943</v>
      </c>
      <c r="CD279" s="344">
        <f t="shared" si="403"/>
        <v>4.3599425197726527E-2</v>
      </c>
      <c r="CE279" s="344">
        <f t="shared" si="403"/>
        <v>7.0049756579826372E-3</v>
      </c>
      <c r="CF279" s="344">
        <f t="shared" si="403"/>
        <v>1.4425488189935276E-2</v>
      </c>
      <c r="CG279" s="344">
        <f t="shared" si="403"/>
        <v>-8.6529700809171439E-3</v>
      </c>
      <c r="CH279" s="344">
        <f t="shared" si="403"/>
        <v>-2.2180733431318544E-2</v>
      </c>
    </row>
    <row r="280" spans="1:86">
      <c r="A280" s="9"/>
      <c r="B280" s="9"/>
      <c r="C280" s="9"/>
      <c r="D280" s="9"/>
      <c r="E280" s="9"/>
      <c r="F280" s="9"/>
      <c r="G280" s="9"/>
      <c r="H280" s="266" t="s">
        <v>300</v>
      </c>
      <c r="I280" s="266"/>
      <c r="L280" s="328">
        <v>3.0072173215717646E-2</v>
      </c>
      <c r="M280" s="328">
        <v>-3.7022753567296451E-2</v>
      </c>
      <c r="N280" s="328">
        <v>2.9544521953221103E-2</v>
      </c>
      <c r="O280" s="328">
        <v>8.1566068515499524E-3</v>
      </c>
      <c r="P280" s="330">
        <v>7.1170809943865709E-3</v>
      </c>
      <c r="Q280" s="328">
        <f t="shared" si="400"/>
        <v>-0.14947450369793691</v>
      </c>
      <c r="R280" s="328">
        <f t="shared" si="400"/>
        <v>-0.11974369243091698</v>
      </c>
      <c r="S280" s="328">
        <f t="shared" si="400"/>
        <v>-8.3300119569549635E-2</v>
      </c>
      <c r="T280" s="328">
        <f t="shared" si="400"/>
        <v>3.9239482200647213E-2</v>
      </c>
      <c r="U280" s="330">
        <f t="shared" si="404"/>
        <v>-7.9128097939683451E-2</v>
      </c>
      <c r="V280" s="328">
        <f t="shared" si="404"/>
        <v>3.3409610983981652E-2</v>
      </c>
      <c r="W280" s="328">
        <f t="shared" si="404"/>
        <v>0.10464058234758866</v>
      </c>
      <c r="X280" s="328">
        <f t="shared" si="404"/>
        <v>5.7826086956521694E-2</v>
      </c>
      <c r="Y280" s="328">
        <f t="shared" si="404"/>
        <v>6.4227325807707292E-2</v>
      </c>
      <c r="Z280" s="330">
        <f t="shared" si="404"/>
        <v>6.4958927799394717E-2</v>
      </c>
      <c r="AA280" s="328">
        <f t="shared" si="404"/>
        <v>0.14127546501328592</v>
      </c>
      <c r="AB280" s="328">
        <f t="shared" si="404"/>
        <v>0.11779242174629312</v>
      </c>
      <c r="AC280" s="328">
        <f t="shared" si="404"/>
        <v>0.116728318947801</v>
      </c>
      <c r="AD280" s="328">
        <f t="shared" si="404"/>
        <v>-4.0234089246525273E-2</v>
      </c>
      <c r="AE280" s="330">
        <f t="shared" si="405"/>
        <v>7.90622145539428E-2</v>
      </c>
      <c r="AF280" s="328">
        <f t="shared" si="405"/>
        <v>-6.6744276290259918E-2</v>
      </c>
      <c r="AG280" s="328">
        <f t="shared" si="405"/>
        <v>-8.5924834193072952E-2</v>
      </c>
      <c r="AH280" s="328">
        <f t="shared" si="405"/>
        <v>-4.158998895841004E-2</v>
      </c>
      <c r="AI280" s="328">
        <f t="shared" si="405"/>
        <v>4.0396341463414753E-2</v>
      </c>
      <c r="AJ280" s="330">
        <f t="shared" si="405"/>
        <v>-3.8769751693002119E-2</v>
      </c>
      <c r="AK280" s="328">
        <f t="shared" si="405"/>
        <v>7.1933471933471882E-2</v>
      </c>
      <c r="AL280" s="328">
        <f t="shared" si="405"/>
        <v>6.941309255079009E-2</v>
      </c>
      <c r="AM280" s="328">
        <f t="shared" si="405"/>
        <v>6.7588325652841785E-2</v>
      </c>
      <c r="AN280" s="328">
        <f t="shared" si="405"/>
        <v>5.4578754578754385E-2</v>
      </c>
      <c r="AO280" s="352">
        <f t="shared" si="406"/>
        <v>6.5578582751130154E-2</v>
      </c>
      <c r="AP280" s="338">
        <f t="shared" si="406"/>
        <v>0.12412723041117135</v>
      </c>
      <c r="AQ280" s="338">
        <f t="shared" si="406"/>
        <v>0.17527327553712779</v>
      </c>
      <c r="AR280" s="338">
        <f t="shared" si="406"/>
        <v>8.4532374100719343E-2</v>
      </c>
      <c r="AS280" s="338">
        <f t="shared" si="406"/>
        <v>0.20041681139284484</v>
      </c>
      <c r="AT280" s="736">
        <f t="shared" si="406"/>
        <v>0.14664830119375583</v>
      </c>
      <c r="AU280" s="338">
        <f t="shared" si="406"/>
        <v>6.1766735679779083E-2</v>
      </c>
      <c r="AV280" s="338">
        <f t="shared" si="406"/>
        <v>-2.8223220012828731E-2</v>
      </c>
      <c r="AW280" s="338">
        <f t="shared" si="406"/>
        <v>-5.3399668325041505E-2</v>
      </c>
      <c r="AX280" s="338">
        <f t="shared" si="406"/>
        <v>-7.5231481481482509E-3</v>
      </c>
      <c r="AY280" s="736">
        <f t="shared" si="407"/>
        <v>-7.6879955153360546E-3</v>
      </c>
      <c r="AZ280" s="338">
        <f t="shared" si="407"/>
        <v>1.364965875853108E-2</v>
      </c>
      <c r="BA280" s="338">
        <f t="shared" si="407"/>
        <v>8.0858085808580782E-2</v>
      </c>
      <c r="BB280" s="338">
        <f t="shared" si="407"/>
        <v>7.56832515767345E-2</v>
      </c>
      <c r="BC280" s="338">
        <f t="shared" si="407"/>
        <v>7.7259475218658835E-2</v>
      </c>
      <c r="BD280" s="736">
        <f t="shared" si="407"/>
        <v>6.1980469695746887E-2</v>
      </c>
      <c r="BE280" s="338">
        <f t="shared" si="407"/>
        <v>1.3786470022443265E-2</v>
      </c>
      <c r="BF280" s="338">
        <f t="shared" si="407"/>
        <v>7.6030534351144929E-2</v>
      </c>
      <c r="BG280" s="338">
        <f t="shared" si="407"/>
        <v>9.4136807817589485E-2</v>
      </c>
      <c r="BH280" s="338">
        <f t="shared" si="407"/>
        <v>7.0635994587280093E-2</v>
      </c>
      <c r="BI280" s="736">
        <f t="shared" si="408"/>
        <v>6.3986625123489738E-2</v>
      </c>
      <c r="BJ280" s="338">
        <f t="shared" si="408"/>
        <v>-1.5812776723594935E-3</v>
      </c>
      <c r="BK280" s="338">
        <f t="shared" si="408"/>
        <v>-0.10215664018161186</v>
      </c>
      <c r="BL280" s="338">
        <f t="shared" si="408"/>
        <v>-5.7159869008633457E-2</v>
      </c>
      <c r="BM280" s="338">
        <f t="shared" si="408"/>
        <v>-9.3528816986855445E-2</v>
      </c>
      <c r="BN280" s="736">
        <f t="shared" si="408"/>
        <v>-6.6209556460252839E-2</v>
      </c>
      <c r="BO280" s="1105">
        <f t="shared" si="408"/>
        <v>0.12891986062717775</v>
      </c>
      <c r="BP280" s="1105">
        <f t="shared" si="408"/>
        <v>5.0252844500632277E-2</v>
      </c>
      <c r="BQ280" s="1105">
        <f t="shared" si="408"/>
        <v>1.6735080517840339E-2</v>
      </c>
      <c r="BR280" s="1105">
        <f t="shared" si="408"/>
        <v>-9.2024539877301192E-3</v>
      </c>
      <c r="BS280" s="736">
        <f t="shared" si="409"/>
        <v>4.4821783692825301E-2</v>
      </c>
      <c r="BT280" s="1105">
        <f t="shared" si="409"/>
        <v>-0.11756453423120083</v>
      </c>
      <c r="BU280" s="338">
        <f t="shared" si="409"/>
        <v>7.6737887451098441E-2</v>
      </c>
      <c r="BV280" s="338">
        <f t="shared" si="409"/>
        <v>-6.6770186335403769E-2</v>
      </c>
      <c r="BW280" s="338">
        <f t="shared" si="409"/>
        <v>2.0264565156205894E-2</v>
      </c>
      <c r="BX280" s="736">
        <f t="shared" si="409"/>
        <v>-2.2474377745241636E-2</v>
      </c>
      <c r="BY280" s="1105">
        <f t="shared" si="409"/>
        <v>3.6248012718600897E-2</v>
      </c>
      <c r="BZ280" s="1105">
        <f t="shared" si="410"/>
        <v>-3.6696478479597561E-2</v>
      </c>
      <c r="CA280" s="1105">
        <f t="shared" si="410"/>
        <v>9.7287853577371131E-2</v>
      </c>
      <c r="CB280" s="1105">
        <f t="shared" si="410"/>
        <v>-1.8670344827586338E-2</v>
      </c>
      <c r="CC280" s="736">
        <f t="shared" si="411"/>
        <v>1.5529843480865724E-2</v>
      </c>
      <c r="CD280" s="736">
        <f t="shared" si="403"/>
        <v>-2.5419778368879209E-2</v>
      </c>
      <c r="CE280" s="736">
        <f t="shared" si="403"/>
        <v>-3.7997130133804013E-2</v>
      </c>
      <c r="CF280" s="736">
        <f t="shared" si="403"/>
        <v>-3.721134129818382E-2</v>
      </c>
      <c r="CG280" s="736">
        <f t="shared" si="403"/>
        <v>-3.6446427625850819E-2</v>
      </c>
      <c r="CH280" s="736">
        <f t="shared" si="403"/>
        <v>-3.5703032866663875E-2</v>
      </c>
    </row>
    <row r="281" spans="1:86">
      <c r="A281" s="9"/>
      <c r="B281" s="9"/>
      <c r="C281" s="9"/>
      <c r="D281" s="9"/>
      <c r="E281" s="9"/>
      <c r="F281" s="9"/>
      <c r="G281" s="9"/>
      <c r="H281" s="257" t="s">
        <v>231</v>
      </c>
      <c r="I281" s="257"/>
      <c r="L281" s="325">
        <v>-3.8496791934005348E-2</v>
      </c>
      <c r="M281" s="325">
        <v>-9.2838196286472163E-2</v>
      </c>
      <c r="N281" s="325">
        <v>3.0622009569378106E-2</v>
      </c>
      <c r="O281" s="325">
        <v>-6.2499999999999778E-3</v>
      </c>
      <c r="P281" s="343">
        <v>-2.86255027206056E-2</v>
      </c>
      <c r="Q281" s="325">
        <f t="shared" si="400"/>
        <v>-0.15919923736892283</v>
      </c>
      <c r="R281" s="325">
        <f t="shared" si="400"/>
        <v>-0.22124756335282636</v>
      </c>
      <c r="S281" s="325">
        <f t="shared" si="400"/>
        <v>-0.10213556174558958</v>
      </c>
      <c r="T281" s="325">
        <f t="shared" si="400"/>
        <v>8.0712788259957868E-2</v>
      </c>
      <c r="U281" s="48">
        <f t="shared" ref="U281:AD282" si="412">U51/P51-1</f>
        <v>-0.1039941548952753</v>
      </c>
      <c r="V281" s="325">
        <f t="shared" si="412"/>
        <v>-3.4013605442176909E-2</v>
      </c>
      <c r="W281" s="325">
        <f t="shared" si="412"/>
        <v>9.7622027534417954E-2</v>
      </c>
      <c r="X281" s="325">
        <f t="shared" si="412"/>
        <v>-6.1013443640124176E-2</v>
      </c>
      <c r="Y281" s="325">
        <f t="shared" si="412"/>
        <v>-1.5518913676042634E-2</v>
      </c>
      <c r="Z281" s="48">
        <f t="shared" si="412"/>
        <v>-7.3389508018483207E-3</v>
      </c>
      <c r="AA281" s="325">
        <f t="shared" si="412"/>
        <v>9.272300469483552E-2</v>
      </c>
      <c r="AB281" s="325">
        <f t="shared" si="412"/>
        <v>4.4469783352337311E-2</v>
      </c>
      <c r="AC281" s="325">
        <f t="shared" si="412"/>
        <v>4.7356828193832579E-2</v>
      </c>
      <c r="AD281" s="325">
        <f t="shared" si="412"/>
        <v>-3.9408866995074288E-3</v>
      </c>
      <c r="AE281" s="276">
        <f>(AE51/Z51)-1</f>
        <v>4.2990142387732799E-2</v>
      </c>
      <c r="AF281" s="325">
        <f t="shared" ref="AF281:AI282" si="413">AF51/AA51-1</f>
        <v>6.3372717508055842E-2</v>
      </c>
      <c r="AG281" s="325">
        <f t="shared" si="413"/>
        <v>3.8209606986899569E-2</v>
      </c>
      <c r="AH281" s="325">
        <f t="shared" si="413"/>
        <v>0.11251314405888535</v>
      </c>
      <c r="AI281" s="325">
        <f t="shared" si="413"/>
        <v>1.3847675568743778E-2</v>
      </c>
      <c r="AJ281" s="276">
        <f>(AJ51/AE51)-1</f>
        <v>5.6445261223418308E-2</v>
      </c>
      <c r="AK281" s="325">
        <f t="shared" ref="AK281:AN282" si="414">AK51/AF51-1</f>
        <v>0.15656565656565657</v>
      </c>
      <c r="AL281" s="325">
        <f t="shared" si="414"/>
        <v>0.21240799158780233</v>
      </c>
      <c r="AM281" s="325">
        <f t="shared" si="414"/>
        <v>0.14083175803402659</v>
      </c>
      <c r="AN281" s="325">
        <f t="shared" si="414"/>
        <v>0.17463414634146357</v>
      </c>
      <c r="AO281" s="345">
        <f>(AO51/AJ51)-1</f>
        <v>0.17022862823061624</v>
      </c>
      <c r="AP281" s="341">
        <f t="shared" ref="AP281:AS282" si="415">AP51/AK51-1</f>
        <v>0.13013100436681224</v>
      </c>
      <c r="AQ281" s="341">
        <f t="shared" si="415"/>
        <v>0.26626192541196891</v>
      </c>
      <c r="AR281" s="341">
        <f t="shared" si="415"/>
        <v>0.18144159072079535</v>
      </c>
      <c r="AS281" s="341">
        <f t="shared" si="415"/>
        <v>0.41196013289036548</v>
      </c>
      <c r="AT281" s="345">
        <f>(AT51/AO51)-1</f>
        <v>0.24867275430027602</v>
      </c>
      <c r="AU281" s="341">
        <f t="shared" ref="AU281:AX282" si="416">AU51/AP51-1</f>
        <v>0.1986089644513136</v>
      </c>
      <c r="AV281" s="341">
        <f t="shared" si="416"/>
        <v>-2.6712328767123372E-2</v>
      </c>
      <c r="AW281" s="341">
        <f t="shared" si="416"/>
        <v>-7.5035063113604417E-2</v>
      </c>
      <c r="AX281" s="341">
        <f t="shared" si="416"/>
        <v>-4.1176470588235259E-2</v>
      </c>
      <c r="AY281" s="345">
        <f>(AY51/AT51)-1</f>
        <v>6.9727891156463606E-3</v>
      </c>
      <c r="AZ281" s="341">
        <f t="shared" ref="AZ281:BC282" si="417">AZ51/AU51-1</f>
        <v>5.3513862024500369E-2</v>
      </c>
      <c r="BA281" s="341">
        <f t="shared" si="417"/>
        <v>0.11259676284306819</v>
      </c>
      <c r="BB281" s="341">
        <f t="shared" si="417"/>
        <v>0.22365428354814254</v>
      </c>
      <c r="BC281" s="341">
        <f t="shared" si="417"/>
        <v>0.19141104294478528</v>
      </c>
      <c r="BD281" s="344">
        <f t="shared" ref="BD281:BD296" si="418">IF(ISERROR(BD51/AY51-1),"NM",(BD51/AY51-1))</f>
        <v>0.14355683161628074</v>
      </c>
      <c r="BE281" s="341">
        <f t="shared" ref="BE281:BH282" si="419">BE51/AZ51-1</f>
        <v>-5.2631578947368363E-2</v>
      </c>
      <c r="BF281" s="341">
        <f t="shared" si="419"/>
        <v>0.14927261227071464</v>
      </c>
      <c r="BG281" s="341">
        <f t="shared" si="419"/>
        <v>2.7261462205700138E-2</v>
      </c>
      <c r="BH281" s="341">
        <f t="shared" si="419"/>
        <v>8.5993820803295762E-2</v>
      </c>
      <c r="BI281" s="345">
        <f t="shared" ref="BI281:BI296" si="420">IF(ISERROR(BI51/BD51-1),"NM",(BI51/BD51-1))</f>
        <v>5.3315610692659998E-2</v>
      </c>
      <c r="BJ281" s="341">
        <f t="shared" ref="BJ281:BM282" si="421">BJ51/BE51-1</f>
        <v>0.1595607235142118</v>
      </c>
      <c r="BK281" s="341">
        <f t="shared" si="421"/>
        <v>3.5222894881673072E-2</v>
      </c>
      <c r="BL281" s="341">
        <f t="shared" si="421"/>
        <v>0.11881785283474056</v>
      </c>
      <c r="BM281" s="341">
        <f t="shared" si="421"/>
        <v>1.4224751066855834E-3</v>
      </c>
      <c r="BN281" s="344">
        <f t="shared" ref="BN281:BN306" si="422">IF(ISERROR(BN51/BI51-1),"NM",(BN51/BI51-1))</f>
        <v>7.16489063376331E-2</v>
      </c>
      <c r="BO281" s="341">
        <f t="shared" ref="BO281:BR282" si="423">BO51/BJ51-1</f>
        <v>0.33760445682451246</v>
      </c>
      <c r="BP281" s="341">
        <f t="shared" si="423"/>
        <v>8.6124401913875603E-2</v>
      </c>
      <c r="BQ281" s="341">
        <f t="shared" si="423"/>
        <v>5.4447439353099591E-2</v>
      </c>
      <c r="BR281" s="341">
        <f t="shared" si="423"/>
        <v>5.0189393939394034E-2</v>
      </c>
      <c r="BS281" s="345">
        <f t="shared" ref="BS281:BS307" si="424">IF(ISERROR(BS51/BN51-1),"NM",(BS51/BN51-1))</f>
        <v>0.12756770901478487</v>
      </c>
      <c r="BT281" s="341">
        <f t="shared" ref="BT281:BY282" si="425">BT51/BO51-1</f>
        <v>-0.14452311536859641</v>
      </c>
      <c r="BU281" s="341">
        <f t="shared" si="425"/>
        <v>0.10866372980910421</v>
      </c>
      <c r="BV281" s="341">
        <f t="shared" si="425"/>
        <v>3.7832310838445737E-2</v>
      </c>
      <c r="BW281" s="341">
        <f t="shared" si="425"/>
        <v>0.12578899909828656</v>
      </c>
      <c r="BX281" s="345">
        <f t="shared" ref="BX281:BY313" si="426">IF(ISERROR(BX51/BS51-1),"NM",(BX51/BS51-1))</f>
        <v>2.6456254351357567E-2</v>
      </c>
      <c r="BY281" s="341">
        <f t="shared" si="425"/>
        <v>7.8870496592015504E-2</v>
      </c>
      <c r="BZ281" s="1106">
        <v>0</v>
      </c>
      <c r="CA281" s="1106">
        <v>0.12</v>
      </c>
      <c r="CB281" s="1106">
        <v>0</v>
      </c>
      <c r="CC281" s="345">
        <f t="shared" si="411"/>
        <v>4.5851232195342817E-2</v>
      </c>
      <c r="CD281" s="909">
        <v>0</v>
      </c>
      <c r="CE281" s="909">
        <v>-0.02</v>
      </c>
      <c r="CF281" s="909">
        <v>-0.02</v>
      </c>
      <c r="CG281" s="909">
        <v>-0.02</v>
      </c>
      <c r="CH281" s="909">
        <v>-0.02</v>
      </c>
    </row>
    <row r="282" spans="1:86">
      <c r="A282" s="9"/>
      <c r="B282" s="9"/>
      <c r="C282" s="9"/>
      <c r="D282" s="9"/>
      <c r="E282" s="9"/>
      <c r="F282" s="9"/>
      <c r="G282" s="9"/>
      <c r="H282" s="257" t="s">
        <v>232</v>
      </c>
      <c r="I282" s="257"/>
      <c r="L282" s="325">
        <v>8.3392729864575799E-2</v>
      </c>
      <c r="M282" s="325">
        <v>6.1559507523940571E-3</v>
      </c>
      <c r="N282" s="325">
        <v>2.8735632183908066E-2</v>
      </c>
      <c r="O282" s="325">
        <v>1.7426273458445163E-2</v>
      </c>
      <c r="P282" s="343">
        <v>3.3397112541311502E-2</v>
      </c>
      <c r="Q282" s="325">
        <f t="shared" si="400"/>
        <v>-0.14276315789473681</v>
      </c>
      <c r="R282" s="325">
        <f t="shared" si="400"/>
        <v>-4.8946295037389453E-2</v>
      </c>
      <c r="S282" s="325">
        <f t="shared" si="400"/>
        <v>-6.913407821229034E-2</v>
      </c>
      <c r="T282" s="325">
        <f t="shared" si="400"/>
        <v>1.3175230566534912E-2</v>
      </c>
      <c r="U282" s="48">
        <f t="shared" si="412"/>
        <v>-6.1942433933681151E-2</v>
      </c>
      <c r="V282" s="325">
        <f t="shared" si="412"/>
        <v>7.9048349961626796E-2</v>
      </c>
      <c r="W282" s="325">
        <f t="shared" si="412"/>
        <v>0.10864903502501777</v>
      </c>
      <c r="X282" s="325">
        <f t="shared" si="412"/>
        <v>0.14403600900225055</v>
      </c>
      <c r="Y282" s="325">
        <f t="shared" si="412"/>
        <v>0.11768530559167756</v>
      </c>
      <c r="Z282" s="48">
        <f t="shared" si="412"/>
        <v>0.11268616544051668</v>
      </c>
      <c r="AA282" s="325">
        <f t="shared" si="412"/>
        <v>0.170697012802276</v>
      </c>
      <c r="AB282" s="325">
        <f t="shared" si="412"/>
        <v>0.15925209542230823</v>
      </c>
      <c r="AC282" s="325">
        <f t="shared" si="412"/>
        <v>0.1580327868852458</v>
      </c>
      <c r="AD282" s="325">
        <f t="shared" si="412"/>
        <v>-6.1663757998836499E-2</v>
      </c>
      <c r="AE282" s="276">
        <f>(AE52/Z52)-1</f>
        <v>0.10030640219319453</v>
      </c>
      <c r="AF282" s="325">
        <f t="shared" si="413"/>
        <v>-0.14034021871202917</v>
      </c>
      <c r="AG282" s="325">
        <f t="shared" si="413"/>
        <v>-0.14916573971078984</v>
      </c>
      <c r="AH282" s="325">
        <f t="shared" si="413"/>
        <v>-0.1245753114382786</v>
      </c>
      <c r="AI282" s="325">
        <f t="shared" si="413"/>
        <v>5.7036577805331667E-2</v>
      </c>
      <c r="AJ282" s="276">
        <f>(AJ52/AE52)-1</f>
        <v>-9.1924373442766938E-2</v>
      </c>
      <c r="AK282" s="325">
        <f t="shared" si="414"/>
        <v>1.2720848056537282E-2</v>
      </c>
      <c r="AL282" s="325">
        <f t="shared" si="414"/>
        <v>-1.9479670545169192E-2</v>
      </c>
      <c r="AM282" s="325">
        <f t="shared" si="414"/>
        <v>1.7464424320827954E-2</v>
      </c>
      <c r="AN282" s="325">
        <f t="shared" si="414"/>
        <v>-1.7595307917888547E-2</v>
      </c>
      <c r="AO282" s="345">
        <f>(AO52/AJ52)-1</f>
        <v>-2.3887149359244075E-3</v>
      </c>
      <c r="AP282" s="341">
        <f t="shared" si="415"/>
        <v>0.11933007676203755</v>
      </c>
      <c r="AQ282" s="341">
        <f t="shared" si="415"/>
        <v>0.1053333333333335</v>
      </c>
      <c r="AR282" s="341">
        <f t="shared" si="415"/>
        <v>1.0171646535282797E-2</v>
      </c>
      <c r="AS282" s="341">
        <f t="shared" si="415"/>
        <v>4.8358208955223914E-2</v>
      </c>
      <c r="AT282" s="345">
        <f>(AT52/AO52)-1</f>
        <v>6.8920886587930719E-2</v>
      </c>
      <c r="AU282" s="341">
        <f t="shared" si="416"/>
        <v>-4.8628428927680822E-2</v>
      </c>
      <c r="AV282" s="341">
        <f t="shared" si="416"/>
        <v>-2.9553679131483768E-2</v>
      </c>
      <c r="AW282" s="341">
        <f t="shared" si="416"/>
        <v>-3.3983637507866593E-2</v>
      </c>
      <c r="AX282" s="341">
        <f t="shared" si="416"/>
        <v>2.5056947608200542E-2</v>
      </c>
      <c r="AY282" s="345">
        <f>(AY52/AT52)-1</f>
        <v>-2.0735583472075159E-2</v>
      </c>
      <c r="AZ282" s="341">
        <f t="shared" si="417"/>
        <v>-2.6867627785058912E-2</v>
      </c>
      <c r="BA282" s="341">
        <f t="shared" si="417"/>
        <v>5.2827843380981898E-2</v>
      </c>
      <c r="BB282" s="341">
        <f t="shared" si="417"/>
        <v>-5.1465798045602695E-2</v>
      </c>
      <c r="BC282" s="341">
        <f t="shared" si="417"/>
        <v>-2.6111111111111085E-2</v>
      </c>
      <c r="BD282" s="344">
        <f t="shared" si="418"/>
        <v>-1.2673879443585889E-2</v>
      </c>
      <c r="BE282" s="341">
        <f t="shared" si="419"/>
        <v>8.6868686868686984E-2</v>
      </c>
      <c r="BF282" s="341">
        <f t="shared" si="419"/>
        <v>7.6741440377803283E-3</v>
      </c>
      <c r="BG282" s="341">
        <f t="shared" si="419"/>
        <v>0.16826923076923084</v>
      </c>
      <c r="BH282" s="341">
        <f t="shared" si="419"/>
        <v>5.3622361665715879E-2</v>
      </c>
      <c r="BI282" s="345">
        <f t="shared" si="420"/>
        <v>7.5297432686286969E-2</v>
      </c>
      <c r="BJ282" s="341">
        <f t="shared" si="421"/>
        <v>-0.15613382899628259</v>
      </c>
      <c r="BK282" s="341">
        <f t="shared" si="421"/>
        <v>-0.248388986526069</v>
      </c>
      <c r="BL282" s="341">
        <f t="shared" si="421"/>
        <v>-0.22868900646678425</v>
      </c>
      <c r="BM282" s="341">
        <f t="shared" si="421"/>
        <v>-0.20194910665944765</v>
      </c>
      <c r="BN282" s="344">
        <f t="shared" si="422"/>
        <v>-0.20934633862279817</v>
      </c>
      <c r="BO282" s="341">
        <f t="shared" si="423"/>
        <v>-0.14610866372980902</v>
      </c>
      <c r="BP282" s="341">
        <f t="shared" si="423"/>
        <v>-2.3382696804365999E-3</v>
      </c>
      <c r="BQ282" s="341">
        <f t="shared" si="423"/>
        <v>-3.6585365853658458E-2</v>
      </c>
      <c r="BR282" s="341">
        <f t="shared" si="423"/>
        <v>-9.4301221166892879E-2</v>
      </c>
      <c r="BS282" s="345">
        <f t="shared" si="424"/>
        <v>-7.1625851592708512E-2</v>
      </c>
      <c r="BT282" s="341">
        <f t="shared" si="425"/>
        <v>-6.1908856405846979E-2</v>
      </c>
      <c r="BU282" s="341">
        <f t="shared" si="425"/>
        <v>2.5781250000000089E-2</v>
      </c>
      <c r="BV282" s="341">
        <f t="shared" si="425"/>
        <v>-0.22863924050632911</v>
      </c>
      <c r="BW282" s="341">
        <f t="shared" si="425"/>
        <v>-0.15505617977528097</v>
      </c>
      <c r="BX282" s="345">
        <f t="shared" si="426"/>
        <v>-0.10610868702895682</v>
      </c>
      <c r="BY282" s="341">
        <f t="shared" si="425"/>
        <v>-4.399633363886335E-2</v>
      </c>
      <c r="BZ282" s="1106">
        <v>-0.1</v>
      </c>
      <c r="CA282" s="1106">
        <v>0.05</v>
      </c>
      <c r="CB282" s="1106">
        <v>-0.06</v>
      </c>
      <c r="CC282" s="345">
        <f t="shared" si="411"/>
        <v>-4.3982693587752308E-2</v>
      </c>
      <c r="CD282" s="909">
        <v>-0.08</v>
      </c>
      <c r="CE282" s="909">
        <v>-0.08</v>
      </c>
      <c r="CF282" s="909">
        <v>-0.08</v>
      </c>
      <c r="CG282" s="909">
        <v>-0.08</v>
      </c>
      <c r="CH282" s="909">
        <v>-0.08</v>
      </c>
    </row>
    <row r="283" spans="1:86" collapsed="1">
      <c r="A283" s="9"/>
      <c r="B283" s="9"/>
      <c r="C283" s="9"/>
      <c r="D283" s="9"/>
      <c r="E283" s="9"/>
      <c r="F283" s="9"/>
      <c r="G283" s="9"/>
      <c r="H283" s="266" t="s">
        <v>301</v>
      </c>
      <c r="I283" s="266"/>
      <c r="L283" s="328">
        <v>7.0733532934131871E-2</v>
      </c>
      <c r="M283" s="328">
        <v>3.8205397826849063E-2</v>
      </c>
      <c r="N283" s="328">
        <v>0.15765595463137982</v>
      </c>
      <c r="O283" s="328">
        <v>8.6467486818980754E-2</v>
      </c>
      <c r="P283" s="330">
        <v>8.7244666364048928E-2</v>
      </c>
      <c r="Q283" s="328">
        <f>(Q53/L53)-1</f>
        <v>6.431317721076546E-2</v>
      </c>
      <c r="R283" s="328">
        <f t="shared" ref="R283:R294" si="427">R53/M53-1</f>
        <v>8.2039162727886694E-2</v>
      </c>
      <c r="S283" s="328">
        <f t="shared" ref="S283:S294" si="428">S53/N53-1</f>
        <v>5.2253429131286833E-2</v>
      </c>
      <c r="T283" s="328">
        <f t="shared" ref="T283:T294" si="429">T53/O53-1</f>
        <v>0.13911355548366222</v>
      </c>
      <c r="U283" s="330">
        <f t="shared" ref="U283:BC283" si="430">IF(ISERROR(U53/P53-1),"NM",(U53/P53-1))</f>
        <v>8.4919839679358899E-2</v>
      </c>
      <c r="V283" s="328">
        <f t="shared" si="430"/>
        <v>0.11527093596059124</v>
      </c>
      <c r="W283" s="328">
        <f t="shared" si="430"/>
        <v>0.11825273010920423</v>
      </c>
      <c r="X283" s="328">
        <f t="shared" si="430"/>
        <v>0.12507759155803844</v>
      </c>
      <c r="Y283" s="328">
        <f t="shared" si="430"/>
        <v>0.17608633910820792</v>
      </c>
      <c r="Z283" s="330">
        <f t="shared" si="430"/>
        <v>0.13491880243207865</v>
      </c>
      <c r="AA283" s="328">
        <f t="shared" si="430"/>
        <v>0.1996466431095405</v>
      </c>
      <c r="AB283" s="328">
        <f t="shared" si="430"/>
        <v>0.2218191964285714</v>
      </c>
      <c r="AC283" s="328">
        <f t="shared" si="430"/>
        <v>0.19337931034482758</v>
      </c>
      <c r="AD283" s="328">
        <f t="shared" si="430"/>
        <v>0.10601304032842296</v>
      </c>
      <c r="AE283" s="329">
        <f t="shared" si="430"/>
        <v>0.17720059677200606</v>
      </c>
      <c r="AF283" s="328">
        <f t="shared" si="430"/>
        <v>0.10603829160530198</v>
      </c>
      <c r="AG283" s="328">
        <f t="shared" si="430"/>
        <v>9.0408769125371213E-2</v>
      </c>
      <c r="AH283" s="328">
        <f t="shared" si="430"/>
        <v>0.15626444752658353</v>
      </c>
      <c r="AI283" s="328">
        <f t="shared" si="430"/>
        <v>0.15895196506550202</v>
      </c>
      <c r="AJ283" s="329">
        <f t="shared" si="430"/>
        <v>0.12857307448585753</v>
      </c>
      <c r="AK283" s="328">
        <f t="shared" si="430"/>
        <v>0.12383488681757648</v>
      </c>
      <c r="AL283" s="328">
        <f t="shared" si="430"/>
        <v>5.6985486607049385E-2</v>
      </c>
      <c r="AM283" s="328">
        <f t="shared" si="430"/>
        <v>-1.2395041983206845E-2</v>
      </c>
      <c r="AN283" s="328">
        <f t="shared" si="430"/>
        <v>3.4664657121326492E-2</v>
      </c>
      <c r="AO283" s="736">
        <f t="shared" si="430"/>
        <v>4.8599094477538074E-2</v>
      </c>
      <c r="AP283" s="338">
        <f t="shared" si="430"/>
        <v>3.751974723538698E-2</v>
      </c>
      <c r="AQ283" s="338">
        <f t="shared" si="430"/>
        <v>0.16286903110758888</v>
      </c>
      <c r="AR283" s="338">
        <f t="shared" si="430"/>
        <v>0.20080971659919045</v>
      </c>
      <c r="AS283" s="338">
        <f t="shared" si="430"/>
        <v>0.20538965768390383</v>
      </c>
      <c r="AT283" s="736">
        <f t="shared" si="430"/>
        <v>0.15246069220659098</v>
      </c>
      <c r="AU283" s="338">
        <f t="shared" si="430"/>
        <v>0.12352493338408821</v>
      </c>
      <c r="AV283" s="338">
        <f t="shared" si="430"/>
        <v>4.5152496166297462E-2</v>
      </c>
      <c r="AW283" s="338">
        <f t="shared" si="430"/>
        <v>-2.9332434254888851E-2</v>
      </c>
      <c r="AX283" s="338">
        <f t="shared" si="430"/>
        <v>-6.9486404833836835E-2</v>
      </c>
      <c r="AY283" s="736">
        <f t="shared" si="430"/>
        <v>1.1826821541710775E-2</v>
      </c>
      <c r="AZ283" s="338">
        <f t="shared" si="430"/>
        <v>7.182788412671548E-2</v>
      </c>
      <c r="BA283" s="338">
        <f t="shared" si="430"/>
        <v>2.4779915226605498E-2</v>
      </c>
      <c r="BB283" s="338">
        <f t="shared" si="430"/>
        <v>6.9815908301493756E-2</v>
      </c>
      <c r="BC283" s="338">
        <f t="shared" si="430"/>
        <v>0.19139610389610384</v>
      </c>
      <c r="BD283" s="736">
        <f t="shared" si="418"/>
        <v>9.0043832185347394E-2</v>
      </c>
      <c r="BE283" s="338">
        <f>IF(ISERROR(BE53/AZ53-1),"NM",(BE53/AZ53-1))</f>
        <v>2.734313260629051E-2</v>
      </c>
      <c r="BF283" s="338">
        <f>IF(ISERROR(BF53/BA53-1),"NM",(BF53/BA53-1))</f>
        <v>0.11374482978046463</v>
      </c>
      <c r="BG283" s="338">
        <f>IF(ISERROR(BG53/BB53-1),"NM",(BG53/BB53-1))</f>
        <v>0.14626623376623371</v>
      </c>
      <c r="BH283" s="338">
        <f>IF(ISERROR(BH53/BC53-1),"NM",(BH53/BC53-1))</f>
        <v>-6.5404005995366443E-3</v>
      </c>
      <c r="BI283" s="736">
        <f t="shared" si="420"/>
        <v>6.6674325980392357E-2</v>
      </c>
      <c r="BJ283" s="338">
        <f>IF(ISERROR(BJ53/BE53-1),"NM",(BJ53/BE53-1))</f>
        <v>5.2307692307692388E-2</v>
      </c>
      <c r="BK283" s="338">
        <f>IF(ISERROR(BK53/BF53-1),"NM",(BK53/BF53-1))</f>
        <v>-6.5419225824882243E-2</v>
      </c>
      <c r="BL283" s="338">
        <f>IF(ISERROR(BL53/BG53-1),"NM",(BL53/BG53-1))</f>
        <v>-1.5578529953265141E-3</v>
      </c>
      <c r="BM283" s="338">
        <f>IF(ISERROR(BM53/BH53-1),"NM",(BM53/BH53-1))</f>
        <v>9.5460156357152659E-2</v>
      </c>
      <c r="BN283" s="736">
        <f t="shared" si="422"/>
        <v>2.0356873586328206E-2</v>
      </c>
      <c r="BO283" s="338">
        <f>IF(ISERROR(BO53/BJ53-1),"NM",(BO53/BJ53-1))</f>
        <v>-0.11359649122807025</v>
      </c>
      <c r="BP283" s="1105">
        <f>IF(ISERROR(BP53/BK53-1),"NM",(BP53/BK53-1))</f>
        <v>7.274950328595442E-2</v>
      </c>
      <c r="BQ283" s="1105">
        <f>IF(ISERROR(BQ53/BL53-1),"NM",(BQ53/BL53-1))</f>
        <v>-9.1063829787234152E-2</v>
      </c>
      <c r="BR283" s="1105">
        <f>IF(ISERROR(BR53/BM53-1),"NM",(BR53/BM53-1))</f>
        <v>2.6417929134844087E-2</v>
      </c>
      <c r="BS283" s="736">
        <f t="shared" si="424"/>
        <v>-2.5756509500351799E-2</v>
      </c>
      <c r="BT283" s="338">
        <f>IF(ISERROR(BT53/BO53-1),"NM",(BT53/BO53-1))</f>
        <v>0.16856341745010739</v>
      </c>
      <c r="BU283" s="1105">
        <f>IF(ISERROR(BU53/BP53-1),"NM",(BU53/BP53-1))</f>
        <v>-3.3480552785297046E-2</v>
      </c>
      <c r="BV283" s="1105">
        <f>IF(ISERROR(BV53/BQ53-1),"NM",(BV53/BQ53-1))</f>
        <v>8.6454431960049982E-2</v>
      </c>
      <c r="BW283" s="1105">
        <f>IF(ISERROR(BW53/BR53-1),"NM",(BW53/BR53-1))</f>
        <v>-4.5864845084166772E-2</v>
      </c>
      <c r="BX283" s="736">
        <f t="shared" si="426"/>
        <v>3.4852643744582412E-2</v>
      </c>
      <c r="BY283" s="338">
        <f>IF(ISERROR(BY53/BT53-1),"NM",(BY53/BT53-1))</f>
        <v>0.11743119266055047</v>
      </c>
      <c r="BZ283" s="1105">
        <f>IF(ISERROR(BZ53/BU53-1),"NM",(BZ53/BU53-1))</f>
        <v>6.60377358490567E-2</v>
      </c>
      <c r="CA283" s="1105">
        <f>IF(ISERROR(CA53/BV53-1),"NM",(CA53/BV53-1))</f>
        <v>4.5959494398161382E-2</v>
      </c>
      <c r="CB283" s="1105">
        <f>IF(ISERROR(CB53/BW53-1),"NM",(CB53/BW53-1))</f>
        <v>-3.222705190488373E-2</v>
      </c>
      <c r="CC283" s="736">
        <f t="shared" si="411"/>
        <v>4.7041845531008875E-2</v>
      </c>
      <c r="CD283" s="736">
        <f>IF(ISERROR(CD53/CC53-1),"NM",(CD53/CC53-1))</f>
        <v>-9.9999999999999978E-2</v>
      </c>
      <c r="CE283" s="736">
        <f>IF(ISERROR(CE53/CD53-1),"NM",(CE53/CD53-1))</f>
        <v>-0.11961228483554998</v>
      </c>
      <c r="CF283" s="736">
        <f>IF(ISERROR(CF53/CE53-1),"NM",(CF53/CE53-1))</f>
        <v>-0.11893534158084362</v>
      </c>
      <c r="CG283" s="736">
        <f>IF(ISERROR(CG53/CF53-1),"NM",(CG53/CF53-1))</f>
        <v>-0.11826771757318644</v>
      </c>
      <c r="CH283" s="736">
        <f>IF(ISERROR(CH53/CG53-1),"NM",(CH53/CG53-1))</f>
        <v>-0.11761028857248101</v>
      </c>
    </row>
    <row r="284" spans="1:86">
      <c r="A284" s="9"/>
      <c r="B284" s="9"/>
      <c r="C284" s="9"/>
      <c r="D284" s="9"/>
      <c r="E284" s="9"/>
      <c r="F284" s="9"/>
      <c r="G284" s="9"/>
      <c r="H284" s="257" t="s">
        <v>1152</v>
      </c>
      <c r="I284" s="257"/>
      <c r="L284" s="325">
        <v>5.0715990453460646E-2</v>
      </c>
      <c r="M284" s="325">
        <v>9.4392004441976596E-3</v>
      </c>
      <c r="N284" s="325">
        <v>0.14716312056737602</v>
      </c>
      <c r="O284" s="325">
        <v>0.11342042755344406</v>
      </c>
      <c r="P284" s="343">
        <v>7.9089449875966888E-2</v>
      </c>
      <c r="Q284" s="325">
        <f t="shared" ref="Q284:Q294" si="431">Q54/L54-1</f>
        <v>7.098239636570125E-2</v>
      </c>
      <c r="R284" s="325">
        <f t="shared" si="427"/>
        <v>8.1408140814081209E-2</v>
      </c>
      <c r="S284" s="325">
        <f t="shared" si="428"/>
        <v>2.5244719216898526E-2</v>
      </c>
      <c r="T284" s="325">
        <f t="shared" si="429"/>
        <v>0.20906666666666651</v>
      </c>
      <c r="U284" s="276">
        <f t="shared" ref="U284:U294" si="432">IF(ISERROR(U54/P54-1),"NM",(U54/P54-1))</f>
        <v>9.6551724137931227E-2</v>
      </c>
      <c r="V284" s="325">
        <f t="shared" ref="V284:V294" si="433">IF(ISERROR(V54/Q54-1),"NM",(V54/Q54-1))</f>
        <v>0.11505832449628861</v>
      </c>
      <c r="W284" s="325">
        <f t="shared" ref="W284:W294" si="434">IF(ISERROR(W54/R54-1),"NM",(W54/R54-1))</f>
        <v>8.3926754832146511E-2</v>
      </c>
      <c r="X284" s="325">
        <f t="shared" ref="X284:X294" si="435">IF(ISERROR(X54/S54-1),"NM",(X54/S54-1))</f>
        <v>8.5929648241205969E-2</v>
      </c>
      <c r="Y284" s="325">
        <f t="shared" ref="Y284:Y294" si="436">IF(ISERROR(Y54/T54-1),"NM",(Y54/T54-1))</f>
        <v>9.6162329069254593E-2</v>
      </c>
      <c r="Z284" s="276">
        <f t="shared" ref="Z284:Z294" si="437">IF(ISERROR(Z54/U54-1),"NM",(Z54/U54-1))</f>
        <v>9.5079541250462363E-2</v>
      </c>
      <c r="AA284" s="325">
        <f t="shared" ref="AA284:AA294" si="438">IF(ISERROR(AA54/V54-1),"NM",(AA54/V54-1))</f>
        <v>0.13456966238706602</v>
      </c>
      <c r="AB284" s="325">
        <f t="shared" ref="AB284:AB294" si="439">IF(ISERROR(AB54/W54-1),"NM",(AB54/W54-1))</f>
        <v>0.17081182543406848</v>
      </c>
      <c r="AC284" s="325">
        <f t="shared" ref="AC284:AC294" si="440">IF(ISERROR(AC54/X54-1),"NM",(AC54/X54-1))</f>
        <v>0.13419713095788977</v>
      </c>
      <c r="AD284" s="325">
        <f t="shared" ref="AD284:AD294" si="441">IF(ISERROR(AD54/Y54-1),"NM",(AD54/Y54-1))</f>
        <v>0.10744466800804831</v>
      </c>
      <c r="AE284" s="276">
        <f t="shared" ref="AE284:AE294" si="442">IF(ISERROR(AE54/Z54-1),"NM",(AE54/Z54-1))</f>
        <v>0.13558558558558564</v>
      </c>
      <c r="AF284" s="325">
        <f t="shared" ref="AF284:AF294" si="443">IF(ISERROR(AF54/AA54-1),"NM",(AF54/AA54-1))</f>
        <v>0.19949706621961449</v>
      </c>
      <c r="AG284" s="325">
        <f t="shared" ref="AG284:AG294" si="444">IF(ISERROR(AG54/AB54-1),"NM",(AG54/AB54-1))</f>
        <v>0.17034068136272551</v>
      </c>
      <c r="AH284" s="325">
        <f t="shared" ref="AH284:AH294" si="445">IF(ISERROR(AH54/AC54-1),"NM",(AH54/AC54-1))</f>
        <v>0.26723786209710343</v>
      </c>
      <c r="AI284" s="325">
        <f t="shared" ref="AI284:AI294" si="446">IF(ISERROR(AI54/AD54-1),"NM",(AI54/AD54-1))</f>
        <v>0.16133720930232576</v>
      </c>
      <c r="AJ284" s="276">
        <f>(AJ54/AE54)-1</f>
        <v>0.19833399444664823</v>
      </c>
      <c r="AK284" s="325">
        <f t="shared" ref="AK284:AK294" si="447">IF(ISERROR(AK54/AF54-1),"NM",(AK54/AF54-1))</f>
        <v>8.2809224318658226E-2</v>
      </c>
      <c r="AL284" s="325">
        <f t="shared" ref="AL284:AL294" si="448">IF(ISERROR(AL54/AG54-1),"NM",(AL54/AG54-1))</f>
        <v>2.6369863013698591E-2</v>
      </c>
      <c r="AM284" s="325">
        <f t="shared" ref="AM284:AM294" si="449">IF(ISERROR(AM54/AH54-1),"NM",(AM54/AH54-1))</f>
        <v>-6.9864777849323989E-2</v>
      </c>
      <c r="AN284" s="325">
        <f t="shared" ref="AN284:AN294" si="450">IF(ISERROR(AN54/AI54-1),"NM",(AN54/AI54-1))</f>
        <v>1.3767209011263937E-2</v>
      </c>
      <c r="AO284" s="345">
        <f>(AO54/AJ54)-1</f>
        <v>1.1668321747765553E-2</v>
      </c>
      <c r="AP284" s="341">
        <f t="shared" ref="AP284:AP294" si="451">IF(ISERROR(AP54/AK54-1),"NM",(AP54/AK54-1))</f>
        <v>-1.9683768957728165E-2</v>
      </c>
      <c r="AQ284" s="341">
        <f t="shared" ref="AQ284:AQ294" si="452">IF(ISERROR(AQ54/AL54-1),"NM",(AQ54/AL54-1))</f>
        <v>0.13980647313980654</v>
      </c>
      <c r="AR284" s="341">
        <f t="shared" ref="AR284:AR294" si="453">IF(ISERROR(AR54/AM54-1),"NM",(AR54/AM54-1))</f>
        <v>0.1959155417099343</v>
      </c>
      <c r="AS284" s="341">
        <f t="shared" ref="AS284:AS294" si="454">IF(ISERROR(AS54/AN54-1),"NM",(AS54/AN54-1))</f>
        <v>0.2592592592592593</v>
      </c>
      <c r="AT284" s="345">
        <f>(AT54/AO54)-1</f>
        <v>0.14429447852760746</v>
      </c>
      <c r="AU284" s="341">
        <f t="shared" ref="AU284:AU296" si="455">IF(ISERROR(AU54/AP54-1),"NM",(AU54/AP54-1))</f>
        <v>0.14680710994075041</v>
      </c>
      <c r="AV284" s="341">
        <f t="shared" ref="AV284:AV296" si="456">IF(ISERROR(AV54/AQ54-1),"NM",(AV54/AQ54-1))</f>
        <v>3.5128805620608938E-2</v>
      </c>
      <c r="AW284" s="341">
        <f t="shared" ref="AW284:AW296" si="457">IF(ISERROR(AW54/AR54-1),"NM",(AW54/AR54-1))</f>
        <v>-2.3733719247467366E-2</v>
      </c>
      <c r="AX284" s="341">
        <f t="shared" ref="AX284:AX296" si="458">IF(ISERROR(AX54/AS54-1),"NM",(AX54/AS54-1))</f>
        <v>-0.1872549019607842</v>
      </c>
      <c r="AY284" s="345">
        <f>(AY54/AT54)-1</f>
        <v>-2.0015726642361842E-2</v>
      </c>
      <c r="AZ284" s="341">
        <f t="shared" ref="AZ284:BC285" si="459">AZ54/AU54-1</f>
        <v>8.5533869115958616E-2</v>
      </c>
      <c r="BA284" s="341">
        <f t="shared" si="459"/>
        <v>-4.8076923076924016E-3</v>
      </c>
      <c r="BB284" s="341">
        <f t="shared" si="459"/>
        <v>6.0776756596501613E-2</v>
      </c>
      <c r="BC284" s="341">
        <f t="shared" si="459"/>
        <v>0.30729794933654997</v>
      </c>
      <c r="BD284" s="344">
        <f t="shared" si="418"/>
        <v>0.10978189510540504</v>
      </c>
      <c r="BE284" s="341">
        <f t="shared" ref="BE284:BH285" si="460">BE54/AZ54-1</f>
        <v>-7.4034902168165218E-3</v>
      </c>
      <c r="BF284" s="341">
        <f t="shared" si="460"/>
        <v>0.17391304347826098</v>
      </c>
      <c r="BG284" s="341">
        <f t="shared" si="460"/>
        <v>0.15986584684181104</v>
      </c>
      <c r="BH284" s="341">
        <f t="shared" si="460"/>
        <v>-2.1683967704728913E-2</v>
      </c>
      <c r="BI284" s="345">
        <f t="shared" si="420"/>
        <v>6.9804127777047587E-2</v>
      </c>
      <c r="BJ284" s="341">
        <f t="shared" ref="BJ284:BM285" si="461">BJ54/BE54-1</f>
        <v>0.12040490143846583</v>
      </c>
      <c r="BK284" s="341">
        <f t="shared" si="461"/>
        <v>-3.2437666424594558E-2</v>
      </c>
      <c r="BL284" s="341">
        <f t="shared" si="461"/>
        <v>6.2409638554216773E-2</v>
      </c>
      <c r="BM284" s="341">
        <f t="shared" si="461"/>
        <v>0.20490450365479829</v>
      </c>
      <c r="BN284" s="344">
        <f t="shared" si="422"/>
        <v>8.8842467436716532E-2</v>
      </c>
      <c r="BO284" s="341">
        <f t="shared" ref="BO284:BR285" si="462">BO54/BJ54-1</f>
        <v>-0.14027579648121735</v>
      </c>
      <c r="BP284" s="341">
        <f t="shared" si="462"/>
        <v>5.0788091068301178E-2</v>
      </c>
      <c r="BQ284" s="341">
        <f t="shared" si="462"/>
        <v>-0.14084826491267854</v>
      </c>
      <c r="BR284" s="341">
        <f t="shared" si="462"/>
        <v>2.700587084148709E-2</v>
      </c>
      <c r="BS284" s="345">
        <f t="shared" si="424"/>
        <v>-4.9091524658616326E-2</v>
      </c>
      <c r="BT284" s="341">
        <f t="shared" ref="BT284:BY285" si="463">BT54/BO54-1</f>
        <v>0.24198008849557517</v>
      </c>
      <c r="BU284" s="341">
        <f t="shared" si="463"/>
        <v>-7.0476190476190581E-2</v>
      </c>
      <c r="BV284" s="341">
        <f t="shared" si="463"/>
        <v>9.5300950369588078E-2</v>
      </c>
      <c r="BW284" s="341">
        <f t="shared" si="463"/>
        <v>-0.11699695121951215</v>
      </c>
      <c r="BX284" s="345">
        <f t="shared" si="426"/>
        <v>1.9344884880132973E-2</v>
      </c>
      <c r="BY284" s="341">
        <f t="shared" si="463"/>
        <v>0.12246715653529283</v>
      </c>
      <c r="BZ284" s="1106">
        <v>0.1</v>
      </c>
      <c r="CA284" s="1106">
        <v>0.05</v>
      </c>
      <c r="CB284" s="1106">
        <v>-0.02</v>
      </c>
      <c r="CC284" s="345">
        <f t="shared" si="411"/>
        <v>6.1425660728839038E-2</v>
      </c>
      <c r="CD284" s="909">
        <v>-0.1</v>
      </c>
      <c r="CE284" s="909">
        <v>-0.1</v>
      </c>
      <c r="CF284" s="909">
        <v>-0.1</v>
      </c>
      <c r="CG284" s="909">
        <v>-0.1</v>
      </c>
      <c r="CH284" s="909">
        <v>-0.1</v>
      </c>
    </row>
    <row r="285" spans="1:86">
      <c r="A285" s="9"/>
      <c r="B285" s="9"/>
      <c r="C285" s="9"/>
      <c r="D285" s="9"/>
      <c r="E285" s="9"/>
      <c r="F285" s="9"/>
      <c r="G285" s="9"/>
      <c r="H285" s="257" t="s">
        <v>1153</v>
      </c>
      <c r="I285" s="257"/>
      <c r="L285" s="325">
        <v>0.10441767068273089</v>
      </c>
      <c r="M285" s="325">
        <v>8.7452471482889704E-2</v>
      </c>
      <c r="N285" s="325">
        <v>0.17628541448058765</v>
      </c>
      <c r="O285" s="325">
        <v>4.7372954349698571E-2</v>
      </c>
      <c r="P285" s="343">
        <v>0.10067275348390181</v>
      </c>
      <c r="Q285" s="325">
        <f t="shared" si="431"/>
        <v>5.3636363636363704E-2</v>
      </c>
      <c r="R285" s="325">
        <f t="shared" si="427"/>
        <v>8.304195804195813E-2</v>
      </c>
      <c r="S285" s="325">
        <f t="shared" si="428"/>
        <v>9.9018733273862791E-2</v>
      </c>
      <c r="T285" s="325">
        <f t="shared" si="429"/>
        <v>3.125E-2</v>
      </c>
      <c r="U285" s="48">
        <f t="shared" si="432"/>
        <v>6.6142763588735942E-2</v>
      </c>
      <c r="V285" s="325">
        <f t="shared" si="433"/>
        <v>0.11561691113028472</v>
      </c>
      <c r="W285" s="325">
        <f t="shared" si="434"/>
        <v>0.17271993543179986</v>
      </c>
      <c r="X285" s="325">
        <f t="shared" si="435"/>
        <v>0.18831168831168843</v>
      </c>
      <c r="Y285" s="325">
        <f t="shared" si="436"/>
        <v>0.32057416267942562</v>
      </c>
      <c r="Z285" s="48">
        <f t="shared" si="437"/>
        <v>0.20106470106470109</v>
      </c>
      <c r="AA285" s="325">
        <f t="shared" si="438"/>
        <v>0.30549110595514306</v>
      </c>
      <c r="AB285" s="325">
        <f t="shared" si="439"/>
        <v>0.296627666896077</v>
      </c>
      <c r="AC285" s="325">
        <f t="shared" si="440"/>
        <v>0.28073770491803263</v>
      </c>
      <c r="AD285" s="325">
        <f t="shared" si="441"/>
        <v>0.10386473429951693</v>
      </c>
      <c r="AE285" s="276">
        <f t="shared" si="442"/>
        <v>0.24019774974428909</v>
      </c>
      <c r="AF285" s="325">
        <f t="shared" si="443"/>
        <v>-2.6066350710900466E-2</v>
      </c>
      <c r="AG285" s="325">
        <f t="shared" si="444"/>
        <v>-1.5445859872611489E-2</v>
      </c>
      <c r="AH285" s="325">
        <f t="shared" si="445"/>
        <v>1.1199999999999877E-2</v>
      </c>
      <c r="AI285" s="325">
        <f t="shared" si="446"/>
        <v>0.15536105032822745</v>
      </c>
      <c r="AJ285" s="276">
        <f>(AJ55/AE55)-1</f>
        <v>3.1876288659793861E-2</v>
      </c>
      <c r="AK285" s="325">
        <f t="shared" si="447"/>
        <v>0.19525547445255476</v>
      </c>
      <c r="AL285" s="325">
        <f t="shared" si="448"/>
        <v>0.10518087228422002</v>
      </c>
      <c r="AM285" s="325">
        <f t="shared" si="449"/>
        <v>8.1751054852320593E-2</v>
      </c>
      <c r="AN285" s="325">
        <f t="shared" si="450"/>
        <v>6.6287878787878896E-2</v>
      </c>
      <c r="AO285" s="345">
        <f>(AO55/AJ55)-1</f>
        <v>0.10804726318453683</v>
      </c>
      <c r="AP285" s="341">
        <f t="shared" si="451"/>
        <v>0.12773536895674287</v>
      </c>
      <c r="AQ285" s="341">
        <f t="shared" si="452"/>
        <v>0.19658536585365849</v>
      </c>
      <c r="AR285" s="341">
        <f t="shared" si="453"/>
        <v>0.20770355923939543</v>
      </c>
      <c r="AS285" s="341">
        <f t="shared" si="454"/>
        <v>0.12788632326820615</v>
      </c>
      <c r="AT285" s="345">
        <f>(AT55/AO55)-1</f>
        <v>0.16446261120461636</v>
      </c>
      <c r="AU285" s="341">
        <f t="shared" si="455"/>
        <v>9.1606498194945818E-2</v>
      </c>
      <c r="AV285" s="341">
        <f t="shared" si="456"/>
        <v>5.9111292295148887E-2</v>
      </c>
      <c r="AW285" s="341">
        <f t="shared" si="457"/>
        <v>-3.7141703673798876E-2</v>
      </c>
      <c r="AX285" s="341">
        <f t="shared" si="458"/>
        <v>0.11968503937007857</v>
      </c>
      <c r="AY285" s="345">
        <f>(AY55/AT55)-1</f>
        <v>5.7815403675407717E-2</v>
      </c>
      <c r="AZ285" s="341">
        <f t="shared" si="459"/>
        <v>5.2087639520463025E-2</v>
      </c>
      <c r="BA285" s="341">
        <f t="shared" si="459"/>
        <v>6.5050038491146989E-2</v>
      </c>
      <c r="BB285" s="341">
        <f t="shared" si="459"/>
        <v>8.2599580712788168E-2</v>
      </c>
      <c r="BC285" s="341">
        <f t="shared" si="459"/>
        <v>5.6258790436005679E-2</v>
      </c>
      <c r="BD285" s="344">
        <f t="shared" si="418"/>
        <v>6.3634589107944839E-2</v>
      </c>
      <c r="BE285" s="341">
        <f t="shared" si="460"/>
        <v>7.8978388998035554E-2</v>
      </c>
      <c r="BF285" s="341">
        <f t="shared" si="460"/>
        <v>3.7224430791470864E-2</v>
      </c>
      <c r="BG285" s="341">
        <f t="shared" si="460"/>
        <v>0.1274206041828041</v>
      </c>
      <c r="BH285" s="341">
        <f t="shared" si="460"/>
        <v>1.5312916111851038E-2</v>
      </c>
      <c r="BI285" s="345">
        <f t="shared" si="420"/>
        <v>6.2305010093595126E-2</v>
      </c>
      <c r="BJ285" s="341">
        <f t="shared" si="461"/>
        <v>-4.0786598689002362E-2</v>
      </c>
      <c r="BK285" s="341">
        <f t="shared" si="461"/>
        <v>-0.11289198606271778</v>
      </c>
      <c r="BL285" s="341">
        <f t="shared" si="461"/>
        <v>-9.275163174166956E-2</v>
      </c>
      <c r="BM285" s="341">
        <f t="shared" si="461"/>
        <v>-5.6721311475409819E-2</v>
      </c>
      <c r="BN285" s="344">
        <f t="shared" si="422"/>
        <v>-7.5926405804612629E-2</v>
      </c>
      <c r="BO285" s="341">
        <f t="shared" si="462"/>
        <v>-7.0994684889901238E-2</v>
      </c>
      <c r="BP285" s="341">
        <f t="shared" si="462"/>
        <v>0.10722702278083251</v>
      </c>
      <c r="BQ285" s="341">
        <f t="shared" si="462"/>
        <v>-7.9515335100341922E-3</v>
      </c>
      <c r="BR285" s="341">
        <f t="shared" si="462"/>
        <v>2.5373653110879468E-2</v>
      </c>
      <c r="BS285" s="345">
        <f t="shared" si="424"/>
        <v>1.28996074032528E-2</v>
      </c>
      <c r="BT285" s="341">
        <f t="shared" si="463"/>
        <v>6.0073559460563919E-2</v>
      </c>
      <c r="BU285" s="341">
        <f t="shared" si="463"/>
        <v>2.1638879035118963E-2</v>
      </c>
      <c r="BV285" s="341">
        <f t="shared" si="463"/>
        <v>7.3664122137404586E-2</v>
      </c>
      <c r="BW285" s="341">
        <f t="shared" si="463"/>
        <v>8.0677966101694976E-2</v>
      </c>
      <c r="BX285" s="345">
        <f t="shared" si="426"/>
        <v>5.8970099667774223E-2</v>
      </c>
      <c r="BY285" s="341">
        <f t="shared" si="463"/>
        <v>0.1087124132613726</v>
      </c>
      <c r="BZ285" s="1106">
        <v>0.02</v>
      </c>
      <c r="CA285" s="1106">
        <v>0.04</v>
      </c>
      <c r="CB285" s="1106">
        <v>-0.05</v>
      </c>
      <c r="CC285" s="345">
        <f t="shared" si="411"/>
        <v>2.5509368191721116E-2</v>
      </c>
      <c r="CD285" s="909">
        <v>-0.1</v>
      </c>
      <c r="CE285" s="909">
        <v>-0.15</v>
      </c>
      <c r="CF285" s="909">
        <v>-0.15</v>
      </c>
      <c r="CG285" s="909">
        <v>-0.15</v>
      </c>
      <c r="CH285" s="909">
        <v>-0.15</v>
      </c>
    </row>
    <row r="286" spans="1:86">
      <c r="A286" s="9"/>
      <c r="B286" s="9"/>
      <c r="C286" s="9"/>
      <c r="D286" s="9"/>
      <c r="E286" s="9"/>
      <c r="F286" s="9"/>
      <c r="G286" s="9"/>
      <c r="H286" s="266" t="s">
        <v>578</v>
      </c>
      <c r="I286" s="266"/>
      <c r="L286" s="333">
        <v>6.9158075601374325E-2</v>
      </c>
      <c r="M286" s="333">
        <v>-5.4229934924078127E-2</v>
      </c>
      <c r="N286" s="333">
        <v>5.8130081300812986E-2</v>
      </c>
      <c r="O286" s="333">
        <v>3.1092110376991888E-2</v>
      </c>
      <c r="P286" s="334">
        <v>2.3106546854942067E-2</v>
      </c>
      <c r="Q286" s="328">
        <f t="shared" si="431"/>
        <v>-2.9329047810365605E-2</v>
      </c>
      <c r="R286" s="328">
        <f t="shared" si="427"/>
        <v>5.3134556574923497E-2</v>
      </c>
      <c r="S286" s="328">
        <f t="shared" si="428"/>
        <v>-9.2201306185172305E-3</v>
      </c>
      <c r="T286" s="328">
        <f t="shared" si="429"/>
        <v>1.884658876743317E-2</v>
      </c>
      <c r="U286" s="334">
        <f t="shared" si="432"/>
        <v>8.8794517903678649E-3</v>
      </c>
      <c r="V286" s="328">
        <f t="shared" si="433"/>
        <v>9.1887417218543099E-2</v>
      </c>
      <c r="W286" s="328">
        <f t="shared" si="434"/>
        <v>9.0744101633393193E-3</v>
      </c>
      <c r="X286" s="328">
        <f t="shared" si="435"/>
        <v>2.0550601008142655E-2</v>
      </c>
      <c r="Y286" s="328">
        <f t="shared" si="436"/>
        <v>5.7343692193858375E-2</v>
      </c>
      <c r="Z286" s="334">
        <f t="shared" si="437"/>
        <v>4.3528173730029929E-2</v>
      </c>
      <c r="AA286" s="328">
        <f t="shared" si="438"/>
        <v>-1.0235026535253988E-2</v>
      </c>
      <c r="AB286" s="328">
        <f t="shared" si="439"/>
        <v>6.4748201438848962E-3</v>
      </c>
      <c r="AC286" s="328">
        <f t="shared" si="440"/>
        <v>9.4984802431612447E-3</v>
      </c>
      <c r="AD286" s="328">
        <f t="shared" si="441"/>
        <v>-5.8782365290412697E-2</v>
      </c>
      <c r="AE286" s="334">
        <f t="shared" si="442"/>
        <v>-1.3934726806013931E-2</v>
      </c>
      <c r="AF286" s="328">
        <f t="shared" si="443"/>
        <v>-1.608579088471862E-2</v>
      </c>
      <c r="AG286" s="328">
        <f t="shared" si="444"/>
        <v>-0.10175125089349546</v>
      </c>
      <c r="AH286" s="328">
        <f t="shared" si="445"/>
        <v>-2.3334587881069013E-2</v>
      </c>
      <c r="AI286" s="328">
        <f t="shared" si="446"/>
        <v>-2.3420074349442377E-2</v>
      </c>
      <c r="AJ286" s="334">
        <f>IF(ISERROR(AJ56/AE56-1),"NM",(AJ56/AE56-1))</f>
        <v>-4.1995165489029707E-2</v>
      </c>
      <c r="AK286" s="328">
        <f t="shared" si="447"/>
        <v>-5.9556247567146614E-2</v>
      </c>
      <c r="AL286" s="328">
        <f t="shared" si="448"/>
        <v>3.2507062427883815E-2</v>
      </c>
      <c r="AM286" s="328">
        <f t="shared" si="449"/>
        <v>-1.0404624277456587E-2</v>
      </c>
      <c r="AN286" s="328">
        <f t="shared" si="450"/>
        <v>1.4465169394746846E-2</v>
      </c>
      <c r="AO286" s="353">
        <f>IF(ISERROR(AO56/AJ56-1),"NM",(AO56/AJ56-1))</f>
        <v>-5.851925895014487E-3</v>
      </c>
      <c r="AP286" s="338">
        <f t="shared" si="451"/>
        <v>0.1018211920529799</v>
      </c>
      <c r="AQ286" s="354">
        <f t="shared" si="452"/>
        <v>1.5414258188824581E-2</v>
      </c>
      <c r="AR286" s="354">
        <f t="shared" si="453"/>
        <v>5.1791277258566915E-2</v>
      </c>
      <c r="AS286" s="354">
        <f t="shared" si="454"/>
        <v>2.251407129455929E-3</v>
      </c>
      <c r="AT286" s="353">
        <f>IF(ISERROR(AT56/AO56-1),"NM",(AT56/AO56-1))</f>
        <v>4.1487700117141646E-2</v>
      </c>
      <c r="AU286" s="354">
        <f t="shared" si="455"/>
        <v>-3.7565740045078844E-2</v>
      </c>
      <c r="AV286" s="354">
        <f t="shared" si="456"/>
        <v>9.1081593927893056E-3</v>
      </c>
      <c r="AW286" s="354">
        <f t="shared" si="457"/>
        <v>-8.5523880044428013E-2</v>
      </c>
      <c r="AX286" s="354">
        <f t="shared" si="458"/>
        <v>-9.7716211156870125E-2</v>
      </c>
      <c r="AY286" s="353">
        <f>IF(ISERROR(AY56/AT56-1),"NM",(AY56/AT56-1))</f>
        <v>-5.3238354110038411E-2</v>
      </c>
      <c r="AZ286" s="354">
        <f>IF(ISERROR(AZ56/AU56-1),"NM",(AZ56/AU56-1))</f>
        <v>-6.0889929742388715E-2</v>
      </c>
      <c r="BA286" s="354">
        <f>IF(ISERROR(BA56/AV56-1),"NM",(BA56/AV56-1))</f>
        <v>4.8138397893945362E-2</v>
      </c>
      <c r="BB286" s="354">
        <f>IF(ISERROR(BB56/AW56-1),"NM",(BB56/AW56-1))</f>
        <v>3.3603238866396712E-2</v>
      </c>
      <c r="BC286" s="354">
        <f>IF(ISERROR(BC56/AX56-1),"NM",(BC56/AX56-1))</f>
        <v>0.14481327800829868</v>
      </c>
      <c r="BD286" s="353">
        <f t="shared" si="418"/>
        <v>3.9996039996039956E-2</v>
      </c>
      <c r="BE286" s="354">
        <f t="shared" ref="BE286:BE296" si="464">IF(ISERROR(BE56/AZ56-1),"NM",(BE56/AZ56-1))</f>
        <v>-0.37614297589359935</v>
      </c>
      <c r="BF286" s="354">
        <f t="shared" ref="BF286:BF296" si="465">IF(ISERROR(BF56/BA56-1),"NM",(BF56/BA56-1))</f>
        <v>-0.61141011840688919</v>
      </c>
      <c r="BG286" s="354">
        <f t="shared" ref="BG286:BG296" si="466">IF(ISERROR(BG56/BB56-1),"NM",(BG56/BB56-1))</f>
        <v>-0.6494320407363886</v>
      </c>
      <c r="BH286" s="354">
        <f t="shared" ref="BH286:BH296" si="467">IF(ISERROR(BH56/BC56-1),"NM",(BH56/BC56-1))</f>
        <v>-0.73867343240304462</v>
      </c>
      <c r="BI286" s="353">
        <f t="shared" si="420"/>
        <v>-0.60019038553069959</v>
      </c>
      <c r="BJ286" s="354">
        <f t="shared" ref="BJ286:BJ296" si="468">IF(ISERROR(BJ56/BE56-1),"NM",(BJ56/BE56-1))</f>
        <v>-0.5549633577614923</v>
      </c>
      <c r="BK286" s="354">
        <f t="shared" ref="BK286:BK296" si="469">IF(ISERROR(BK56/BF56-1),"NM",(BK56/BF56-1))</f>
        <v>-0.44875346260387805</v>
      </c>
      <c r="BL286" s="354">
        <f t="shared" ref="BL286:BL296" si="470">IF(ISERROR(BL56/BG56-1),"NM",(BL56/BG56-1))</f>
        <v>-0.35195530726256985</v>
      </c>
      <c r="BM286" s="354">
        <f t="shared" ref="BM286:BM296" si="471">IF(ISERROR(BM56/BH56-1),"NM",(BM56/BH56-1))</f>
        <v>-0.26768377253814146</v>
      </c>
      <c r="BN286" s="353">
        <f t="shared" si="422"/>
        <v>-0.43499999999999994</v>
      </c>
      <c r="BO286" s="354">
        <f t="shared" ref="BO286:BO307" si="472">IF(ISERROR(BO56/BJ56-1),"NM",(BO56/BJ56-1))</f>
        <v>-0.5</v>
      </c>
      <c r="BP286" s="1115">
        <f t="shared" ref="BP286:BP307" si="473">IF(ISERROR(BP56/BK56-1),"NM",(BP56/BK56-1))</f>
        <v>-0.36683417085427128</v>
      </c>
      <c r="BQ286" s="1115">
        <f t="shared" ref="BQ286:BQ307" si="474">IF(ISERROR(BQ56/BL56-1),"NM",(BQ56/BL56-1))</f>
        <v>-0.45517241379310347</v>
      </c>
      <c r="BR286" s="1115">
        <f t="shared" ref="BR286:BR307" si="475">IF(ISERROR(BR56/BM56-1),"NM",(BR56/BM56-1))</f>
        <v>0.31818181818181812</v>
      </c>
      <c r="BS286" s="353">
        <f t="shared" si="424"/>
        <v>-0.27349346818373366</v>
      </c>
      <c r="BT286" s="354">
        <f t="shared" ref="BT286:BT309" si="476">IF(ISERROR(BT56/BO56-1),"NM",(BT56/BO56-1))</f>
        <v>-0.20958083832335328</v>
      </c>
      <c r="BU286" s="1105">
        <f t="shared" ref="BU286:BU309" si="477">IF(ISERROR(BU56/BP56-1),"NM",(BU56/BP56-1))</f>
        <v>-0.29100529100529104</v>
      </c>
      <c r="BV286" s="1105">
        <f t="shared" ref="BV286:BV309" si="478">IF(ISERROR(BV56/BQ56-1),"NM",(BV56/BQ56-1))</f>
        <v>-0.18987341772151911</v>
      </c>
      <c r="BW286" s="1105">
        <f t="shared" ref="BW286:BW309" si="479">IF(ISERROR(BW56/BR56-1),"NM",(BW56/BR56-1))</f>
        <v>-0.58620689655172409</v>
      </c>
      <c r="BX286" s="353">
        <f t="shared" si="426"/>
        <v>-0.37587006960556846</v>
      </c>
      <c r="BY286" s="354"/>
      <c r="BZ286" s="1115"/>
      <c r="CA286" s="1115"/>
      <c r="CB286" s="1115"/>
      <c r="CC286" s="353"/>
      <c r="CD286" s="353"/>
      <c r="CE286" s="353"/>
      <c r="CF286" s="353"/>
      <c r="CG286" s="353"/>
      <c r="CH286" s="353"/>
    </row>
    <row r="287" spans="1:86">
      <c r="A287" s="9"/>
      <c r="B287" s="9"/>
      <c r="C287" s="9"/>
      <c r="D287" s="9"/>
      <c r="E287" s="9"/>
      <c r="F287" s="9"/>
      <c r="G287" s="9"/>
      <c r="H287" s="257" t="s">
        <v>1154</v>
      </c>
      <c r="I287" s="257"/>
      <c r="L287" s="325">
        <v>-1.0605115408608978E-2</v>
      </c>
      <c r="M287" s="325">
        <v>-4.6811000585137541E-2</v>
      </c>
      <c r="N287" s="325">
        <v>-4.6690307328605019E-2</v>
      </c>
      <c r="O287" s="325">
        <v>1.4916467780429654E-2</v>
      </c>
      <c r="P287" s="48">
        <v>-2.2604790419161747E-2</v>
      </c>
      <c r="Q287" s="325">
        <f t="shared" si="431"/>
        <v>-5.989911727616648E-2</v>
      </c>
      <c r="R287" s="325">
        <f t="shared" si="427"/>
        <v>7.4278698588090775E-2</v>
      </c>
      <c r="S287" s="325">
        <f t="shared" si="428"/>
        <v>9.2994420334779893E-3</v>
      </c>
      <c r="T287" s="325">
        <f t="shared" si="429"/>
        <v>4.1152263374485631E-2</v>
      </c>
      <c r="U287" s="276">
        <f t="shared" si="432"/>
        <v>1.7001072139684492E-2</v>
      </c>
      <c r="V287" s="325">
        <f t="shared" si="433"/>
        <v>0.15425888665325282</v>
      </c>
      <c r="W287" s="325">
        <f t="shared" si="434"/>
        <v>1.0857142857142899E-2</v>
      </c>
      <c r="X287" s="325">
        <f t="shared" si="435"/>
        <v>4.1154791154791148E-2</v>
      </c>
      <c r="Y287" s="325">
        <f t="shared" si="436"/>
        <v>5.9853190287972868E-2</v>
      </c>
      <c r="Z287" s="276">
        <f t="shared" si="437"/>
        <v>6.355421686746987E-2</v>
      </c>
      <c r="AA287" s="325">
        <f t="shared" si="438"/>
        <v>-4.6484601975594897E-3</v>
      </c>
      <c r="AB287" s="325">
        <f t="shared" si="439"/>
        <v>7.9140757490108182E-3</v>
      </c>
      <c r="AC287" s="325">
        <f t="shared" si="440"/>
        <v>7.6696165191740828E-3</v>
      </c>
      <c r="AD287" s="325">
        <f t="shared" si="441"/>
        <v>-4.0490143846563686E-2</v>
      </c>
      <c r="AE287" s="276">
        <f t="shared" si="442"/>
        <v>-8.0713678844519521E-3</v>
      </c>
      <c r="AF287" s="325">
        <f t="shared" si="443"/>
        <v>-4.3782837127845919E-2</v>
      </c>
      <c r="AG287" s="325">
        <f t="shared" si="444"/>
        <v>-5.7206954570947932E-2</v>
      </c>
      <c r="AH287" s="325">
        <f t="shared" si="445"/>
        <v>2.1077283372365363E-2</v>
      </c>
      <c r="AI287" s="325">
        <f t="shared" si="446"/>
        <v>-2.3320377568017747E-2</v>
      </c>
      <c r="AJ287" s="276">
        <f>(AJ57/AE57)-1</f>
        <v>-2.6124197002141636E-2</v>
      </c>
      <c r="AK287" s="325">
        <f t="shared" si="447"/>
        <v>-3.3577533577533569E-2</v>
      </c>
      <c r="AL287" s="325">
        <f t="shared" si="448"/>
        <v>4.46162998215347E-2</v>
      </c>
      <c r="AM287" s="325">
        <f t="shared" si="449"/>
        <v>-4.587155963302747E-2</v>
      </c>
      <c r="AN287" s="325">
        <f t="shared" si="450"/>
        <v>3.2404775440591171E-2</v>
      </c>
      <c r="AO287" s="345">
        <f>(AO57/AJ57)-1</f>
        <v>-4.397537379067229E-4</v>
      </c>
      <c r="AP287" s="341">
        <f t="shared" si="451"/>
        <v>0.10044219835754875</v>
      </c>
      <c r="AQ287" s="341">
        <f t="shared" si="452"/>
        <v>-6.2642369020501354E-3</v>
      </c>
      <c r="AR287" s="341">
        <f t="shared" si="453"/>
        <v>6.25E-2</v>
      </c>
      <c r="AS287" s="341">
        <f t="shared" si="454"/>
        <v>2.2026431718062955E-3</v>
      </c>
      <c r="AT287" s="345">
        <f>(AT57/AO57)-1</f>
        <v>3.754216160727375E-2</v>
      </c>
      <c r="AU287" s="341">
        <f t="shared" si="455"/>
        <v>-1.4351320321469574E-2</v>
      </c>
      <c r="AV287" s="341">
        <f t="shared" si="456"/>
        <v>4.5272206303724971E-2</v>
      </c>
      <c r="AW287" s="341">
        <f t="shared" si="457"/>
        <v>-4.8076923076923128E-2</v>
      </c>
      <c r="AX287" s="341">
        <f t="shared" si="458"/>
        <v>-2.7472527472527486E-2</v>
      </c>
      <c r="AY287" s="345">
        <f>(AY57/AT57)-1</f>
        <v>-1.1448763250883287E-2</v>
      </c>
      <c r="AZ287" s="341">
        <f t="shared" ref="AZ287:AZ296" si="480">IF(ISERROR(AZ57/AU57-1),"NM",(AZ57/AU57-1))</f>
        <v>-5.8241118229462874E-4</v>
      </c>
      <c r="BA287" s="341">
        <f t="shared" ref="BA287:BA296" si="481">IF(ISERROR(BA57/AV57-1),"NM",(BA57/AV57-1))</f>
        <v>9.2653508771929793E-2</v>
      </c>
      <c r="BB287" s="341">
        <f t="shared" ref="BB287:BB296" si="482">IF(ISERROR(BB57/AW57-1),"NM",(BB57/AW57-1))</f>
        <v>0.1396316102198456</v>
      </c>
      <c r="BC287" s="341">
        <f t="shared" ref="BC287:BC296" si="483">IF(ISERROR(BC57/AX57-1),"NM",(BC57/AX57-1))</f>
        <v>0.18248587570621466</v>
      </c>
      <c r="BD287" s="344">
        <f t="shared" si="418"/>
        <v>0.10380325993708883</v>
      </c>
      <c r="BE287" s="341">
        <f t="shared" si="464"/>
        <v>-0.42890442890442892</v>
      </c>
      <c r="BF287" s="341">
        <f t="shared" si="465"/>
        <v>-0.72403411941796292</v>
      </c>
      <c r="BG287" s="341">
        <f t="shared" si="466"/>
        <v>-0.81856100104275287</v>
      </c>
      <c r="BH287" s="341">
        <f t="shared" si="467"/>
        <v>-0.90731008122312473</v>
      </c>
      <c r="BI287" s="345">
        <f t="shared" si="420"/>
        <v>-0.73160621761658029</v>
      </c>
      <c r="BJ287" s="341">
        <f t="shared" si="468"/>
        <v>-0.75306122448979596</v>
      </c>
      <c r="BK287" s="341">
        <f t="shared" si="469"/>
        <v>-0.75090909090909097</v>
      </c>
      <c r="BL287" s="341">
        <f t="shared" si="470"/>
        <v>-0.55459770114942519</v>
      </c>
      <c r="BM287" s="341">
        <f t="shared" si="471"/>
        <v>-0.5670103092783505</v>
      </c>
      <c r="BN287" s="344">
        <f t="shared" si="422"/>
        <v>-0.70173745173745172</v>
      </c>
      <c r="BO287" s="341">
        <f t="shared" si="472"/>
        <v>-0.88842975206611574</v>
      </c>
      <c r="BP287" s="341">
        <f t="shared" si="473"/>
        <v>-0.62773722627737227</v>
      </c>
      <c r="BQ287" s="341">
        <f t="shared" si="474"/>
        <v>-0.83225806451612905</v>
      </c>
      <c r="BR287" s="341">
        <f t="shared" si="475"/>
        <v>3.7619047619047619</v>
      </c>
      <c r="BS287" s="345">
        <f t="shared" si="424"/>
        <v>-0.18446601941747576</v>
      </c>
      <c r="BT287" s="341">
        <f t="shared" si="476"/>
        <v>-0.2592592592592593</v>
      </c>
      <c r="BU287" s="341">
        <f t="shared" si="477"/>
        <v>-1</v>
      </c>
      <c r="BV287" s="341">
        <f t="shared" si="478"/>
        <v>-0.46153846153846156</v>
      </c>
      <c r="BW287" s="341">
        <f t="shared" si="479"/>
        <v>-0.91</v>
      </c>
      <c r="BX287" s="345">
        <f t="shared" si="426"/>
        <v>-0.86111111111111116</v>
      </c>
      <c r="BY287" s="341"/>
      <c r="BZ287" s="1106"/>
      <c r="CA287" s="1106"/>
      <c r="CB287" s="1106"/>
      <c r="CC287" s="345"/>
      <c r="CD287" s="909"/>
      <c r="CE287" s="909"/>
      <c r="CF287" s="909"/>
      <c r="CG287" s="909"/>
      <c r="CH287" s="909"/>
    </row>
    <row r="288" spans="1:86">
      <c r="A288" s="9"/>
      <c r="B288" s="9"/>
      <c r="C288" s="9"/>
      <c r="D288" s="9"/>
      <c r="E288" s="9"/>
      <c r="F288" s="9"/>
      <c r="G288" s="9"/>
      <c r="H288" s="257" t="s">
        <v>1155</v>
      </c>
      <c r="I288" s="257"/>
      <c r="L288" s="325">
        <v>0.2455172413793103</v>
      </c>
      <c r="M288" s="325">
        <v>-6.6225165562913912E-2</v>
      </c>
      <c r="N288" s="325">
        <v>0.2890625</v>
      </c>
      <c r="O288" s="325">
        <v>6.1315496098104827E-2</v>
      </c>
      <c r="P288" s="48">
        <v>0.11169132579054253</v>
      </c>
      <c r="Q288" s="325">
        <f t="shared" si="431"/>
        <v>2.4363233665559259E-2</v>
      </c>
      <c r="R288" s="325">
        <f t="shared" si="427"/>
        <v>1.8237082066869359E-2</v>
      </c>
      <c r="S288" s="325">
        <f t="shared" si="428"/>
        <v>-3.9393939393939426E-2</v>
      </c>
      <c r="T288" s="325">
        <f t="shared" si="429"/>
        <v>-2.1008403361344574E-2</v>
      </c>
      <c r="U288" s="48">
        <f t="shared" si="432"/>
        <v>-4.958246346555284E-3</v>
      </c>
      <c r="V288" s="325">
        <f t="shared" si="433"/>
        <v>-8.6486486486486713E-3</v>
      </c>
      <c r="W288" s="325">
        <f t="shared" si="434"/>
        <v>5.9701492537311829E-3</v>
      </c>
      <c r="X288" s="325">
        <f t="shared" si="435"/>
        <v>-1.4721345951629772E-2</v>
      </c>
      <c r="Y288" s="325">
        <f t="shared" si="436"/>
        <v>5.2575107296137347E-2</v>
      </c>
      <c r="Z288" s="48">
        <f t="shared" si="437"/>
        <v>8.6546026750591309E-3</v>
      </c>
      <c r="AA288" s="325">
        <f t="shared" si="438"/>
        <v>-2.0719738276990252E-2</v>
      </c>
      <c r="AB288" s="325">
        <f t="shared" si="439"/>
        <v>3.9564787339267937E-3</v>
      </c>
      <c r="AC288" s="325">
        <f t="shared" si="440"/>
        <v>1.2806830309498363E-2</v>
      </c>
      <c r="AD288" s="325">
        <f t="shared" si="441"/>
        <v>-9.3781855249745028E-2</v>
      </c>
      <c r="AE288" s="276">
        <f t="shared" si="442"/>
        <v>-2.4700988039521588E-2</v>
      </c>
      <c r="AF288" s="325">
        <f t="shared" si="443"/>
        <v>3.674832962138086E-2</v>
      </c>
      <c r="AG288" s="325">
        <f t="shared" si="444"/>
        <v>-0.17999999999999994</v>
      </c>
      <c r="AH288" s="325">
        <f t="shared" si="445"/>
        <v>-0.10326659641728142</v>
      </c>
      <c r="AI288" s="325">
        <f t="shared" si="446"/>
        <v>-2.3622047244094557E-2</v>
      </c>
      <c r="AJ288" s="276">
        <f>(AJ58/AE58)-1</f>
        <v>-7.1634230871767679E-2</v>
      </c>
      <c r="AK288" s="325">
        <f t="shared" si="447"/>
        <v>-0.10526315789473684</v>
      </c>
      <c r="AL288" s="325">
        <f t="shared" si="448"/>
        <v>8.0499819776522763E-3</v>
      </c>
      <c r="AM288" s="325">
        <f t="shared" si="449"/>
        <v>6.2279670975323276E-2</v>
      </c>
      <c r="AN288" s="325">
        <f t="shared" si="450"/>
        <v>-2.1889400921658919E-2</v>
      </c>
      <c r="AO288" s="345">
        <f>(AO58/AJ58)-1</f>
        <v>-1.6454642046922929E-2</v>
      </c>
      <c r="AP288" s="341">
        <f t="shared" si="451"/>
        <v>0.10444177671068422</v>
      </c>
      <c r="AQ288" s="341">
        <f t="shared" si="452"/>
        <v>6.0786650774731665E-2</v>
      </c>
      <c r="AR288" s="341">
        <f t="shared" si="453"/>
        <v>3.2079646017699082E-2</v>
      </c>
      <c r="AS288" s="341">
        <f t="shared" si="454"/>
        <v>2.3557126030622211E-3</v>
      </c>
      <c r="AT288" s="339">
        <f>(AT58/AO58)-1</f>
        <v>4.934306569343061E-2</v>
      </c>
      <c r="AU288" s="341">
        <f t="shared" si="455"/>
        <v>-8.1521739130434812E-2</v>
      </c>
      <c r="AV288" s="341">
        <f t="shared" si="456"/>
        <v>-6.1797752808988804E-2</v>
      </c>
      <c r="AW288" s="341">
        <f t="shared" si="457"/>
        <v>-0.15648445873526251</v>
      </c>
      <c r="AX288" s="341">
        <f t="shared" si="458"/>
        <v>-0.24794359576968272</v>
      </c>
      <c r="AY288" s="339">
        <f>(AY58/AT58)-1</f>
        <v>-0.13550361713967718</v>
      </c>
      <c r="AZ288" s="341">
        <f t="shared" si="480"/>
        <v>-0.18343195266272194</v>
      </c>
      <c r="BA288" s="341">
        <f t="shared" si="481"/>
        <v>-4.9101796407185594E-2</v>
      </c>
      <c r="BB288" s="341">
        <f t="shared" si="482"/>
        <v>-0.19313850063532401</v>
      </c>
      <c r="BC288" s="341">
        <f t="shared" si="483"/>
        <v>4.0624999999999911E-2</v>
      </c>
      <c r="BD288" s="344">
        <f t="shared" si="418"/>
        <v>-0.10363694882523333</v>
      </c>
      <c r="BE288" s="341">
        <f t="shared" si="464"/>
        <v>-0.24492753623188401</v>
      </c>
      <c r="BF288" s="341">
        <f t="shared" si="465"/>
        <v>-0.32871536523929479</v>
      </c>
      <c r="BG288" s="341">
        <f t="shared" si="466"/>
        <v>-0.13858267716535433</v>
      </c>
      <c r="BH288" s="341">
        <f t="shared" si="467"/>
        <v>-0.20870870870870861</v>
      </c>
      <c r="BI288" s="345">
        <f t="shared" si="420"/>
        <v>-0.23590664272890483</v>
      </c>
      <c r="BJ288" s="341">
        <f t="shared" si="468"/>
        <v>-0.18234165067178498</v>
      </c>
      <c r="BK288" s="341">
        <f t="shared" si="469"/>
        <v>-0.1369606003752345</v>
      </c>
      <c r="BL288" s="341">
        <f t="shared" si="470"/>
        <v>-0.22303473491773318</v>
      </c>
      <c r="BM288" s="341">
        <f t="shared" si="471"/>
        <v>-0.15749525616698301</v>
      </c>
      <c r="BN288" s="344">
        <f t="shared" si="422"/>
        <v>-0.17528195488721809</v>
      </c>
      <c r="BO288" s="341">
        <f t="shared" si="472"/>
        <v>-0.27934272300469487</v>
      </c>
      <c r="BP288" s="341">
        <f t="shared" si="473"/>
        <v>-0.28913043478260858</v>
      </c>
      <c r="BQ288" s="341">
        <f t="shared" si="474"/>
        <v>-0.31764705882352939</v>
      </c>
      <c r="BR288" s="341">
        <f t="shared" si="475"/>
        <v>-0.33333333333333326</v>
      </c>
      <c r="BS288" s="345">
        <f t="shared" si="424"/>
        <v>-0.3048433048433048</v>
      </c>
      <c r="BT288" s="341">
        <f t="shared" si="476"/>
        <v>-0.2052117263843648</v>
      </c>
      <c r="BU288" s="341">
        <f t="shared" si="477"/>
        <v>-0.18042813455657503</v>
      </c>
      <c r="BV288" s="341">
        <f t="shared" si="478"/>
        <v>-0.16551724137931034</v>
      </c>
      <c r="BW288" s="341">
        <f t="shared" si="479"/>
        <v>-0.14864864864864868</v>
      </c>
      <c r="BX288" s="345">
        <f t="shared" si="426"/>
        <v>-0.1754098360655737</v>
      </c>
      <c r="BY288" s="341"/>
      <c r="BZ288" s="1106"/>
      <c r="CA288" s="1106"/>
      <c r="CB288" s="1106"/>
      <c r="CC288" s="345"/>
      <c r="CD288" s="909"/>
      <c r="CE288" s="909"/>
      <c r="CF288" s="909"/>
      <c r="CG288" s="909"/>
      <c r="CH288" s="909"/>
    </row>
    <row r="289" spans="1:86">
      <c r="A289" s="9"/>
      <c r="B289" s="9"/>
      <c r="C289" s="9"/>
      <c r="D289" s="9"/>
      <c r="E289" s="9"/>
      <c r="F289" s="9"/>
      <c r="G289" s="9"/>
      <c r="H289" s="266" t="s">
        <v>734</v>
      </c>
      <c r="I289" s="266"/>
      <c r="L289" s="328">
        <v>0.63882063882063878</v>
      </c>
      <c r="M289" s="328">
        <v>0.55810397553516844</v>
      </c>
      <c r="N289" s="328">
        <v>0.76592082616179002</v>
      </c>
      <c r="O289" s="328">
        <v>0.5868102288021535</v>
      </c>
      <c r="P289" s="330">
        <v>0.63144654088050345</v>
      </c>
      <c r="Q289" s="328">
        <f t="shared" si="431"/>
        <v>0.90554722638680651</v>
      </c>
      <c r="R289" s="328">
        <f t="shared" si="427"/>
        <v>0.43277723258096157</v>
      </c>
      <c r="S289" s="328">
        <f t="shared" si="428"/>
        <v>0.45321637426900585</v>
      </c>
      <c r="T289" s="328">
        <f t="shared" si="429"/>
        <v>0.45971162001696331</v>
      </c>
      <c r="U289" s="330">
        <f t="shared" si="432"/>
        <v>0.52737085582112542</v>
      </c>
      <c r="V289" s="328">
        <f t="shared" si="433"/>
        <v>0.2069236821400473</v>
      </c>
      <c r="W289" s="328">
        <f t="shared" si="434"/>
        <v>0.21301369863013697</v>
      </c>
      <c r="X289" s="328">
        <f t="shared" si="435"/>
        <v>0.21059691482226706</v>
      </c>
      <c r="Y289" s="328">
        <f t="shared" si="436"/>
        <v>0.15165601394538064</v>
      </c>
      <c r="Z289" s="330">
        <f t="shared" si="437"/>
        <v>0.19333669863705216</v>
      </c>
      <c r="AA289" s="328">
        <f t="shared" si="438"/>
        <v>0.20599739243807047</v>
      </c>
      <c r="AB289" s="328">
        <f t="shared" si="439"/>
        <v>0.16600790513833985</v>
      </c>
      <c r="AC289" s="328">
        <f t="shared" si="440"/>
        <v>6.7590027700831001E-2</v>
      </c>
      <c r="AD289" s="328">
        <f t="shared" si="441"/>
        <v>-1.8668012108980725E-2</v>
      </c>
      <c r="AE289" s="330">
        <f t="shared" si="442"/>
        <v>9.7997743936830251E-2</v>
      </c>
      <c r="AF289" s="328">
        <f t="shared" si="443"/>
        <v>1.3513513513513598E-2</v>
      </c>
      <c r="AG289" s="328">
        <f t="shared" si="444"/>
        <v>-1.5980629539951607E-2</v>
      </c>
      <c r="AH289" s="328">
        <f t="shared" si="445"/>
        <v>0.10586403736377803</v>
      </c>
      <c r="AI289" s="328">
        <f t="shared" si="446"/>
        <v>9.4601542416452578E-2</v>
      </c>
      <c r="AJ289" s="330">
        <f>IF(ISERROR(AJ59/AE59-1),"NM",(AJ59/AE59-1))</f>
        <v>4.8799280852703131E-2</v>
      </c>
      <c r="AK289" s="328">
        <f t="shared" si="447"/>
        <v>3.7333333333333441E-2</v>
      </c>
      <c r="AL289" s="328">
        <f t="shared" si="448"/>
        <v>3.149606299212615E-2</v>
      </c>
      <c r="AM289" s="328">
        <f t="shared" si="449"/>
        <v>-6.2881276396058228E-2</v>
      </c>
      <c r="AN289" s="328">
        <f t="shared" si="450"/>
        <v>6.2470643494598299E-2</v>
      </c>
      <c r="AO289" s="352">
        <f>IF(ISERROR(AO59/AJ59-1),"NM",(AO59/AJ59-1))</f>
        <v>1.6285049589812806E-2</v>
      </c>
      <c r="AP289" s="338">
        <f t="shared" si="451"/>
        <v>0.1110539845758356</v>
      </c>
      <c r="AQ289" s="338">
        <f t="shared" si="452"/>
        <v>0.10209923664122122</v>
      </c>
      <c r="AR289" s="338">
        <f t="shared" si="453"/>
        <v>0.20330495743615429</v>
      </c>
      <c r="AS289" s="338">
        <f t="shared" si="454"/>
        <v>0.16003536693191855</v>
      </c>
      <c r="AT289" s="736">
        <f>IF(ISERROR(AT59/AO59-1),"NM",(AT59/AO59-1))</f>
        <v>0.14433734939759035</v>
      </c>
      <c r="AU289" s="338">
        <f t="shared" si="455"/>
        <v>0.25543729754743172</v>
      </c>
      <c r="AV289" s="338">
        <f t="shared" si="456"/>
        <v>0.19653679653679634</v>
      </c>
      <c r="AW289" s="338">
        <f t="shared" si="457"/>
        <v>0.2014148980441115</v>
      </c>
      <c r="AX289" s="338">
        <f t="shared" si="458"/>
        <v>0.19893292682926855</v>
      </c>
      <c r="AY289" s="736">
        <f>IF(ISERROR(AY59/AT59-1),"NM",(AY59/AT59-1))</f>
        <v>0.21183407033059587</v>
      </c>
      <c r="AZ289" s="338">
        <f t="shared" si="480"/>
        <v>3.7596756358274863E-2</v>
      </c>
      <c r="BA289" s="338">
        <f t="shared" si="481"/>
        <v>7.4167872648335686E-2</v>
      </c>
      <c r="BB289" s="338">
        <f t="shared" si="482"/>
        <v>6.2348458607551338E-2</v>
      </c>
      <c r="BC289" s="338">
        <f t="shared" si="483"/>
        <v>0.14367450731087072</v>
      </c>
      <c r="BD289" s="736">
        <f t="shared" si="418"/>
        <v>8.1581233709817624E-2</v>
      </c>
      <c r="BE289" s="338">
        <f t="shared" si="464"/>
        <v>6.7140319715808028E-2</v>
      </c>
      <c r="BF289" s="338">
        <f t="shared" si="465"/>
        <v>3.9407207814079026E-2</v>
      </c>
      <c r="BG289" s="338">
        <f t="shared" si="466"/>
        <v>8.3143136615585034E-2</v>
      </c>
      <c r="BH289" s="338">
        <f t="shared" si="467"/>
        <v>5.836575875486405E-2</v>
      </c>
      <c r="BI289" s="736">
        <f t="shared" si="420"/>
        <v>6.1932685356253403E-2</v>
      </c>
      <c r="BJ289" s="338">
        <f t="shared" si="468"/>
        <v>-2.4633821571238279E-2</v>
      </c>
      <c r="BK289" s="338">
        <f t="shared" si="469"/>
        <v>6.4160725858716683E-2</v>
      </c>
      <c r="BL289" s="338">
        <f t="shared" si="470"/>
        <v>5.0270921131848167E-2</v>
      </c>
      <c r="BM289" s="338">
        <f t="shared" si="471"/>
        <v>-7.6155462184874789E-3</v>
      </c>
      <c r="BN289" s="736">
        <f t="shared" si="422"/>
        <v>1.9818456883509805E-2</v>
      </c>
      <c r="BO289" s="338">
        <f t="shared" si="472"/>
        <v>8.7372013651877189E-2</v>
      </c>
      <c r="BP289" s="338">
        <f t="shared" si="473"/>
        <v>0.11936662606577353</v>
      </c>
      <c r="BQ289" s="1105">
        <f t="shared" si="474"/>
        <v>0.12123817712811702</v>
      </c>
      <c r="BR289" s="1105">
        <f t="shared" si="475"/>
        <v>0.1177560201111405</v>
      </c>
      <c r="BS289" s="736">
        <f t="shared" si="424"/>
        <v>0.11244622459575737</v>
      </c>
      <c r="BT289" s="338">
        <f t="shared" si="476"/>
        <v>9.0709353421217775E-2</v>
      </c>
      <c r="BU289" s="1105">
        <f t="shared" si="477"/>
        <v>0.21517954298150177</v>
      </c>
      <c r="BV289" s="1105">
        <f t="shared" si="478"/>
        <v>0.12908997955010215</v>
      </c>
      <c r="BW289" s="1105">
        <f t="shared" si="479"/>
        <v>0.21496212121212133</v>
      </c>
      <c r="BX289" s="736">
        <f t="shared" si="426"/>
        <v>0.16622216295506043</v>
      </c>
      <c r="BY289" s="338">
        <f t="shared" si="426"/>
        <v>-9.8705035971223043E-2</v>
      </c>
      <c r="BZ289" s="1105">
        <f>IF(ISERROR(BZ59/BU59-1),"NM",(BZ59/BU59-1))</f>
        <v>-8.980299977613615E-2</v>
      </c>
      <c r="CA289" s="1105">
        <f>IF(ISERROR(CA59/BV59-1),"NM",(CA59/BV59-1))</f>
        <v>-2.8299750962191395E-2</v>
      </c>
      <c r="CB289" s="1105">
        <f>IF(ISERROR(CB59/BW59-1),"NM",(CB59/BW59-1))</f>
        <v>-9.7944271239282843E-2</v>
      </c>
      <c r="CC289" s="736">
        <f t="shared" si="411"/>
        <v>-7.8428906294665701E-2</v>
      </c>
      <c r="CD289" s="736">
        <f>IF(ISERROR(CD59/CC59-1),"NM",(CD59/CC59-1))</f>
        <v>-0.17420318626234543</v>
      </c>
      <c r="CE289" s="736">
        <f>IF(ISERROR(CE59/CD59-1),"NM",(CE59/CD59-1))</f>
        <v>-0.30000000000000004</v>
      </c>
      <c r="CF289" s="736">
        <f>IF(ISERROR(CF59/CE59-1),"NM",(CF59/CE59-1))</f>
        <v>-0.30000000000000004</v>
      </c>
      <c r="CG289" s="736">
        <f>IF(ISERROR(CG59/CF59-1),"NM",(CG59/CF59-1))</f>
        <v>-0.30000000000000004</v>
      </c>
      <c r="CH289" s="736">
        <f>IF(ISERROR(CH59/CG59-1),"NM",(CH59/CG59-1))</f>
        <v>-0.30000000000000016</v>
      </c>
    </row>
    <row r="290" spans="1:86">
      <c r="A290" s="9"/>
      <c r="B290" s="9"/>
      <c r="C290" s="9"/>
      <c r="D290" s="9"/>
      <c r="E290" s="9"/>
      <c r="F290" s="9"/>
      <c r="G290" s="9"/>
      <c r="H290" s="257" t="s">
        <v>1156</v>
      </c>
      <c r="I290" s="257"/>
      <c r="L290" s="325">
        <v>0.14986376021798353</v>
      </c>
      <c r="M290" s="325">
        <v>0.24647887323943674</v>
      </c>
      <c r="N290" s="325">
        <v>0.47899159663865554</v>
      </c>
      <c r="O290" s="325">
        <v>0.42957746478873249</v>
      </c>
      <c r="P290" s="48">
        <v>0.33703890853966678</v>
      </c>
      <c r="Q290" s="325">
        <f t="shared" si="431"/>
        <v>1.066350710900474</v>
      </c>
      <c r="R290" s="325">
        <f t="shared" si="427"/>
        <v>0.4265536723163843</v>
      </c>
      <c r="S290" s="325">
        <f t="shared" si="428"/>
        <v>0.48011363636363624</v>
      </c>
      <c r="T290" s="325">
        <f t="shared" si="429"/>
        <v>0.52463054187192104</v>
      </c>
      <c r="U290" s="48">
        <f t="shared" si="432"/>
        <v>0.57294028722600143</v>
      </c>
      <c r="V290" s="325">
        <f t="shared" si="433"/>
        <v>0.2316513761467891</v>
      </c>
      <c r="W290" s="325">
        <f t="shared" si="434"/>
        <v>0.22277227722772275</v>
      </c>
      <c r="X290" s="325">
        <f t="shared" si="435"/>
        <v>0.19769673704414581</v>
      </c>
      <c r="Y290" s="325">
        <f t="shared" si="436"/>
        <v>0.11793214862681745</v>
      </c>
      <c r="Z290" s="48">
        <f t="shared" si="437"/>
        <v>0.18716962998558384</v>
      </c>
      <c r="AA290" s="325">
        <f t="shared" si="438"/>
        <v>0.10148975791433879</v>
      </c>
      <c r="AB290" s="325">
        <f t="shared" si="439"/>
        <v>4.777327935222675E-2</v>
      </c>
      <c r="AC290" s="325">
        <f t="shared" si="440"/>
        <v>-6.25E-2</v>
      </c>
      <c r="AD290" s="325">
        <f t="shared" si="441"/>
        <v>-9.5375722543352581E-2</v>
      </c>
      <c r="AE290" s="276">
        <f t="shared" si="442"/>
        <v>-8.5003035822709405E-3</v>
      </c>
      <c r="AF290" s="325">
        <f t="shared" si="443"/>
        <v>2.9585798816567976E-2</v>
      </c>
      <c r="AG290" s="325">
        <f t="shared" si="444"/>
        <v>2.0092735703245657E-2</v>
      </c>
      <c r="AH290" s="325">
        <f t="shared" si="445"/>
        <v>0.1547008547008546</v>
      </c>
      <c r="AI290" s="325">
        <f t="shared" si="446"/>
        <v>3.3546325878594185E-2</v>
      </c>
      <c r="AJ290" s="276">
        <f>(AJ60/AE60)-1</f>
        <v>5.7971014492753659E-2</v>
      </c>
      <c r="AK290" s="325">
        <f t="shared" si="447"/>
        <v>-4.022988505747116E-2</v>
      </c>
      <c r="AL290" s="325">
        <f t="shared" si="448"/>
        <v>-4.5454545454545192E-3</v>
      </c>
      <c r="AM290" s="325">
        <f t="shared" si="449"/>
        <v>-0.12139156180606947</v>
      </c>
      <c r="AN290" s="325">
        <f t="shared" si="450"/>
        <v>2.0092735703245657E-2</v>
      </c>
      <c r="AO290" s="345">
        <f>(AO60/AJ60)-1</f>
        <v>-3.7237121358286607E-2</v>
      </c>
      <c r="AP290" s="341">
        <f t="shared" si="451"/>
        <v>-4.4482463644140324E-2</v>
      </c>
      <c r="AQ290" s="341">
        <f t="shared" si="452"/>
        <v>-0.16133942161339421</v>
      </c>
      <c r="AR290" s="341">
        <f t="shared" si="453"/>
        <v>-6.9924178601516451E-2</v>
      </c>
      <c r="AS290" s="341">
        <f t="shared" si="454"/>
        <v>-8.484848484848484E-2</v>
      </c>
      <c r="AT290" s="345">
        <f>(AT60/AO60)-1</f>
        <v>-9.1983967935871713E-2</v>
      </c>
      <c r="AU290" s="341">
        <f t="shared" si="455"/>
        <v>9.1316025067144091E-2</v>
      </c>
      <c r="AV290" s="341">
        <f t="shared" si="456"/>
        <v>7.2595281306714998E-2</v>
      </c>
      <c r="AW290" s="341">
        <f t="shared" si="457"/>
        <v>0.15307971014492749</v>
      </c>
      <c r="AX290" s="341">
        <f t="shared" si="458"/>
        <v>0</v>
      </c>
      <c r="AY290" s="345">
        <f>(AY60/AT60)-1</f>
        <v>7.7466342970646807E-2</v>
      </c>
      <c r="AZ290" s="341">
        <f t="shared" si="480"/>
        <v>-8.5315832649712875E-2</v>
      </c>
      <c r="BA290" s="341">
        <f t="shared" si="481"/>
        <v>-2.0304568527918843E-2</v>
      </c>
      <c r="BB290" s="341">
        <f t="shared" si="482"/>
        <v>4.7132757266301617E-3</v>
      </c>
      <c r="BC290" s="341">
        <f t="shared" si="483"/>
        <v>0.29304635761589393</v>
      </c>
      <c r="BD290" s="344">
        <f t="shared" si="418"/>
        <v>4.7521507578861089E-2</v>
      </c>
      <c r="BE290" s="341">
        <f t="shared" si="464"/>
        <v>-9.5067264573990951E-2</v>
      </c>
      <c r="BF290" s="341">
        <f t="shared" si="465"/>
        <v>0.10449050086355793</v>
      </c>
      <c r="BG290" s="341">
        <f t="shared" si="466"/>
        <v>-5.4730258014074051E-3</v>
      </c>
      <c r="BH290" s="341">
        <f t="shared" si="467"/>
        <v>0.17157490396927022</v>
      </c>
      <c r="BI290" s="345">
        <f t="shared" si="420"/>
        <v>5.3969495502542042E-2</v>
      </c>
      <c r="BJ290" s="341">
        <f t="shared" si="468"/>
        <v>0.20911793855302263</v>
      </c>
      <c r="BK290" s="341">
        <f t="shared" si="469"/>
        <v>0.13057075840500376</v>
      </c>
      <c r="BL290" s="341">
        <f t="shared" si="470"/>
        <v>0.25864779874213828</v>
      </c>
      <c r="BM290" s="341">
        <f t="shared" si="471"/>
        <v>1.5300546448087537E-2</v>
      </c>
      <c r="BN290" s="344">
        <f t="shared" si="422"/>
        <v>0.13636363636363646</v>
      </c>
      <c r="BO290" s="341">
        <f t="shared" si="472"/>
        <v>0.2139344262295082</v>
      </c>
      <c r="BP290" s="341">
        <f t="shared" si="473"/>
        <v>0.28907330567081613</v>
      </c>
      <c r="BQ290" s="341">
        <f t="shared" si="474"/>
        <v>0.29106808244846971</v>
      </c>
      <c r="BR290" s="341">
        <f t="shared" si="475"/>
        <v>0.23412271259418738</v>
      </c>
      <c r="BS290" s="345">
        <f t="shared" si="424"/>
        <v>0.25795918367346937</v>
      </c>
      <c r="BT290" s="341">
        <f t="shared" si="476"/>
        <v>0.19986495611073596</v>
      </c>
      <c r="BU290" s="341">
        <f t="shared" si="477"/>
        <v>0.34012875536480691</v>
      </c>
      <c r="BV290" s="341">
        <f t="shared" si="478"/>
        <v>0.13255926463473644</v>
      </c>
      <c r="BW290" s="341">
        <f t="shared" si="479"/>
        <v>0.32446576537287375</v>
      </c>
      <c r="BX290" s="345">
        <f t="shared" si="426"/>
        <v>0.25282284231018815</v>
      </c>
      <c r="BY290" s="341">
        <f t="shared" si="426"/>
        <v>-0.31288688801350595</v>
      </c>
      <c r="BZ290" s="1106">
        <v>-0.2</v>
      </c>
      <c r="CA290" s="1106">
        <v>-0.08</v>
      </c>
      <c r="CB290" s="1106">
        <v>-0.2</v>
      </c>
      <c r="CC290" s="345">
        <f t="shared" si="411"/>
        <v>-0.19167927069304858</v>
      </c>
      <c r="CD290" s="909">
        <v>-0.2</v>
      </c>
      <c r="CE290" s="909">
        <v>-0.3</v>
      </c>
      <c r="CF290" s="909">
        <v>-0.3</v>
      </c>
      <c r="CG290" s="909">
        <v>-0.3</v>
      </c>
      <c r="CH290" s="909">
        <v>-0.3</v>
      </c>
    </row>
    <row r="291" spans="1:86">
      <c r="A291" s="9"/>
      <c r="B291" s="9"/>
      <c r="C291" s="9"/>
      <c r="D291" s="9"/>
      <c r="E291" s="9"/>
      <c r="F291" s="9"/>
      <c r="G291" s="9"/>
      <c r="H291" s="257" t="s">
        <v>1157</v>
      </c>
      <c r="I291" s="257"/>
      <c r="L291" s="325">
        <v>5.125</v>
      </c>
      <c r="M291" s="325">
        <v>2.6162790697674421</v>
      </c>
      <c r="N291" s="325">
        <v>2.0666666666666669</v>
      </c>
      <c r="O291" s="325">
        <v>1.0971428571428574</v>
      </c>
      <c r="P291" s="48">
        <v>2.0665024630541873</v>
      </c>
      <c r="Q291" s="325">
        <f t="shared" si="431"/>
        <v>0.62857142857142856</v>
      </c>
      <c r="R291" s="325">
        <f t="shared" si="427"/>
        <v>0.44694533762057875</v>
      </c>
      <c r="S291" s="325">
        <f t="shared" si="428"/>
        <v>0.39440993788819867</v>
      </c>
      <c r="T291" s="325">
        <f t="shared" si="429"/>
        <v>0.31607629427792894</v>
      </c>
      <c r="U291" s="48">
        <f t="shared" si="432"/>
        <v>0.43052208835341377</v>
      </c>
      <c r="V291" s="325">
        <f t="shared" si="433"/>
        <v>0.1528822055137844</v>
      </c>
      <c r="W291" s="325">
        <f t="shared" si="434"/>
        <v>0.19111111111111123</v>
      </c>
      <c r="X291" s="325">
        <f t="shared" si="435"/>
        <v>0.24053452115812934</v>
      </c>
      <c r="Y291" s="325">
        <f t="shared" si="436"/>
        <v>0.23809523809523814</v>
      </c>
      <c r="Z291" s="48">
        <f t="shared" si="437"/>
        <v>0.20774845592363844</v>
      </c>
      <c r="AA291" s="325">
        <f t="shared" si="438"/>
        <v>0.44999999999999996</v>
      </c>
      <c r="AB291" s="325">
        <f t="shared" si="439"/>
        <v>0.43843283582089532</v>
      </c>
      <c r="AC291" s="325">
        <f t="shared" si="440"/>
        <v>0.35906642728904847</v>
      </c>
      <c r="AD291" s="325">
        <f t="shared" si="441"/>
        <v>0.15886287625418061</v>
      </c>
      <c r="AE291" s="276">
        <f t="shared" si="442"/>
        <v>0.3426313342631333</v>
      </c>
      <c r="AF291" s="325">
        <f t="shared" si="443"/>
        <v>-1.4992503748125885E-2</v>
      </c>
      <c r="AG291" s="325">
        <f t="shared" si="444"/>
        <v>-7.6523994811932505E-2</v>
      </c>
      <c r="AH291" s="325">
        <f t="shared" si="445"/>
        <v>3.0383091149273511E-2</v>
      </c>
      <c r="AI291" s="325">
        <f t="shared" si="446"/>
        <v>0.20490620490620493</v>
      </c>
      <c r="AJ291" s="276">
        <f>(AJ61/AE61)-1</f>
        <v>3.3240997229916802E-2</v>
      </c>
      <c r="AK291" s="325">
        <f t="shared" si="447"/>
        <v>0.18112633181126325</v>
      </c>
      <c r="AL291" s="325">
        <f t="shared" si="448"/>
        <v>9.8314606741572996E-2</v>
      </c>
      <c r="AM291" s="325">
        <f t="shared" si="449"/>
        <v>3.8461538461538547E-2</v>
      </c>
      <c r="AN291" s="325">
        <f t="shared" si="450"/>
        <v>0.12814371257485035</v>
      </c>
      <c r="AO291" s="345">
        <f>(AO61/AJ61)-1</f>
        <v>0.10924932975871315</v>
      </c>
      <c r="AP291" s="341">
        <f t="shared" si="451"/>
        <v>0.34536082474226815</v>
      </c>
      <c r="AQ291" s="341">
        <f t="shared" si="452"/>
        <v>0.54475703324808178</v>
      </c>
      <c r="AR291" s="341">
        <f t="shared" si="453"/>
        <v>0.60370370370370385</v>
      </c>
      <c r="AS291" s="341">
        <f t="shared" si="454"/>
        <v>0.50318471337579607</v>
      </c>
      <c r="AT291" s="345">
        <f>(AT61/AO61)-1</f>
        <v>0.50060422960725082</v>
      </c>
      <c r="AU291" s="341">
        <f t="shared" si="455"/>
        <v>0.43103448275862077</v>
      </c>
      <c r="AV291" s="341">
        <f t="shared" si="456"/>
        <v>0.30960264900662238</v>
      </c>
      <c r="AW291" s="341">
        <f t="shared" si="457"/>
        <v>0.2424942263279446</v>
      </c>
      <c r="AX291" s="341">
        <f t="shared" si="458"/>
        <v>0.3686440677966103</v>
      </c>
      <c r="AY291" s="345">
        <f>(AY61/AT61)-1</f>
        <v>0.33440708677269959</v>
      </c>
      <c r="AZ291" s="341">
        <f t="shared" si="480"/>
        <v>0.1378848728246318</v>
      </c>
      <c r="BA291" s="341">
        <f t="shared" si="481"/>
        <v>0.14475347661188365</v>
      </c>
      <c r="BB291" s="341">
        <f t="shared" si="482"/>
        <v>0.10780669144981414</v>
      </c>
      <c r="BC291" s="341">
        <f t="shared" si="483"/>
        <v>5.056759545923617E-2</v>
      </c>
      <c r="BD291" s="344">
        <f t="shared" si="418"/>
        <v>0.10666867833433935</v>
      </c>
      <c r="BE291" s="341">
        <f t="shared" si="464"/>
        <v>0.17352941176470593</v>
      </c>
      <c r="BF291" s="341">
        <f t="shared" si="465"/>
        <v>-2.2087244616234569E-3</v>
      </c>
      <c r="BG291" s="341">
        <f t="shared" si="466"/>
        <v>0.1465324384787472</v>
      </c>
      <c r="BH291" s="341">
        <f t="shared" si="467"/>
        <v>-2.8487229862475316E-2</v>
      </c>
      <c r="BI291" s="345">
        <f t="shared" si="420"/>
        <v>6.7484662576686949E-2</v>
      </c>
      <c r="BJ291" s="341">
        <f t="shared" si="468"/>
        <v>-0.1428571428571429</v>
      </c>
      <c r="BK291" s="341">
        <f t="shared" si="469"/>
        <v>1.7155506364139539E-2</v>
      </c>
      <c r="BL291" s="341">
        <f t="shared" si="470"/>
        <v>-7.9024390243902398E-2</v>
      </c>
      <c r="BM291" s="341">
        <f t="shared" si="471"/>
        <v>-2.8816986855409565E-2</v>
      </c>
      <c r="BN291" s="344">
        <f t="shared" si="422"/>
        <v>-6.0408684546615521E-2</v>
      </c>
      <c r="BO291" s="341">
        <f t="shared" si="472"/>
        <v>-2.9239766081871066E-3</v>
      </c>
      <c r="BP291" s="341">
        <f t="shared" si="473"/>
        <v>-1.4145810663765079E-2</v>
      </c>
      <c r="BQ291" s="341">
        <f t="shared" si="474"/>
        <v>-2.2775423728813582E-2</v>
      </c>
      <c r="BR291" s="341">
        <f t="shared" si="475"/>
        <v>5.2056220718375013E-3</v>
      </c>
      <c r="BS291" s="345">
        <f t="shared" si="424"/>
        <v>-8.6991980426803783E-3</v>
      </c>
      <c r="BT291" s="341">
        <f t="shared" si="476"/>
        <v>-4.1055718475072611E-3</v>
      </c>
      <c r="BU291" s="341">
        <f t="shared" si="477"/>
        <v>8.6644591611479083E-2</v>
      </c>
      <c r="BV291" s="341">
        <f t="shared" si="478"/>
        <v>0.12520325203252036</v>
      </c>
      <c r="BW291" s="341">
        <f t="shared" si="479"/>
        <v>8.4930088037286522E-2</v>
      </c>
      <c r="BX291" s="345">
        <f t="shared" si="426"/>
        <v>7.4729192376251197E-2</v>
      </c>
      <c r="BY291" s="341">
        <f t="shared" si="426"/>
        <v>0.12544169611307399</v>
      </c>
      <c r="BZ291" s="1106">
        <v>0.05</v>
      </c>
      <c r="CA291" s="1106">
        <v>0.03</v>
      </c>
      <c r="CB291" s="1106">
        <v>0.05</v>
      </c>
      <c r="CC291" s="345">
        <f t="shared" si="411"/>
        <v>6.1046185251339535E-2</v>
      </c>
      <c r="CD291" s="909">
        <v>-0.15</v>
      </c>
      <c r="CE291" s="909">
        <v>-0.3</v>
      </c>
      <c r="CF291" s="909">
        <v>-0.3</v>
      </c>
      <c r="CG291" s="909">
        <v>-0.3</v>
      </c>
      <c r="CH291" s="909">
        <v>-0.3</v>
      </c>
    </row>
    <row r="292" spans="1:86">
      <c r="A292" s="9"/>
      <c r="B292" s="9"/>
      <c r="C292" s="9"/>
      <c r="D292" s="9"/>
      <c r="E292" s="9"/>
      <c r="F292" s="9"/>
      <c r="G292" s="9"/>
      <c r="H292" s="270" t="s">
        <v>735</v>
      </c>
      <c r="I292" s="270"/>
      <c r="L292" s="333">
        <v>1.8500486854917231E-2</v>
      </c>
      <c r="M292" s="333">
        <v>6.562193927522042E-2</v>
      </c>
      <c r="N292" s="333">
        <v>-3.2818532818532753E-2</v>
      </c>
      <c r="O292" s="333">
        <v>-0.17309269893355217</v>
      </c>
      <c r="P292" s="351">
        <v>-3.6950964443411616E-2</v>
      </c>
      <c r="Q292" s="328">
        <f t="shared" si="431"/>
        <v>-7.5525812619502974E-2</v>
      </c>
      <c r="R292" s="328">
        <f t="shared" si="427"/>
        <v>-7.3529411764705621E-3</v>
      </c>
      <c r="S292" s="328">
        <f t="shared" si="428"/>
        <v>1.3972055888223478E-2</v>
      </c>
      <c r="T292" s="328">
        <f t="shared" si="429"/>
        <v>8.5317460317460458E-2</v>
      </c>
      <c r="U292" s="351">
        <f t="shared" si="432"/>
        <v>3.1370656370657279E-3</v>
      </c>
      <c r="V292" s="328">
        <f t="shared" si="433"/>
        <v>0.11582213029989674</v>
      </c>
      <c r="W292" s="328">
        <f t="shared" si="434"/>
        <v>4.7222222222222276E-2</v>
      </c>
      <c r="X292" s="328">
        <f t="shared" si="435"/>
        <v>3.937007874015741E-2</v>
      </c>
      <c r="Y292" s="328">
        <f t="shared" si="436"/>
        <v>4.3875685557586586E-2</v>
      </c>
      <c r="Z292" s="351">
        <f t="shared" si="437"/>
        <v>6.0380081789752182E-2</v>
      </c>
      <c r="AA292" s="328">
        <f t="shared" si="438"/>
        <v>6.024096385542177E-2</v>
      </c>
      <c r="AB292" s="328">
        <f t="shared" si="439"/>
        <v>9.3722369584438692E-2</v>
      </c>
      <c r="AC292" s="328">
        <f t="shared" si="440"/>
        <v>5.2083333333333259E-2</v>
      </c>
      <c r="AD292" s="328">
        <f t="shared" si="441"/>
        <v>4.2031523642732216E-2</v>
      </c>
      <c r="AE292" s="351">
        <f t="shared" si="442"/>
        <v>6.2159709618874848E-2</v>
      </c>
      <c r="AF292" s="328">
        <f t="shared" si="443"/>
        <v>-9.0909090909090939E-2</v>
      </c>
      <c r="AG292" s="328">
        <f t="shared" si="444"/>
        <v>-0.11487469684721097</v>
      </c>
      <c r="AH292" s="328">
        <f t="shared" si="445"/>
        <v>7.2007200720072273E-3</v>
      </c>
      <c r="AI292" s="328">
        <f t="shared" si="446"/>
        <v>3.6974789915966477E-2</v>
      </c>
      <c r="AJ292" s="351">
        <f>IF(ISERROR(AJ62/AE62-1),"NM",(AJ62/AE62-1))</f>
        <v>-4.1456642460486859E-2</v>
      </c>
      <c r="AK292" s="328">
        <f t="shared" si="447"/>
        <v>-2.2115384615384759E-2</v>
      </c>
      <c r="AL292" s="328">
        <f t="shared" si="448"/>
        <v>-1.5435199561603885E-2</v>
      </c>
      <c r="AM292" s="328">
        <f t="shared" si="449"/>
        <v>-9.4727435210008926E-2</v>
      </c>
      <c r="AN292" s="328">
        <f t="shared" si="450"/>
        <v>-9.4813614262560963E-2</v>
      </c>
      <c r="AO292" s="370">
        <f>IF(ISERROR(AO62/AJ62-1),"NM",(AO62/AJ62-1))</f>
        <v>-5.8579736625147705E-2</v>
      </c>
      <c r="AP292" s="338">
        <f t="shared" si="451"/>
        <v>0.10914454277286167</v>
      </c>
      <c r="AQ292" s="338">
        <f t="shared" si="452"/>
        <v>2.9684601113172615E-2</v>
      </c>
      <c r="AR292" s="338">
        <f t="shared" si="453"/>
        <v>1.7769002961500302E-2</v>
      </c>
      <c r="AS292" s="338">
        <f t="shared" si="454"/>
        <v>-1.7905102954341889E-2</v>
      </c>
      <c r="AT292" s="353">
        <f>IF(ISERROR(AT62/AO62-1),"NM",(AT62/AO62-1))</f>
        <v>3.3372781065088786E-2</v>
      </c>
      <c r="AU292" s="338">
        <f t="shared" si="455"/>
        <v>-0.20035460992907816</v>
      </c>
      <c r="AV292" s="338">
        <f t="shared" si="456"/>
        <v>-9.7297297297297414E-2</v>
      </c>
      <c r="AW292" s="338">
        <f t="shared" si="457"/>
        <v>-6.7895247332685482E-3</v>
      </c>
      <c r="AX292" s="354">
        <f t="shared" si="458"/>
        <v>-9.8450319051959889E-2</v>
      </c>
      <c r="AY292" s="353">
        <f>IF(ISERROR(AY62/AT62-1),"NM",(AY62/AT62-1))</f>
        <v>-0.10284012826385724</v>
      </c>
      <c r="AZ292" s="354">
        <f t="shared" si="480"/>
        <v>-0.12305986696230597</v>
      </c>
      <c r="BA292" s="338">
        <f t="shared" si="481"/>
        <v>-9.3812375249500812E-2</v>
      </c>
      <c r="BB292" s="338">
        <f t="shared" si="482"/>
        <v>-5.76171875E-2</v>
      </c>
      <c r="BC292" s="338">
        <f t="shared" si="483"/>
        <v>-7.7856420626895906E-2</v>
      </c>
      <c r="BD292" s="353">
        <f t="shared" si="418"/>
        <v>-8.7056420730150408E-2</v>
      </c>
      <c r="BE292" s="338">
        <f t="shared" si="464"/>
        <v>-0.22629582806573945</v>
      </c>
      <c r="BF292" s="354">
        <f t="shared" si="465"/>
        <v>4.0748898678413914E-2</v>
      </c>
      <c r="BG292" s="354">
        <f t="shared" si="466"/>
        <v>-0.19170984455958551</v>
      </c>
      <c r="BH292" s="354">
        <f t="shared" si="467"/>
        <v>3.2894736842103978E-3</v>
      </c>
      <c r="BI292" s="353">
        <f t="shared" si="420"/>
        <v>-9.0604026845637509E-2</v>
      </c>
      <c r="BJ292" s="354">
        <f t="shared" si="468"/>
        <v>0.1633986928104576</v>
      </c>
      <c r="BK292" s="354">
        <f t="shared" si="469"/>
        <v>-0.19365079365079363</v>
      </c>
      <c r="BL292" s="354">
        <f t="shared" si="470"/>
        <v>-7.692307692307665E-3</v>
      </c>
      <c r="BM292" s="354">
        <f t="shared" si="471"/>
        <v>-4.4808743169398868E-2</v>
      </c>
      <c r="BN292" s="353">
        <f t="shared" si="422"/>
        <v>-3.9975399753997554E-2</v>
      </c>
      <c r="BO292" s="354">
        <f t="shared" si="472"/>
        <v>-7.8651685393258508E-2</v>
      </c>
      <c r="BP292" s="354">
        <f t="shared" si="473"/>
        <v>-4.5931758530183719E-2</v>
      </c>
      <c r="BQ292" s="1115">
        <f t="shared" si="474"/>
        <v>-6.0723514211886376E-2</v>
      </c>
      <c r="BR292" s="1115">
        <f t="shared" si="475"/>
        <v>6.9794050343249259E-2</v>
      </c>
      <c r="BS292" s="353">
        <f t="shared" si="424"/>
        <v>-2.4663677130045025E-2</v>
      </c>
      <c r="BT292" s="354">
        <f t="shared" si="476"/>
        <v>-0.21189024390243894</v>
      </c>
      <c r="BU292" s="338">
        <f t="shared" si="477"/>
        <v>0.29023383768913336</v>
      </c>
      <c r="BV292" s="338">
        <f t="shared" si="478"/>
        <v>0.11691884456671242</v>
      </c>
      <c r="BW292" s="338">
        <f t="shared" si="479"/>
        <v>0.10374331550802118</v>
      </c>
      <c r="BX292" s="353">
        <f t="shared" si="426"/>
        <v>8.3415435139573058E-2</v>
      </c>
      <c r="BY292" s="354">
        <f t="shared" si="426"/>
        <v>0.27079303675048361</v>
      </c>
      <c r="BZ292" s="1115">
        <f>IF(ISERROR(BZ62/BU62-1),"NM",(BZ62/BU62-1))</f>
        <v>-0.13219616204690821</v>
      </c>
      <c r="CA292" s="1115">
        <f>IF(ISERROR(CA62/BV62-1),"NM",(CA62/BV62-1))</f>
        <v>-1.108374384236499E-3</v>
      </c>
      <c r="CB292" s="1115">
        <f>IF(ISERROR(CB62/BW62-1),"NM",(CB62/BW62-1))</f>
        <v>-2.1269379844961134E-2</v>
      </c>
      <c r="CC292" s="353">
        <f t="shared" si="411"/>
        <v>-2.0763867838737848E-3</v>
      </c>
      <c r="CD292" s="353">
        <f>IF(ISERROR(CD62/CC62-1),"NM",(CD62/CC62-1))</f>
        <v>-2.451437510441512E-2</v>
      </c>
      <c r="CE292" s="353">
        <f>IF(ISERROR(CE62/CD62-1),"NM",(CE62/CD62-1))</f>
        <v>-3.954956413701638E-2</v>
      </c>
      <c r="CF292" s="353">
        <f>IF(ISERROR(CF62/CE62-1),"NM",(CF62/CE62-1))</f>
        <v>-3.9445657570048365E-2</v>
      </c>
      <c r="CG292" s="353">
        <f>IF(ISERROR(CG62/CF62-1),"NM",(CG62/CF62-1))</f>
        <v>-3.9341870933450318E-2</v>
      </c>
      <c r="CH292" s="353">
        <f>IF(ISERROR(CH62/CG62-1),"NM",(CH62/CG62-1))</f>
        <v>-3.9238226501452034E-2</v>
      </c>
    </row>
    <row r="293" spans="1:86">
      <c r="A293" s="9"/>
      <c r="B293" s="9"/>
      <c r="C293" s="9"/>
      <c r="D293" s="9"/>
      <c r="E293" s="9"/>
      <c r="F293" s="9"/>
      <c r="G293" s="9"/>
      <c r="H293" s="257" t="s">
        <v>1158</v>
      </c>
      <c r="I293" s="257"/>
      <c r="L293" s="325">
        <v>-2.0746887966804906E-3</v>
      </c>
      <c r="M293" s="325">
        <v>-2.9288702928870314E-2</v>
      </c>
      <c r="N293" s="325">
        <v>-2.4844720496894346E-2</v>
      </c>
      <c r="O293" s="325">
        <v>-0.29090909090909089</v>
      </c>
      <c r="P293" s="48">
        <v>-9.912109375E-2</v>
      </c>
      <c r="Q293" s="325">
        <f t="shared" si="431"/>
        <v>4.1580041580040472E-3</v>
      </c>
      <c r="R293" s="325">
        <f t="shared" si="427"/>
        <v>0.12068965517241392</v>
      </c>
      <c r="S293" s="325">
        <f t="shared" si="428"/>
        <v>4.6709129511677272E-2</v>
      </c>
      <c r="T293" s="325">
        <f t="shared" si="429"/>
        <v>0.22843822843822847</v>
      </c>
      <c r="U293" s="48">
        <f t="shared" si="432"/>
        <v>9.6476964769647733E-2</v>
      </c>
      <c r="V293" s="325">
        <f t="shared" si="433"/>
        <v>0.16149068322981375</v>
      </c>
      <c r="W293" s="325">
        <f t="shared" si="434"/>
        <v>4.2307692307692379E-2</v>
      </c>
      <c r="X293" s="325">
        <f t="shared" si="435"/>
        <v>4.4624746450304231E-2</v>
      </c>
      <c r="Y293" s="325">
        <f t="shared" si="436"/>
        <v>-1.5180265654649028E-2</v>
      </c>
      <c r="Z293" s="48">
        <f t="shared" si="437"/>
        <v>5.6351952545724115E-2</v>
      </c>
      <c r="AA293" s="325">
        <f t="shared" si="438"/>
        <v>-3.0303030303030387E-2</v>
      </c>
      <c r="AB293" s="325">
        <f t="shared" si="439"/>
        <v>2.9520295202951852E-2</v>
      </c>
      <c r="AC293" s="325">
        <f t="shared" si="440"/>
        <v>-4.6601941747572817E-2</v>
      </c>
      <c r="AD293" s="325">
        <f t="shared" si="441"/>
        <v>1.7341040462427681E-2</v>
      </c>
      <c r="AE293" s="276">
        <f t="shared" si="442"/>
        <v>-7.4871314927470456E-3</v>
      </c>
      <c r="AF293" s="325">
        <f t="shared" si="443"/>
        <v>-0.15625</v>
      </c>
      <c r="AG293" s="325">
        <f t="shared" si="444"/>
        <v>-0.12007168458781359</v>
      </c>
      <c r="AH293" s="325">
        <f t="shared" si="445"/>
        <v>3.4623217922606919E-2</v>
      </c>
      <c r="AI293" s="325">
        <f t="shared" si="446"/>
        <v>7.9545454545454586E-2</v>
      </c>
      <c r="AJ293" s="276">
        <f>(AJ63/AE63)-1</f>
        <v>-4.3847241867043585E-2</v>
      </c>
      <c r="AK293" s="325">
        <f t="shared" si="447"/>
        <v>-0.11982570806100223</v>
      </c>
      <c r="AL293" s="325">
        <f t="shared" si="448"/>
        <v>-5.7026476578411534E-2</v>
      </c>
      <c r="AM293" s="325">
        <f t="shared" si="449"/>
        <v>-0.14960629921259827</v>
      </c>
      <c r="AN293" s="325">
        <f t="shared" si="450"/>
        <v>-0.19473684210526321</v>
      </c>
      <c r="AO293" s="345">
        <f>(AO63/AJ63)-1</f>
        <v>-0.13313609467455634</v>
      </c>
      <c r="AP293" s="341">
        <f t="shared" si="451"/>
        <v>0.27970297029702973</v>
      </c>
      <c r="AQ293" s="341">
        <f t="shared" si="452"/>
        <v>8.6393088552916275E-3</v>
      </c>
      <c r="AR293" s="341">
        <f t="shared" si="453"/>
        <v>-5.3240740740740811E-2</v>
      </c>
      <c r="AS293" s="341">
        <f t="shared" si="454"/>
        <v>2.1786492374729072E-3</v>
      </c>
      <c r="AT293" s="345">
        <f>(AT63/AO63)-1</f>
        <v>5.4038680318543975E-2</v>
      </c>
      <c r="AU293" s="341">
        <f t="shared" si="455"/>
        <v>-0.33462282398452614</v>
      </c>
      <c r="AV293" s="341">
        <f t="shared" si="456"/>
        <v>-9.4218415417559043E-2</v>
      </c>
      <c r="AW293" s="341">
        <f t="shared" si="457"/>
        <v>0.11735941320293408</v>
      </c>
      <c r="AX293" s="341">
        <f t="shared" si="458"/>
        <v>-5.6521739130434789E-2</v>
      </c>
      <c r="AY293" s="345">
        <f>(AY63/AT63)-1</f>
        <v>-0.10523475445223973</v>
      </c>
      <c r="AZ293" s="341">
        <f t="shared" si="480"/>
        <v>-0.31104651162790697</v>
      </c>
      <c r="BA293" s="341">
        <f t="shared" si="481"/>
        <v>-0.17021276595744672</v>
      </c>
      <c r="BB293" s="341">
        <f t="shared" si="482"/>
        <v>-1.9693654266958571E-2</v>
      </c>
      <c r="BC293" s="341">
        <f t="shared" si="483"/>
        <v>-0.18894009216589858</v>
      </c>
      <c r="BD293" s="344">
        <f t="shared" si="418"/>
        <v>-0.16284680337756319</v>
      </c>
      <c r="BE293" s="341">
        <f t="shared" si="464"/>
        <v>-0.56540084388185652</v>
      </c>
      <c r="BF293" s="341">
        <f t="shared" si="465"/>
        <v>0.18233618233618221</v>
      </c>
      <c r="BG293" s="341">
        <f t="shared" si="466"/>
        <v>-0.3571428571428571</v>
      </c>
      <c r="BH293" s="341">
        <f t="shared" si="467"/>
        <v>0.19602272727272729</v>
      </c>
      <c r="BI293" s="345">
        <f t="shared" si="420"/>
        <v>-0.1159942363112394</v>
      </c>
      <c r="BJ293" s="341">
        <f t="shared" si="468"/>
        <v>1.7378640776699026</v>
      </c>
      <c r="BK293" s="341">
        <f t="shared" si="469"/>
        <v>-0.21445783132530116</v>
      </c>
      <c r="BL293" s="341">
        <f t="shared" si="470"/>
        <v>0.20486111111111116</v>
      </c>
      <c r="BM293" s="341">
        <f t="shared" si="471"/>
        <v>-2.3752969121140222E-3</v>
      </c>
      <c r="BN293" s="344">
        <f t="shared" si="422"/>
        <v>0.1206193969030156</v>
      </c>
      <c r="BO293" s="341">
        <f t="shared" si="472"/>
        <v>-0.1063829787234043</v>
      </c>
      <c r="BP293" s="341">
        <f t="shared" si="473"/>
        <v>-0.16257668711656448</v>
      </c>
      <c r="BQ293" s="341">
        <f t="shared" si="474"/>
        <v>-0.12103746397694537</v>
      </c>
      <c r="BR293" s="341">
        <f t="shared" si="475"/>
        <v>0.19047619047619047</v>
      </c>
      <c r="BS293" s="345">
        <f t="shared" si="424"/>
        <v>-3.2727272727272716E-2</v>
      </c>
      <c r="BT293" s="341">
        <f t="shared" si="476"/>
        <v>-0.49206349206349198</v>
      </c>
      <c r="BU293" s="341">
        <f t="shared" si="477"/>
        <v>0.88278388278388276</v>
      </c>
      <c r="BV293" s="341">
        <f t="shared" si="478"/>
        <v>0.30163934426229511</v>
      </c>
      <c r="BW293" s="341">
        <f t="shared" si="479"/>
        <v>0.18599999999999994</v>
      </c>
      <c r="BX293" s="345">
        <f t="shared" si="426"/>
        <v>0.22706766917293231</v>
      </c>
      <c r="BY293" s="341">
        <f t="shared" si="426"/>
        <v>1.0078125</v>
      </c>
      <c r="BZ293" s="1106">
        <v>-0.2</v>
      </c>
      <c r="CA293" s="1106">
        <v>0.05</v>
      </c>
      <c r="CB293" s="1106">
        <v>0</v>
      </c>
      <c r="CC293" s="345">
        <f t="shared" si="411"/>
        <v>2.8216911764705976E-2</v>
      </c>
      <c r="CD293" s="909">
        <v>0</v>
      </c>
      <c r="CE293" s="909">
        <v>-0.03</v>
      </c>
      <c r="CF293" s="909">
        <v>-0.03</v>
      </c>
      <c r="CG293" s="909">
        <v>-0.03</v>
      </c>
      <c r="CH293" s="909">
        <v>-0.03</v>
      </c>
    </row>
    <row r="294" spans="1:86">
      <c r="A294" s="9"/>
      <c r="B294" s="9"/>
      <c r="C294" s="9"/>
      <c r="D294" s="9"/>
      <c r="E294" s="9"/>
      <c r="F294" s="9"/>
      <c r="G294" s="9"/>
      <c r="H294" s="257" t="s">
        <v>232</v>
      </c>
      <c r="I294" s="257"/>
      <c r="L294" s="325">
        <v>3.669724770642202E-2</v>
      </c>
      <c r="M294" s="325">
        <v>0.149171270718232</v>
      </c>
      <c r="N294" s="325">
        <v>-3.9783001808318175E-2</v>
      </c>
      <c r="O294" s="325">
        <v>-5.7003257328990253E-2</v>
      </c>
      <c r="P294" s="48">
        <v>1.9512195121951237E-2</v>
      </c>
      <c r="Q294" s="325">
        <f t="shared" si="431"/>
        <v>-0.14336283185840715</v>
      </c>
      <c r="R294" s="325">
        <f t="shared" si="427"/>
        <v>-0.10256410256410253</v>
      </c>
      <c r="S294" s="325">
        <f t="shared" si="428"/>
        <v>-1.5065913370998163E-2</v>
      </c>
      <c r="T294" s="325">
        <f t="shared" si="429"/>
        <v>-2.0725388601036232E-2</v>
      </c>
      <c r="U294" s="48">
        <f t="shared" si="432"/>
        <v>-7.1770334928229818E-2</v>
      </c>
      <c r="V294" s="325">
        <f t="shared" si="433"/>
        <v>7.0247933884297398E-2</v>
      </c>
      <c r="W294" s="325">
        <f t="shared" si="434"/>
        <v>5.1785714285714324E-2</v>
      </c>
      <c r="X294" s="325">
        <f t="shared" si="435"/>
        <v>3.441682600382423E-2</v>
      </c>
      <c r="Y294" s="325">
        <f t="shared" si="436"/>
        <v>9.8765432098765427E-2</v>
      </c>
      <c r="Z294" s="48">
        <f t="shared" si="437"/>
        <v>6.4198687910028029E-2</v>
      </c>
      <c r="AA294" s="325">
        <f t="shared" si="438"/>
        <v>0.15830115830115843</v>
      </c>
      <c r="AB294" s="325">
        <f t="shared" si="439"/>
        <v>0.15280135823429553</v>
      </c>
      <c r="AC294" s="325">
        <f t="shared" si="440"/>
        <v>0.14602587800369693</v>
      </c>
      <c r="AD294" s="325">
        <f t="shared" si="441"/>
        <v>6.2600321027287409E-2</v>
      </c>
      <c r="AE294" s="276">
        <f t="shared" si="442"/>
        <v>0.12769704975781626</v>
      </c>
      <c r="AF294" s="325">
        <f t="shared" si="443"/>
        <v>-3.1666666666666621E-2</v>
      </c>
      <c r="AG294" s="325">
        <f t="shared" si="444"/>
        <v>-0.11060382916053024</v>
      </c>
      <c r="AH294" s="325">
        <f t="shared" si="445"/>
        <v>-1.4516129032258074E-2</v>
      </c>
      <c r="AI294" s="325">
        <f t="shared" si="446"/>
        <v>3.0211480362538623E-3</v>
      </c>
      <c r="AJ294" s="276">
        <f>(AJ64/AE64)-1</f>
        <v>-3.9476766887934445E-2</v>
      </c>
      <c r="AK294" s="325">
        <f t="shared" si="447"/>
        <v>5.5077452667813942E-2</v>
      </c>
      <c r="AL294" s="325">
        <f t="shared" si="448"/>
        <v>1.8380526577247869E-2</v>
      </c>
      <c r="AM294" s="325">
        <f t="shared" si="449"/>
        <v>-4.9099836333878932E-2</v>
      </c>
      <c r="AN294" s="325">
        <f t="shared" si="450"/>
        <v>-9.0361445783133654E-3</v>
      </c>
      <c r="AO294" s="345">
        <f>(AO64/AJ64)-1</f>
        <v>2.8862961909019713E-3</v>
      </c>
      <c r="AP294" s="341">
        <f t="shared" si="451"/>
        <v>-3.2626427406198255E-3</v>
      </c>
      <c r="AQ294" s="341">
        <f t="shared" si="452"/>
        <v>4.5528455284552738E-2</v>
      </c>
      <c r="AR294" s="341">
        <f t="shared" si="453"/>
        <v>7.0567986230636759E-2</v>
      </c>
      <c r="AS294" s="341">
        <f t="shared" si="454"/>
        <v>-3.1914893617021156E-2</v>
      </c>
      <c r="AT294" s="345">
        <f>(AT64/AO64)-1</f>
        <v>1.8646128901499859E-2</v>
      </c>
      <c r="AU294" s="341">
        <f t="shared" si="455"/>
        <v>-8.6743044189852792E-2</v>
      </c>
      <c r="AV294" s="341">
        <f t="shared" si="456"/>
        <v>-9.9533437013996862E-2</v>
      </c>
      <c r="AW294" s="341">
        <f t="shared" si="457"/>
        <v>-8.8424437299035374E-2</v>
      </c>
      <c r="AX294" s="341">
        <f t="shared" si="458"/>
        <v>-0.12872841444270022</v>
      </c>
      <c r="AY294" s="345">
        <f>(AY64/AT64)-1</f>
        <v>-0.10107441305212905</v>
      </c>
      <c r="AZ294" s="341">
        <f t="shared" si="480"/>
        <v>-7.1684587813619638E-3</v>
      </c>
      <c r="BA294" s="341">
        <f t="shared" si="481"/>
        <v>-3.799654576856637E-2</v>
      </c>
      <c r="BB294" s="341">
        <f t="shared" si="482"/>
        <v>-8.8183421516754845E-2</v>
      </c>
      <c r="BC294" s="341">
        <f t="shared" si="483"/>
        <v>9.009009009008917E-3</v>
      </c>
      <c r="BD294" s="344">
        <f t="shared" si="418"/>
        <v>-3.1429836210712603E-2</v>
      </c>
      <c r="BE294" s="341">
        <f t="shared" si="464"/>
        <v>-8.1227436823104737E-2</v>
      </c>
      <c r="BF294" s="341">
        <f t="shared" si="465"/>
        <v>-4.8473967684021568E-2</v>
      </c>
      <c r="BG294" s="341">
        <f t="shared" si="466"/>
        <v>-4.8355899419729176E-2</v>
      </c>
      <c r="BH294" s="341">
        <f t="shared" si="467"/>
        <v>-0.11785714285714288</v>
      </c>
      <c r="BI294" s="345">
        <f t="shared" si="420"/>
        <v>-7.4497257769652547E-2</v>
      </c>
      <c r="BJ294" s="341">
        <f t="shared" si="468"/>
        <v>-0.15520628683693516</v>
      </c>
      <c r="BK294" s="341">
        <f t="shared" si="469"/>
        <v>-0.1773584905660377</v>
      </c>
      <c r="BL294" s="341">
        <f t="shared" si="470"/>
        <v>-0.13211382113821135</v>
      </c>
      <c r="BM294" s="341">
        <f t="shared" si="471"/>
        <v>-8.0971659919028327E-2</v>
      </c>
      <c r="BN294" s="344">
        <f t="shared" si="422"/>
        <v>-0.13728395061728393</v>
      </c>
      <c r="BO294" s="341">
        <f t="shared" si="472"/>
        <v>-6.0465116279069808E-2</v>
      </c>
      <c r="BP294" s="341">
        <f t="shared" si="473"/>
        <v>4.1284403669724634E-2</v>
      </c>
      <c r="BQ294" s="341">
        <f t="shared" si="474"/>
        <v>-1.1709601873536313E-2</v>
      </c>
      <c r="BR294" s="341">
        <f t="shared" si="475"/>
        <v>-4.1850220264317173E-2</v>
      </c>
      <c r="BS294" s="345">
        <f t="shared" si="424"/>
        <v>-1.8317115054379052E-2</v>
      </c>
      <c r="BT294" s="341">
        <f t="shared" si="476"/>
        <v>-3.7128712871287162E-2</v>
      </c>
      <c r="BU294" s="341">
        <f t="shared" si="477"/>
        <v>-6.607929515418498E-2</v>
      </c>
      <c r="BV294" s="341">
        <f t="shared" si="478"/>
        <v>-1.6587677725118599E-2</v>
      </c>
      <c r="BW294" s="341">
        <f t="shared" si="479"/>
        <v>9.1954022988505191E-3</v>
      </c>
      <c r="BX294" s="345">
        <f t="shared" si="426"/>
        <v>-2.7988338192419859E-2</v>
      </c>
      <c r="BY294" s="341">
        <f t="shared" si="426"/>
        <v>2.8277634961439535E-2</v>
      </c>
      <c r="BZ294" s="1106">
        <v>-0.05</v>
      </c>
      <c r="CA294" s="1106">
        <v>-0.05</v>
      </c>
      <c r="CB294" s="1106">
        <v>-0.05</v>
      </c>
      <c r="CC294" s="345">
        <f t="shared" si="411"/>
        <v>-3.1733653269346074E-2</v>
      </c>
      <c r="CD294" s="909">
        <v>-0.05</v>
      </c>
      <c r="CE294" s="909">
        <v>-0.05</v>
      </c>
      <c r="CF294" s="909">
        <v>-0.05</v>
      </c>
      <c r="CG294" s="909">
        <v>-0.05</v>
      </c>
      <c r="CH294" s="909">
        <v>-0.05</v>
      </c>
    </row>
    <row r="295" spans="1:86">
      <c r="A295" s="9"/>
      <c r="B295" s="9"/>
      <c r="C295" s="9"/>
      <c r="D295" s="9"/>
      <c r="E295" s="9"/>
      <c r="F295" s="9"/>
      <c r="G295" s="9"/>
      <c r="H295" s="270" t="s">
        <v>676</v>
      </c>
      <c r="I295" s="257"/>
      <c r="L295" s="325"/>
      <c r="M295" s="325"/>
      <c r="N295" s="325"/>
      <c r="O295" s="325"/>
      <c r="P295" s="48"/>
      <c r="Q295" s="325"/>
      <c r="R295" s="325"/>
      <c r="S295" s="325"/>
      <c r="T295" s="325"/>
      <c r="U295" s="48"/>
      <c r="V295" s="325"/>
      <c r="W295" s="325"/>
      <c r="X295" s="325"/>
      <c r="Y295" s="325"/>
      <c r="Z295" s="48"/>
      <c r="AA295" s="325"/>
      <c r="AB295" s="325"/>
      <c r="AC295" s="325"/>
      <c r="AD295" s="325"/>
      <c r="AE295" s="276"/>
      <c r="AF295" s="325"/>
      <c r="AG295" s="325"/>
      <c r="AH295" s="325"/>
      <c r="AI295" s="325"/>
      <c r="AJ295" s="276"/>
      <c r="AK295" s="325"/>
      <c r="AL295" s="325"/>
      <c r="AM295" s="325"/>
      <c r="AN295" s="325"/>
      <c r="AO295" s="345"/>
      <c r="AP295" s="341"/>
      <c r="AQ295" s="354"/>
      <c r="AR295" s="354"/>
      <c r="AS295" s="354"/>
      <c r="AT295" s="353"/>
      <c r="AU295" s="354" t="str">
        <f t="shared" si="455"/>
        <v>NM</v>
      </c>
      <c r="AV295" s="354">
        <f t="shared" si="456"/>
        <v>7.045454545454545</v>
      </c>
      <c r="AW295" s="354">
        <f t="shared" si="457"/>
        <v>2.0769230769230766</v>
      </c>
      <c r="AX295" s="354">
        <f t="shared" si="458"/>
        <v>0.54193548387096757</v>
      </c>
      <c r="AY295" s="353">
        <f>IF(ISERROR(AY65/AT65-1),"NM",(AY65/AT65-1))</f>
        <v>2.2270742358078608</v>
      </c>
      <c r="AZ295" s="354">
        <f t="shared" si="480"/>
        <v>1.2699386503067482</v>
      </c>
      <c r="BA295" s="354">
        <f t="shared" si="481"/>
        <v>1.6610169491525424</v>
      </c>
      <c r="BB295" s="354">
        <f t="shared" si="482"/>
        <v>1.5374999999999996</v>
      </c>
      <c r="BC295" s="354">
        <f t="shared" si="483"/>
        <v>1.2552301255230125</v>
      </c>
      <c r="BD295" s="353">
        <f t="shared" si="418"/>
        <v>1.4167794316644109</v>
      </c>
      <c r="BE295" s="354">
        <f t="shared" si="464"/>
        <v>6.7567567567567544E-2</v>
      </c>
      <c r="BF295" s="354">
        <f t="shared" si="465"/>
        <v>0</v>
      </c>
      <c r="BG295" s="354">
        <f t="shared" si="466"/>
        <v>-0.10591133004926101</v>
      </c>
      <c r="BH295" s="354">
        <f t="shared" si="467"/>
        <v>-0.11688311688311681</v>
      </c>
      <c r="BI295" s="353">
        <f t="shared" si="420"/>
        <v>-4.5352743561030251E-2</v>
      </c>
      <c r="BJ295" s="354">
        <f t="shared" si="468"/>
        <v>-1.0126582278481178E-2</v>
      </c>
      <c r="BK295" s="354">
        <f t="shared" si="469"/>
        <v>-0.31210191082802552</v>
      </c>
      <c r="BL295" s="354">
        <f t="shared" si="470"/>
        <v>0.14049586776859502</v>
      </c>
      <c r="BM295" s="354">
        <f t="shared" si="471"/>
        <v>-0.12605042016806722</v>
      </c>
      <c r="BN295" s="353">
        <f t="shared" si="422"/>
        <v>-9.3841642228739031E-2</v>
      </c>
      <c r="BO295" s="354">
        <f t="shared" si="472"/>
        <v>-5.3708439897698024E-2</v>
      </c>
      <c r="BP295" s="354">
        <f t="shared" si="473"/>
        <v>-9.5679012345678993E-2</v>
      </c>
      <c r="BQ295" s="1115">
        <f t="shared" si="474"/>
        <v>-5.7971014492753548E-2</v>
      </c>
      <c r="BR295" s="1115">
        <f t="shared" si="475"/>
        <v>-3.8461538461538547E-2</v>
      </c>
      <c r="BS295" s="353">
        <f t="shared" si="424"/>
        <v>-5.9546925566343112E-2</v>
      </c>
      <c r="BT295" s="354">
        <f t="shared" si="476"/>
        <v>-0.26216216216216215</v>
      </c>
      <c r="BU295" s="338">
        <f t="shared" si="477"/>
        <v>0.2559726962457336</v>
      </c>
      <c r="BV295" s="338">
        <f t="shared" si="478"/>
        <v>-0.79487179487179493</v>
      </c>
      <c r="BW295" s="338">
        <f t="shared" si="479"/>
        <v>-0.8125</v>
      </c>
      <c r="BX295" s="353">
        <f t="shared" si="426"/>
        <v>-0.45216792842395037</v>
      </c>
      <c r="BY295" s="1262"/>
      <c r="BZ295" s="1109"/>
      <c r="CA295" s="1109"/>
      <c r="CB295" s="1109"/>
      <c r="CC295" s="861"/>
      <c r="CD295" s="861"/>
      <c r="CE295" s="861"/>
      <c r="CF295" s="861"/>
      <c r="CG295" s="861"/>
      <c r="CH295" s="861"/>
    </row>
    <row r="296" spans="1:86">
      <c r="A296" s="9"/>
      <c r="B296" s="9"/>
      <c r="C296" s="9"/>
      <c r="D296" s="9"/>
      <c r="E296" s="9"/>
      <c r="F296" s="9"/>
      <c r="G296" s="9"/>
      <c r="H296" s="257" t="s">
        <v>1159</v>
      </c>
      <c r="I296" s="257"/>
      <c r="L296" s="325"/>
      <c r="M296" s="325"/>
      <c r="N296" s="325"/>
      <c r="O296" s="325"/>
      <c r="P296" s="48"/>
      <c r="Q296" s="325"/>
      <c r="R296" s="325"/>
      <c r="S296" s="325"/>
      <c r="T296" s="325"/>
      <c r="U296" s="48"/>
      <c r="V296" s="325"/>
      <c r="W296" s="325"/>
      <c r="X296" s="325"/>
      <c r="Y296" s="325"/>
      <c r="Z296" s="48"/>
      <c r="AA296" s="325"/>
      <c r="AB296" s="325"/>
      <c r="AC296" s="325"/>
      <c r="AD296" s="325"/>
      <c r="AE296" s="276"/>
      <c r="AF296" s="325"/>
      <c r="AG296" s="325"/>
      <c r="AH296" s="325"/>
      <c r="AI296" s="325"/>
      <c r="AJ296" s="276"/>
      <c r="AK296" s="325"/>
      <c r="AL296" s="325"/>
      <c r="AM296" s="325"/>
      <c r="AN296" s="325"/>
      <c r="AO296" s="345"/>
      <c r="AP296" s="341"/>
      <c r="AQ296" s="342"/>
      <c r="AR296" s="342"/>
      <c r="AS296" s="342"/>
      <c r="AT296" s="345"/>
      <c r="AU296" s="369" t="str">
        <f t="shared" si="455"/>
        <v>NM</v>
      </c>
      <c r="AV296" s="369">
        <f t="shared" si="456"/>
        <v>7.045454545454545</v>
      </c>
      <c r="AW296" s="369">
        <f t="shared" si="457"/>
        <v>2.0769230769230766</v>
      </c>
      <c r="AX296" s="369">
        <f t="shared" si="458"/>
        <v>0.54193548387096757</v>
      </c>
      <c r="AY296" s="344">
        <f>IF(ISERROR(AY66/AT66-1),"NM",(AY66/AT66-1))</f>
        <v>2.2270742358078608</v>
      </c>
      <c r="AZ296" s="369">
        <f t="shared" si="480"/>
        <v>1.2699386503067482</v>
      </c>
      <c r="BA296" s="369">
        <f t="shared" si="481"/>
        <v>1.6384180790960454</v>
      </c>
      <c r="BB296" s="369">
        <f t="shared" si="482"/>
        <v>1.5187499999999998</v>
      </c>
      <c r="BC296" s="369">
        <f t="shared" si="483"/>
        <v>1.2175732217573225</v>
      </c>
      <c r="BD296" s="344">
        <f t="shared" si="418"/>
        <v>1.3951285520974288</v>
      </c>
      <c r="BE296" s="369">
        <f t="shared" si="464"/>
        <v>3.5135135135134998E-2</v>
      </c>
      <c r="BF296" s="369">
        <f t="shared" si="465"/>
        <v>-2.5695931477516143E-2</v>
      </c>
      <c r="BG296" s="369">
        <f t="shared" si="466"/>
        <v>-0.14392059553349867</v>
      </c>
      <c r="BH296" s="369">
        <f t="shared" si="467"/>
        <v>-0.14339622641509442</v>
      </c>
      <c r="BI296" s="345">
        <f t="shared" si="420"/>
        <v>-7.5141242937853181E-2</v>
      </c>
      <c r="BJ296" s="369">
        <f t="shared" si="468"/>
        <v>-2.6109660574412552E-2</v>
      </c>
      <c r="BK296" s="369">
        <f t="shared" si="469"/>
        <v>-0.33186813186813191</v>
      </c>
      <c r="BL296" s="369">
        <f t="shared" si="470"/>
        <v>0.14782608695652177</v>
      </c>
      <c r="BM296" s="369">
        <f t="shared" si="471"/>
        <v>-0.1145374449339206</v>
      </c>
      <c r="BN296" s="344">
        <f t="shared" si="422"/>
        <v>-9.8961514966401931E-2</v>
      </c>
      <c r="BO296" s="369">
        <f t="shared" si="472"/>
        <v>-4.5576407506702332E-2</v>
      </c>
      <c r="BP296" s="369">
        <f t="shared" si="473"/>
        <v>-9.210526315789469E-2</v>
      </c>
      <c r="BQ296" s="369">
        <f t="shared" si="474"/>
        <v>-5.8080808080808177E-2</v>
      </c>
      <c r="BR296" s="369">
        <f t="shared" si="475"/>
        <v>-5.2238805970149294E-2</v>
      </c>
      <c r="BS296" s="345">
        <f t="shared" si="424"/>
        <v>-6.0338983050847506E-2</v>
      </c>
      <c r="BT296" s="369">
        <f t="shared" si="476"/>
        <v>-0.2752808988764045</v>
      </c>
      <c r="BU296" s="369">
        <f t="shared" si="477"/>
        <v>0.28260869565217384</v>
      </c>
      <c r="BV296" s="369">
        <f t="shared" si="478"/>
        <v>-0.82841823056300268</v>
      </c>
      <c r="BW296" s="369">
        <f t="shared" si="479"/>
        <v>-0.84514435695538059</v>
      </c>
      <c r="BX296" s="345">
        <f t="shared" si="426"/>
        <v>-0.46969696969696961</v>
      </c>
      <c r="BY296" s="862"/>
      <c r="BZ296" s="1111"/>
      <c r="CA296" s="1111"/>
      <c r="CB296" s="1111"/>
      <c r="CC296" s="773"/>
      <c r="CD296" s="913"/>
      <c r="CE296" s="913"/>
      <c r="CF296" s="913"/>
      <c r="CG296" s="913"/>
      <c r="CH296" s="913"/>
    </row>
    <row r="297" spans="1:86">
      <c r="A297" s="9"/>
      <c r="B297" s="9"/>
      <c r="C297" s="9"/>
      <c r="D297" s="9"/>
      <c r="E297" s="9"/>
      <c r="F297" s="9"/>
      <c r="G297" s="9"/>
      <c r="H297" s="257" t="s">
        <v>232</v>
      </c>
      <c r="I297" s="257"/>
      <c r="L297" s="325"/>
      <c r="M297" s="325"/>
      <c r="N297" s="325"/>
      <c r="O297" s="325"/>
      <c r="P297" s="48"/>
      <c r="Q297" s="325"/>
      <c r="R297" s="325"/>
      <c r="S297" s="325"/>
      <c r="T297" s="325"/>
      <c r="U297" s="48"/>
      <c r="V297" s="325"/>
      <c r="W297" s="325"/>
      <c r="X297" s="325"/>
      <c r="Y297" s="325"/>
      <c r="Z297" s="48"/>
      <c r="AA297" s="325"/>
      <c r="AB297" s="325"/>
      <c r="AC297" s="325"/>
      <c r="AD297" s="325"/>
      <c r="AE297" s="276"/>
      <c r="AF297" s="325"/>
      <c r="AG297" s="325"/>
      <c r="AH297" s="325"/>
      <c r="AI297" s="325"/>
      <c r="AJ297" s="276"/>
      <c r="AK297" s="892"/>
      <c r="AL297" s="892"/>
      <c r="AM297" s="892"/>
      <c r="AN297" s="892"/>
      <c r="AO297" s="891"/>
      <c r="AP297" s="892"/>
      <c r="AQ297" s="892"/>
      <c r="AR297" s="892"/>
      <c r="AS297" s="892"/>
      <c r="AT297" s="891"/>
      <c r="AU297" s="892"/>
      <c r="AV297" s="892"/>
      <c r="AW297" s="892"/>
      <c r="AX297" s="892"/>
      <c r="AY297" s="891"/>
      <c r="AZ297" s="890"/>
      <c r="BA297" s="890"/>
      <c r="BB297" s="890"/>
      <c r="BC297" s="890"/>
      <c r="BD297" s="891"/>
      <c r="BE297" s="890"/>
      <c r="BF297" s="890"/>
      <c r="BG297" s="890"/>
      <c r="BH297" s="890"/>
      <c r="BI297" s="891"/>
      <c r="BJ297" s="890"/>
      <c r="BK297" s="369">
        <f t="shared" ref="BK297:BK306" si="484">IF(ISERROR(BK67/BF67-1),"NM",(BK67/BF67-1))</f>
        <v>0.25</v>
      </c>
      <c r="BL297" s="369">
        <f t="shared" ref="BL297:BL306" si="485">IF(ISERROR(BL67/BG67-1),"NM",(BL67/BG67-1))</f>
        <v>0</v>
      </c>
      <c r="BM297" s="369">
        <f t="shared" ref="BM297:BM306" si="486">IF(ISERROR(BM67/BH67-1),"NM",(BM67/BH67-1))</f>
        <v>-0.36363636363636376</v>
      </c>
      <c r="BN297" s="344">
        <f t="shared" si="422"/>
        <v>2.941176470588247E-2</v>
      </c>
      <c r="BO297" s="369">
        <f t="shared" si="472"/>
        <v>-0.22222222222222232</v>
      </c>
      <c r="BP297" s="369">
        <f t="shared" si="473"/>
        <v>-0.15000000000000002</v>
      </c>
      <c r="BQ297" s="369">
        <f t="shared" si="474"/>
        <v>-5.555555555555558E-2</v>
      </c>
      <c r="BR297" s="369">
        <f t="shared" si="475"/>
        <v>0.35714285714285721</v>
      </c>
      <c r="BS297" s="345">
        <f t="shared" si="424"/>
        <v>-4.2857142857142927E-2</v>
      </c>
      <c r="BT297" s="369">
        <f t="shared" si="476"/>
        <v>7.1428571428571397E-2</v>
      </c>
      <c r="BU297" s="369">
        <f t="shared" si="477"/>
        <v>-0.17647058823529416</v>
      </c>
      <c r="BV297" s="369">
        <f t="shared" si="478"/>
        <v>-5.8823529411764608E-2</v>
      </c>
      <c r="BW297" s="369">
        <f t="shared" si="479"/>
        <v>-0.1578947368421052</v>
      </c>
      <c r="BX297" s="345">
        <f t="shared" si="426"/>
        <v>-8.9552238805970075E-2</v>
      </c>
      <c r="BY297" s="862"/>
      <c r="BZ297" s="1111"/>
      <c r="CA297" s="1111"/>
      <c r="CB297" s="1111"/>
      <c r="CC297" s="773"/>
      <c r="CD297" s="913"/>
      <c r="CE297" s="913"/>
      <c r="CF297" s="913"/>
      <c r="CG297" s="913"/>
      <c r="CH297" s="913"/>
    </row>
    <row r="298" spans="1:86">
      <c r="A298" s="9"/>
      <c r="B298" s="9"/>
      <c r="C298" s="9"/>
      <c r="D298" s="9"/>
      <c r="E298" s="9"/>
      <c r="F298" s="9"/>
      <c r="G298" s="9"/>
      <c r="H298" s="270" t="s">
        <v>1054</v>
      </c>
      <c r="I298" s="73"/>
      <c r="L298" s="66"/>
      <c r="M298" s="66"/>
      <c r="N298" s="66"/>
      <c r="O298" s="66"/>
      <c r="Q298" s="66"/>
      <c r="R298" s="66"/>
      <c r="S298" s="66"/>
      <c r="T298" s="66"/>
      <c r="V298" s="66"/>
      <c r="W298" s="66"/>
      <c r="X298" s="66"/>
      <c r="Y298" s="66"/>
      <c r="AA298" s="66"/>
      <c r="AB298" s="66"/>
      <c r="AC298" s="66"/>
      <c r="AD298" s="66"/>
      <c r="AF298" s="369"/>
      <c r="AG298" s="369"/>
      <c r="AH298" s="369"/>
      <c r="AI298" s="369"/>
      <c r="AJ298" s="344"/>
      <c r="AK298" s="369"/>
      <c r="AL298" s="369"/>
      <c r="AM298" s="369"/>
      <c r="AN298" s="369"/>
      <c r="AO298" s="344"/>
      <c r="AP298" s="369"/>
      <c r="AQ298" s="369"/>
      <c r="AR298" s="369"/>
      <c r="AS298" s="369"/>
      <c r="AT298" s="344"/>
      <c r="AU298" s="354" t="str">
        <f t="shared" ref="AU298:BJ303" si="487">IF(ISERROR(AU68/AP68-1),"NM",(AU68/AP68-1))</f>
        <v>NM</v>
      </c>
      <c r="AV298" s="354">
        <f t="shared" si="487"/>
        <v>1.3571428571428577</v>
      </c>
      <c r="AW298" s="354">
        <f t="shared" si="487"/>
        <v>7.1428571428571406</v>
      </c>
      <c r="AX298" s="354">
        <f t="shared" si="487"/>
        <v>4.9552238805970159</v>
      </c>
      <c r="AY298" s="353">
        <f t="shared" si="487"/>
        <v>4.8741721854304636</v>
      </c>
      <c r="AZ298" s="354">
        <f t="shared" si="487"/>
        <v>2.328125</v>
      </c>
      <c r="BA298" s="354">
        <f t="shared" si="487"/>
        <v>3.1515151515151514</v>
      </c>
      <c r="BB298" s="354">
        <f t="shared" si="487"/>
        <v>1.8377192982456143</v>
      </c>
      <c r="BC298" s="354">
        <f t="shared" si="487"/>
        <v>1.1829573934837088</v>
      </c>
      <c r="BD298" s="353">
        <f t="shared" si="487"/>
        <v>1.8094701240135285</v>
      </c>
      <c r="BE298" s="354">
        <f t="shared" si="487"/>
        <v>0.8051643192488267</v>
      </c>
      <c r="BF298" s="354">
        <f t="shared" si="487"/>
        <v>0.64781021897810254</v>
      </c>
      <c r="BG298" s="354">
        <f t="shared" si="487"/>
        <v>0.21947449768160743</v>
      </c>
      <c r="BH298" s="354">
        <f t="shared" si="487"/>
        <v>-5.0516647531572811E-2</v>
      </c>
      <c r="BI298" s="353">
        <f t="shared" si="487"/>
        <v>0.31942215088282522</v>
      </c>
      <c r="BJ298" s="354">
        <f t="shared" si="487"/>
        <v>7.0221066319895886E-2</v>
      </c>
      <c r="BK298" s="338">
        <f t="shared" si="484"/>
        <v>-0.11406423034330027</v>
      </c>
      <c r="BL298" s="338">
        <f t="shared" si="485"/>
        <v>0.17490494296577919</v>
      </c>
      <c r="BM298" s="338">
        <f t="shared" si="486"/>
        <v>0.22974607013301074</v>
      </c>
      <c r="BN298" s="353">
        <f t="shared" si="422"/>
        <v>8.485401459854014E-2</v>
      </c>
      <c r="BO298" s="338">
        <f t="shared" si="472"/>
        <v>0.14702308626974503</v>
      </c>
      <c r="BP298" s="338">
        <f t="shared" si="473"/>
        <v>0.51249999999999996</v>
      </c>
      <c r="BQ298" s="1115">
        <f t="shared" si="474"/>
        <v>0.24487594390507028</v>
      </c>
      <c r="BR298" s="1115">
        <f t="shared" si="475"/>
        <v>4.0314650934120122E-2</v>
      </c>
      <c r="BS298" s="353">
        <f t="shared" si="424"/>
        <v>0.22399775721895132</v>
      </c>
      <c r="BT298" s="338">
        <f t="shared" si="476"/>
        <v>0.19703389830508478</v>
      </c>
      <c r="BU298" s="338">
        <f t="shared" si="477"/>
        <v>0.17272727272727284</v>
      </c>
      <c r="BV298" s="338">
        <f t="shared" si="478"/>
        <v>0.32842287694974015</v>
      </c>
      <c r="BW298" s="338">
        <f t="shared" si="479"/>
        <v>0.22589792060491476</v>
      </c>
      <c r="BX298" s="353">
        <f t="shared" si="426"/>
        <v>0.23202015574896917</v>
      </c>
      <c r="BY298" s="338">
        <f t="shared" si="426"/>
        <v>0.24867256637168134</v>
      </c>
      <c r="BZ298" s="1115">
        <f>IF(ISERROR(BZ68/BU68-1),"NM",(BZ68/BU68-1))</f>
        <v>0.16486962649753356</v>
      </c>
      <c r="CA298" s="1115">
        <f>IF(ISERROR(CA68/BV68-1),"NM",(CA68/BV68-1))</f>
        <v>0.12183953033268091</v>
      </c>
      <c r="CB298" s="1115">
        <f>IF(ISERROR(CB68/BW68-1),"NM",(CB68/BW68-1))</f>
        <v>0.35139552814186614</v>
      </c>
      <c r="CC298" s="353">
        <f t="shared" si="411"/>
        <v>0.21518683770217528</v>
      </c>
      <c r="CD298" s="353">
        <f>IF(ISERROR(CD68/CC68-1),"NM",(CD68/CC68-1))</f>
        <v>0.10444608650820264</v>
      </c>
      <c r="CE298" s="353">
        <f>IF(ISERROR(CE68/CD68-1),"NM",(CE68/CD68-1))</f>
        <v>6.859277054601387E-2</v>
      </c>
      <c r="CF298" s="353">
        <f>IF(ISERROR(CF68/CE68-1),"NM",(CF68/CE68-1))</f>
        <v>4.5054997866567748E-2</v>
      </c>
      <c r="CG298" s="353">
        <f>IF(ISERROR(CG68/CF68-1),"NM",(CG68/CF68-1))</f>
        <v>-1.0940023879523531E-2</v>
      </c>
      <c r="CH298" s="353">
        <f>IF(ISERROR(CH68/CG68-1),"NM",(CH68/CG68-1))</f>
        <v>-5.5034802046192932E-2</v>
      </c>
    </row>
    <row r="299" spans="1:86">
      <c r="A299" s="9"/>
      <c r="B299" s="9"/>
      <c r="C299" s="9"/>
      <c r="D299" s="9"/>
      <c r="E299" s="9"/>
      <c r="F299" s="9"/>
      <c r="G299" s="9"/>
      <c r="H299" s="257" t="s">
        <v>1160</v>
      </c>
      <c r="I299" s="73"/>
      <c r="L299" s="66"/>
      <c r="M299" s="66"/>
      <c r="N299" s="66"/>
      <c r="O299" s="66"/>
      <c r="Q299" s="66"/>
      <c r="R299" s="66"/>
      <c r="S299" s="66"/>
      <c r="T299" s="66"/>
      <c r="V299" s="66"/>
      <c r="W299" s="66"/>
      <c r="X299" s="66"/>
      <c r="Y299" s="66"/>
      <c r="AA299" s="66"/>
      <c r="AB299" s="66"/>
      <c r="AC299" s="66"/>
      <c r="AD299" s="66"/>
      <c r="AF299" s="369"/>
      <c r="AG299" s="369"/>
      <c r="AH299" s="369"/>
      <c r="AI299" s="369"/>
      <c r="AJ299" s="344"/>
      <c r="AK299" s="369"/>
      <c r="AL299" s="369"/>
      <c r="AM299" s="369"/>
      <c r="AN299" s="369"/>
      <c r="AO299" s="344"/>
      <c r="AP299" s="369"/>
      <c r="AQ299" s="369"/>
      <c r="AR299" s="369"/>
      <c r="AS299" s="369"/>
      <c r="AT299" s="344"/>
      <c r="AU299" s="369" t="str">
        <f t="shared" si="487"/>
        <v>NM</v>
      </c>
      <c r="AV299" s="369">
        <f t="shared" si="487"/>
        <v>0.66071428571428603</v>
      </c>
      <c r="AW299" s="369">
        <f t="shared" si="487"/>
        <v>21.833333333333332</v>
      </c>
      <c r="AX299" s="369">
        <f t="shared" si="487"/>
        <v>3.3148148148148149</v>
      </c>
      <c r="AY299" s="344">
        <f t="shared" si="487"/>
        <v>3.8275862068965516</v>
      </c>
      <c r="AZ299" s="369">
        <f t="shared" si="487"/>
        <v>1.5154639175257731</v>
      </c>
      <c r="BA299" s="369">
        <f t="shared" si="487"/>
        <v>1.5806451612903225</v>
      </c>
      <c r="BB299" s="369">
        <f t="shared" si="487"/>
        <v>1.1240875912408761</v>
      </c>
      <c r="BC299" s="369">
        <f t="shared" si="487"/>
        <v>0.76394849785407737</v>
      </c>
      <c r="BD299" s="930">
        <f t="shared" si="487"/>
        <v>1.1178571428571429</v>
      </c>
      <c r="BE299" s="369">
        <f t="shared" si="487"/>
        <v>0.26229508196721318</v>
      </c>
      <c r="BF299" s="369">
        <f t="shared" si="487"/>
        <v>0.52500000000000013</v>
      </c>
      <c r="BG299" s="369">
        <f t="shared" si="487"/>
        <v>-0.17182130584192434</v>
      </c>
      <c r="BH299" s="369">
        <f t="shared" si="487"/>
        <v>-0.34793187347931875</v>
      </c>
      <c r="BI299" s="345">
        <f t="shared" si="487"/>
        <v>-2.5295109612141209E-3</v>
      </c>
      <c r="BJ299" s="369">
        <f t="shared" si="487"/>
        <v>3.5714285714285587E-2</v>
      </c>
      <c r="BK299" s="369">
        <f t="shared" si="484"/>
        <v>-7.377049180327877E-2</v>
      </c>
      <c r="BL299" s="369">
        <f t="shared" si="485"/>
        <v>0.5933609958506223</v>
      </c>
      <c r="BM299" s="369">
        <f t="shared" si="486"/>
        <v>0.42910447761194015</v>
      </c>
      <c r="BN299" s="344">
        <f t="shared" si="422"/>
        <v>0.20456466610312773</v>
      </c>
      <c r="BO299" s="369">
        <f t="shared" si="472"/>
        <v>0.20062695924764884</v>
      </c>
      <c r="BP299" s="369">
        <f t="shared" si="473"/>
        <v>0.4336283185840708</v>
      </c>
      <c r="BQ299" s="369">
        <f t="shared" si="474"/>
        <v>0.24739583333333326</v>
      </c>
      <c r="BR299" s="369">
        <f t="shared" si="475"/>
        <v>-0.19060052219321144</v>
      </c>
      <c r="BS299" s="344">
        <f t="shared" si="424"/>
        <v>0.16350877192982471</v>
      </c>
      <c r="BT299" s="369">
        <f t="shared" si="476"/>
        <v>0.18537859007832913</v>
      </c>
      <c r="BU299" s="369">
        <f t="shared" si="477"/>
        <v>0.24279835390946491</v>
      </c>
      <c r="BV299" s="369">
        <f t="shared" si="478"/>
        <v>0.42797494780793333</v>
      </c>
      <c r="BW299" s="369">
        <f t="shared" si="479"/>
        <v>0.25806451612903225</v>
      </c>
      <c r="BX299" s="344">
        <f t="shared" si="426"/>
        <v>0.28588661037394436</v>
      </c>
      <c r="BY299" s="369">
        <f t="shared" si="426"/>
        <v>0.19162995594713661</v>
      </c>
      <c r="BZ299" s="1116">
        <v>0.05</v>
      </c>
      <c r="CA299" s="1116">
        <v>0</v>
      </c>
      <c r="CB299" s="1116">
        <v>0.75</v>
      </c>
      <c r="CC299" s="344">
        <f t="shared" si="411"/>
        <v>0.19216697936210148</v>
      </c>
      <c r="CD299" s="498">
        <v>0.08</v>
      </c>
      <c r="CE299" s="498">
        <v>0.05</v>
      </c>
      <c r="CF299" s="498">
        <v>0.02</v>
      </c>
      <c r="CG299" s="498">
        <v>-0.03</v>
      </c>
      <c r="CH299" s="498">
        <v>-0.1</v>
      </c>
    </row>
    <row r="300" spans="1:86">
      <c r="A300" s="9"/>
      <c r="B300" s="9"/>
      <c r="C300" s="9"/>
      <c r="D300" s="9"/>
      <c r="E300" s="9"/>
      <c r="F300" s="9"/>
      <c r="G300" s="9"/>
      <c r="H300" s="257" t="s">
        <v>232</v>
      </c>
      <c r="I300" s="73"/>
      <c r="L300" s="66"/>
      <c r="M300" s="66"/>
      <c r="N300" s="66"/>
      <c r="O300" s="66"/>
      <c r="Q300" s="66"/>
      <c r="R300" s="66"/>
      <c r="S300" s="66"/>
      <c r="T300" s="66"/>
      <c r="V300" s="66"/>
      <c r="W300" s="66"/>
      <c r="X300" s="66"/>
      <c r="Y300" s="66"/>
      <c r="AA300" s="66"/>
      <c r="AB300" s="66"/>
      <c r="AC300" s="66"/>
      <c r="AD300" s="66"/>
      <c r="AF300" s="369"/>
      <c r="AG300" s="369"/>
      <c r="AH300" s="369"/>
      <c r="AI300" s="369"/>
      <c r="AJ300" s="344"/>
      <c r="AK300" s="369"/>
      <c r="AL300" s="369"/>
      <c r="AM300" s="369"/>
      <c r="AN300" s="369"/>
      <c r="AO300" s="344"/>
      <c r="AP300" s="369"/>
      <c r="AQ300" s="369"/>
      <c r="AR300" s="369"/>
      <c r="AS300" s="369"/>
      <c r="AT300" s="344"/>
      <c r="AU300" s="369" t="str">
        <f t="shared" si="487"/>
        <v>NM</v>
      </c>
      <c r="AV300" s="369" t="str">
        <f t="shared" si="487"/>
        <v>NM</v>
      </c>
      <c r="AW300" s="369">
        <f t="shared" si="487"/>
        <v>3.1363636363636358</v>
      </c>
      <c r="AX300" s="369">
        <f t="shared" si="487"/>
        <v>11.76923076923077</v>
      </c>
      <c r="AY300" s="344">
        <f t="shared" si="487"/>
        <v>8.3428571428571434</v>
      </c>
      <c r="AZ300" s="369">
        <f t="shared" si="487"/>
        <v>4.8709677419354831</v>
      </c>
      <c r="BA300" s="369">
        <f t="shared" si="487"/>
        <v>6.8974358974358978</v>
      </c>
      <c r="BB300" s="369">
        <f t="shared" si="487"/>
        <v>2.9120879120879124</v>
      </c>
      <c r="BC300" s="369">
        <f t="shared" si="487"/>
        <v>1.7710843373493974</v>
      </c>
      <c r="BD300" s="930">
        <f t="shared" si="487"/>
        <v>2.993883792048929</v>
      </c>
      <c r="BE300" s="369">
        <f t="shared" si="487"/>
        <v>1.5329670329670333</v>
      </c>
      <c r="BF300" s="369">
        <f t="shared" si="487"/>
        <v>0.74350649350649345</v>
      </c>
      <c r="BG300" s="369">
        <f t="shared" si="487"/>
        <v>0.53932584269662898</v>
      </c>
      <c r="BH300" s="369">
        <f t="shared" si="487"/>
        <v>0.2152173913043478</v>
      </c>
      <c r="BI300" s="345">
        <f t="shared" si="487"/>
        <v>0.61179173047473223</v>
      </c>
      <c r="BJ300" s="369">
        <f t="shared" si="487"/>
        <v>9.3275488069414214E-2</v>
      </c>
      <c r="BK300" s="369">
        <f t="shared" si="484"/>
        <v>-0.14152700186219747</v>
      </c>
      <c r="BL300" s="369">
        <f t="shared" si="485"/>
        <v>-9.124087591240837E-3</v>
      </c>
      <c r="BM300" s="369">
        <f t="shared" si="486"/>
        <v>0.13416815742397148</v>
      </c>
      <c r="BN300" s="344">
        <f t="shared" si="422"/>
        <v>1.7577197149643675E-2</v>
      </c>
      <c r="BO300" s="369">
        <f t="shared" si="472"/>
        <v>0.11309523809523814</v>
      </c>
      <c r="BP300" s="369">
        <f t="shared" si="473"/>
        <v>0.5704989154013016</v>
      </c>
      <c r="BQ300" s="369">
        <f t="shared" si="474"/>
        <v>0.24309392265193375</v>
      </c>
      <c r="BR300" s="369">
        <f t="shared" si="475"/>
        <v>0.17981072555205047</v>
      </c>
      <c r="BS300" s="344">
        <f t="shared" si="424"/>
        <v>0.26423902894491125</v>
      </c>
      <c r="BT300" s="369">
        <f t="shared" si="476"/>
        <v>0.20499108734402838</v>
      </c>
      <c r="BU300" s="369">
        <f t="shared" si="477"/>
        <v>0.12569060773480656</v>
      </c>
      <c r="BV300" s="369">
        <f t="shared" si="478"/>
        <v>0.25777777777777788</v>
      </c>
      <c r="BW300" s="369">
        <f t="shared" si="479"/>
        <v>0.21256684491978617</v>
      </c>
      <c r="BX300" s="344">
        <f t="shared" si="426"/>
        <v>0.19903988183160992</v>
      </c>
      <c r="BY300" s="369">
        <f t="shared" si="426"/>
        <v>0.28698224852071008</v>
      </c>
      <c r="BZ300" s="1116">
        <v>0.25</v>
      </c>
      <c r="CA300" s="1116">
        <v>0.22</v>
      </c>
      <c r="CB300" s="1116">
        <v>0.18</v>
      </c>
      <c r="CC300" s="344">
        <f t="shared" si="411"/>
        <v>0.23030181706190334</v>
      </c>
      <c r="CD300" s="498">
        <v>0.12</v>
      </c>
      <c r="CE300" s="498">
        <v>0.08</v>
      </c>
      <c r="CF300" s="498">
        <v>0.06</v>
      </c>
      <c r="CG300" s="498">
        <v>0</v>
      </c>
      <c r="CH300" s="498">
        <v>-0.03</v>
      </c>
    </row>
    <row r="301" spans="1:86">
      <c r="A301" s="9"/>
      <c r="B301" s="9"/>
      <c r="C301" s="9"/>
      <c r="D301" s="9"/>
      <c r="E301" s="9"/>
      <c r="F301" s="9"/>
      <c r="G301" s="9"/>
      <c r="H301" s="270" t="s">
        <v>1053</v>
      </c>
      <c r="I301" s="73"/>
      <c r="L301" s="66"/>
      <c r="M301" s="66"/>
      <c r="N301" s="66"/>
      <c r="O301" s="66"/>
      <c r="Q301" s="66"/>
      <c r="R301" s="66"/>
      <c r="S301" s="66"/>
      <c r="T301" s="66"/>
      <c r="V301" s="66"/>
      <c r="W301" s="66"/>
      <c r="X301" s="66"/>
      <c r="Y301" s="66"/>
      <c r="AA301" s="66"/>
      <c r="AB301" s="66"/>
      <c r="AC301" s="66"/>
      <c r="AD301" s="66"/>
      <c r="AF301" s="369"/>
      <c r="AG301" s="369"/>
      <c r="AH301" s="369"/>
      <c r="AI301" s="369"/>
      <c r="AJ301" s="344"/>
      <c r="AK301" s="369"/>
      <c r="AL301" s="369"/>
      <c r="AM301" s="369"/>
      <c r="AN301" s="369"/>
      <c r="AO301" s="344"/>
      <c r="AP301" s="369"/>
      <c r="AQ301" s="369"/>
      <c r="AR301" s="369"/>
      <c r="AS301" s="369"/>
      <c r="AT301" s="344"/>
      <c r="AU301" s="354" t="str">
        <f t="shared" si="487"/>
        <v>NM</v>
      </c>
      <c r="AV301" s="354">
        <f t="shared" si="487"/>
        <v>-1</v>
      </c>
      <c r="AW301" s="354">
        <f t="shared" si="487"/>
        <v>-1</v>
      </c>
      <c r="AX301" s="354">
        <f t="shared" si="487"/>
        <v>-1</v>
      </c>
      <c r="AY301" s="353" t="str">
        <f t="shared" si="487"/>
        <v>NM</v>
      </c>
      <c r="AZ301" s="354" t="str">
        <f t="shared" si="487"/>
        <v>NM</v>
      </c>
      <c r="BA301" s="354" t="str">
        <f t="shared" si="487"/>
        <v>NM</v>
      </c>
      <c r="BB301" s="354" t="str">
        <f t="shared" si="487"/>
        <v>NM</v>
      </c>
      <c r="BC301" s="354" t="str">
        <f t="shared" si="487"/>
        <v>NM</v>
      </c>
      <c r="BD301" s="353" t="str">
        <f t="shared" si="487"/>
        <v>NM</v>
      </c>
      <c r="BE301" s="354" t="str">
        <f t="shared" si="487"/>
        <v>NM</v>
      </c>
      <c r="BF301" s="354" t="str">
        <f t="shared" si="487"/>
        <v>NM</v>
      </c>
      <c r="BG301" s="354" t="str">
        <f t="shared" si="487"/>
        <v>NM</v>
      </c>
      <c r="BH301" s="354" t="str">
        <f t="shared" si="487"/>
        <v>NM</v>
      </c>
      <c r="BI301" s="353" t="str">
        <f t="shared" si="487"/>
        <v>NM</v>
      </c>
      <c r="BJ301" s="354" t="str">
        <f t="shared" si="487"/>
        <v>NM</v>
      </c>
      <c r="BK301" s="338" t="str">
        <f t="shared" si="484"/>
        <v>NM</v>
      </c>
      <c r="BL301" s="338">
        <f t="shared" si="485"/>
        <v>2.4222222222222225</v>
      </c>
      <c r="BM301" s="338">
        <f t="shared" si="486"/>
        <v>1.6071428571428572</v>
      </c>
      <c r="BN301" s="353">
        <f t="shared" si="422"/>
        <v>4.9801980198019811</v>
      </c>
      <c r="BO301" s="338">
        <f t="shared" si="472"/>
        <v>0.9792746113989641</v>
      </c>
      <c r="BP301" s="338">
        <f t="shared" si="473"/>
        <v>2.612612612612613</v>
      </c>
      <c r="BQ301" s="1115">
        <f t="shared" si="474"/>
        <v>2.0844155844155843</v>
      </c>
      <c r="BR301" s="1115">
        <f t="shared" si="475"/>
        <v>4.2191780821917799</v>
      </c>
      <c r="BS301" s="353">
        <f t="shared" si="424"/>
        <v>2.3443708609271514</v>
      </c>
      <c r="BT301" s="338">
        <f t="shared" si="476"/>
        <v>0.9345549738219896</v>
      </c>
      <c r="BU301" s="338">
        <f t="shared" si="477"/>
        <v>1.5710723192019946</v>
      </c>
      <c r="BV301" s="338">
        <f t="shared" si="478"/>
        <v>1.6778947368421049</v>
      </c>
      <c r="BW301" s="338">
        <f t="shared" si="479"/>
        <v>0.8792650918635172</v>
      </c>
      <c r="BX301" s="353">
        <f t="shared" si="426"/>
        <v>1.214851485148515</v>
      </c>
      <c r="BY301" s="338">
        <f t="shared" si="426"/>
        <v>1.0433017591339646</v>
      </c>
      <c r="BZ301" s="1115">
        <f>IF(ISERROR(BZ71/BU71-1),"NM",(BZ71/BU71-1))</f>
        <v>0.88520853540252209</v>
      </c>
      <c r="CA301" s="1115">
        <f>IF(ISERROR(CA71/BV71-1),"NM",(CA71/BV71-1))</f>
        <v>0.73411949685534594</v>
      </c>
      <c r="CB301" s="1115">
        <f>IF(ISERROR(CB71/BW71-1),"NM",(CB71/BW71-1))</f>
        <v>0.64999999999999991</v>
      </c>
      <c r="CC301" s="353">
        <f t="shared" si="411"/>
        <v>0.79308225301743396</v>
      </c>
      <c r="CD301" s="353">
        <f>IF(ISERROR(CD71/CC71-1),"NM",(CD71/CC71-1))</f>
        <v>0.35523656081523258</v>
      </c>
      <c r="CE301" s="353">
        <f>IF(ISERROR(CE71/CD71-1),"NM",(CE71/CD71-1))</f>
        <v>0.237243034234631</v>
      </c>
      <c r="CF301" s="353">
        <f>IF(ISERROR(CF71/CE71-1),"NM",(CF71/CE71-1))</f>
        <v>0.15130569704761099</v>
      </c>
      <c r="CG301" s="353">
        <f>IF(ISERROR(CG71/CF71-1),"NM",(CG71/CF71-1))</f>
        <v>8.2236162565294979E-2</v>
      </c>
      <c r="CH301" s="353">
        <f>IF(ISERROR(CH71/CG71-1),"NM",(CH71/CG71-1))</f>
        <v>5.0000000000000044E-2</v>
      </c>
    </row>
    <row r="302" spans="1:86">
      <c r="A302" s="9"/>
      <c r="B302" s="9"/>
      <c r="C302" s="9"/>
      <c r="D302" s="9"/>
      <c r="E302" s="9"/>
      <c r="F302" s="9"/>
      <c r="G302" s="9"/>
      <c r="H302" s="257" t="s">
        <v>1161</v>
      </c>
      <c r="I302" s="73"/>
      <c r="L302" s="66"/>
      <c r="M302" s="66"/>
      <c r="N302" s="66"/>
      <c r="O302" s="66"/>
      <c r="Q302" s="66"/>
      <c r="R302" s="66"/>
      <c r="S302" s="66"/>
      <c r="T302" s="66"/>
      <c r="V302" s="66"/>
      <c r="W302" s="66"/>
      <c r="X302" s="66"/>
      <c r="Y302" s="66"/>
      <c r="AA302" s="66"/>
      <c r="AB302" s="66"/>
      <c r="AC302" s="66"/>
      <c r="AD302" s="66"/>
      <c r="AF302" s="369"/>
      <c r="AG302" s="369"/>
      <c r="AH302" s="369"/>
      <c r="AI302" s="369"/>
      <c r="AJ302" s="344"/>
      <c r="AK302" s="369"/>
      <c r="AL302" s="369"/>
      <c r="AM302" s="369"/>
      <c r="AN302" s="369"/>
      <c r="AO302" s="344"/>
      <c r="AP302" s="369"/>
      <c r="AQ302" s="369"/>
      <c r="AR302" s="369"/>
      <c r="AS302" s="369"/>
      <c r="AT302" s="344"/>
      <c r="AU302" s="369" t="str">
        <f t="shared" si="487"/>
        <v>NM</v>
      </c>
      <c r="AV302" s="369">
        <f t="shared" si="487"/>
        <v>-1</v>
      </c>
      <c r="AW302" s="369">
        <f t="shared" si="487"/>
        <v>-1</v>
      </c>
      <c r="AX302" s="369">
        <f t="shared" si="487"/>
        <v>-1</v>
      </c>
      <c r="AY302" s="344" t="str">
        <f t="shared" si="487"/>
        <v>NM</v>
      </c>
      <c r="AZ302" s="369" t="str">
        <f t="shared" si="487"/>
        <v>NM</v>
      </c>
      <c r="BA302" s="369" t="str">
        <f t="shared" si="487"/>
        <v>NM</v>
      </c>
      <c r="BB302" s="369" t="str">
        <f t="shared" si="487"/>
        <v>NM</v>
      </c>
      <c r="BC302" s="369" t="str">
        <f t="shared" si="487"/>
        <v>NM</v>
      </c>
      <c r="BD302" s="930" t="str">
        <f t="shared" si="487"/>
        <v>NM</v>
      </c>
      <c r="BE302" s="369" t="str">
        <f t="shared" si="487"/>
        <v>NM</v>
      </c>
      <c r="BF302" s="369" t="str">
        <f t="shared" si="487"/>
        <v>NM</v>
      </c>
      <c r="BG302" s="369" t="str">
        <f t="shared" si="487"/>
        <v>NM</v>
      </c>
      <c r="BH302" s="369" t="str">
        <f t="shared" si="487"/>
        <v>NM</v>
      </c>
      <c r="BI302" s="345" t="str">
        <f t="shared" si="487"/>
        <v>NM</v>
      </c>
      <c r="BJ302" s="369" t="str">
        <f t="shared" si="487"/>
        <v>NM</v>
      </c>
      <c r="BK302" s="341" t="str">
        <f t="shared" si="484"/>
        <v>NM</v>
      </c>
      <c r="BL302" s="341">
        <f t="shared" si="485"/>
        <v>1.9545454545454541</v>
      </c>
      <c r="BM302" s="341">
        <f t="shared" si="486"/>
        <v>1.0869565217391304</v>
      </c>
      <c r="BN302" s="344">
        <f t="shared" si="422"/>
        <v>4.3000000000000007</v>
      </c>
      <c r="BO302" s="341">
        <f t="shared" si="472"/>
        <v>0.95394736842105265</v>
      </c>
      <c r="BP302" s="341">
        <f t="shared" si="473"/>
        <v>1.6262626262626263</v>
      </c>
      <c r="BQ302" s="341">
        <f t="shared" si="474"/>
        <v>1.5307692307692307</v>
      </c>
      <c r="BR302" s="341">
        <f t="shared" si="475"/>
        <v>4.8125</v>
      </c>
      <c r="BS302" s="344">
        <f t="shared" si="424"/>
        <v>2.0272536687631022</v>
      </c>
      <c r="BT302" s="341">
        <f t="shared" si="476"/>
        <v>0.60606060606060619</v>
      </c>
      <c r="BU302" s="341">
        <f t="shared" si="477"/>
        <v>1.569230769230769</v>
      </c>
      <c r="BV302" s="341">
        <f t="shared" si="478"/>
        <v>1.547112462006079</v>
      </c>
      <c r="BW302" s="341">
        <f t="shared" si="479"/>
        <v>0.65053763440860224</v>
      </c>
      <c r="BX302" s="344">
        <f t="shared" si="426"/>
        <v>1.0110803324099726</v>
      </c>
      <c r="BY302" s="341">
        <f t="shared" si="426"/>
        <v>0.99161425576519902</v>
      </c>
      <c r="BZ302" s="1116">
        <v>0.85</v>
      </c>
      <c r="CA302" s="1116">
        <v>0.7</v>
      </c>
      <c r="CB302" s="1116">
        <v>0.65</v>
      </c>
      <c r="CC302" s="344">
        <f t="shared" si="411"/>
        <v>0.76654614325068837</v>
      </c>
      <c r="CD302" s="498">
        <v>0.33</v>
      </c>
      <c r="CE302" s="498">
        <v>0.2</v>
      </c>
      <c r="CF302" s="498">
        <v>0.12</v>
      </c>
      <c r="CG302" s="498">
        <v>7.0000000000000007E-2</v>
      </c>
      <c r="CH302" s="498">
        <v>0.05</v>
      </c>
    </row>
    <row r="303" spans="1:86">
      <c r="A303" s="9"/>
      <c r="B303" s="9"/>
      <c r="C303" s="9"/>
      <c r="D303" s="9"/>
      <c r="E303" s="9"/>
      <c r="F303" s="9"/>
      <c r="G303" s="9"/>
      <c r="H303" s="257" t="s">
        <v>232</v>
      </c>
      <c r="I303" s="73"/>
      <c r="L303" s="66"/>
      <c r="M303" s="66"/>
      <c r="N303" s="66"/>
      <c r="O303" s="66"/>
      <c r="Q303" s="66"/>
      <c r="R303" s="66"/>
      <c r="S303" s="66"/>
      <c r="T303" s="66"/>
      <c r="V303" s="66"/>
      <c r="W303" s="66"/>
      <c r="X303" s="66"/>
      <c r="Y303" s="66"/>
      <c r="AA303" s="66"/>
      <c r="AB303" s="66"/>
      <c r="AC303" s="66"/>
      <c r="AD303" s="66"/>
      <c r="AF303" s="369"/>
      <c r="AG303" s="369"/>
      <c r="AH303" s="369"/>
      <c r="AI303" s="369"/>
      <c r="AJ303" s="344"/>
      <c r="AK303" s="369"/>
      <c r="AL303" s="369"/>
      <c r="AM303" s="369"/>
      <c r="AN303" s="369"/>
      <c r="AO303" s="344"/>
      <c r="AP303" s="369"/>
      <c r="AQ303" s="369"/>
      <c r="AR303" s="369"/>
      <c r="AS303" s="369"/>
      <c r="AT303" s="344"/>
      <c r="AU303" s="369" t="str">
        <f t="shared" si="487"/>
        <v>NM</v>
      </c>
      <c r="AV303" s="369" t="str">
        <f t="shared" si="487"/>
        <v>NM</v>
      </c>
      <c r="AW303" s="369">
        <f t="shared" si="487"/>
        <v>-1</v>
      </c>
      <c r="AX303" s="369">
        <f t="shared" si="487"/>
        <v>-1</v>
      </c>
      <c r="AY303" s="344" t="str">
        <f t="shared" si="487"/>
        <v>NM</v>
      </c>
      <c r="AZ303" s="369" t="str">
        <f t="shared" si="487"/>
        <v>NM</v>
      </c>
      <c r="BA303" s="369" t="str">
        <f t="shared" si="487"/>
        <v>NM</v>
      </c>
      <c r="BB303" s="369" t="str">
        <f t="shared" si="487"/>
        <v>NM</v>
      </c>
      <c r="BC303" s="369" t="str">
        <f t="shared" si="487"/>
        <v>NM</v>
      </c>
      <c r="BD303" s="930" t="str">
        <f t="shared" si="487"/>
        <v>NM</v>
      </c>
      <c r="BE303" s="369" t="str">
        <f t="shared" si="487"/>
        <v>NM</v>
      </c>
      <c r="BF303" s="369" t="str">
        <f t="shared" si="487"/>
        <v>NM</v>
      </c>
      <c r="BG303" s="369" t="str">
        <f t="shared" si="487"/>
        <v>NM</v>
      </c>
      <c r="BH303" s="369" t="str">
        <f t="shared" si="487"/>
        <v>NM</v>
      </c>
      <c r="BI303" s="345" t="str">
        <f t="shared" si="487"/>
        <v>NM</v>
      </c>
      <c r="BJ303" s="369" t="str">
        <f t="shared" si="487"/>
        <v>NM</v>
      </c>
      <c r="BK303" s="341" t="str">
        <f t="shared" si="484"/>
        <v>NM</v>
      </c>
      <c r="BL303" s="341">
        <f t="shared" si="485"/>
        <v>22.999999999999996</v>
      </c>
      <c r="BM303" s="341">
        <f t="shared" si="486"/>
        <v>4</v>
      </c>
      <c r="BN303" s="344">
        <f t="shared" si="422"/>
        <v>10.545454545454543</v>
      </c>
      <c r="BO303" s="341">
        <f t="shared" si="472"/>
        <v>1.0731707317073171</v>
      </c>
      <c r="BP303" s="341">
        <f t="shared" si="473"/>
        <v>10.75</v>
      </c>
      <c r="BQ303" s="341">
        <f t="shared" si="474"/>
        <v>5.083333333333333</v>
      </c>
      <c r="BR303" s="341">
        <f t="shared" si="475"/>
        <v>3.08</v>
      </c>
      <c r="BS303" s="344">
        <f t="shared" si="424"/>
        <v>3.5354330708661417</v>
      </c>
      <c r="BT303" s="341">
        <f t="shared" si="476"/>
        <v>2.0823529411764703</v>
      </c>
      <c r="BU303" s="341">
        <f t="shared" si="477"/>
        <v>1.5744680851063828</v>
      </c>
      <c r="BV303" s="341">
        <f t="shared" si="478"/>
        <v>1.9726027397260273</v>
      </c>
      <c r="BW303" s="341">
        <f t="shared" si="479"/>
        <v>1.5049019607843142</v>
      </c>
      <c r="BX303" s="344">
        <f t="shared" si="426"/>
        <v>1.7256944444444442</v>
      </c>
      <c r="BY303" s="341">
        <f t="shared" si="426"/>
        <v>1.1374045801526718</v>
      </c>
      <c r="BZ303" s="1116">
        <v>0.95</v>
      </c>
      <c r="CA303" s="1116">
        <v>0.8</v>
      </c>
      <c r="CB303" s="1116">
        <v>0.65</v>
      </c>
      <c r="CC303" s="344">
        <f t="shared" si="411"/>
        <v>0.8421656050955415</v>
      </c>
      <c r="CD303" s="498">
        <v>0.4</v>
      </c>
      <c r="CE303" s="498">
        <v>0.3</v>
      </c>
      <c r="CF303" s="498">
        <v>0.2</v>
      </c>
      <c r="CG303" s="498">
        <v>0.1</v>
      </c>
      <c r="CH303" s="498">
        <v>0.05</v>
      </c>
    </row>
    <row r="304" spans="1:86">
      <c r="A304" s="9"/>
      <c r="B304" s="9"/>
      <c r="C304" s="9"/>
      <c r="D304" s="9"/>
      <c r="E304" s="9"/>
      <c r="F304" s="9"/>
      <c r="G304" s="9"/>
      <c r="H304" s="270" t="s">
        <v>796</v>
      </c>
      <c r="I304" s="73"/>
      <c r="L304" s="66"/>
      <c r="M304" s="66"/>
      <c r="N304" s="66"/>
      <c r="O304" s="66"/>
      <c r="Q304" s="66"/>
      <c r="R304" s="66"/>
      <c r="S304" s="66"/>
      <c r="T304" s="66"/>
      <c r="V304" s="66"/>
      <c r="W304" s="66"/>
      <c r="X304" s="66"/>
      <c r="Y304" s="66"/>
      <c r="AA304" s="66"/>
      <c r="AB304" s="66"/>
      <c r="AC304" s="66"/>
      <c r="AD304" s="66"/>
      <c r="AF304" s="369"/>
      <c r="AG304" s="369"/>
      <c r="AH304" s="369"/>
      <c r="AI304" s="369"/>
      <c r="AJ304" s="344"/>
      <c r="AK304" s="369"/>
      <c r="AL304" s="369"/>
      <c r="AM304" s="369"/>
      <c r="AN304" s="369"/>
      <c r="AO304" s="344"/>
      <c r="AP304" s="369"/>
      <c r="AQ304" s="369"/>
      <c r="AR304" s="369"/>
      <c r="AS304" s="369"/>
      <c r="AT304" s="344"/>
      <c r="AU304" s="369"/>
      <c r="AV304" s="369"/>
      <c r="AW304" s="369"/>
      <c r="AX304" s="369"/>
      <c r="AY304" s="344"/>
      <c r="AZ304" s="369"/>
      <c r="BA304" s="369"/>
      <c r="BB304" s="369"/>
      <c r="BC304" s="369"/>
      <c r="BD304" s="930"/>
      <c r="BE304" s="369"/>
      <c r="BF304" s="369"/>
      <c r="BG304" s="369"/>
      <c r="BH304" s="369"/>
      <c r="BI304" s="345"/>
      <c r="BJ304" s="369"/>
      <c r="BK304" s="338" t="str">
        <f t="shared" si="484"/>
        <v>NM</v>
      </c>
      <c r="BL304" s="338" t="str">
        <f t="shared" si="485"/>
        <v>NM</v>
      </c>
      <c r="BM304" s="338">
        <f t="shared" si="486"/>
        <v>10.029411764705882</v>
      </c>
      <c r="BN304" s="353">
        <f t="shared" si="422"/>
        <v>23.3921568627451</v>
      </c>
      <c r="BO304" s="338">
        <f t="shared" si="472"/>
        <v>6.8469945355191246</v>
      </c>
      <c r="BP304" s="338">
        <f t="shared" si="473"/>
        <v>3.544018058690745</v>
      </c>
      <c r="BQ304" s="1115">
        <f t="shared" si="474"/>
        <v>2.3052917232021706</v>
      </c>
      <c r="BR304" s="1115">
        <f t="shared" si="475"/>
        <v>1.9964444444444447</v>
      </c>
      <c r="BS304" s="353">
        <f t="shared" si="424"/>
        <v>2.720257234726688</v>
      </c>
      <c r="BT304" s="338">
        <f t="shared" si="476"/>
        <v>1.5967966573816157</v>
      </c>
      <c r="BU304" s="338">
        <f t="shared" si="477"/>
        <v>1.3854942871336311</v>
      </c>
      <c r="BV304" s="338">
        <f t="shared" si="478"/>
        <v>1.166256157635468</v>
      </c>
      <c r="BW304" s="338">
        <f t="shared" si="479"/>
        <v>0.92524473450014821</v>
      </c>
      <c r="BX304" s="353">
        <f t="shared" si="426"/>
        <v>1.1929559204840099</v>
      </c>
      <c r="BY304" s="338">
        <f t="shared" si="426"/>
        <v>0.81898632341110256</v>
      </c>
      <c r="BZ304" s="1115">
        <f>IF(ISERROR(BZ74/BU74-1),"NM",(BZ74/BU74-1))</f>
        <v>0.54688254893794253</v>
      </c>
      <c r="CA304" s="1115">
        <f>IF(ISERROR(CA74/BV74-1),"NM",(CA74/BV74-1))</f>
        <v>0.52175478491567184</v>
      </c>
      <c r="CB304" s="1115">
        <f>IF(ISERROR(CB74/BW74-1),"NM",(CB74/BW74-1))</f>
        <v>0.36578736517719568</v>
      </c>
      <c r="CC304" s="353">
        <f t="shared" si="411"/>
        <v>0.5324362006108978</v>
      </c>
      <c r="CD304" s="353">
        <f>IF(ISERROR(CD74/CC74-1),"NM",(CD74/CC74-1))</f>
        <v>0.33794891496296975</v>
      </c>
      <c r="CE304" s="353">
        <f>IF(ISERROR(CE74/CD74-1),"NM",(CE74/CD74-1))</f>
        <v>0.18817201837880249</v>
      </c>
      <c r="CF304" s="353">
        <f>IF(ISERROR(CF74/CE74-1),"NM",(CF74/CE74-1))</f>
        <v>0.11034929536050653</v>
      </c>
      <c r="CG304" s="353">
        <f>IF(ISERROR(CG74/CF74-1),"NM",(CG74/CF74-1))</f>
        <v>6.3666553168141737E-2</v>
      </c>
      <c r="CH304" s="353">
        <f>IF(ISERROR(CH74/CG74-1),"NM",(CH74/CG74-1))</f>
        <v>3.5653353841081037E-2</v>
      </c>
    </row>
    <row r="305" spans="1:86">
      <c r="A305" s="9"/>
      <c r="B305" s="9"/>
      <c r="C305" s="9"/>
      <c r="D305" s="9"/>
      <c r="E305" s="9"/>
      <c r="F305" s="9"/>
      <c r="G305" s="9"/>
      <c r="H305" s="257" t="s">
        <v>1162</v>
      </c>
      <c r="I305" s="73"/>
      <c r="L305" s="66"/>
      <c r="M305" s="66"/>
      <c r="N305" s="66"/>
      <c r="O305" s="66"/>
      <c r="Q305" s="66"/>
      <c r="R305" s="66"/>
      <c r="S305" s="66"/>
      <c r="T305" s="66"/>
      <c r="V305" s="66"/>
      <c r="W305" s="66"/>
      <c r="X305" s="66"/>
      <c r="Y305" s="66"/>
      <c r="AA305" s="66"/>
      <c r="AB305" s="66"/>
      <c r="AC305" s="66"/>
      <c r="AD305" s="66"/>
      <c r="AF305" s="369"/>
      <c r="AG305" s="369"/>
      <c r="AH305" s="369"/>
      <c r="AI305" s="369"/>
      <c r="AJ305" s="344"/>
      <c r="AK305" s="369"/>
      <c r="AL305" s="369"/>
      <c r="AM305" s="369"/>
      <c r="AN305" s="369"/>
      <c r="AO305" s="344"/>
      <c r="AP305" s="369"/>
      <c r="AQ305" s="369"/>
      <c r="AR305" s="369"/>
      <c r="AS305" s="369"/>
      <c r="AT305" s="344"/>
      <c r="AU305" s="369"/>
      <c r="AV305" s="369"/>
      <c r="AW305" s="369"/>
      <c r="AX305" s="369"/>
      <c r="AY305" s="344"/>
      <c r="AZ305" s="369"/>
      <c r="BA305" s="369"/>
      <c r="BB305" s="369"/>
      <c r="BC305" s="369"/>
      <c r="BD305" s="930"/>
      <c r="BE305" s="369"/>
      <c r="BF305" s="369"/>
      <c r="BG305" s="369"/>
      <c r="BH305" s="369"/>
      <c r="BI305" s="345"/>
      <c r="BJ305" s="369"/>
      <c r="BK305" s="855" t="str">
        <f t="shared" si="484"/>
        <v>NM</v>
      </c>
      <c r="BL305" s="855" t="str">
        <f t="shared" si="485"/>
        <v>NM</v>
      </c>
      <c r="BM305" s="341">
        <f t="shared" si="486"/>
        <v>8.0588235294117663</v>
      </c>
      <c r="BN305" s="344">
        <f t="shared" si="422"/>
        <v>19.372549019607845</v>
      </c>
      <c r="BO305" s="341">
        <f t="shared" si="472"/>
        <v>7.0134228187919465</v>
      </c>
      <c r="BP305" s="341">
        <f t="shared" si="473"/>
        <v>3.3270777479892768</v>
      </c>
      <c r="BQ305" s="341">
        <f t="shared" si="474"/>
        <v>1.9857594936708858</v>
      </c>
      <c r="BR305" s="341">
        <f t="shared" si="475"/>
        <v>1.9015151515151514</v>
      </c>
      <c r="BS305" s="276">
        <f t="shared" si="424"/>
        <v>2.5495668912415783</v>
      </c>
      <c r="BT305" s="341">
        <f t="shared" si="476"/>
        <v>1.4815745393634843</v>
      </c>
      <c r="BU305" s="341">
        <f t="shared" si="477"/>
        <v>1.3599752168525399</v>
      </c>
      <c r="BV305" s="341">
        <f t="shared" si="478"/>
        <v>1.1881293057763647</v>
      </c>
      <c r="BW305" s="341">
        <f t="shared" si="479"/>
        <v>0.93882879522566176</v>
      </c>
      <c r="BX305" s="276">
        <f t="shared" si="426"/>
        <v>1.1826193058568326</v>
      </c>
      <c r="BY305" s="341">
        <f t="shared" si="426"/>
        <v>0.78265271684103954</v>
      </c>
      <c r="BZ305" s="1099">
        <v>0.52</v>
      </c>
      <c r="CA305" s="1099">
        <v>0.5</v>
      </c>
      <c r="CB305" s="1099">
        <v>0.32</v>
      </c>
      <c r="CC305" s="276">
        <f t="shared" si="411"/>
        <v>0.49863594012050449</v>
      </c>
      <c r="CD305" s="332">
        <v>0.32</v>
      </c>
      <c r="CE305" s="332">
        <v>0.16</v>
      </c>
      <c r="CF305" s="332">
        <v>0.08</v>
      </c>
      <c r="CG305" s="332">
        <v>0.05</v>
      </c>
      <c r="CH305" s="332">
        <v>0.03</v>
      </c>
    </row>
    <row r="306" spans="1:86">
      <c r="A306" s="9"/>
      <c r="B306" s="9"/>
      <c r="C306" s="9"/>
      <c r="D306" s="9"/>
      <c r="E306" s="9"/>
      <c r="F306" s="9"/>
      <c r="G306" s="9"/>
      <c r="H306" s="257" t="s">
        <v>232</v>
      </c>
      <c r="I306" s="73"/>
      <c r="L306" s="66"/>
      <c r="M306" s="66"/>
      <c r="N306" s="66"/>
      <c r="O306" s="66"/>
      <c r="Q306" s="66"/>
      <c r="R306" s="66"/>
      <c r="S306" s="66"/>
      <c r="T306" s="66"/>
      <c r="V306" s="66"/>
      <c r="W306" s="66"/>
      <c r="X306" s="66"/>
      <c r="Y306" s="66"/>
      <c r="AA306" s="66"/>
      <c r="AB306" s="66"/>
      <c r="AC306" s="66"/>
      <c r="AD306" s="66"/>
      <c r="AF306" s="369"/>
      <c r="AG306" s="369"/>
      <c r="AH306" s="369"/>
      <c r="AI306" s="369"/>
      <c r="AJ306" s="344"/>
      <c r="AK306" s="369"/>
      <c r="AL306" s="369"/>
      <c r="AM306" s="369"/>
      <c r="AN306" s="369"/>
      <c r="AO306" s="344"/>
      <c r="AP306" s="369"/>
      <c r="AQ306" s="369"/>
      <c r="AR306" s="369"/>
      <c r="AS306" s="369"/>
      <c r="AT306" s="344"/>
      <c r="AU306" s="369"/>
      <c r="AV306" s="369"/>
      <c r="AW306" s="369"/>
      <c r="AX306" s="369"/>
      <c r="AY306" s="344"/>
      <c r="AZ306" s="369"/>
      <c r="BA306" s="369"/>
      <c r="BB306" s="369"/>
      <c r="BC306" s="369"/>
      <c r="BD306" s="930"/>
      <c r="BE306" s="369"/>
      <c r="BF306" s="369"/>
      <c r="BG306" s="369"/>
      <c r="BH306" s="369"/>
      <c r="BI306" s="345"/>
      <c r="BJ306" s="369"/>
      <c r="BK306" s="855" t="str">
        <f t="shared" si="484"/>
        <v>NM</v>
      </c>
      <c r="BL306" s="855" t="str">
        <f t="shared" si="485"/>
        <v>NM</v>
      </c>
      <c r="BM306" s="341" t="str">
        <f t="shared" si="486"/>
        <v>NM</v>
      </c>
      <c r="BN306" s="344" t="str">
        <f t="shared" si="422"/>
        <v>NM</v>
      </c>
      <c r="BO306" s="341">
        <f t="shared" si="472"/>
        <v>6.117647058823529</v>
      </c>
      <c r="BP306" s="341">
        <f t="shared" si="473"/>
        <v>4.7</v>
      </c>
      <c r="BQ306" s="341">
        <f t="shared" si="474"/>
        <v>4.2285714285714286</v>
      </c>
      <c r="BR306" s="341">
        <f t="shared" si="475"/>
        <v>2.4328358208955221</v>
      </c>
      <c r="BS306" s="276">
        <f t="shared" si="424"/>
        <v>3.5853658536585362</v>
      </c>
      <c r="BT306" s="341">
        <f t="shared" si="476"/>
        <v>2.165289256198347</v>
      </c>
      <c r="BU306" s="341">
        <f t="shared" si="477"/>
        <v>1.488721804511278</v>
      </c>
      <c r="BV306" s="341">
        <f t="shared" si="478"/>
        <v>1.0910746812386156</v>
      </c>
      <c r="BW306" s="341">
        <f t="shared" si="479"/>
        <v>0.87246376811594195</v>
      </c>
      <c r="BX306" s="276">
        <f t="shared" si="426"/>
        <v>1.2335106382978722</v>
      </c>
      <c r="BY306" s="341">
        <f t="shared" si="426"/>
        <v>0.95953002610966065</v>
      </c>
      <c r="BZ306" s="1099">
        <v>0.65</v>
      </c>
      <c r="CA306" s="1099">
        <v>0.6</v>
      </c>
      <c r="CB306" s="1099">
        <v>0.55000000000000004</v>
      </c>
      <c r="CC306" s="276">
        <f t="shared" si="411"/>
        <v>0.66202667301738516</v>
      </c>
      <c r="CD306" s="332">
        <v>0.4</v>
      </c>
      <c r="CE306" s="332">
        <v>0.28000000000000003</v>
      </c>
      <c r="CF306" s="332">
        <v>0.2</v>
      </c>
      <c r="CG306" s="332">
        <v>0.1</v>
      </c>
      <c r="CH306" s="332">
        <v>0.05</v>
      </c>
    </row>
    <row r="307" spans="1:86">
      <c r="A307" s="9"/>
      <c r="B307" s="9"/>
      <c r="C307" s="9"/>
      <c r="D307" s="9"/>
      <c r="E307" s="9"/>
      <c r="F307" s="9"/>
      <c r="G307" s="9"/>
      <c r="H307" s="270" t="s">
        <v>1055</v>
      </c>
      <c r="I307" s="73"/>
      <c r="L307" s="66"/>
      <c r="M307" s="66"/>
      <c r="N307" s="66"/>
      <c r="O307" s="66"/>
      <c r="Q307" s="66"/>
      <c r="R307" s="66"/>
      <c r="S307" s="66"/>
      <c r="T307" s="66"/>
      <c r="V307" s="66"/>
      <c r="W307" s="66"/>
      <c r="X307" s="66"/>
      <c r="Y307" s="66"/>
      <c r="AA307" s="66"/>
      <c r="AB307" s="66"/>
      <c r="AC307" s="66"/>
      <c r="AD307" s="66"/>
      <c r="AF307" s="369"/>
      <c r="AG307" s="369"/>
      <c r="AH307" s="369"/>
      <c r="AI307" s="369"/>
      <c r="AJ307" s="344"/>
      <c r="AK307" s="369"/>
      <c r="AL307" s="369"/>
      <c r="AM307" s="369"/>
      <c r="AN307" s="369"/>
      <c r="AO307" s="344"/>
      <c r="AP307" s="369"/>
      <c r="AQ307" s="369"/>
      <c r="AR307" s="369"/>
      <c r="AS307" s="369"/>
      <c r="AT307" s="344"/>
      <c r="AU307" s="369"/>
      <c r="AV307" s="369"/>
      <c r="AW307" s="369"/>
      <c r="AX307" s="369"/>
      <c r="AY307" s="344"/>
      <c r="AZ307" s="369"/>
      <c r="BA307" s="369"/>
      <c r="BB307" s="369"/>
      <c r="BC307" s="369"/>
      <c r="BD307" s="930"/>
      <c r="BE307" s="369"/>
      <c r="BF307" s="369"/>
      <c r="BG307" s="369"/>
      <c r="BH307" s="369"/>
      <c r="BI307" s="345"/>
      <c r="BJ307" s="369"/>
      <c r="BK307" s="338"/>
      <c r="BL307" s="338"/>
      <c r="BM307" s="338"/>
      <c r="BN307" s="353"/>
      <c r="BO307" s="1115" t="str">
        <f t="shared" si="472"/>
        <v>NM</v>
      </c>
      <c r="BP307" s="1115" t="str">
        <f t="shared" si="473"/>
        <v>NM</v>
      </c>
      <c r="BQ307" s="1115">
        <f t="shared" si="474"/>
        <v>4.1052631578947363</v>
      </c>
      <c r="BR307" s="1115">
        <f t="shared" si="475"/>
        <v>4.4109589041095889</v>
      </c>
      <c r="BS307" s="353">
        <f t="shared" si="424"/>
        <v>6.7567567567567561</v>
      </c>
      <c r="BT307" s="1115">
        <f t="shared" si="476"/>
        <v>3.2201834862385317</v>
      </c>
      <c r="BU307" s="338">
        <f t="shared" si="477"/>
        <v>4.3128834355828216</v>
      </c>
      <c r="BV307" s="338">
        <f t="shared" si="478"/>
        <v>6.5103092783505154</v>
      </c>
      <c r="BW307" s="338">
        <f t="shared" si="479"/>
        <v>2.8936708860759497</v>
      </c>
      <c r="BX307" s="353">
        <f t="shared" si="426"/>
        <v>4.0185830429732876</v>
      </c>
      <c r="BY307" s="1115">
        <f t="shared" si="426"/>
        <v>2.6086956521739131</v>
      </c>
      <c r="BZ307" s="1115">
        <f>IF(ISERROR(BZ77/BU77-1),"NM",(BZ77/BU77-1))</f>
        <v>1.2183602771362589</v>
      </c>
      <c r="CA307" s="1115">
        <f>IF(ISERROR(CA77/BV77-1),"NM",(CA77/BV77-1))</f>
        <v>0.42093342484557317</v>
      </c>
      <c r="CB307" s="1115">
        <f>IF(ISERROR(CB77/BW77-1),"NM",(CB77/BW77-1))</f>
        <v>0.43719115734720404</v>
      </c>
      <c r="CC307" s="353">
        <f t="shared" si="411"/>
        <v>0.81943994445730151</v>
      </c>
      <c r="CD307" s="353">
        <f>IF(ISERROR(CD77/CC77-1),"NM",(CD77/CC77-1))</f>
        <v>-3.3007708158436788E-3</v>
      </c>
      <c r="CE307" s="353">
        <f>IF(ISERROR(CE77/CD77-1),"NM",(CE77/CD77-1))</f>
        <v>-0.13264754302341175</v>
      </c>
      <c r="CF307" s="353">
        <f>IF(ISERROR(CF77/CE77-1),"NM",(CF77/CE77-1))</f>
        <v>-6.7385770683381252E-2</v>
      </c>
      <c r="CG307" s="353">
        <f>IF(ISERROR(CG77/CF77-1),"NM",(CG77/CF77-1))</f>
        <v>-6.5029239002157291E-2</v>
      </c>
      <c r="CH307" s="353">
        <f>IF(ISERROR(CH77/CG77-1),"NM",(CH77/CG77-1))</f>
        <v>-6.2596946924286301E-2</v>
      </c>
    </row>
    <row r="308" spans="1:86">
      <c r="A308" s="9"/>
      <c r="B308" s="9"/>
      <c r="C308" s="9"/>
      <c r="D308" s="9"/>
      <c r="E308" s="9"/>
      <c r="F308" s="9"/>
      <c r="G308" s="9"/>
      <c r="H308" s="257" t="s">
        <v>231</v>
      </c>
      <c r="I308" s="73"/>
      <c r="L308" s="66"/>
      <c r="M308" s="66"/>
      <c r="N308" s="66"/>
      <c r="O308" s="66"/>
      <c r="Q308" s="66"/>
      <c r="R308" s="66"/>
      <c r="S308" s="66"/>
      <c r="T308" s="66"/>
      <c r="V308" s="66"/>
      <c r="W308" s="66"/>
      <c r="X308" s="66"/>
      <c r="Y308" s="66"/>
      <c r="AA308" s="66"/>
      <c r="AB308" s="66"/>
      <c r="AC308" s="66"/>
      <c r="AD308" s="66"/>
      <c r="AF308" s="369"/>
      <c r="AG308" s="369"/>
      <c r="AH308" s="369"/>
      <c r="AI308" s="369"/>
      <c r="AJ308" s="344"/>
      <c r="AK308" s="369"/>
      <c r="AL308" s="369"/>
      <c r="AM308" s="369"/>
      <c r="AN308" s="369"/>
      <c r="AO308" s="344"/>
      <c r="AP308" s="369"/>
      <c r="AQ308" s="369"/>
      <c r="AR308" s="369"/>
      <c r="AS308" s="369"/>
      <c r="AT308" s="344"/>
      <c r="AU308" s="369"/>
      <c r="AV308" s="369"/>
      <c r="AW308" s="369"/>
      <c r="AX308" s="369"/>
      <c r="AY308" s="344"/>
      <c r="AZ308" s="369"/>
      <c r="BA308" s="369"/>
      <c r="BB308" s="369"/>
      <c r="BC308" s="369"/>
      <c r="BD308" s="930"/>
      <c r="BE308" s="369"/>
      <c r="BF308" s="369"/>
      <c r="BG308" s="369"/>
      <c r="BH308" s="369"/>
      <c r="BI308" s="345"/>
      <c r="BJ308" s="369"/>
      <c r="BK308" s="855"/>
      <c r="BL308" s="855"/>
      <c r="BM308" s="341"/>
      <c r="BN308" s="344"/>
      <c r="BO308" s="1099"/>
      <c r="BP308" s="1099"/>
      <c r="BQ308" s="1099"/>
      <c r="BR308" s="1099"/>
      <c r="BS308" s="276"/>
      <c r="BT308" s="341" t="str">
        <f t="shared" si="476"/>
        <v>NM</v>
      </c>
      <c r="BU308" s="341" t="str">
        <f t="shared" si="477"/>
        <v>NM</v>
      </c>
      <c r="BV308" s="341" t="str">
        <f t="shared" si="478"/>
        <v>NM</v>
      </c>
      <c r="BW308" s="341">
        <f t="shared" si="479"/>
        <v>6.2405063291139244</v>
      </c>
      <c r="BX308" s="276">
        <f t="shared" si="426"/>
        <v>18.689873417721518</v>
      </c>
      <c r="BY308" s="341">
        <f t="shared" si="426"/>
        <v>4.7590909090909088</v>
      </c>
      <c r="BZ308" s="1099">
        <v>1.5</v>
      </c>
      <c r="CA308" s="1099">
        <v>0.4</v>
      </c>
      <c r="CB308" s="1099">
        <v>0.45</v>
      </c>
      <c r="CC308" s="276">
        <f t="shared" si="411"/>
        <v>0.93702989392478298</v>
      </c>
      <c r="CD308" s="332">
        <v>-0.05</v>
      </c>
      <c r="CE308" s="332">
        <v>-0.2</v>
      </c>
      <c r="CF308" s="332">
        <v>-0.1</v>
      </c>
      <c r="CG308" s="332">
        <v>-0.1</v>
      </c>
      <c r="CH308" s="332">
        <v>-0.1</v>
      </c>
    </row>
    <row r="309" spans="1:86">
      <c r="A309" s="9"/>
      <c r="B309" s="9"/>
      <c r="C309" s="9"/>
      <c r="D309" s="9"/>
      <c r="E309" s="9"/>
      <c r="F309" s="9"/>
      <c r="G309" s="9"/>
      <c r="H309" s="257" t="s">
        <v>232</v>
      </c>
      <c r="I309" s="73"/>
      <c r="L309" s="66"/>
      <c r="M309" s="66"/>
      <c r="N309" s="66"/>
      <c r="O309" s="66"/>
      <c r="Q309" s="66"/>
      <c r="R309" s="66"/>
      <c r="S309" s="66"/>
      <c r="T309" s="66"/>
      <c r="V309" s="66"/>
      <c r="W309" s="66"/>
      <c r="X309" s="66"/>
      <c r="Y309" s="66"/>
      <c r="AA309" s="66"/>
      <c r="AB309" s="66"/>
      <c r="AC309" s="66"/>
      <c r="AD309" s="66"/>
      <c r="AF309" s="369"/>
      <c r="AG309" s="369"/>
      <c r="AH309" s="369"/>
      <c r="AI309" s="369"/>
      <c r="AJ309" s="344"/>
      <c r="AK309" s="369"/>
      <c r="AL309" s="369"/>
      <c r="AM309" s="369"/>
      <c r="AN309" s="369"/>
      <c r="AO309" s="344"/>
      <c r="AP309" s="369"/>
      <c r="AQ309" s="369"/>
      <c r="AR309" s="369"/>
      <c r="AS309" s="369"/>
      <c r="AT309" s="344"/>
      <c r="AU309" s="369"/>
      <c r="AV309" s="369"/>
      <c r="AW309" s="369"/>
      <c r="AX309" s="369"/>
      <c r="AY309" s="344"/>
      <c r="AZ309" s="369"/>
      <c r="BA309" s="369"/>
      <c r="BB309" s="369"/>
      <c r="BC309" s="369"/>
      <c r="BD309" s="930"/>
      <c r="BE309" s="369"/>
      <c r="BF309" s="369"/>
      <c r="BG309" s="369"/>
      <c r="BH309" s="369"/>
      <c r="BI309" s="345"/>
      <c r="BJ309" s="369"/>
      <c r="BK309" s="855"/>
      <c r="BL309" s="855"/>
      <c r="BM309" s="855"/>
      <c r="BN309" s="344"/>
      <c r="BO309" s="1099"/>
      <c r="BP309" s="1099"/>
      <c r="BQ309" s="1099"/>
      <c r="BR309" s="341">
        <f t="shared" ref="BR309:BS312" si="488">IF(ISERROR(BR79/BM79-1),"NM",(BR79/BM79-1))</f>
        <v>2.2465753424657535</v>
      </c>
      <c r="BS309" s="276">
        <f t="shared" si="488"/>
        <v>5.333333333333333</v>
      </c>
      <c r="BT309" s="341">
        <f t="shared" si="476"/>
        <v>1.2018348623853212</v>
      </c>
      <c r="BU309" s="341">
        <f t="shared" si="477"/>
        <v>0.66257668711656437</v>
      </c>
      <c r="BV309" s="341">
        <f t="shared" si="478"/>
        <v>0.57216494845360844</v>
      </c>
      <c r="BW309" s="341">
        <f t="shared" si="479"/>
        <v>0.66244725738396615</v>
      </c>
      <c r="BX309" s="276">
        <f t="shared" si="426"/>
        <v>0.7211948790896161</v>
      </c>
      <c r="BY309" s="341">
        <f t="shared" si="426"/>
        <v>0.63749999999999996</v>
      </c>
      <c r="BZ309" s="1099">
        <v>0.6</v>
      </c>
      <c r="CA309" s="1099">
        <v>0.5</v>
      </c>
      <c r="CB309" s="1099">
        <v>0.4</v>
      </c>
      <c r="CC309" s="276">
        <f t="shared" si="411"/>
        <v>0.51710743801652881</v>
      </c>
      <c r="CD309" s="332">
        <v>0.15</v>
      </c>
      <c r="CE309" s="332">
        <v>0.05</v>
      </c>
      <c r="CF309" s="332">
        <v>0</v>
      </c>
      <c r="CG309" s="332">
        <v>0</v>
      </c>
      <c r="CH309" s="332">
        <v>0</v>
      </c>
    </row>
    <row r="310" spans="1:86">
      <c r="A310" s="9"/>
      <c r="B310" s="9"/>
      <c r="C310" s="9"/>
      <c r="D310" s="9"/>
      <c r="E310" s="9"/>
      <c r="F310" s="9"/>
      <c r="G310" s="9"/>
      <c r="H310" s="270" t="s">
        <v>298</v>
      </c>
      <c r="I310" s="270"/>
      <c r="L310" s="333">
        <v>0.16363636363636358</v>
      </c>
      <c r="M310" s="333">
        <v>2.2222222222222365E-2</v>
      </c>
      <c r="N310" s="333">
        <v>0.52941176470588225</v>
      </c>
      <c r="O310" s="333">
        <v>-6.8965517241379337E-2</v>
      </c>
      <c r="P310" s="351">
        <v>0.1471103327495622</v>
      </c>
      <c r="Q310" s="328">
        <f t="shared" ref="Q310:T312" si="489">Q80/L80-1</f>
        <v>0.21875</v>
      </c>
      <c r="R310" s="328">
        <f t="shared" si="489"/>
        <v>-9.7826086956521618E-2</v>
      </c>
      <c r="S310" s="328">
        <f t="shared" si="489"/>
        <v>9.6153846153845812E-3</v>
      </c>
      <c r="T310" s="328">
        <f t="shared" si="489"/>
        <v>2.9629629629629672E-2</v>
      </c>
      <c r="U310" s="351">
        <f t="shared" ref="U310:AZ310" si="490">IF(ISERROR(U80/P80-1),"NM",(U80/P80-1))</f>
        <v>2.4427480916030753E-2</v>
      </c>
      <c r="V310" s="328">
        <f t="shared" si="490"/>
        <v>0.12820512820512842</v>
      </c>
      <c r="W310" s="328">
        <f t="shared" si="490"/>
        <v>6.6265060240963791E-2</v>
      </c>
      <c r="X310" s="328">
        <f t="shared" si="490"/>
        <v>0.12857142857142856</v>
      </c>
      <c r="Y310" s="328">
        <f t="shared" si="490"/>
        <v>0.33812949640287782</v>
      </c>
      <c r="Z310" s="351">
        <f t="shared" si="490"/>
        <v>0.15648286140089396</v>
      </c>
      <c r="AA310" s="328">
        <f t="shared" si="490"/>
        <v>4.5454545454545192E-2</v>
      </c>
      <c r="AB310" s="328">
        <f t="shared" si="490"/>
        <v>-5.6497175141241307E-3</v>
      </c>
      <c r="AC310" s="328">
        <f t="shared" si="490"/>
        <v>-6.7510548523206704E-2</v>
      </c>
      <c r="AD310" s="328">
        <f t="shared" si="490"/>
        <v>-2.6881720430107503E-2</v>
      </c>
      <c r="AE310" s="351">
        <f t="shared" si="490"/>
        <v>-1.8041237113402109E-2</v>
      </c>
      <c r="AF310" s="328">
        <f t="shared" si="490"/>
        <v>5.4347826086956763E-2</v>
      </c>
      <c r="AG310" s="328">
        <f t="shared" si="490"/>
        <v>0.2318181818181817</v>
      </c>
      <c r="AH310" s="328">
        <f t="shared" si="490"/>
        <v>9.0497737556560987E-2</v>
      </c>
      <c r="AI310" s="328">
        <f t="shared" si="490"/>
        <v>-7.7348066298342677E-2</v>
      </c>
      <c r="AJ310" s="351">
        <f t="shared" si="490"/>
        <v>7.4540682414698356E-2</v>
      </c>
      <c r="AK310" s="328">
        <f t="shared" si="490"/>
        <v>-4.6391752577319645E-2</v>
      </c>
      <c r="AL310" s="328">
        <f t="shared" si="490"/>
        <v>-4.0590405904059046E-2</v>
      </c>
      <c r="AM310" s="328">
        <f t="shared" si="490"/>
        <v>0.36099585062240647</v>
      </c>
      <c r="AN310" s="328">
        <f t="shared" si="490"/>
        <v>0.39520958083832336</v>
      </c>
      <c r="AO310" s="370">
        <f t="shared" si="490"/>
        <v>0.16511968734733773</v>
      </c>
      <c r="AP310" s="338">
        <f t="shared" si="490"/>
        <v>0.14594594594594601</v>
      </c>
      <c r="AQ310" s="354">
        <f t="shared" si="490"/>
        <v>4.3269230769230838E-2</v>
      </c>
      <c r="AR310" s="354">
        <f t="shared" si="490"/>
        <v>-8.536585365853655E-2</v>
      </c>
      <c r="AS310" s="354">
        <f t="shared" si="490"/>
        <v>0</v>
      </c>
      <c r="AT310" s="353">
        <f t="shared" si="490"/>
        <v>8.3857442348009847E-3</v>
      </c>
      <c r="AU310" s="354">
        <f t="shared" si="490"/>
        <v>5.8207547169811304</v>
      </c>
      <c r="AV310" s="354">
        <f t="shared" si="490"/>
        <v>4.1658986175115169</v>
      </c>
      <c r="AW310" s="354">
        <f t="shared" si="490"/>
        <v>2.526666666666666</v>
      </c>
      <c r="AX310" s="354">
        <f t="shared" si="490"/>
        <v>3.0772532188841186</v>
      </c>
      <c r="AY310" s="353">
        <f t="shared" si="490"/>
        <v>3.7557172557172533</v>
      </c>
      <c r="AZ310" s="354">
        <f t="shared" si="490"/>
        <v>-0.31120331950207436</v>
      </c>
      <c r="BA310" s="354">
        <f t="shared" ref="BA310:BQ310" si="491">IF(ISERROR(BA80/AV80-1),"NM",(BA80/AV80-1))</f>
        <v>-0.46565566458519203</v>
      </c>
      <c r="BB310" s="354">
        <f t="shared" si="491"/>
        <v>-0.26370510396975499</v>
      </c>
      <c r="BC310" s="354">
        <f t="shared" si="491"/>
        <v>-0.37684210526315765</v>
      </c>
      <c r="BD310" s="353">
        <f t="shared" si="491"/>
        <v>-0.35169398907103844</v>
      </c>
      <c r="BE310" s="354">
        <f t="shared" si="491"/>
        <v>-0.54919678714859488</v>
      </c>
      <c r="BF310" s="354">
        <f t="shared" si="491"/>
        <v>-0.36060100166945186</v>
      </c>
      <c r="BG310" s="354">
        <f t="shared" si="491"/>
        <v>-0.39794608472400639</v>
      </c>
      <c r="BH310" s="354">
        <f t="shared" si="491"/>
        <v>-0.37837837837837884</v>
      </c>
      <c r="BI310" s="353">
        <f t="shared" si="491"/>
        <v>-0.43728927848954935</v>
      </c>
      <c r="BJ310" s="354">
        <f t="shared" si="491"/>
        <v>-0.18485523385300806</v>
      </c>
      <c r="BK310" s="338">
        <f t="shared" si="491"/>
        <v>-8.355091383811819E-2</v>
      </c>
      <c r="BL310" s="338">
        <f t="shared" si="491"/>
        <v>0.13859275053305331</v>
      </c>
      <c r="BM310" s="338">
        <f t="shared" si="491"/>
        <v>-0.10054347826086663</v>
      </c>
      <c r="BN310" s="353">
        <f t="shared" si="491"/>
        <v>-5.2127022168961812E-2</v>
      </c>
      <c r="BO310" s="1115">
        <f t="shared" si="491"/>
        <v>0.42896174863388725</v>
      </c>
      <c r="BP310" s="1115">
        <f t="shared" si="491"/>
        <v>8.5470085470090273E-2</v>
      </c>
      <c r="BQ310" s="1115">
        <f t="shared" si="491"/>
        <v>-1.4981273408241513E-2</v>
      </c>
      <c r="BR310" s="1115">
        <f t="shared" si="488"/>
        <v>-1.2084592145014339E-2</v>
      </c>
      <c r="BS310" s="353">
        <f t="shared" si="488"/>
        <v>0.11061946902655095</v>
      </c>
      <c r="BT310" s="1115">
        <f>IF(ISERROR(BT80/BO80-1),"NM",(BT80/BO80-1))</f>
        <v>-0.20841300191204715</v>
      </c>
      <c r="BU310" s="338">
        <f t="shared" ref="BU310:BW312" si="492">IF(ISERROR(BU80/BP80-1),"NM",(BU80/BP80-1))</f>
        <v>2.8871391076113584E-2</v>
      </c>
      <c r="BV310" s="338">
        <f t="shared" si="492"/>
        <v>1.9011406844109402E-2</v>
      </c>
      <c r="BW310" s="338">
        <f t="shared" si="492"/>
        <v>0.13455657492354733</v>
      </c>
      <c r="BX310" s="353">
        <f t="shared" si="426"/>
        <v>-2.5042686397268255E-2</v>
      </c>
      <c r="BY310" s="1115">
        <f t="shared" si="426"/>
        <v>0.59178743961352476</v>
      </c>
      <c r="BZ310" s="1115">
        <f>IF(ISERROR(BZ80/BU80-1),"NM",(BZ80/BU80-1))</f>
        <v>0.34591836734693993</v>
      </c>
      <c r="CA310" s="1115">
        <f>IF(ISERROR(CA80/BV80-1),"NM",(CA80/BV80-1))</f>
        <v>0.20951492537313232</v>
      </c>
      <c r="CB310" s="1115">
        <f>IF(ISERROR(CB80/BW80-1),"NM",(CB80/BW80-1))</f>
        <v>0.30377358490565953</v>
      </c>
      <c r="CC310" s="353">
        <f t="shared" si="411"/>
        <v>0.35353181552831203</v>
      </c>
      <c r="CD310" s="353">
        <f>IF(ISERROR(CD80/CC80-1),"NM",(CD80/CC80-1))</f>
        <v>2.6139912015871847E-2</v>
      </c>
      <c r="CE310" s="353">
        <f>IF(ISERROR(CE80/CD80-1),"NM",(CE80/CD80-1))</f>
        <v>1.9869738164969286E-2</v>
      </c>
      <c r="CF310" s="353">
        <f>IF(ISERROR(CF80/CE80-1),"NM",(CF80/CE80-1))</f>
        <v>1.3378068161751688E-2</v>
      </c>
      <c r="CG310" s="353">
        <f>IF(ISERROR(CG80/CF80-1),"NM",(CG80/CF80-1))</f>
        <v>6.7327436589088574E-3</v>
      </c>
      <c r="CH310" s="353">
        <f>IF(ISERROR(CH80/CG80-1),"NM",(CH80/CG80-1))</f>
        <v>0</v>
      </c>
    </row>
    <row r="311" spans="1:86">
      <c r="A311" s="9"/>
      <c r="B311" s="9"/>
      <c r="C311" s="9"/>
      <c r="D311" s="9"/>
      <c r="E311" s="9"/>
      <c r="F311" s="9"/>
      <c r="G311" s="9"/>
      <c r="H311" s="257" t="s">
        <v>231</v>
      </c>
      <c r="I311" s="257"/>
      <c r="L311" s="336">
        <v>0.39393939393939381</v>
      </c>
      <c r="M311" s="336">
        <v>2.7777777777777901E-2</v>
      </c>
      <c r="N311" s="336">
        <v>0.61538461538461542</v>
      </c>
      <c r="O311" s="336">
        <v>-9.9099099099099086E-2</v>
      </c>
      <c r="P311" s="280">
        <v>0.19529411764705884</v>
      </c>
      <c r="Q311" s="325">
        <f t="shared" si="489"/>
        <v>0.26086956521739135</v>
      </c>
      <c r="R311" s="325">
        <f t="shared" si="489"/>
        <v>-0.12162162162162171</v>
      </c>
      <c r="S311" s="325">
        <f t="shared" si="489"/>
        <v>-4.7619047619047672E-2</v>
      </c>
      <c r="T311" s="325">
        <f t="shared" si="489"/>
        <v>3.0000000000000027E-2</v>
      </c>
      <c r="U311" s="280">
        <f t="shared" ref="U311:AI313" si="493">IF(ISERROR(U81/P81-1),"NM",(U81/P81-1))</f>
        <v>1.9685039370080926E-3</v>
      </c>
      <c r="V311" s="325">
        <f t="shared" si="493"/>
        <v>0.17241379310344818</v>
      </c>
      <c r="W311" s="325">
        <f t="shared" si="493"/>
        <v>0</v>
      </c>
      <c r="X311" s="325">
        <f t="shared" si="493"/>
        <v>0.21249999999999991</v>
      </c>
      <c r="Y311" s="325">
        <f t="shared" si="493"/>
        <v>0.36893203883495129</v>
      </c>
      <c r="Z311" s="280">
        <f t="shared" si="493"/>
        <v>0.18074656188605087</v>
      </c>
      <c r="AA311" s="325">
        <f t="shared" si="493"/>
        <v>1.4705882352941346E-2</v>
      </c>
      <c r="AB311" s="325">
        <f t="shared" si="493"/>
        <v>0</v>
      </c>
      <c r="AC311" s="325">
        <f t="shared" si="493"/>
        <v>-9.7938144329896892E-2</v>
      </c>
      <c r="AD311" s="325">
        <f t="shared" si="493"/>
        <v>-2.1276595744680771E-2</v>
      </c>
      <c r="AE311" s="276">
        <f t="shared" si="493"/>
        <v>-3.3277870216306238E-2</v>
      </c>
      <c r="AF311" s="325">
        <f t="shared" si="493"/>
        <v>0.14492753623188404</v>
      </c>
      <c r="AG311" s="325">
        <f t="shared" si="493"/>
        <v>0.3153846153846156</v>
      </c>
      <c r="AH311" s="325">
        <f t="shared" si="493"/>
        <v>0.14857142857142858</v>
      </c>
      <c r="AI311" s="325">
        <f t="shared" si="493"/>
        <v>-7.9710144927536364E-2</v>
      </c>
      <c r="AJ311" s="276">
        <f>(AJ81/AE81)-1</f>
        <v>0.13080895008605875</v>
      </c>
      <c r="AK311" s="325">
        <f t="shared" ref="AK311:AN313" si="494">IF(ISERROR(AK81/AF81-1),"NM",(AK81/AF81-1))</f>
        <v>-2.5316455696202556E-2</v>
      </c>
      <c r="AL311" s="325">
        <f t="shared" si="494"/>
        <v>5.8479532163742132E-3</v>
      </c>
      <c r="AM311" s="325">
        <f t="shared" si="494"/>
        <v>0.40796019900497504</v>
      </c>
      <c r="AN311" s="325">
        <f t="shared" si="494"/>
        <v>0.51968503937007893</v>
      </c>
      <c r="AO311" s="345">
        <f>(AO81/AJ81)-1</f>
        <v>0.22070015220700157</v>
      </c>
      <c r="AP311" s="341">
        <f t="shared" ref="AP311:AS313" si="495">IF(ISERROR(AP81/AK81-1),"NM",(AP81/AK81-1))</f>
        <v>0.1558441558441559</v>
      </c>
      <c r="AQ311" s="341">
        <f t="shared" si="495"/>
        <v>5.232558139534893E-2</v>
      </c>
      <c r="AR311" s="341">
        <f t="shared" si="495"/>
        <v>-7.4204946996466514E-2</v>
      </c>
      <c r="AS311" s="341">
        <f t="shared" si="495"/>
        <v>-6.2176165803108807E-2</v>
      </c>
      <c r="AT311" s="345">
        <f>(AT81/AO81)-1</f>
        <v>0</v>
      </c>
      <c r="AU311" s="341">
        <f t="shared" ref="AU311:AX313" si="496">IF(ISERROR(AU81/AP81-1),"NM",(AU81/AP81-1))</f>
        <v>3.0337078651685365</v>
      </c>
      <c r="AV311" s="341">
        <f t="shared" si="496"/>
        <v>1.1767955801104941</v>
      </c>
      <c r="AW311" s="341">
        <f t="shared" si="496"/>
        <v>0.42366412213740445</v>
      </c>
      <c r="AX311" s="341">
        <f t="shared" si="496"/>
        <v>-6.0773480662984047E-2</v>
      </c>
      <c r="AY311" s="345">
        <f>(AY81/AT81)-1</f>
        <v>1.0635910224438883</v>
      </c>
      <c r="AZ311" s="341">
        <f t="shared" ref="AZ311:BI312" si="497">IF(ISERROR(AZ81/AU81-1),"NM",(AZ81/AU81-1))</f>
        <v>-0.67409470752089007</v>
      </c>
      <c r="BA311" s="341">
        <f t="shared" si="497"/>
        <v>3.807106598984733E-2</v>
      </c>
      <c r="BB311" s="341">
        <f t="shared" si="497"/>
        <v>-0.29758713136729342</v>
      </c>
      <c r="BC311" s="341">
        <f t="shared" si="497"/>
        <v>0.63529411764705435</v>
      </c>
      <c r="BD311" s="344">
        <f t="shared" si="497"/>
        <v>-0.28519637462235681</v>
      </c>
      <c r="BE311" s="341">
        <f t="shared" si="497"/>
        <v>-2.5641025641028214E-2</v>
      </c>
      <c r="BF311" s="341">
        <f t="shared" si="497"/>
        <v>-0.40097799511002641</v>
      </c>
      <c r="BG311" s="341">
        <f t="shared" si="497"/>
        <v>0.15648854961831882</v>
      </c>
      <c r="BH311" s="341">
        <f t="shared" si="497"/>
        <v>-0.15467625899280202</v>
      </c>
      <c r="BI311" s="345">
        <f t="shared" si="497"/>
        <v>-0.14539306846999211</v>
      </c>
      <c r="BJ311" s="341">
        <f t="shared" ref="BJ311:BQ312" si="498">IF(ISERROR(BJ81/BE81-1),"NM",(BJ81/BE81-1))</f>
        <v>0.12719298245613908</v>
      </c>
      <c r="BK311" s="341">
        <f t="shared" si="498"/>
        <v>1.2244897959188927E-2</v>
      </c>
      <c r="BL311" s="341">
        <f t="shared" si="498"/>
        <v>0.38283828382838636</v>
      </c>
      <c r="BM311" s="341">
        <f t="shared" si="498"/>
        <v>-1.7021276595746593E-2</v>
      </c>
      <c r="BN311" s="344">
        <f t="shared" si="498"/>
        <v>0.14243323442136635</v>
      </c>
      <c r="BO311" s="341">
        <f t="shared" si="498"/>
        <v>0.13618677042802085</v>
      </c>
      <c r="BP311" s="341">
        <f t="shared" si="498"/>
        <v>0.21370967741935321</v>
      </c>
      <c r="BQ311" s="341">
        <f t="shared" si="498"/>
        <v>5.7279236276847501E-2</v>
      </c>
      <c r="BR311" s="341">
        <f t="shared" si="488"/>
        <v>9.0909090909096824E-2</v>
      </c>
      <c r="BS311" s="345">
        <f t="shared" si="488"/>
        <v>0.11515151515151634</v>
      </c>
      <c r="BT311" s="341">
        <f>IF(ISERROR(BT81/BO81-1),"NM",(BT81/BO81-1))</f>
        <v>0.11986301369862473</v>
      </c>
      <c r="BU311" s="341">
        <f t="shared" si="492"/>
        <v>2.9900332225912818E-2</v>
      </c>
      <c r="BV311" s="341">
        <f t="shared" si="492"/>
        <v>6.7720090293523771E-3</v>
      </c>
      <c r="BW311" s="341">
        <f t="shared" si="492"/>
        <v>0.13888888888888906</v>
      </c>
      <c r="BX311" s="345">
        <f t="shared" si="426"/>
        <v>6.3664596273293128E-2</v>
      </c>
      <c r="BY311" s="341">
        <f>IF(ISERROR(BY81/BT81-1),"NM",(BY81/BT81-1))</f>
        <v>0.17431192660550554</v>
      </c>
      <c r="BZ311" s="1106">
        <v>0.12</v>
      </c>
      <c r="CA311" s="1106">
        <v>0.05</v>
      </c>
      <c r="CB311" s="1106">
        <v>0.1</v>
      </c>
      <c r="CC311" s="345">
        <f t="shared" si="411"/>
        <v>0.10598540145985424</v>
      </c>
      <c r="CD311" s="909">
        <v>0.04</v>
      </c>
      <c r="CE311" s="909">
        <v>0.03</v>
      </c>
      <c r="CF311" s="909">
        <v>0.02</v>
      </c>
      <c r="CG311" s="909">
        <v>0.01</v>
      </c>
      <c r="CH311" s="909">
        <v>0</v>
      </c>
    </row>
    <row r="312" spans="1:86">
      <c r="A312" s="9"/>
      <c r="B312" s="9"/>
      <c r="C312" s="9"/>
      <c r="D312" s="9"/>
      <c r="E312" s="9"/>
      <c r="F312" s="9"/>
      <c r="G312" s="9"/>
      <c r="H312" s="257" t="s">
        <v>232</v>
      </c>
      <c r="I312" s="257"/>
      <c r="L312" s="336">
        <v>-0.18181818181818188</v>
      </c>
      <c r="M312" s="336">
        <v>0</v>
      </c>
      <c r="N312" s="336">
        <v>0.25</v>
      </c>
      <c r="O312" s="336">
        <v>2.941176470588247E-2</v>
      </c>
      <c r="P312" s="280">
        <v>6.8493150684931781E-3</v>
      </c>
      <c r="Q312" s="325">
        <f t="shared" si="489"/>
        <v>0.11111111111111116</v>
      </c>
      <c r="R312" s="325">
        <f t="shared" si="489"/>
        <v>0</v>
      </c>
      <c r="S312" s="325">
        <f t="shared" si="489"/>
        <v>0.25</v>
      </c>
      <c r="T312" s="325">
        <f t="shared" si="489"/>
        <v>2.8571428571428692E-2</v>
      </c>
      <c r="U312" s="280">
        <f t="shared" si="493"/>
        <v>0.10204081632653073</v>
      </c>
      <c r="V312" s="325">
        <f t="shared" si="493"/>
        <v>0</v>
      </c>
      <c r="W312" s="325">
        <f t="shared" si="493"/>
        <v>0.30555555555555558</v>
      </c>
      <c r="X312" s="325">
        <f t="shared" si="493"/>
        <v>-0.14000000000000001</v>
      </c>
      <c r="Y312" s="325">
        <f t="shared" si="493"/>
        <v>0.25</v>
      </c>
      <c r="Z312" s="280">
        <f t="shared" si="493"/>
        <v>8.0246913580247048E-2</v>
      </c>
      <c r="AA312" s="325">
        <f t="shared" si="493"/>
        <v>0.14999999999999991</v>
      </c>
      <c r="AB312" s="325">
        <f t="shared" si="493"/>
        <v>-2.1276595744680993E-2</v>
      </c>
      <c r="AC312" s="325">
        <f t="shared" si="493"/>
        <v>6.9767441860465018E-2</v>
      </c>
      <c r="AD312" s="325">
        <f t="shared" si="493"/>
        <v>-4.4444444444444509E-2</v>
      </c>
      <c r="AE312" s="276">
        <f t="shared" si="493"/>
        <v>3.4285714285714253E-2</v>
      </c>
      <c r="AF312" s="325">
        <f t="shared" si="493"/>
        <v>-0.21739130434782605</v>
      </c>
      <c r="AG312" s="325">
        <f t="shared" si="493"/>
        <v>-4.3478260869563856E-3</v>
      </c>
      <c r="AH312" s="325">
        <f t="shared" si="493"/>
        <v>-0.13043478260869557</v>
      </c>
      <c r="AI312" s="325">
        <f t="shared" si="493"/>
        <v>-6.9767441860465129E-2</v>
      </c>
      <c r="AJ312" s="276">
        <f>(AJ82/AE82)-1</f>
        <v>-0.1060773480662982</v>
      </c>
      <c r="AK312" s="325">
        <f t="shared" si="494"/>
        <v>-0.13888888888888884</v>
      </c>
      <c r="AL312" s="325">
        <f t="shared" si="494"/>
        <v>-0.2139737991266375</v>
      </c>
      <c r="AM312" s="325">
        <f t="shared" si="494"/>
        <v>0.125</v>
      </c>
      <c r="AN312" s="325">
        <f t="shared" si="494"/>
        <v>0</v>
      </c>
      <c r="AO312" s="345">
        <f>(AO82/AJ82)-1</f>
        <v>-6.0568603213844274E-2</v>
      </c>
      <c r="AP312" s="341">
        <f t="shared" si="495"/>
        <v>9.6774193548387011E-2</v>
      </c>
      <c r="AQ312" s="341">
        <f t="shared" si="495"/>
        <v>0</v>
      </c>
      <c r="AR312" s="341">
        <f t="shared" si="495"/>
        <v>-0.15555555555555556</v>
      </c>
      <c r="AS312" s="341">
        <f t="shared" si="495"/>
        <v>0.30000000000000004</v>
      </c>
      <c r="AT312" s="345">
        <f>(AT82/AO82)-1</f>
        <v>5.2631578947368363E-2</v>
      </c>
      <c r="AU312" s="341">
        <f t="shared" si="496"/>
        <v>20.411764705882362</v>
      </c>
      <c r="AV312" s="341">
        <f t="shared" si="496"/>
        <v>19.194444444444439</v>
      </c>
      <c r="AW312" s="341">
        <f t="shared" si="496"/>
        <v>17.026315789473681</v>
      </c>
      <c r="AX312" s="341">
        <f t="shared" si="496"/>
        <v>13.999999999999995</v>
      </c>
      <c r="AY312" s="345">
        <f>(AY82/AT82)-1</f>
        <v>17.25</v>
      </c>
      <c r="AZ312" s="341">
        <f t="shared" si="497"/>
        <v>4.6703296703295649E-2</v>
      </c>
      <c r="BA312" s="341">
        <f t="shared" si="497"/>
        <v>-0.73865199449793661</v>
      </c>
      <c r="BB312" s="341">
        <f t="shared" si="497"/>
        <v>-0.24525547445255524</v>
      </c>
      <c r="BC312" s="341">
        <f t="shared" si="497"/>
        <v>-0.5974358974358962</v>
      </c>
      <c r="BD312" s="344">
        <f t="shared" si="497"/>
        <v>-0.3893835616438357</v>
      </c>
      <c r="BE312" s="341">
        <f t="shared" si="497"/>
        <v>-0.70997375328084034</v>
      </c>
      <c r="BF312" s="341">
        <f t="shared" si="497"/>
        <v>-0.27368421052632053</v>
      </c>
      <c r="BG312" s="341">
        <f t="shared" si="497"/>
        <v>-0.67891682785299889</v>
      </c>
      <c r="BH312" s="341">
        <f t="shared" si="497"/>
        <v>-0.57643312101911115</v>
      </c>
      <c r="BI312" s="345">
        <f t="shared" si="497"/>
        <v>-0.63095905776780836</v>
      </c>
      <c r="BJ312" s="341">
        <f t="shared" si="498"/>
        <v>-0.50678733031674472</v>
      </c>
      <c r="BK312" s="341">
        <f t="shared" si="498"/>
        <v>-0.253623188405801</v>
      </c>
      <c r="BL312" s="341">
        <f t="shared" si="498"/>
        <v>-0.30722891566264465</v>
      </c>
      <c r="BM312" s="341">
        <f t="shared" si="498"/>
        <v>-0.24812030075186953</v>
      </c>
      <c r="BN312" s="344">
        <f t="shared" si="498"/>
        <v>-0.3510638297872325</v>
      </c>
      <c r="BO312" s="341">
        <f t="shared" si="498"/>
        <v>1.1192660550458897</v>
      </c>
      <c r="BP312" s="341">
        <f t="shared" si="498"/>
        <v>-0.2233009708737701</v>
      </c>
      <c r="BQ312" s="341">
        <f t="shared" si="498"/>
        <v>-0.27826086956521645</v>
      </c>
      <c r="BR312" s="341">
        <f t="shared" si="488"/>
        <v>-0.25000000000000822</v>
      </c>
      <c r="BS312" s="345">
        <f t="shared" si="488"/>
        <v>9.8360655737709468E-2</v>
      </c>
      <c r="BT312" s="341">
        <f>IF(ISERROR(BT82/BO82-1),"NM",(BT82/BO82-1))</f>
        <v>-0.62337662337662103</v>
      </c>
      <c r="BU312" s="341">
        <f t="shared" si="492"/>
        <v>2.4999999999993472E-2</v>
      </c>
      <c r="BV312" s="341">
        <f t="shared" si="492"/>
        <v>8.4337349397571426E-2</v>
      </c>
      <c r="BW312" s="341">
        <f t="shared" si="492"/>
        <v>0.11999999999999944</v>
      </c>
      <c r="BX312" s="345">
        <f t="shared" si="426"/>
        <v>-0.26865671641791322</v>
      </c>
      <c r="BY312" s="341">
        <f>IF(ISERROR(BY82/BT82-1),"NM",(BY82/BT82-1))</f>
        <v>2.1609195402298615</v>
      </c>
      <c r="BZ312" s="1106">
        <v>1.2</v>
      </c>
      <c r="CA312" s="1106">
        <v>1</v>
      </c>
      <c r="CB312" s="1106">
        <v>1</v>
      </c>
      <c r="CC312" s="345">
        <f t="shared" si="411"/>
        <v>1.3422740524781305</v>
      </c>
      <c r="CD312" s="909">
        <v>0</v>
      </c>
      <c r="CE312" s="909">
        <v>0</v>
      </c>
      <c r="CF312" s="909">
        <v>0</v>
      </c>
      <c r="CG312" s="909">
        <v>0</v>
      </c>
      <c r="CH312" s="909">
        <v>0</v>
      </c>
    </row>
    <row r="313" spans="1:86" hidden="1">
      <c r="A313" s="9"/>
      <c r="B313" s="9"/>
      <c r="C313" s="9"/>
      <c r="D313" s="9"/>
      <c r="E313" s="9"/>
      <c r="F313" s="9"/>
      <c r="G313" s="9"/>
      <c r="H313" s="977" t="s">
        <v>302</v>
      </c>
      <c r="I313" s="978"/>
      <c r="K313" s="15"/>
      <c r="L313" s="328"/>
      <c r="M313" s="328"/>
      <c r="N313" s="328"/>
      <c r="O313" s="328"/>
      <c r="P313" s="330">
        <v>8.7244666364048928E-2</v>
      </c>
      <c r="Q313" s="328">
        <f>(Q83/L83)-1</f>
        <v>0.1203319502074689</v>
      </c>
      <c r="R313" s="328">
        <f>R83/M83-1</f>
        <v>-0.11809523809523814</v>
      </c>
      <c r="S313" s="328">
        <f>S83/N83-1</f>
        <v>0.19751166407465015</v>
      </c>
      <c r="T313" s="328">
        <f>T83/O83-1</f>
        <v>-0.42064516129032248</v>
      </c>
      <c r="U313" s="330">
        <f t="shared" si="493"/>
        <v>-9.0466531440162257E-2</v>
      </c>
      <c r="V313" s="328">
        <f t="shared" si="493"/>
        <v>-0.54391534391534391</v>
      </c>
      <c r="W313" s="328">
        <f t="shared" si="493"/>
        <v>7.5593952483801186E-3</v>
      </c>
      <c r="X313" s="328">
        <f t="shared" si="493"/>
        <v>0.27142857142857157</v>
      </c>
      <c r="Y313" s="328">
        <f t="shared" si="493"/>
        <v>3.786191536748329E-2</v>
      </c>
      <c r="Z313" s="330">
        <f t="shared" si="493"/>
        <v>-0.17350579839429092</v>
      </c>
      <c r="AA313" s="328">
        <f t="shared" si="493"/>
        <v>-0.3549883990719257</v>
      </c>
      <c r="AB313" s="328">
        <f t="shared" si="493"/>
        <v>-0.44587352625937826</v>
      </c>
      <c r="AC313" s="328">
        <f t="shared" si="493"/>
        <v>-0.4943820224719101</v>
      </c>
      <c r="AD313" s="328">
        <f t="shared" si="493"/>
        <v>-0.54828326180257503</v>
      </c>
      <c r="AE313" s="329">
        <f t="shared" si="493"/>
        <v>-0.46330275229357787</v>
      </c>
      <c r="AF313" s="328">
        <f t="shared" si="493"/>
        <v>-0.28057553956834536</v>
      </c>
      <c r="AG313" s="328">
        <f t="shared" si="493"/>
        <v>-0.16557059961315279</v>
      </c>
      <c r="AH313" s="328">
        <f t="shared" si="493"/>
        <v>-0.16161616161616166</v>
      </c>
      <c r="AI313" s="328">
        <f t="shared" si="493"/>
        <v>9.7387173396674687E-2</v>
      </c>
      <c r="AJ313" s="329">
        <f>IF(ISERROR(AJ83/AE83-1),"NM",(AJ83/AE83-1))</f>
        <v>-0.14107591754650584</v>
      </c>
      <c r="AK313" s="328">
        <f t="shared" si="494"/>
        <v>4.2499999999999982E-2</v>
      </c>
      <c r="AL313" s="328">
        <f t="shared" si="494"/>
        <v>2.4571163653222206E-2</v>
      </c>
      <c r="AM313" s="328">
        <f t="shared" si="494"/>
        <v>8.9156626506024184E-2</v>
      </c>
      <c r="AN313" s="328">
        <f t="shared" si="494"/>
        <v>0.2640692640692639</v>
      </c>
      <c r="AO313" s="736">
        <f>IF(ISERROR(AO83/AJ83-1),"NM",(AO83/AJ83-1))</f>
        <v>0.10922500585343031</v>
      </c>
      <c r="AP313" s="338">
        <f t="shared" si="495"/>
        <v>0.33812949640287759</v>
      </c>
      <c r="AQ313" s="338">
        <f t="shared" si="495"/>
        <v>3.8461538461538325E-2</v>
      </c>
      <c r="AR313" s="338">
        <f t="shared" si="495"/>
        <v>-0.11725663716814172</v>
      </c>
      <c r="AS313" s="338">
        <f t="shared" si="495"/>
        <v>-0.34246575342465757</v>
      </c>
      <c r="AT313" s="736">
        <f>IF(ISERROR(AT83/AO83-1),"NM",(AT83/AO83-1))</f>
        <v>-5.0131926121372183E-2</v>
      </c>
      <c r="AU313" s="338">
        <f t="shared" si="496"/>
        <v>-0.532258064516129</v>
      </c>
      <c r="AV313" s="338">
        <f t="shared" si="496"/>
        <v>-0.52723311546840956</v>
      </c>
      <c r="AW313" s="338">
        <f t="shared" si="496"/>
        <v>-0.50125313283208017</v>
      </c>
      <c r="AX313" s="338">
        <f t="shared" si="496"/>
        <v>-0.42708333333333326</v>
      </c>
      <c r="AY313" s="736">
        <f t="shared" ref="AY313:BD313" si="499">IF(ISERROR(AY83/AT83-1),"NM",(AY83/AT83-1))</f>
        <v>-0.50166666666666671</v>
      </c>
      <c r="AZ313" s="338">
        <f t="shared" si="499"/>
        <v>-0.44061302681992343</v>
      </c>
      <c r="BA313" s="338">
        <f t="shared" si="499"/>
        <v>-0.37327188940092171</v>
      </c>
      <c r="BB313" s="338">
        <f t="shared" si="499"/>
        <v>-0.28140703517587928</v>
      </c>
      <c r="BC313" s="338">
        <f t="shared" si="499"/>
        <v>-1</v>
      </c>
      <c r="BD313" s="736">
        <f t="shared" si="499"/>
        <v>-0.52619843924191745</v>
      </c>
      <c r="BE313" s="338"/>
      <c r="BF313" s="338"/>
      <c r="BG313" s="338"/>
      <c r="BH313" s="338"/>
      <c r="BI313" s="736">
        <f>IF(ISERROR(BI83/BD83-1),"NM",(BI83/BD83-1))</f>
        <v>-1</v>
      </c>
      <c r="BJ313" s="338"/>
      <c r="BK313" s="338"/>
      <c r="BL313" s="338"/>
      <c r="BM313" s="338"/>
      <c r="BN313" s="736" t="str">
        <f>IF(ISERROR(BN83/BI83-1),"NM",(BN83/BI83-1))</f>
        <v>NM</v>
      </c>
      <c r="BO313" s="338"/>
      <c r="BP313" s="338"/>
      <c r="BQ313" s="338"/>
      <c r="BR313" s="338"/>
      <c r="BS313" s="736" t="str">
        <f>IF(ISERROR(BS83/BN83-1),"NM",(BS83/BN83-1))</f>
        <v>NM</v>
      </c>
      <c r="BT313" s="338"/>
      <c r="BU313" s="338"/>
      <c r="BV313" s="338"/>
      <c r="BW313" s="338"/>
      <c r="BX313" s="736" t="str">
        <f t="shared" si="426"/>
        <v>NM</v>
      </c>
      <c r="BY313" s="338"/>
      <c r="BZ313" s="338"/>
      <c r="CA313" s="338"/>
      <c r="CB313" s="338"/>
      <c r="CC313" s="736" t="str">
        <f t="shared" si="411"/>
        <v>NM</v>
      </c>
      <c r="CD313" s="736" t="str">
        <f>IF(ISERROR(CD83/CC83-1),"NM",(CD83/CC83-1))</f>
        <v>NM</v>
      </c>
      <c r="CE313" s="736" t="str">
        <f>IF(ISERROR(CE83/CD83-1),"NM",(CE83/CD83-1))</f>
        <v>NM</v>
      </c>
      <c r="CF313" s="736" t="str">
        <f>IF(ISERROR(CF83/CE83-1),"NM",(CF83/CE83-1))</f>
        <v>NM</v>
      </c>
      <c r="CG313" s="736" t="str">
        <f>IF(ISERROR(CG83/CF83-1),"NM",(CG83/CF83-1))</f>
        <v>NM</v>
      </c>
      <c r="CH313" s="736" t="str">
        <f>IF(ISERROR(CH83/CG83-1),"NM",(CH83/CG83-1))</f>
        <v>NM</v>
      </c>
    </row>
    <row r="314" spans="1:86" hidden="1">
      <c r="A314" s="9"/>
      <c r="B314" s="9"/>
      <c r="C314" s="9"/>
      <c r="D314" s="9"/>
      <c r="E314" s="9"/>
      <c r="F314" s="9"/>
      <c r="G314" s="9"/>
      <c r="H314" s="939" t="s">
        <v>1163</v>
      </c>
      <c r="I314" s="971"/>
      <c r="L314" s="336"/>
      <c r="M314" s="336"/>
      <c r="N314" s="336"/>
      <c r="O314" s="336"/>
      <c r="P314" s="280"/>
      <c r="Q314" s="325"/>
      <c r="R314" s="325"/>
      <c r="S314" s="325"/>
      <c r="T314" s="325"/>
      <c r="U314" s="280"/>
      <c r="V314" s="325"/>
      <c r="W314" s="325"/>
      <c r="X314" s="325"/>
      <c r="Y314" s="325"/>
      <c r="Z314" s="280"/>
      <c r="AA314" s="325"/>
      <c r="AB314" s="325"/>
      <c r="AC314" s="325"/>
      <c r="AD314" s="325"/>
      <c r="AE314" s="280"/>
      <c r="AF314" s="325"/>
      <c r="AG314" s="325"/>
      <c r="AH314" s="325"/>
      <c r="AI314" s="325"/>
      <c r="AJ314" s="280"/>
      <c r="AK314" s="892"/>
      <c r="AL314" s="892"/>
      <c r="AM314" s="892"/>
      <c r="AN314" s="892"/>
      <c r="AO314" s="891"/>
      <c r="AP314" s="892"/>
      <c r="AQ314" s="892"/>
      <c r="AR314" s="892"/>
      <c r="AS314" s="892"/>
      <c r="AT314" s="891"/>
      <c r="AU314" s="892"/>
      <c r="AV314" s="892"/>
      <c r="AW314" s="892"/>
      <c r="AX314" s="892"/>
      <c r="AY314" s="891"/>
      <c r="AZ314" s="890"/>
      <c r="BA314" s="890"/>
      <c r="BB314" s="890"/>
      <c r="BC314" s="890"/>
      <c r="BD314" s="891"/>
      <c r="BE314" s="890"/>
      <c r="BF314" s="890"/>
      <c r="BG314" s="890"/>
      <c r="BH314" s="890"/>
      <c r="BI314" s="891"/>
      <c r="BJ314" s="919"/>
      <c r="BK314" s="919"/>
      <c r="BL314" s="919"/>
      <c r="BM314" s="919"/>
      <c r="BN314" s="891"/>
      <c r="BO314" s="890"/>
      <c r="BP314" s="890"/>
      <c r="BQ314" s="890"/>
      <c r="BR314" s="890"/>
      <c r="BS314" s="891"/>
      <c r="BT314" s="890"/>
      <c r="BU314" s="890"/>
      <c r="BV314" s="890"/>
      <c r="BW314" s="890"/>
      <c r="BX314" s="891"/>
      <c r="BY314" s="890"/>
      <c r="BZ314" s="890"/>
      <c r="CA314" s="890"/>
      <c r="CB314" s="890"/>
      <c r="CC314" s="891"/>
      <c r="CD314" s="891"/>
      <c r="CE314" s="891"/>
      <c r="CF314" s="891"/>
      <c r="CG314" s="891"/>
      <c r="CH314" s="891"/>
    </row>
    <row r="315" spans="1:86" hidden="1">
      <c r="A315" s="9"/>
      <c r="B315" s="9"/>
      <c r="C315" s="9"/>
      <c r="D315" s="9"/>
      <c r="E315" s="9"/>
      <c r="F315" s="9"/>
      <c r="G315" s="9"/>
      <c r="H315" s="939" t="s">
        <v>303</v>
      </c>
      <c r="I315" s="957"/>
      <c r="L315" s="325">
        <v>0.22673031026252977</v>
      </c>
      <c r="M315" s="325">
        <v>0.20470588235294107</v>
      </c>
      <c r="N315" s="325">
        <v>0.12851405622489964</v>
      </c>
      <c r="O315" s="325">
        <v>0.3439635535307517</v>
      </c>
      <c r="P315" s="280">
        <v>0.20761052042529382</v>
      </c>
      <c r="Q315" s="325">
        <f>U315</f>
        <v>0</v>
      </c>
      <c r="R315" s="325">
        <f>Q315</f>
        <v>0</v>
      </c>
      <c r="S315" s="325">
        <f>R315</f>
        <v>0</v>
      </c>
      <c r="T315" s="325">
        <f>S315</f>
        <v>0</v>
      </c>
      <c r="U315" s="280"/>
      <c r="V315" s="325"/>
      <c r="W315" s="325"/>
      <c r="X315" s="325"/>
      <c r="Y315" s="325"/>
      <c r="Z315" s="344"/>
      <c r="AA315" s="341" t="str">
        <f>IF(ISERROR(AA85/V85-1),"NM",(AA85/V85-1))</f>
        <v>NM</v>
      </c>
      <c r="AB315" s="341" t="str">
        <f>IF(ISERROR(AB85/W85-1),"NM",(AB85/W85-1))</f>
        <v>NM</v>
      </c>
      <c r="AC315" s="341" t="str">
        <f>IF(ISERROR(AC85/X85-1),"NM",(AC85/X85-1))</f>
        <v>NM</v>
      </c>
      <c r="AD315" s="341" t="str">
        <f>IF(ISERROR(AD85/Y85-1),"NM",(AD85/Y85-1))</f>
        <v>NM</v>
      </c>
      <c r="AE315" s="345"/>
      <c r="AF315" s="341"/>
      <c r="AG315" s="341"/>
      <c r="AH315" s="341"/>
      <c r="AI315" s="341"/>
      <c r="AJ315" s="345"/>
      <c r="AK315" s="341"/>
      <c r="AL315" s="341"/>
      <c r="AM315" s="341"/>
      <c r="AN315" s="341"/>
      <c r="AO315" s="345"/>
      <c r="AP315" s="341"/>
      <c r="AQ315" s="341"/>
      <c r="AR315" s="341"/>
      <c r="AS315" s="341"/>
      <c r="AT315" s="345"/>
      <c r="AU315" s="341"/>
      <c r="AV315" s="341"/>
      <c r="AW315" s="341"/>
      <c r="AX315" s="341"/>
      <c r="AY315" s="345"/>
      <c r="AZ315" s="341"/>
      <c r="BA315" s="341"/>
      <c r="BB315" s="341"/>
      <c r="BC315" s="341"/>
      <c r="BD315" s="345"/>
      <c r="BE315" s="341"/>
      <c r="BF315" s="341"/>
      <c r="BG315" s="341"/>
      <c r="BH315" s="341"/>
      <c r="BI315" s="345"/>
      <c r="BJ315" s="341"/>
      <c r="BK315" s="341"/>
      <c r="BL315" s="341"/>
      <c r="BM315" s="341"/>
      <c r="BN315" s="345"/>
      <c r="BO315" s="341"/>
      <c r="BP315" s="341"/>
      <c r="BQ315" s="341"/>
      <c r="BR315" s="341"/>
      <c r="BS315" s="345"/>
      <c r="BT315" s="341"/>
      <c r="BU315" s="341"/>
      <c r="BV315" s="341"/>
      <c r="BW315" s="341"/>
      <c r="BX315" s="345"/>
      <c r="BY315" s="341"/>
      <c r="BZ315" s="341"/>
      <c r="CA315" s="341"/>
      <c r="CB315" s="341"/>
      <c r="CC315" s="345"/>
      <c r="CD315" s="345"/>
      <c r="CE315" s="345"/>
      <c r="CF315" s="345"/>
      <c r="CG315" s="345"/>
      <c r="CH315" s="345"/>
    </row>
    <row r="316" spans="1:86" hidden="1">
      <c r="A316" s="9"/>
      <c r="B316" s="9"/>
      <c r="C316" s="9"/>
      <c r="D316" s="9"/>
      <c r="E316" s="9"/>
      <c r="F316" s="9"/>
      <c r="G316" s="9"/>
      <c r="H316" s="6" t="s">
        <v>1163</v>
      </c>
      <c r="I316" s="957"/>
      <c r="L316" s="325"/>
      <c r="M316" s="325"/>
      <c r="N316" s="325"/>
      <c r="O316" s="325"/>
      <c r="P316" s="280">
        <v>0.16612164813603658</v>
      </c>
      <c r="Q316" s="325"/>
      <c r="R316" s="331"/>
      <c r="S316" s="331"/>
      <c r="T316" s="331"/>
      <c r="U316" s="280"/>
      <c r="V316" s="325"/>
      <c r="W316" s="325"/>
      <c r="X316" s="325"/>
      <c r="Y316" s="325"/>
      <c r="Z316" s="280"/>
      <c r="AA316" s="346">
        <v>0.12</v>
      </c>
      <c r="AB316" s="346">
        <v>0.12</v>
      </c>
      <c r="AC316" s="346">
        <v>0.12</v>
      </c>
      <c r="AD316" s="346">
        <v>0.12</v>
      </c>
      <c r="AE316" s="280"/>
      <c r="AF316" s="325"/>
      <c r="AG316" s="325"/>
      <c r="AH316" s="325"/>
      <c r="AI316" s="325"/>
      <c r="AJ316" s="280"/>
      <c r="AK316" s="325"/>
      <c r="AL316" s="325"/>
      <c r="AM316" s="325"/>
      <c r="AN316" s="325"/>
      <c r="AO316" s="344"/>
      <c r="AP316" s="341"/>
      <c r="AQ316" s="341"/>
      <c r="AR316" s="341"/>
      <c r="AS316" s="341"/>
      <c r="AT316" s="344"/>
      <c r="AU316" s="341"/>
      <c r="AV316" s="341"/>
      <c r="AW316" s="369"/>
      <c r="AX316" s="369"/>
      <c r="AY316" s="344"/>
      <c r="AZ316" s="341"/>
      <c r="BA316" s="341"/>
      <c r="BB316" s="341"/>
      <c r="BC316" s="341"/>
      <c r="BD316" s="344"/>
      <c r="BE316" s="341"/>
      <c r="BF316" s="341"/>
      <c r="BG316" s="341"/>
      <c r="BH316" s="341"/>
      <c r="BI316" s="344"/>
      <c r="BJ316" s="341"/>
      <c r="BK316" s="341"/>
      <c r="BL316" s="341"/>
      <c r="BM316" s="341"/>
      <c r="BN316" s="344"/>
      <c r="BO316" s="341"/>
      <c r="BP316" s="341"/>
      <c r="BQ316" s="341"/>
      <c r="BR316" s="341"/>
      <c r="BS316" s="344"/>
      <c r="BT316" s="341"/>
      <c r="BU316" s="341"/>
      <c r="BV316" s="341"/>
      <c r="BW316" s="341"/>
      <c r="BX316" s="344"/>
      <c r="BY316" s="341"/>
      <c r="BZ316" s="341"/>
      <c r="CA316" s="341"/>
      <c r="CB316" s="341"/>
      <c r="CC316" s="344"/>
      <c r="CD316" s="344"/>
      <c r="CE316" s="344"/>
      <c r="CF316" s="344"/>
      <c r="CG316" s="344"/>
      <c r="CH316" s="344"/>
    </row>
    <row r="317" spans="1:86" hidden="1">
      <c r="A317" s="9"/>
      <c r="B317" s="9"/>
      <c r="C317" s="9"/>
      <c r="D317" s="9"/>
      <c r="E317" s="9"/>
      <c r="F317" s="9"/>
      <c r="G317" s="9"/>
      <c r="H317" s="961" t="s">
        <v>304</v>
      </c>
      <c r="I317" s="962"/>
      <c r="L317" s="336"/>
      <c r="M317" s="336"/>
      <c r="N317" s="336"/>
      <c r="O317" s="336"/>
      <c r="P317" s="347"/>
      <c r="Q317" s="336"/>
      <c r="R317" s="336"/>
      <c r="S317" s="336"/>
      <c r="T317" s="336"/>
      <c r="U317" s="347"/>
      <c r="V317" s="336"/>
      <c r="W317" s="336"/>
      <c r="X317" s="336"/>
      <c r="Y317" s="336"/>
      <c r="Z317" s="347"/>
      <c r="AA317" s="336"/>
      <c r="AB317" s="336"/>
      <c r="AC317" s="336"/>
      <c r="AD317" s="336"/>
      <c r="AE317" s="347"/>
      <c r="AF317" s="336"/>
      <c r="AG317" s="336"/>
      <c r="AH317" s="336"/>
      <c r="AI317" s="336"/>
      <c r="AJ317" s="347"/>
      <c r="AK317" s="336"/>
      <c r="AL317" s="336"/>
      <c r="AM317" s="336"/>
      <c r="AN317" s="336"/>
      <c r="AO317" s="856"/>
      <c r="AP317" s="369"/>
      <c r="AQ317" s="369"/>
      <c r="AR317" s="369"/>
      <c r="AS317" s="369"/>
      <c r="AT317" s="856"/>
      <c r="AU317" s="369"/>
      <c r="AV317" s="369"/>
      <c r="AW317" s="748"/>
      <c r="AX317" s="748"/>
      <c r="AY317" s="856"/>
      <c r="AZ317" s="369"/>
      <c r="BA317" s="369"/>
      <c r="BB317" s="369"/>
      <c r="BC317" s="369"/>
      <c r="BD317" s="856"/>
      <c r="BE317" s="369"/>
      <c r="BF317" s="369"/>
      <c r="BG317" s="369"/>
      <c r="BH317" s="369"/>
      <c r="BI317" s="856"/>
      <c r="BJ317" s="369"/>
      <c r="BK317" s="369"/>
      <c r="BL317" s="369"/>
      <c r="BM317" s="369"/>
      <c r="BN317" s="856"/>
      <c r="BO317" s="369"/>
      <c r="BP317" s="369"/>
      <c r="BQ317" s="369"/>
      <c r="BR317" s="369"/>
      <c r="BS317" s="856"/>
      <c r="BT317" s="369"/>
      <c r="BU317" s="369"/>
      <c r="BV317" s="369"/>
      <c r="BW317" s="369"/>
      <c r="BX317" s="856"/>
      <c r="BY317" s="369"/>
      <c r="BZ317" s="369"/>
      <c r="CA317" s="369"/>
      <c r="CB317" s="369"/>
      <c r="CC317" s="856"/>
      <c r="CD317" s="856"/>
      <c r="CE317" s="856"/>
      <c r="CF317" s="856"/>
      <c r="CG317" s="856"/>
      <c r="CH317" s="856"/>
    </row>
    <row r="318" spans="1:86" hidden="1">
      <c r="A318" s="9"/>
      <c r="B318" s="9"/>
      <c r="C318" s="9"/>
      <c r="D318" s="9"/>
      <c r="E318" s="9"/>
      <c r="F318" s="9"/>
      <c r="G318" s="9"/>
      <c r="H318" s="961" t="s">
        <v>630</v>
      </c>
      <c r="I318" s="971"/>
      <c r="L318" s="325">
        <v>6.1538461538461542E-2</v>
      </c>
      <c r="M318" s="325">
        <v>-0.14779499404052454</v>
      </c>
      <c r="N318" s="325">
        <v>-3.2467532467532423E-2</v>
      </c>
      <c r="O318" s="325">
        <v>0.2163009404388716</v>
      </c>
      <c r="P318" s="280">
        <v>4.4947121034077497E-2</v>
      </c>
      <c r="Q318" s="325">
        <f>Q88/L88-1</f>
        <v>9.710144927536235E-2</v>
      </c>
      <c r="R318" s="325">
        <f>R88/M88-1</f>
        <v>-0.28811188811188815</v>
      </c>
      <c r="S318" s="325">
        <f>S88/N88-1</f>
        <v>0.16442953020134232</v>
      </c>
      <c r="T318" s="325">
        <f>T88/O88-1</f>
        <v>-0.63831615120274909</v>
      </c>
      <c r="U318" s="280">
        <f t="shared" ref="U318:AD318" si="500">IF(ISERROR(U88/P88-1),"NM",(U88/P88-1))</f>
        <v>-0.21535001405678933</v>
      </c>
      <c r="V318" s="325">
        <f t="shared" si="500"/>
        <v>-0.73051519154557465</v>
      </c>
      <c r="W318" s="325">
        <f t="shared" si="500"/>
        <v>-0.19842829076620827</v>
      </c>
      <c r="X318" s="325">
        <f t="shared" si="500"/>
        <v>0.1757925072046107</v>
      </c>
      <c r="Y318" s="325">
        <f t="shared" si="500"/>
        <v>-0.32304038004750601</v>
      </c>
      <c r="Z318" s="280">
        <f t="shared" si="500"/>
        <v>-0.45933357219634552</v>
      </c>
      <c r="AA318" s="325">
        <f t="shared" si="500"/>
        <v>-1</v>
      </c>
      <c r="AB318" s="325">
        <f t="shared" si="500"/>
        <v>-1</v>
      </c>
      <c r="AC318" s="325">
        <f t="shared" si="500"/>
        <v>-1</v>
      </c>
      <c r="AD318" s="325">
        <f t="shared" si="500"/>
        <v>-1</v>
      </c>
      <c r="AE318" s="280"/>
      <c r="AF318" s="325"/>
      <c r="AG318" s="325"/>
      <c r="AH318" s="331"/>
      <c r="AI318" s="331"/>
      <c r="AJ318" s="280"/>
      <c r="AK318" s="331"/>
      <c r="AL318" s="331"/>
      <c r="AM318" s="331"/>
      <c r="AN318" s="331"/>
      <c r="AO318" s="344"/>
      <c r="AP318" s="342"/>
      <c r="AQ318" s="342"/>
      <c r="AR318" s="342"/>
      <c r="AS318" s="342"/>
      <c r="AT318" s="857"/>
      <c r="AU318" s="342"/>
      <c r="AV318" s="342"/>
      <c r="AW318" s="916"/>
      <c r="AX318" s="916"/>
      <c r="AY318" s="857"/>
      <c r="AZ318" s="342"/>
      <c r="BA318" s="342"/>
      <c r="BB318" s="342"/>
      <c r="BC318" s="342"/>
      <c r="BD318" s="344"/>
      <c r="BE318" s="342"/>
      <c r="BF318" s="342"/>
      <c r="BG318" s="342"/>
      <c r="BH318" s="342"/>
      <c r="BI318" s="344"/>
      <c r="BJ318" s="342"/>
      <c r="BK318" s="342"/>
      <c r="BL318" s="342"/>
      <c r="BM318" s="342"/>
      <c r="BN318" s="344"/>
      <c r="BO318" s="342"/>
      <c r="BP318" s="342"/>
      <c r="BQ318" s="342"/>
      <c r="BR318" s="342"/>
      <c r="BS318" s="344"/>
      <c r="BT318" s="342"/>
      <c r="BU318" s="342"/>
      <c r="BV318" s="342"/>
      <c r="BW318" s="342"/>
      <c r="BX318" s="344"/>
      <c r="BY318" s="342"/>
      <c r="BZ318" s="342"/>
      <c r="CA318" s="342"/>
      <c r="CB318" s="342"/>
      <c r="CC318" s="344"/>
      <c r="CD318" s="344"/>
      <c r="CE318" s="344"/>
      <c r="CF318" s="344"/>
      <c r="CG318" s="344"/>
      <c r="CH318" s="344"/>
    </row>
    <row r="319" spans="1:86" hidden="1">
      <c r="A319" s="9"/>
      <c r="B319" s="9"/>
      <c r="C319" s="9"/>
      <c r="D319" s="9"/>
      <c r="E319" s="9"/>
      <c r="F319" s="9"/>
      <c r="G319" s="9"/>
      <c r="H319" s="6" t="s">
        <v>1164</v>
      </c>
      <c r="I319" s="957"/>
      <c r="L319" s="325"/>
      <c r="M319" s="325"/>
      <c r="N319" s="325"/>
      <c r="O319" s="325"/>
      <c r="P319" s="280">
        <v>0.45348837209302317</v>
      </c>
      <c r="Q319" s="325"/>
      <c r="R319" s="331"/>
      <c r="S319" s="331"/>
      <c r="T319" s="281"/>
      <c r="U319" s="282"/>
      <c r="V319" s="325"/>
      <c r="W319" s="325"/>
      <c r="X319" s="325"/>
      <c r="Y319" s="281"/>
      <c r="Z319" s="282"/>
      <c r="AA319" s="325"/>
      <c r="AB319" s="325"/>
      <c r="AC319" s="325"/>
      <c r="AD319" s="325"/>
      <c r="AE319" s="282"/>
      <c r="AF319" s="325"/>
      <c r="AG319" s="325"/>
      <c r="AH319" s="281"/>
      <c r="AI319" s="281"/>
      <c r="AJ319" s="282"/>
      <c r="AK319" s="281"/>
      <c r="AL319" s="281"/>
      <c r="AM319" s="281"/>
      <c r="AN319" s="281"/>
      <c r="AO319" s="498"/>
      <c r="AP319" s="749"/>
      <c r="AQ319" s="749"/>
      <c r="AR319" s="749"/>
      <c r="AS319" s="749"/>
      <c r="AT319" s="344"/>
      <c r="AU319" s="749"/>
      <c r="AV319" s="749"/>
      <c r="AW319" s="749"/>
      <c r="AX319" s="749"/>
      <c r="AY319" s="344"/>
      <c r="AZ319" s="749"/>
      <c r="BA319" s="749"/>
      <c r="BB319" s="749"/>
      <c r="BC319" s="749"/>
      <c r="BD319" s="344"/>
      <c r="BE319" s="749"/>
      <c r="BF319" s="749"/>
      <c r="BG319" s="749"/>
      <c r="BH319" s="749"/>
      <c r="BI319" s="344"/>
      <c r="BJ319" s="749"/>
      <c r="BK319" s="749"/>
      <c r="BL319" s="749"/>
      <c r="BM319" s="749"/>
      <c r="BN319" s="344"/>
      <c r="BO319" s="749"/>
      <c r="BP319" s="749"/>
      <c r="BQ319" s="749"/>
      <c r="BR319" s="749"/>
      <c r="BS319" s="344"/>
      <c r="BT319" s="749"/>
      <c r="BU319" s="749"/>
      <c r="BV319" s="749"/>
      <c r="BW319" s="749"/>
      <c r="BX319" s="344"/>
      <c r="BY319" s="749"/>
      <c r="BZ319" s="749"/>
      <c r="CA319" s="749"/>
      <c r="CB319" s="749"/>
      <c r="CC319" s="344"/>
      <c r="CD319" s="344"/>
      <c r="CE319" s="344"/>
      <c r="CF319" s="344"/>
      <c r="CG319" s="344"/>
      <c r="CH319" s="344"/>
    </row>
    <row r="320" spans="1:86" hidden="1">
      <c r="A320" s="9"/>
      <c r="B320" s="9"/>
      <c r="C320" s="9"/>
      <c r="D320" s="9"/>
      <c r="E320" s="9"/>
      <c r="F320" s="9"/>
      <c r="G320" s="9"/>
      <c r="H320" s="961" t="s">
        <v>631</v>
      </c>
      <c r="I320" s="962"/>
      <c r="L320" s="336"/>
      <c r="M320" s="336"/>
      <c r="N320" s="336"/>
      <c r="O320" s="336"/>
      <c r="P320" s="347"/>
      <c r="Q320" s="336"/>
      <c r="R320" s="336"/>
      <c r="S320" s="336"/>
      <c r="T320" s="336"/>
      <c r="U320" s="347"/>
      <c r="V320" s="336"/>
      <c r="W320" s="336"/>
      <c r="X320" s="336"/>
      <c r="Y320" s="336"/>
      <c r="Z320" s="347"/>
      <c r="AA320" s="336"/>
      <c r="AB320" s="336"/>
      <c r="AC320" s="336"/>
      <c r="AD320" s="336"/>
      <c r="AE320" s="347"/>
      <c r="AF320" s="336"/>
      <c r="AG320" s="336"/>
      <c r="AH320" s="336"/>
      <c r="AI320" s="336"/>
      <c r="AJ320" s="347"/>
      <c r="AK320" s="336"/>
      <c r="AL320" s="336"/>
      <c r="AM320" s="336"/>
      <c r="AN320" s="336"/>
      <c r="AO320" s="856"/>
      <c r="AP320" s="369"/>
      <c r="AQ320" s="369"/>
      <c r="AR320" s="369"/>
      <c r="AS320" s="369"/>
      <c r="AT320" s="856"/>
      <c r="AU320" s="369"/>
      <c r="AV320" s="369"/>
      <c r="AW320" s="748"/>
      <c r="AX320" s="748"/>
      <c r="AY320" s="856"/>
      <c r="AZ320" s="369"/>
      <c r="BA320" s="369"/>
      <c r="BB320" s="369"/>
      <c r="BC320" s="369"/>
      <c r="BD320" s="856"/>
      <c r="BE320" s="369"/>
      <c r="BF320" s="369"/>
      <c r="BG320" s="369"/>
      <c r="BH320" s="369"/>
      <c r="BI320" s="856"/>
      <c r="BJ320" s="369"/>
      <c r="BK320" s="369"/>
      <c r="BL320" s="369"/>
      <c r="BM320" s="369"/>
      <c r="BN320" s="856"/>
      <c r="BO320" s="369"/>
      <c r="BP320" s="369"/>
      <c r="BQ320" s="369"/>
      <c r="BR320" s="369"/>
      <c r="BS320" s="856"/>
      <c r="BT320" s="369"/>
      <c r="BU320" s="369"/>
      <c r="BV320" s="369"/>
      <c r="BW320" s="369"/>
      <c r="BX320" s="856"/>
      <c r="BY320" s="369"/>
      <c r="BZ320" s="369"/>
      <c r="CA320" s="369"/>
      <c r="CB320" s="369"/>
      <c r="CC320" s="856"/>
      <c r="CD320" s="856"/>
      <c r="CE320" s="856"/>
      <c r="CF320" s="856"/>
      <c r="CG320" s="856"/>
      <c r="CH320" s="856"/>
    </row>
    <row r="321" spans="1:86" hidden="1">
      <c r="A321" s="9"/>
      <c r="B321" s="9"/>
      <c r="C321" s="9"/>
      <c r="D321" s="9"/>
      <c r="E321" s="9"/>
      <c r="F321" s="9"/>
      <c r="G321" s="9"/>
      <c r="H321" s="939" t="s">
        <v>1164</v>
      </c>
      <c r="I321" s="971"/>
      <c r="L321" s="325">
        <v>0.31759656652360513</v>
      </c>
      <c r="M321" s="325">
        <v>0.17543859649122817</v>
      </c>
      <c r="N321" s="325">
        <v>0.25912408759124084</v>
      </c>
      <c r="O321" s="325">
        <v>0.16616314199395776</v>
      </c>
      <c r="P321" s="280">
        <v>0.2226179875333929</v>
      </c>
      <c r="Q321" s="325">
        <f>Q91/L91-1</f>
        <v>0.224755700325733</v>
      </c>
      <c r="R321" s="325">
        <f>R91/M91-1</f>
        <v>0.24477611940298516</v>
      </c>
      <c r="S321" s="325">
        <f>S91/N91-1</f>
        <v>0.22608695652173916</v>
      </c>
      <c r="T321" s="325">
        <f>T91/O91-1</f>
        <v>0.23575129533678751</v>
      </c>
      <c r="U321" s="280">
        <f t="shared" ref="U321:BD321" si="501">IF(ISERROR(U91/P91-1),"NM",(U91/P91-1))</f>
        <v>0.23306627822286963</v>
      </c>
      <c r="V321" s="325">
        <f t="shared" si="501"/>
        <v>0.20744680851063824</v>
      </c>
      <c r="W321" s="325">
        <f t="shared" si="501"/>
        <v>0.25899280575539563</v>
      </c>
      <c r="X321" s="325">
        <f t="shared" si="501"/>
        <v>0.34988179669030739</v>
      </c>
      <c r="Y321" s="325">
        <f t="shared" si="501"/>
        <v>0.35639412997903563</v>
      </c>
      <c r="Z321" s="280">
        <f t="shared" si="501"/>
        <v>0.29769639692852912</v>
      </c>
      <c r="AA321" s="325">
        <f t="shared" si="501"/>
        <v>0.22466960352422904</v>
      </c>
      <c r="AB321" s="325">
        <f t="shared" si="501"/>
        <v>-1.5238095238095162E-2</v>
      </c>
      <c r="AC321" s="325">
        <f t="shared" si="501"/>
        <v>-0.13309982486865146</v>
      </c>
      <c r="AD321" s="325">
        <f t="shared" si="501"/>
        <v>-0.34930448222565691</v>
      </c>
      <c r="AE321" s="280">
        <f t="shared" si="501"/>
        <v>-9.467455621301768E-2</v>
      </c>
      <c r="AF321" s="325">
        <f t="shared" si="501"/>
        <v>-0.28057553956834536</v>
      </c>
      <c r="AG321" s="325">
        <f t="shared" si="501"/>
        <v>-0.16537717601547397</v>
      </c>
      <c r="AH321" s="325">
        <f t="shared" si="501"/>
        <v>-0.16161616161616166</v>
      </c>
      <c r="AI321" s="325">
        <f t="shared" si="501"/>
        <v>9.7387173396674687E-2</v>
      </c>
      <c r="AJ321" s="280">
        <f t="shared" si="501"/>
        <v>-0.14102564102564097</v>
      </c>
      <c r="AK321" s="325">
        <f t="shared" si="501"/>
        <v>4.2499999999999982E-2</v>
      </c>
      <c r="AL321" s="325">
        <f t="shared" si="501"/>
        <v>2.4333719582850577E-2</v>
      </c>
      <c r="AM321" s="325">
        <f t="shared" si="501"/>
        <v>8.9156626506024184E-2</v>
      </c>
      <c r="AN321" s="325">
        <f t="shared" si="501"/>
        <v>0.2640692640692639</v>
      </c>
      <c r="AO321" s="344">
        <f t="shared" si="501"/>
        <v>0.10916008194322502</v>
      </c>
      <c r="AP321" s="341">
        <f t="shared" si="501"/>
        <v>0.33812949640287759</v>
      </c>
      <c r="AQ321" s="341">
        <f t="shared" si="501"/>
        <v>3.8461538461538325E-2</v>
      </c>
      <c r="AR321" s="341">
        <f t="shared" si="501"/>
        <v>-0.11725663716814172</v>
      </c>
      <c r="AS321" s="341">
        <f t="shared" si="501"/>
        <v>-0.34246575342465757</v>
      </c>
      <c r="AT321" s="344">
        <f t="shared" si="501"/>
        <v>-5.0131926121372183E-2</v>
      </c>
      <c r="AU321" s="341">
        <f t="shared" si="501"/>
        <v>-0.532258064516129</v>
      </c>
      <c r="AV321" s="341">
        <f t="shared" si="501"/>
        <v>-0.52723311546840956</v>
      </c>
      <c r="AW321" s="341">
        <f t="shared" si="501"/>
        <v>-0.50125313283208017</v>
      </c>
      <c r="AX321" s="341">
        <f t="shared" si="501"/>
        <v>-0.42708333333333326</v>
      </c>
      <c r="AY321" s="344">
        <f t="shared" si="501"/>
        <v>-0.50166666666666671</v>
      </c>
      <c r="AZ321" s="341">
        <f t="shared" si="501"/>
        <v>-0.44061302681992343</v>
      </c>
      <c r="BA321" s="369">
        <f t="shared" si="501"/>
        <v>-0.37327188940092171</v>
      </c>
      <c r="BB321" s="369">
        <f t="shared" si="501"/>
        <v>-0.28140703517587928</v>
      </c>
      <c r="BC321" s="369">
        <f t="shared" si="501"/>
        <v>-1</v>
      </c>
      <c r="BD321" s="344">
        <f t="shared" si="501"/>
        <v>-0.52619843924191745</v>
      </c>
      <c r="BE321" s="342"/>
      <c r="BF321" s="342"/>
      <c r="BG321" s="342"/>
      <c r="BH321" s="342"/>
      <c r="BI321" s="344">
        <f>IF(ISERROR(BI91/BD91-1),"NM",(BI91/BD91-1))</f>
        <v>-1</v>
      </c>
      <c r="BJ321" s="342"/>
      <c r="BK321" s="342"/>
      <c r="BL321" s="342"/>
      <c r="BM321" s="342"/>
      <c r="BN321" s="344" t="str">
        <f>IF(ISERROR(BN91/BI91-1),"NM",(BN91/BI91-1))</f>
        <v>NM</v>
      </c>
      <c r="BO321" s="342"/>
      <c r="BP321" s="342"/>
      <c r="BQ321" s="342"/>
      <c r="BR321" s="342"/>
      <c r="BS321" s="344" t="str">
        <f>IF(ISERROR(BS91/BN91-1),"NM",(BS91/BN91-1))</f>
        <v>NM</v>
      </c>
      <c r="BT321" s="342"/>
      <c r="BU321" s="342"/>
      <c r="BV321" s="342"/>
      <c r="BW321" s="342"/>
      <c r="BX321" s="344" t="str">
        <f>IF(ISERROR(BX91/BS91-1),"NM",(BX91/BS91-1))</f>
        <v>NM</v>
      </c>
      <c r="BY321" s="342"/>
      <c r="BZ321" s="342"/>
      <c r="CA321" s="342"/>
      <c r="CB321" s="342"/>
      <c r="CC321" s="344" t="str">
        <f>IF(ISERROR(CC91/BX91-1),"NM",(CC91/BX91-1))</f>
        <v>NM</v>
      </c>
      <c r="CD321" s="344" t="str">
        <f t="shared" ref="CD321:CH324" si="502">IF(ISERROR(CD91/CC91-1),"NM",(CD91/CC91-1))</f>
        <v>NM</v>
      </c>
      <c r="CE321" s="344" t="str">
        <f t="shared" si="502"/>
        <v>NM</v>
      </c>
      <c r="CF321" s="344" t="str">
        <f t="shared" si="502"/>
        <v>NM</v>
      </c>
      <c r="CG321" s="344" t="str">
        <f t="shared" si="502"/>
        <v>NM</v>
      </c>
      <c r="CH321" s="344" t="str">
        <f t="shared" si="502"/>
        <v>NM</v>
      </c>
    </row>
    <row r="322" spans="1:86" hidden="1">
      <c r="A322" s="9"/>
      <c r="B322" s="9"/>
      <c r="C322" s="9"/>
      <c r="D322" s="9"/>
      <c r="E322" s="9"/>
      <c r="F322" s="9"/>
      <c r="G322" s="9"/>
      <c r="H322" s="977" t="s">
        <v>237</v>
      </c>
      <c r="I322" s="957"/>
      <c r="L322" s="325"/>
      <c r="M322" s="325"/>
      <c r="N322" s="325"/>
      <c r="O322" s="325"/>
      <c r="P322" s="48"/>
      <c r="Q322" s="325"/>
      <c r="R322" s="325"/>
      <c r="S322" s="325"/>
      <c r="T322" s="325"/>
      <c r="U322" s="48"/>
      <c r="V322" s="325"/>
      <c r="W322" s="325"/>
      <c r="X322" s="325"/>
      <c r="Y322" s="325"/>
      <c r="Z322" s="48"/>
      <c r="AA322" s="325"/>
      <c r="AB322" s="325"/>
      <c r="AC322" s="325"/>
      <c r="AD322" s="325"/>
      <c r="AE322" s="276"/>
      <c r="AF322" s="325"/>
      <c r="AG322" s="325"/>
      <c r="AH322" s="325"/>
      <c r="AI322" s="325"/>
      <c r="AJ322" s="276"/>
      <c r="AK322" s="325"/>
      <c r="AL322" s="325"/>
      <c r="AM322" s="325"/>
      <c r="AN322" s="325"/>
      <c r="AO322" s="345"/>
      <c r="AP322" s="341"/>
      <c r="AQ322" s="342"/>
      <c r="AR322" s="342"/>
      <c r="AS322" s="342"/>
      <c r="AT322" s="345"/>
      <c r="AU322" s="342"/>
      <c r="AV322" s="342"/>
      <c r="AW322" s="342"/>
      <c r="AX322" s="342"/>
      <c r="AY322" s="909"/>
      <c r="AZ322" s="354">
        <f t="shared" ref="AZ322:BD324" si="503">IF(ISERROR(AZ92/AU92-1),"NM",(AZ92/AU92-1))</f>
        <v>9.6045197740113109E-2</v>
      </c>
      <c r="BA322" s="354">
        <f t="shared" si="503"/>
        <v>0.15962441314553977</v>
      </c>
      <c r="BB322" s="354">
        <f t="shared" si="503"/>
        <v>6.6445182724250706E-3</v>
      </c>
      <c r="BC322" s="354">
        <f t="shared" si="503"/>
        <v>-1</v>
      </c>
      <c r="BD322" s="353">
        <f t="shared" si="503"/>
        <v>-6.883604505632035E-2</v>
      </c>
      <c r="BE322" s="338"/>
      <c r="BF322" s="338"/>
      <c r="BG322" s="338"/>
      <c r="BH322" s="338"/>
      <c r="BI322" s="353">
        <f>IF(ISERROR(BI92/BD92-1),"NM",(BI92/BD92-1))</f>
        <v>-1</v>
      </c>
      <c r="BJ322" s="338"/>
      <c r="BK322" s="338"/>
      <c r="BL322" s="338"/>
      <c r="BM322" s="338"/>
      <c r="BN322" s="353" t="str">
        <f>IF(ISERROR(BN92/BI92-1),"NM",(BN92/BI92-1))</f>
        <v>NM</v>
      </c>
      <c r="BO322" s="338"/>
      <c r="BP322" s="338"/>
      <c r="BQ322" s="338"/>
      <c r="BR322" s="338"/>
      <c r="BS322" s="353" t="str">
        <f>IF(ISERROR(BS92/BN92-1),"NM",(BS92/BN92-1))</f>
        <v>NM</v>
      </c>
      <c r="BT322" s="338"/>
      <c r="BU322" s="338"/>
      <c r="BV322" s="338"/>
      <c r="BW322" s="338"/>
      <c r="BX322" s="353" t="str">
        <f>IF(ISERROR(BX92/BS92-1),"NM",(BX92/BS92-1))</f>
        <v>NM</v>
      </c>
      <c r="BY322" s="338"/>
      <c r="BZ322" s="338"/>
      <c r="CA322" s="338"/>
      <c r="CB322" s="338"/>
      <c r="CC322" s="353" t="str">
        <f>IF(ISERROR(CC92/BX92-1),"NM",(CC92/BX92-1))</f>
        <v>NM</v>
      </c>
      <c r="CD322" s="353" t="str">
        <f t="shared" si="502"/>
        <v>NM</v>
      </c>
      <c r="CE322" s="353" t="str">
        <f t="shared" si="502"/>
        <v>NM</v>
      </c>
      <c r="CF322" s="353" t="str">
        <f t="shared" si="502"/>
        <v>NM</v>
      </c>
      <c r="CG322" s="353" t="str">
        <f t="shared" si="502"/>
        <v>NM</v>
      </c>
      <c r="CH322" s="353" t="str">
        <f t="shared" si="502"/>
        <v>NM</v>
      </c>
    </row>
    <row r="323" spans="1:86" hidden="1">
      <c r="A323" s="9"/>
      <c r="B323" s="9"/>
      <c r="C323" s="9"/>
      <c r="D323" s="9"/>
      <c r="E323" s="9"/>
      <c r="F323" s="9"/>
      <c r="G323" s="9"/>
      <c r="H323" s="939" t="s">
        <v>1165</v>
      </c>
      <c r="I323" s="957"/>
      <c r="L323" s="325"/>
      <c r="M323" s="325"/>
      <c r="N323" s="325"/>
      <c r="O323" s="325"/>
      <c r="P323" s="48"/>
      <c r="Q323" s="325"/>
      <c r="R323" s="325"/>
      <c r="S323" s="325"/>
      <c r="T323" s="325"/>
      <c r="U323" s="48"/>
      <c r="V323" s="325"/>
      <c r="W323" s="325"/>
      <c r="X323" s="325"/>
      <c r="Y323" s="325"/>
      <c r="Z323" s="48"/>
      <c r="AA323" s="325"/>
      <c r="AB323" s="325"/>
      <c r="AC323" s="325"/>
      <c r="AD323" s="325"/>
      <c r="AE323" s="276"/>
      <c r="AF323" s="325"/>
      <c r="AG323" s="325"/>
      <c r="AH323" s="325"/>
      <c r="AI323" s="325"/>
      <c r="AJ323" s="276"/>
      <c r="AK323" s="325"/>
      <c r="AL323" s="325"/>
      <c r="AM323" s="325"/>
      <c r="AN323" s="325"/>
      <c r="AO323" s="345"/>
      <c r="AP323" s="341"/>
      <c r="AQ323" s="342"/>
      <c r="AR323" s="342"/>
      <c r="AS323" s="342"/>
      <c r="AT323" s="345"/>
      <c r="AU323" s="342"/>
      <c r="AV323" s="342"/>
      <c r="AW323" s="342"/>
      <c r="AX323" s="342"/>
      <c r="AY323" s="909"/>
      <c r="AZ323" s="369">
        <f t="shared" si="503"/>
        <v>8.3870967741935587E-2</v>
      </c>
      <c r="BA323" s="369">
        <f t="shared" si="503"/>
        <v>0.1212121212121211</v>
      </c>
      <c r="BB323" s="369">
        <f t="shared" si="503"/>
        <v>1.0676156583629748E-2</v>
      </c>
      <c r="BC323" s="369">
        <f t="shared" si="503"/>
        <v>-1</v>
      </c>
      <c r="BD323" s="344">
        <f t="shared" si="503"/>
        <v>-6.3888888888888773E-2</v>
      </c>
      <c r="BE323" s="342"/>
      <c r="BF323" s="342"/>
      <c r="BG323" s="342"/>
      <c r="BH323" s="342"/>
      <c r="BI323" s="344">
        <f>IF(ISERROR(BI93/BD93-1),"NM",(BI93/BD93-1))</f>
        <v>-1</v>
      </c>
      <c r="BJ323" s="341"/>
      <c r="BK323" s="341"/>
      <c r="BL323" s="341"/>
      <c r="BM323" s="341"/>
      <c r="BN323" s="344" t="str">
        <f>IF(ISERROR(BN93/BI93-1),"NM",(BN93/BI93-1))</f>
        <v>NM</v>
      </c>
      <c r="BO323" s="341"/>
      <c r="BP323" s="341"/>
      <c r="BQ323" s="341"/>
      <c r="BR323" s="341"/>
      <c r="BS323" s="344" t="str">
        <f>IF(ISERROR(BS93/BN93-1),"NM",(BS93/BN93-1))</f>
        <v>NM</v>
      </c>
      <c r="BT323" s="341"/>
      <c r="BU323" s="341"/>
      <c r="BV323" s="341"/>
      <c r="BW323" s="341"/>
      <c r="BX323" s="344" t="str">
        <f>IF(ISERROR(BX93/BS93-1),"NM",(BX93/BS93-1))</f>
        <v>NM</v>
      </c>
      <c r="BY323" s="341"/>
      <c r="BZ323" s="341"/>
      <c r="CA323" s="341"/>
      <c r="CB323" s="341"/>
      <c r="CC323" s="344" t="str">
        <f>IF(ISERROR(CC93/BX93-1),"NM",(CC93/BX93-1))</f>
        <v>NM</v>
      </c>
      <c r="CD323" s="344" t="str">
        <f t="shared" si="502"/>
        <v>NM</v>
      </c>
      <c r="CE323" s="344" t="str">
        <f t="shared" si="502"/>
        <v>NM</v>
      </c>
      <c r="CF323" s="344" t="str">
        <f t="shared" si="502"/>
        <v>NM</v>
      </c>
      <c r="CG323" s="344" t="str">
        <f t="shared" si="502"/>
        <v>NM</v>
      </c>
      <c r="CH323" s="344" t="str">
        <f t="shared" si="502"/>
        <v>NM</v>
      </c>
    </row>
    <row r="324" spans="1:86" hidden="1">
      <c r="A324" s="9"/>
      <c r="B324" s="9"/>
      <c r="C324" s="9"/>
      <c r="D324" s="9"/>
      <c r="E324" s="9"/>
      <c r="F324" s="9"/>
      <c r="G324" s="9"/>
      <c r="H324" s="939" t="s">
        <v>232</v>
      </c>
      <c r="I324" s="957"/>
      <c r="L324" s="325"/>
      <c r="M324" s="325"/>
      <c r="N324" s="325"/>
      <c r="O324" s="325"/>
      <c r="P324" s="48"/>
      <c r="Q324" s="325"/>
      <c r="R324" s="325"/>
      <c r="S324" s="325"/>
      <c r="T324" s="325"/>
      <c r="U324" s="48"/>
      <c r="V324" s="325"/>
      <c r="W324" s="325"/>
      <c r="X324" s="325"/>
      <c r="Y324" s="325"/>
      <c r="Z324" s="48"/>
      <c r="AA324" s="325"/>
      <c r="AB324" s="325"/>
      <c r="AC324" s="325"/>
      <c r="AD324" s="325"/>
      <c r="AE324" s="276"/>
      <c r="AF324" s="325"/>
      <c r="AG324" s="325"/>
      <c r="AH324" s="325"/>
      <c r="AI324" s="325"/>
      <c r="AJ324" s="276"/>
      <c r="AK324" s="325"/>
      <c r="AL324" s="325"/>
      <c r="AM324" s="325"/>
      <c r="AN324" s="325"/>
      <c r="AO324" s="345"/>
      <c r="AP324" s="341"/>
      <c r="AQ324" s="342"/>
      <c r="AR324" s="342"/>
      <c r="AS324" s="342"/>
      <c r="AT324" s="345"/>
      <c r="AU324" s="342"/>
      <c r="AV324" s="342"/>
      <c r="AW324" s="342"/>
      <c r="AX324" s="342"/>
      <c r="AY324" s="909"/>
      <c r="AZ324" s="369">
        <f t="shared" si="503"/>
        <v>0.18181818181818166</v>
      </c>
      <c r="BA324" s="369">
        <f t="shared" si="503"/>
        <v>0.66666666666666674</v>
      </c>
      <c r="BB324" s="369">
        <f t="shared" si="503"/>
        <v>-5.0000000000000044E-2</v>
      </c>
      <c r="BC324" s="369">
        <f t="shared" si="503"/>
        <v>-1</v>
      </c>
      <c r="BD324" s="344">
        <f t="shared" si="503"/>
        <v>-0.11392405063291144</v>
      </c>
      <c r="BE324" s="342"/>
      <c r="BF324" s="342"/>
      <c r="BG324" s="342"/>
      <c r="BH324" s="342"/>
      <c r="BI324" s="344">
        <f>IF(ISERROR(BI94/BD94-1),"NM",(BI94/BD94-1))</f>
        <v>-1</v>
      </c>
      <c r="BJ324" s="341"/>
      <c r="BK324" s="341"/>
      <c r="BL324" s="341"/>
      <c r="BM324" s="341"/>
      <c r="BN324" s="344" t="str">
        <f>IF(ISERROR(BN94/BI94-1),"NM",(BN94/BI94-1))</f>
        <v>NM</v>
      </c>
      <c r="BO324" s="341"/>
      <c r="BP324" s="341"/>
      <c r="BQ324" s="341"/>
      <c r="BR324" s="341"/>
      <c r="BS324" s="344" t="str">
        <f>IF(ISERROR(BS94/BN94-1),"NM",(BS94/BN94-1))</f>
        <v>NM</v>
      </c>
      <c r="BT324" s="341"/>
      <c r="BU324" s="341"/>
      <c r="BV324" s="341"/>
      <c r="BW324" s="341"/>
      <c r="BX324" s="344" t="str">
        <f>IF(ISERROR(BX94/BS94-1),"NM",(BX94/BS94-1))</f>
        <v>NM</v>
      </c>
      <c r="BY324" s="341"/>
      <c r="BZ324" s="341"/>
      <c r="CA324" s="341"/>
      <c r="CB324" s="341"/>
      <c r="CC324" s="344" t="str">
        <f>IF(ISERROR(CC94/BX94-1),"NM",(CC94/BX94-1))</f>
        <v>NM</v>
      </c>
      <c r="CD324" s="344" t="str">
        <f t="shared" si="502"/>
        <v>NM</v>
      </c>
      <c r="CE324" s="344" t="str">
        <f t="shared" si="502"/>
        <v>NM</v>
      </c>
      <c r="CF324" s="344" t="str">
        <f t="shared" si="502"/>
        <v>NM</v>
      </c>
      <c r="CG324" s="344" t="str">
        <f t="shared" si="502"/>
        <v>NM</v>
      </c>
      <c r="CH324" s="344" t="str">
        <f t="shared" si="502"/>
        <v>NM</v>
      </c>
    </row>
    <row r="325" spans="1:86" hidden="1">
      <c r="A325" s="9"/>
      <c r="B325" s="9"/>
      <c r="C325" s="9"/>
      <c r="D325" s="9"/>
      <c r="E325" s="9"/>
      <c r="F325" s="9"/>
      <c r="G325" s="9"/>
      <c r="H325" s="306" t="s">
        <v>261</v>
      </c>
      <c r="I325" s="306"/>
      <c r="K325" s="15"/>
      <c r="L325" s="328"/>
      <c r="M325" s="328"/>
      <c r="N325" s="328"/>
      <c r="O325" s="328"/>
      <c r="P325" s="330"/>
      <c r="Q325" s="328"/>
      <c r="R325" s="328">
        <f t="shared" ref="R325:Z325" si="504">IF(ISERROR(R95/M95-1),"NM",(R95/M95-1))</f>
        <v>14.323529411764707</v>
      </c>
      <c r="S325" s="328">
        <f t="shared" si="504"/>
        <v>4.8037383177570101</v>
      </c>
      <c r="T325" s="328">
        <f t="shared" si="504"/>
        <v>1.6809338521400781</v>
      </c>
      <c r="U325" s="329">
        <f t="shared" si="504"/>
        <v>4.5000000000000009</v>
      </c>
      <c r="V325" s="328">
        <f t="shared" si="504"/>
        <v>0.99720670391061472</v>
      </c>
      <c r="W325" s="328">
        <f t="shared" si="504"/>
        <v>0.53550863723608444</v>
      </c>
      <c r="X325" s="328">
        <f t="shared" si="504"/>
        <v>0.40257648953301128</v>
      </c>
      <c r="Y325" s="328">
        <f t="shared" si="504"/>
        <v>0.33671988388969498</v>
      </c>
      <c r="Z325" s="353">
        <f t="shared" si="504"/>
        <v>0.51073549566011889</v>
      </c>
      <c r="AA325" s="328">
        <f t="shared" ref="AA325:AT325" si="505">AA95/V95-1</f>
        <v>-0.76923076923076916</v>
      </c>
      <c r="AB325" s="328">
        <f t="shared" si="505"/>
        <v>-0.71625000000000005</v>
      </c>
      <c r="AC325" s="328">
        <f t="shared" si="505"/>
        <v>-0.70149253731343286</v>
      </c>
      <c r="AD325" s="328">
        <f t="shared" si="505"/>
        <v>-0.65798045602605859</v>
      </c>
      <c r="AE325" s="329">
        <f t="shared" si="505"/>
        <v>-0.70758996068944668</v>
      </c>
      <c r="AF325" s="328">
        <f t="shared" si="505"/>
        <v>0.65454545454545454</v>
      </c>
      <c r="AG325" s="328">
        <f t="shared" si="505"/>
        <v>0.5299559471365638</v>
      </c>
      <c r="AH325" s="328">
        <f t="shared" si="505"/>
        <v>0.46153846153846145</v>
      </c>
      <c r="AI325" s="328">
        <f t="shared" si="505"/>
        <v>0.51111111111111107</v>
      </c>
      <c r="AJ325" s="329">
        <f t="shared" si="505"/>
        <v>0.52668045501551219</v>
      </c>
      <c r="AK325" s="328">
        <f t="shared" si="505"/>
        <v>0.58241758241758257</v>
      </c>
      <c r="AL325" s="328">
        <f t="shared" si="505"/>
        <v>0.26115750071983901</v>
      </c>
      <c r="AM325" s="328">
        <f t="shared" si="505"/>
        <v>2.8947368421052611E-2</v>
      </c>
      <c r="AN325" s="328">
        <f t="shared" si="505"/>
        <v>-0.11554621848739499</v>
      </c>
      <c r="AO325" s="736">
        <f t="shared" si="505"/>
        <v>0.13933482354534998</v>
      </c>
      <c r="AP325" s="338">
        <f t="shared" si="505"/>
        <v>-5.5555555555555691E-2</v>
      </c>
      <c r="AQ325" s="338">
        <f t="shared" si="505"/>
        <v>2.2831050228310446E-2</v>
      </c>
      <c r="AR325" s="338">
        <f t="shared" si="505"/>
        <v>0.1867007672634271</v>
      </c>
      <c r="AS325" s="338">
        <f t="shared" si="505"/>
        <v>0.1330166270783848</v>
      </c>
      <c r="AT325" s="736">
        <f t="shared" si="505"/>
        <v>6.837098692033261E-2</v>
      </c>
      <c r="AU325" s="354">
        <f>IF(ISERROR(AU95/AP95-1),"NM",(AU95/AP95-1))</f>
        <v>0.18872549019607843</v>
      </c>
      <c r="AV325" s="354">
        <f>IF(ISERROR(AV95/AQ95-1),"NM",(AV95/AQ95-1))</f>
        <v>0.18749999999999978</v>
      </c>
      <c r="AW325" s="354">
        <f>IF(ISERROR(AW95/AR95-1),"NM",(AW95/AR95-1))</f>
        <v>6.4655172413793149E-2</v>
      </c>
      <c r="AX325" s="354">
        <f>IF(ISERROR(AX95/AS95-1),"NM",(AX95/AS95-1))</f>
        <v>0.18867924528301883</v>
      </c>
      <c r="AY325" s="736">
        <f>AY95/AT95-1</f>
        <v>0.15637173066221477</v>
      </c>
      <c r="AZ325" s="912"/>
      <c r="BA325" s="912"/>
      <c r="BB325" s="912"/>
      <c r="BC325" s="912"/>
      <c r="BD325" s="773"/>
      <c r="BE325" s="912"/>
      <c r="BF325" s="912"/>
      <c r="BG325" s="912"/>
      <c r="BH325" s="912"/>
      <c r="BI325" s="773"/>
      <c r="BJ325" s="917"/>
      <c r="BK325" s="917"/>
      <c r="BL325" s="917"/>
      <c r="BM325" s="917"/>
      <c r="BN325" s="782"/>
      <c r="BO325" s="918"/>
      <c r="BP325" s="918"/>
      <c r="BQ325" s="918"/>
      <c r="BR325" s="918"/>
      <c r="BS325" s="782"/>
      <c r="BT325" s="918"/>
      <c r="BU325" s="918"/>
      <c r="BV325" s="918"/>
      <c r="BW325" s="918"/>
      <c r="BX325" s="782"/>
      <c r="BY325" s="918"/>
      <c r="BZ325" s="918"/>
      <c r="CA325" s="918"/>
      <c r="CB325" s="918"/>
      <c r="CC325" s="782"/>
      <c r="CD325" s="782"/>
      <c r="CE325" s="782"/>
      <c r="CF325" s="782"/>
      <c r="CG325" s="782"/>
      <c r="CH325" s="782"/>
    </row>
    <row r="326" spans="1:86" hidden="1">
      <c r="A326" s="9"/>
      <c r="B326" s="9"/>
      <c r="C326" s="9"/>
      <c r="D326" s="9"/>
      <c r="E326" s="9"/>
      <c r="F326" s="9"/>
      <c r="G326" s="9"/>
      <c r="H326" s="283" t="s">
        <v>1166</v>
      </c>
      <c r="I326" s="283"/>
      <c r="L326" s="325"/>
      <c r="M326" s="325"/>
      <c r="N326" s="325"/>
      <c r="O326" s="325"/>
      <c r="P326" s="48"/>
      <c r="Q326" s="325"/>
      <c r="R326" s="325"/>
      <c r="S326" s="325"/>
      <c r="T326" s="325"/>
      <c r="U326" s="276"/>
      <c r="V326" s="325"/>
      <c r="W326" s="325"/>
      <c r="X326" s="325"/>
      <c r="Y326" s="325"/>
      <c r="Z326" s="276"/>
      <c r="AA326" s="325"/>
      <c r="AB326" s="325"/>
      <c r="AC326" s="325"/>
      <c r="AD326" s="325"/>
      <c r="AE326" s="276"/>
      <c r="AF326" s="325">
        <f t="shared" ref="AF326:AO327" si="506">AF96/AA96-1</f>
        <v>-0.4</v>
      </c>
      <c r="AG326" s="325">
        <f t="shared" si="506"/>
        <v>-0.25454545454545463</v>
      </c>
      <c r="AH326" s="325">
        <f t="shared" si="506"/>
        <v>-0.27659574468085113</v>
      </c>
      <c r="AI326" s="325">
        <f t="shared" si="506"/>
        <v>1.3157894736842257E-2</v>
      </c>
      <c r="AJ326" s="276">
        <f t="shared" si="506"/>
        <v>-0.2100840336134453</v>
      </c>
      <c r="AK326" s="325">
        <f t="shared" si="506"/>
        <v>0.38888888888888884</v>
      </c>
      <c r="AL326" s="325">
        <f t="shared" si="506"/>
        <v>0.39024390243902451</v>
      </c>
      <c r="AM326" s="325">
        <f t="shared" si="506"/>
        <v>-0.20588235294117641</v>
      </c>
      <c r="AN326" s="325">
        <f t="shared" si="506"/>
        <v>-0.49350649350649356</v>
      </c>
      <c r="AO326" s="345">
        <f t="shared" si="506"/>
        <v>-7.978723404255339E-2</v>
      </c>
      <c r="AP326" s="341">
        <f t="shared" ref="AP326:AX327" si="507">AP96/AK96-1</f>
        <v>-0.32000000000000006</v>
      </c>
      <c r="AQ326" s="341">
        <f t="shared" si="507"/>
        <v>-0.54385964912280704</v>
      </c>
      <c r="AR326" s="341">
        <f t="shared" si="507"/>
        <v>0.33333333333333326</v>
      </c>
      <c r="AS326" s="341">
        <f t="shared" si="507"/>
        <v>-0.23076923076923073</v>
      </c>
      <c r="AT326" s="345">
        <f t="shared" si="507"/>
        <v>-0.2716763005780346</v>
      </c>
      <c r="AU326" s="341">
        <f t="shared" si="507"/>
        <v>0.41176470588235303</v>
      </c>
      <c r="AV326" s="341">
        <f t="shared" si="507"/>
        <v>1.2307692307692308</v>
      </c>
      <c r="AW326" s="341">
        <f t="shared" si="507"/>
        <v>0.22222222222222232</v>
      </c>
      <c r="AX326" s="341">
        <f t="shared" si="507"/>
        <v>0.56666666666666665</v>
      </c>
      <c r="AY326" s="345">
        <f>AY96/AT96-1</f>
        <v>0.56349206349206349</v>
      </c>
      <c r="AZ326" s="912"/>
      <c r="BA326" s="912"/>
      <c r="BB326" s="912"/>
      <c r="BC326" s="912"/>
      <c r="BD326" s="773"/>
      <c r="BE326" s="912"/>
      <c r="BF326" s="912"/>
      <c r="BG326" s="912"/>
      <c r="BH326" s="912"/>
      <c r="BI326" s="773"/>
      <c r="BJ326" s="342"/>
      <c r="BK326" s="342"/>
      <c r="BL326" s="342"/>
      <c r="BM326" s="342"/>
      <c r="BN326" s="773"/>
      <c r="BO326" s="912"/>
      <c r="BP326" s="912"/>
      <c r="BQ326" s="912"/>
      <c r="BR326" s="912"/>
      <c r="BS326" s="773"/>
      <c r="BT326" s="912"/>
      <c r="BU326" s="912"/>
      <c r="BV326" s="912"/>
      <c r="BW326" s="912"/>
      <c r="BX326" s="773"/>
      <c r="BY326" s="912"/>
      <c r="BZ326" s="912"/>
      <c r="CA326" s="912"/>
      <c r="CB326" s="912"/>
      <c r="CC326" s="773"/>
      <c r="CD326" s="773"/>
      <c r="CE326" s="773"/>
      <c r="CF326" s="773"/>
      <c r="CG326" s="773"/>
      <c r="CH326" s="773"/>
    </row>
    <row r="327" spans="1:86" s="292" customFormat="1" hidden="1">
      <c r="A327" s="285"/>
      <c r="B327" s="285"/>
      <c r="C327" s="285"/>
      <c r="D327" s="285"/>
      <c r="E327" s="285"/>
      <c r="F327" s="285"/>
      <c r="G327" s="285"/>
      <c r="H327" s="939" t="s">
        <v>424</v>
      </c>
      <c r="I327" s="939"/>
      <c r="L327" s="297"/>
      <c r="M327" s="297"/>
      <c r="N327" s="297"/>
      <c r="O327" s="297"/>
      <c r="P327" s="348"/>
      <c r="Q327" s="297"/>
      <c r="R327" s="297">
        <f t="shared" ref="R327:AE328" si="508">R97/M97-1</f>
        <v>12.253012048192771</v>
      </c>
      <c r="S327" s="297">
        <f t="shared" si="508"/>
        <v>5.9834254143646408</v>
      </c>
      <c r="T327" s="297">
        <f t="shared" si="508"/>
        <v>1.7565392354124745</v>
      </c>
      <c r="U327" s="296">
        <f t="shared" si="508"/>
        <v>4.718081573003853</v>
      </c>
      <c r="V327" s="297">
        <f t="shared" si="508"/>
        <v>1.1544117647058822</v>
      </c>
      <c r="W327" s="297">
        <f t="shared" si="508"/>
        <v>0.56767676767676756</v>
      </c>
      <c r="X327" s="297">
        <f t="shared" si="508"/>
        <v>0.30379746835443044</v>
      </c>
      <c r="Y327" s="297">
        <f t="shared" si="508"/>
        <v>0.3401459854014599</v>
      </c>
      <c r="Z327" s="296">
        <f t="shared" si="508"/>
        <v>0.51045539033457255</v>
      </c>
      <c r="AA327" s="297">
        <f t="shared" si="508"/>
        <v>0.15358361774744034</v>
      </c>
      <c r="AB327" s="297">
        <f t="shared" si="508"/>
        <v>0.2545103092783505</v>
      </c>
      <c r="AC327" s="297">
        <f t="shared" si="508"/>
        <v>0.22087378640776678</v>
      </c>
      <c r="AD327" s="297">
        <f t="shared" si="508"/>
        <v>1.6339869281045694E-2</v>
      </c>
      <c r="AE327" s="296">
        <f t="shared" si="508"/>
        <v>0.15597600369173947</v>
      </c>
      <c r="AF327" s="297">
        <f t="shared" si="506"/>
        <v>7.3372781065088821E-2</v>
      </c>
      <c r="AG327" s="297">
        <f t="shared" si="506"/>
        <v>5.6497175141242861E-2</v>
      </c>
      <c r="AH327" s="297">
        <f t="shared" si="506"/>
        <v>2.2365805168986119E-2</v>
      </c>
      <c r="AI327" s="297">
        <f t="shared" si="506"/>
        <v>9.1103965702036493E-2</v>
      </c>
      <c r="AJ327" s="296">
        <f t="shared" si="506"/>
        <v>5.9787092481703441E-2</v>
      </c>
      <c r="AK327" s="297">
        <f t="shared" si="506"/>
        <v>3.6383682469680156E-2</v>
      </c>
      <c r="AL327" s="297">
        <f t="shared" si="506"/>
        <v>-0.13077297034516278</v>
      </c>
      <c r="AM327" s="297">
        <f t="shared" si="506"/>
        <v>-0.17938745746232365</v>
      </c>
      <c r="AN327" s="297">
        <f t="shared" si="506"/>
        <v>-0.14243614931237725</v>
      </c>
      <c r="AO327" s="848">
        <f t="shared" si="506"/>
        <v>-0.10827065781047918</v>
      </c>
      <c r="AP327" s="847">
        <f t="shared" si="507"/>
        <v>-0.12021276595744679</v>
      </c>
      <c r="AQ327" s="847">
        <f t="shared" si="507"/>
        <v>-4.2505592841163398E-2</v>
      </c>
      <c r="AR327" s="847">
        <f t="shared" si="507"/>
        <v>1.3033175355450233E-2</v>
      </c>
      <c r="AS327" s="847">
        <f t="shared" si="507"/>
        <v>1.5463917525773363E-2</v>
      </c>
      <c r="AT327" s="848">
        <f t="shared" si="507"/>
        <v>-3.5623767952689289E-2</v>
      </c>
      <c r="AU327" s="847">
        <f t="shared" si="507"/>
        <v>-0.73579201934703753</v>
      </c>
      <c r="AV327" s="847">
        <f t="shared" si="507"/>
        <v>-0.72313084112149539</v>
      </c>
      <c r="AW327" s="847">
        <f t="shared" si="507"/>
        <v>-0.73684210526315796</v>
      </c>
      <c r="AX327" s="847">
        <f t="shared" si="507"/>
        <v>-0.70671178793006206</v>
      </c>
      <c r="AY327" s="848">
        <f>AY97/AT97-1</f>
        <v>-0.72536136662286466</v>
      </c>
      <c r="AZ327" s="912"/>
      <c r="BA327" s="912"/>
      <c r="BB327" s="912"/>
      <c r="BC327" s="912"/>
      <c r="BD327" s="773"/>
      <c r="BE327" s="912"/>
      <c r="BF327" s="912"/>
      <c r="BG327" s="912"/>
      <c r="BH327" s="912"/>
      <c r="BI327" s="773"/>
      <c r="BJ327" s="342"/>
      <c r="BK327" s="342"/>
      <c r="BL327" s="342"/>
      <c r="BM327" s="342"/>
      <c r="BN327" s="773"/>
      <c r="BO327" s="890"/>
      <c r="BP327" s="890"/>
      <c r="BQ327" s="890"/>
      <c r="BR327" s="890"/>
      <c r="BS327" s="891"/>
      <c r="BT327" s="890"/>
      <c r="BU327" s="890"/>
      <c r="BV327" s="890"/>
      <c r="BW327" s="890"/>
      <c r="BX327" s="891"/>
      <c r="BY327" s="890"/>
      <c r="BZ327" s="890"/>
      <c r="CA327" s="890"/>
      <c r="CB327" s="890"/>
      <c r="CC327" s="891"/>
      <c r="CD327" s="891"/>
      <c r="CE327" s="891"/>
      <c r="CF327" s="891"/>
      <c r="CG327" s="891"/>
      <c r="CH327" s="891"/>
    </row>
    <row r="328" spans="1:86" s="292" customFormat="1" hidden="1">
      <c r="A328" s="285"/>
      <c r="B328" s="285"/>
      <c r="C328" s="285"/>
      <c r="D328" s="285"/>
      <c r="E328" s="285"/>
      <c r="F328" s="285"/>
      <c r="G328" s="285"/>
      <c r="H328" s="6" t="s">
        <v>1167</v>
      </c>
      <c r="I328" s="939"/>
      <c r="L328" s="297"/>
      <c r="M328" s="297"/>
      <c r="N328" s="297"/>
      <c r="O328" s="297"/>
      <c r="P328" s="348"/>
      <c r="Q328" s="297"/>
      <c r="R328" s="297">
        <f t="shared" si="508"/>
        <v>12.253012048192771</v>
      </c>
      <c r="S328" s="297">
        <f t="shared" si="508"/>
        <v>5.9834254143646408</v>
      </c>
      <c r="T328" s="297">
        <f t="shared" si="508"/>
        <v>1.7565392354124745</v>
      </c>
      <c r="U328" s="296">
        <f t="shared" si="508"/>
        <v>4.718081573003853</v>
      </c>
      <c r="V328" s="297">
        <f t="shared" si="508"/>
        <v>1.1544117647058822</v>
      </c>
      <c r="W328" s="297">
        <f t="shared" si="508"/>
        <v>0.53636363636363638</v>
      </c>
      <c r="X328" s="297">
        <f t="shared" si="508"/>
        <v>0.274525316455696</v>
      </c>
      <c r="Y328" s="297">
        <f t="shared" si="508"/>
        <v>0.28686131386861313</v>
      </c>
      <c r="Z328" s="296">
        <f t="shared" si="508"/>
        <v>0.4776951672862455</v>
      </c>
      <c r="AA328" s="297">
        <f t="shared" si="508"/>
        <v>8.1911262798634921E-2</v>
      </c>
      <c r="AB328" s="297">
        <f t="shared" si="508"/>
        <v>0.16699539776462857</v>
      </c>
      <c r="AC328" s="297">
        <f t="shared" si="508"/>
        <v>0.11669770328988216</v>
      </c>
      <c r="AD328" s="297">
        <f t="shared" si="508"/>
        <v>-7.7141236528644463E-2</v>
      </c>
      <c r="AE328" s="296">
        <f t="shared" si="508"/>
        <v>6.6981132075471628E-2</v>
      </c>
      <c r="AF328" s="297">
        <f t="shared" ref="AF328:AT331" si="509">AF98/AA98-1</f>
        <v>-5.0473186119874835E-3</v>
      </c>
      <c r="AG328" s="297">
        <f t="shared" si="509"/>
        <v>-1.3521126760563384E-2</v>
      </c>
      <c r="AH328" s="297">
        <f t="shared" si="509"/>
        <v>-4.8916064480266863E-2</v>
      </c>
      <c r="AI328" s="297">
        <f t="shared" si="509"/>
        <v>6.1462814996926518E-3</v>
      </c>
      <c r="AJ328" s="296">
        <f t="shared" si="509"/>
        <v>-1.6209843796050727E-2</v>
      </c>
      <c r="AK328" s="297">
        <f t="shared" si="509"/>
        <v>-5.0095117311350523E-2</v>
      </c>
      <c r="AL328" s="297">
        <f t="shared" si="509"/>
        <v>-0.19645916619074821</v>
      </c>
      <c r="AM328" s="297">
        <f t="shared" si="509"/>
        <v>-0.22618351841028628</v>
      </c>
      <c r="AN328" s="297">
        <f t="shared" si="509"/>
        <v>-0.16676847892486246</v>
      </c>
      <c r="AO328" s="848">
        <f t="shared" si="509"/>
        <v>-0.16222288795686035</v>
      </c>
      <c r="AP328" s="847">
        <f t="shared" si="509"/>
        <v>-0.14552736982643533</v>
      </c>
      <c r="AQ328" s="847">
        <f t="shared" si="509"/>
        <v>-8.31556503198293E-2</v>
      </c>
      <c r="AR328" s="847">
        <f t="shared" si="509"/>
        <v>-3.2477341389728132E-2</v>
      </c>
      <c r="AS328" s="847">
        <f t="shared" si="509"/>
        <v>-2.7859237536656978E-2</v>
      </c>
      <c r="AT328" s="848">
        <f t="shared" si="509"/>
        <v>-7.4378687645270669E-2</v>
      </c>
      <c r="AU328" s="890">
        <v>-1</v>
      </c>
      <c r="AV328" s="890">
        <v>-1</v>
      </c>
      <c r="AW328" s="890">
        <v>-1</v>
      </c>
      <c r="AX328" s="890">
        <v>-1</v>
      </c>
      <c r="AY328" s="891">
        <f>AY98/AT98-1</f>
        <v>-1</v>
      </c>
      <c r="AZ328" s="890"/>
      <c r="BA328" s="890"/>
      <c r="BB328" s="890"/>
      <c r="BC328" s="890"/>
      <c r="BD328" s="893"/>
      <c r="BE328" s="893"/>
      <c r="BF328" s="893"/>
      <c r="BG328" s="893"/>
      <c r="BH328" s="893"/>
      <c r="BI328" s="893"/>
      <c r="BJ328" s="919"/>
      <c r="BK328" s="919"/>
      <c r="BL328" s="919"/>
      <c r="BM328" s="919"/>
      <c r="BN328" s="893"/>
      <c r="BO328" s="890"/>
      <c r="BP328" s="890"/>
      <c r="BQ328" s="890"/>
      <c r="BR328" s="890"/>
      <c r="BS328" s="893"/>
      <c r="BT328" s="890"/>
      <c r="BU328" s="890"/>
      <c r="BV328" s="890"/>
      <c r="BW328" s="890"/>
      <c r="BX328" s="893"/>
      <c r="BY328" s="890"/>
      <c r="BZ328" s="890"/>
      <c r="CA328" s="890"/>
      <c r="CB328" s="890"/>
      <c r="CC328" s="893"/>
      <c r="CD328" s="893"/>
      <c r="CE328" s="893"/>
      <c r="CF328" s="893"/>
      <c r="CG328" s="893"/>
      <c r="CH328" s="893"/>
    </row>
    <row r="329" spans="1:86" s="292" customFormat="1" hidden="1">
      <c r="A329" s="285"/>
      <c r="B329" s="285"/>
      <c r="C329" s="285"/>
      <c r="D329" s="285"/>
      <c r="E329" s="285"/>
      <c r="F329" s="285"/>
      <c r="G329" s="285"/>
      <c r="H329" s="5" t="s">
        <v>154</v>
      </c>
      <c r="I329" s="939"/>
      <c r="L329" s="297"/>
      <c r="M329" s="297"/>
      <c r="N329" s="297"/>
      <c r="O329" s="297"/>
      <c r="P329" s="348"/>
      <c r="Q329" s="297"/>
      <c r="R329" s="297"/>
      <c r="S329" s="297"/>
      <c r="T329" s="297"/>
      <c r="U329" s="296"/>
      <c r="V329" s="297"/>
      <c r="W329" s="297"/>
      <c r="X329" s="297"/>
      <c r="Y329" s="297"/>
      <c r="Z329" s="296"/>
      <c r="AA329" s="297"/>
      <c r="AB329" s="297"/>
      <c r="AC329" s="297"/>
      <c r="AD329" s="297"/>
      <c r="AE329" s="296"/>
      <c r="AF329" s="297">
        <f t="shared" si="509"/>
        <v>6.4194859935096549E-2</v>
      </c>
      <c r="AG329" s="297">
        <f t="shared" si="509"/>
        <v>3.1785294663286168E-2</v>
      </c>
      <c r="AH329" s="297">
        <f t="shared" si="509"/>
        <v>-1.6810063840309364E-2</v>
      </c>
      <c r="AI329" s="297">
        <f t="shared" si="509"/>
        <v>1.3352072484632105E-2</v>
      </c>
      <c r="AJ329" s="296">
        <f t="shared" si="509"/>
        <v>2.0889019146150378E-2</v>
      </c>
      <c r="AK329" s="297">
        <f t="shared" si="509"/>
        <v>8.7228365265748176E-2</v>
      </c>
      <c r="AL329" s="297">
        <f t="shared" si="509"/>
        <v>-1.5620983229748031E-2</v>
      </c>
      <c r="AM329" s="297">
        <f t="shared" si="509"/>
        <v>5.6427123540878643E-2</v>
      </c>
      <c r="AN329" s="297">
        <f t="shared" si="509"/>
        <v>4.0456335557888634E-2</v>
      </c>
      <c r="AO329" s="848">
        <f t="shared" si="509"/>
        <v>4.1652797379703177E-2</v>
      </c>
      <c r="AP329" s="847">
        <f t="shared" si="509"/>
        <v>-1.5323275862068941E-2</v>
      </c>
      <c r="AQ329" s="847">
        <f t="shared" si="509"/>
        <v>2.1666176037680396E-2</v>
      </c>
      <c r="AR329" s="847">
        <f t="shared" si="509"/>
        <v>-2.0060978304096144E-2</v>
      </c>
      <c r="AS329" s="847">
        <f t="shared" si="509"/>
        <v>1.889188002367459E-2</v>
      </c>
      <c r="AT329" s="848">
        <f t="shared" si="509"/>
        <v>5.1200824158104119E-4</v>
      </c>
      <c r="AU329" s="892"/>
      <c r="AV329" s="892"/>
      <c r="AW329" s="892"/>
      <c r="AX329" s="892"/>
      <c r="AY329" s="891"/>
      <c r="AZ329" s="890"/>
      <c r="BA329" s="890"/>
      <c r="BB329" s="890"/>
      <c r="BC329" s="890"/>
      <c r="BD329" s="891"/>
      <c r="BE329" s="890"/>
      <c r="BF329" s="890"/>
      <c r="BG329" s="890"/>
      <c r="BH329" s="890"/>
      <c r="BI329" s="891"/>
      <c r="BJ329" s="919"/>
      <c r="BK329" s="919"/>
      <c r="BL329" s="919"/>
      <c r="BM329" s="919"/>
      <c r="BN329" s="891"/>
      <c r="BO329" s="890"/>
      <c r="BP329" s="890"/>
      <c r="BQ329" s="890"/>
      <c r="BR329" s="890"/>
      <c r="BS329" s="891"/>
      <c r="BT329" s="890"/>
      <c r="BU329" s="890"/>
      <c r="BV329" s="890"/>
      <c r="BW329" s="890"/>
      <c r="BX329" s="891"/>
      <c r="BY329" s="890"/>
      <c r="BZ329" s="890"/>
      <c r="CA329" s="890"/>
      <c r="CB329" s="890"/>
      <c r="CC329" s="891"/>
      <c r="CD329" s="891"/>
      <c r="CE329" s="891"/>
      <c r="CF329" s="891"/>
      <c r="CG329" s="891"/>
      <c r="CH329" s="891"/>
    </row>
    <row r="330" spans="1:86" s="292" customFormat="1" hidden="1">
      <c r="A330" s="285"/>
      <c r="B330" s="285"/>
      <c r="C330" s="285"/>
      <c r="D330" s="285"/>
      <c r="E330" s="285"/>
      <c r="F330" s="285"/>
      <c r="G330" s="285"/>
      <c r="H330" s="5" t="s">
        <v>155</v>
      </c>
      <c r="I330" s="6"/>
      <c r="L330" s="297"/>
      <c r="M330" s="297"/>
      <c r="N330" s="297"/>
      <c r="O330" s="297"/>
      <c r="P330" s="348"/>
      <c r="Q330" s="297"/>
      <c r="R330" s="297"/>
      <c r="S330" s="297"/>
      <c r="T330" s="297"/>
      <c r="U330" s="296"/>
      <c r="V330" s="297"/>
      <c r="W330" s="297"/>
      <c r="X330" s="297"/>
      <c r="Y330" s="297"/>
      <c r="Z330" s="296"/>
      <c r="AA330" s="297"/>
      <c r="AB330" s="297"/>
      <c r="AC330" s="297"/>
      <c r="AD330" s="297"/>
      <c r="AE330" s="296"/>
      <c r="AF330" s="297">
        <f t="shared" si="509"/>
        <v>5.8823529411764719E-2</v>
      </c>
      <c r="AG330" s="297">
        <f t="shared" si="509"/>
        <v>1.7834394904458595E-2</v>
      </c>
      <c r="AH330" s="297">
        <f t="shared" si="509"/>
        <v>-6.4903846153846256E-2</v>
      </c>
      <c r="AI330" s="297">
        <f t="shared" si="509"/>
        <v>1.9580419580419672E-2</v>
      </c>
      <c r="AJ330" s="296">
        <f t="shared" si="509"/>
        <v>4.3405676126879733E-3</v>
      </c>
      <c r="AK330" s="297">
        <f t="shared" si="509"/>
        <v>3.2763532763532721E-2</v>
      </c>
      <c r="AL330" s="297">
        <f t="shared" si="509"/>
        <v>-0.20901126408010018</v>
      </c>
      <c r="AM330" s="297">
        <f t="shared" si="509"/>
        <v>-0.18251928020565544</v>
      </c>
      <c r="AN330" s="297">
        <f t="shared" si="509"/>
        <v>-0.13305898491083679</v>
      </c>
      <c r="AO330" s="848">
        <f t="shared" si="509"/>
        <v>-0.12732712765957466</v>
      </c>
      <c r="AP330" s="847">
        <f t="shared" si="509"/>
        <v>-0.1586206896551724</v>
      </c>
      <c r="AQ330" s="847">
        <f t="shared" si="509"/>
        <v>-6.3291139240506333E-2</v>
      </c>
      <c r="AR330" s="847">
        <f t="shared" si="509"/>
        <v>-5.1886792452830233E-2</v>
      </c>
      <c r="AS330" s="847">
        <f t="shared" si="509"/>
        <v>-9.493670886076E-3</v>
      </c>
      <c r="AT330" s="848">
        <f t="shared" si="509"/>
        <v>-7.3904761904761918E-2</v>
      </c>
      <c r="AU330" s="892"/>
      <c r="AV330" s="892"/>
      <c r="AW330" s="892"/>
      <c r="AX330" s="892"/>
      <c r="AY330" s="891"/>
      <c r="AZ330" s="890"/>
      <c r="BA330" s="890"/>
      <c r="BB330" s="890"/>
      <c r="BC330" s="890"/>
      <c r="BD330" s="891"/>
      <c r="BE330" s="890"/>
      <c r="BF330" s="890"/>
      <c r="BG330" s="890"/>
      <c r="BH330" s="890"/>
      <c r="BI330" s="891"/>
      <c r="BJ330" s="919"/>
      <c r="BK330" s="919"/>
      <c r="BL330" s="919"/>
      <c r="BM330" s="919"/>
      <c r="BN330" s="891"/>
      <c r="BO330" s="890"/>
      <c r="BP330" s="890"/>
      <c r="BQ330" s="890"/>
      <c r="BR330" s="890"/>
      <c r="BS330" s="891"/>
      <c r="BT330" s="890"/>
      <c r="BU330" s="890"/>
      <c r="BV330" s="890"/>
      <c r="BW330" s="890"/>
      <c r="BX330" s="891"/>
      <c r="BY330" s="890"/>
      <c r="BZ330" s="890"/>
      <c r="CA330" s="890"/>
      <c r="CB330" s="890"/>
      <c r="CC330" s="891"/>
      <c r="CD330" s="891"/>
      <c r="CE330" s="891"/>
      <c r="CF330" s="891"/>
      <c r="CG330" s="891"/>
      <c r="CH330" s="891"/>
    </row>
    <row r="331" spans="1:86" s="292" customFormat="1" hidden="1">
      <c r="A331" s="285"/>
      <c r="B331" s="285"/>
      <c r="C331" s="285"/>
      <c r="D331" s="285"/>
      <c r="E331" s="285"/>
      <c r="F331" s="285"/>
      <c r="G331" s="285"/>
      <c r="H331" s="5" t="s">
        <v>603</v>
      </c>
      <c r="I331" s="6"/>
      <c r="L331" s="297"/>
      <c r="M331" s="297"/>
      <c r="N331" s="297"/>
      <c r="O331" s="297"/>
      <c r="P331" s="348"/>
      <c r="Q331" s="297"/>
      <c r="R331" s="297"/>
      <c r="S331" s="297"/>
      <c r="T331" s="297"/>
      <c r="U331" s="296"/>
      <c r="V331" s="297"/>
      <c r="W331" s="297"/>
      <c r="X331" s="297"/>
      <c r="Y331" s="297"/>
      <c r="Z331" s="296"/>
      <c r="AA331" s="297"/>
      <c r="AB331" s="297"/>
      <c r="AC331" s="297"/>
      <c r="AD331" s="297"/>
      <c r="AE331" s="296"/>
      <c r="AF331" s="297">
        <f t="shared" si="509"/>
        <v>-0.3969562460367787</v>
      </c>
      <c r="AG331" s="297">
        <f t="shared" si="509"/>
        <v>-0.244327916515238</v>
      </c>
      <c r="AH331" s="297">
        <f t="shared" si="509"/>
        <v>-0.23938968128629512</v>
      </c>
      <c r="AI331" s="297">
        <f t="shared" si="509"/>
        <v>6.9687811465133365E-3</v>
      </c>
      <c r="AJ331" s="296">
        <f t="shared" si="509"/>
        <v>-0.19706864171672245</v>
      </c>
      <c r="AK331" s="297">
        <f t="shared" si="509"/>
        <v>0.46213469811600638</v>
      </c>
      <c r="AL331" s="297">
        <f t="shared" si="509"/>
        <v>0.73014717353996605</v>
      </c>
      <c r="AM331" s="297">
        <f t="shared" si="509"/>
        <v>2.6235116403056535E-2</v>
      </c>
      <c r="AN331" s="297">
        <f t="shared" si="509"/>
        <v>-0.39213352629774934</v>
      </c>
      <c r="AO331" s="848">
        <f t="shared" si="509"/>
        <v>9.8398073579816447E-2</v>
      </c>
      <c r="AP331" s="847">
        <f t="shared" si="509"/>
        <v>-0.20418749999999997</v>
      </c>
      <c r="AQ331" s="847">
        <f t="shared" si="509"/>
        <v>-0.50248878008975939</v>
      </c>
      <c r="AR331" s="847">
        <f t="shared" si="509"/>
        <v>0.37809003382773887</v>
      </c>
      <c r="AS331" s="847">
        <f t="shared" si="509"/>
        <v>-0.20872491008237615</v>
      </c>
      <c r="AT331" s="848">
        <f t="shared" si="509"/>
        <v>-0.21315154512902224</v>
      </c>
      <c r="AU331" s="892"/>
      <c r="AV331" s="892"/>
      <c r="AW331" s="892"/>
      <c r="AX331" s="892"/>
      <c r="AY331" s="891"/>
      <c r="AZ331" s="890"/>
      <c r="BA331" s="890"/>
      <c r="BB331" s="890"/>
      <c r="BC331" s="890"/>
      <c r="BD331" s="891"/>
      <c r="BE331" s="890"/>
      <c r="BF331" s="890"/>
      <c r="BG331" s="890"/>
      <c r="BH331" s="890"/>
      <c r="BI331" s="891"/>
      <c r="BJ331" s="919"/>
      <c r="BK331" s="919"/>
      <c r="BL331" s="919"/>
      <c r="BM331" s="919"/>
      <c r="BN331" s="891"/>
      <c r="BO331" s="890"/>
      <c r="BP331" s="890"/>
      <c r="BQ331" s="890"/>
      <c r="BR331" s="890"/>
      <c r="BS331" s="891"/>
      <c r="BT331" s="890"/>
      <c r="BU331" s="890"/>
      <c r="BV331" s="890"/>
      <c r="BW331" s="890"/>
      <c r="BX331" s="891"/>
      <c r="BY331" s="890"/>
      <c r="BZ331" s="890"/>
      <c r="CA331" s="890"/>
      <c r="CB331" s="890"/>
      <c r="CC331" s="891"/>
      <c r="CD331" s="891"/>
      <c r="CE331" s="891"/>
      <c r="CF331" s="891"/>
      <c r="CG331" s="891"/>
      <c r="CH331" s="891"/>
    </row>
    <row r="332" spans="1:86" hidden="1">
      <c r="A332" s="9"/>
      <c r="B332" s="9"/>
      <c r="C332" s="9"/>
      <c r="D332" s="9"/>
      <c r="E332" s="9"/>
      <c r="F332" s="9"/>
      <c r="G332" s="9"/>
      <c r="H332" s="300" t="s">
        <v>733</v>
      </c>
      <c r="I332" s="278"/>
      <c r="L332" s="325"/>
      <c r="M332" s="325"/>
      <c r="N332" s="325"/>
      <c r="O332" s="325"/>
      <c r="P332" s="48"/>
      <c r="Q332" s="325"/>
      <c r="R332" s="325">
        <f t="shared" ref="R332:Z332" si="510">IF(ISERROR(R102/M102-1),"NM",(R102/M102-1))</f>
        <v>14.323529411764707</v>
      </c>
      <c r="S332" s="325">
        <f t="shared" si="510"/>
        <v>4.8037383177570101</v>
      </c>
      <c r="T332" s="336">
        <f t="shared" si="510"/>
        <v>1.6809338521400781</v>
      </c>
      <c r="U332" s="280">
        <f t="shared" si="510"/>
        <v>4.5000000000000009</v>
      </c>
      <c r="V332" s="325">
        <f t="shared" si="510"/>
        <v>0.99720670391061472</v>
      </c>
      <c r="W332" s="325">
        <f t="shared" si="510"/>
        <v>0.47600767754318629</v>
      </c>
      <c r="X332" s="325">
        <f t="shared" si="510"/>
        <v>0.34299516908212557</v>
      </c>
      <c r="Y332" s="325">
        <f t="shared" si="510"/>
        <v>0.23076923076923062</v>
      </c>
      <c r="Z332" s="344">
        <f t="shared" si="510"/>
        <v>0.44632252169940623</v>
      </c>
      <c r="AA332" s="349"/>
      <c r="AB332" s="349"/>
      <c r="AC332" s="349"/>
      <c r="AD332" s="350"/>
      <c r="AE332" s="349"/>
      <c r="AF332" s="350"/>
      <c r="AG332" s="350"/>
      <c r="AH332" s="349"/>
      <c r="AI332" s="349"/>
      <c r="AJ332" s="349"/>
      <c r="AK332" s="349"/>
      <c r="AL332" s="349"/>
      <c r="AM332" s="349"/>
      <c r="AN332" s="349"/>
      <c r="AO332" s="858"/>
      <c r="AP332" s="858"/>
      <c r="AQ332" s="341"/>
      <c r="AR332" s="341"/>
      <c r="AS332" s="341"/>
      <c r="AT332" s="858"/>
      <c r="AU332" s="341"/>
      <c r="AV332" s="341"/>
      <c r="AW332" s="341"/>
      <c r="AX332" s="341"/>
      <c r="AY332" s="858"/>
      <c r="AZ332" s="858"/>
      <c r="BA332" s="858"/>
      <c r="BB332" s="858"/>
      <c r="BC332" s="920"/>
      <c r="BD332" s="858"/>
      <c r="BE332" s="858"/>
      <c r="BF332" s="858"/>
      <c r="BG332" s="858"/>
      <c r="BH332" s="858"/>
      <c r="BI332" s="858"/>
      <c r="BJ332" s="858"/>
      <c r="BK332" s="858"/>
      <c r="BL332" s="858"/>
      <c r="BM332" s="858"/>
      <c r="BN332" s="921"/>
      <c r="BO332" s="921"/>
      <c r="BP332" s="921"/>
      <c r="BQ332" s="921"/>
      <c r="BR332" s="922"/>
      <c r="BS332" s="921"/>
      <c r="BT332" s="921"/>
      <c r="BU332" s="921"/>
      <c r="BV332" s="921"/>
      <c r="BW332" s="922"/>
      <c r="BX332" s="921"/>
      <c r="BY332" s="921"/>
      <c r="BZ332" s="921"/>
      <c r="CA332" s="921"/>
      <c r="CB332" s="922"/>
      <c r="CC332" s="921"/>
      <c r="CD332" s="921"/>
      <c r="CE332" s="921"/>
      <c r="CF332" s="921"/>
      <c r="CG332" s="921"/>
      <c r="CH332" s="921"/>
    </row>
    <row r="333" spans="1:86" hidden="1">
      <c r="A333" s="9"/>
      <c r="B333" s="9"/>
      <c r="C333" s="9"/>
      <c r="D333" s="9"/>
      <c r="E333" s="9"/>
      <c r="F333" s="9"/>
      <c r="G333" s="9"/>
      <c r="H333" s="283" t="s">
        <v>1168</v>
      </c>
      <c r="I333" s="283"/>
      <c r="L333" s="325"/>
      <c r="M333" s="325"/>
      <c r="N333" s="325"/>
      <c r="O333" s="325"/>
      <c r="P333" s="48"/>
      <c r="Q333" s="325"/>
      <c r="R333" s="325"/>
      <c r="S333" s="325"/>
      <c r="T333" s="325"/>
      <c r="U333" s="343"/>
      <c r="V333" s="325"/>
      <c r="W333" s="325"/>
      <c r="X333" s="325"/>
      <c r="Y333" s="325"/>
      <c r="Z333" s="343"/>
      <c r="AA333" s="325"/>
      <c r="AB333" s="325">
        <f t="shared" ref="AB333:AY333" si="511">AB103/W103-1</f>
        <v>4.5483870967741931</v>
      </c>
      <c r="AC333" s="325">
        <f t="shared" si="511"/>
        <v>4.756756756756757</v>
      </c>
      <c r="AD333" s="325">
        <f t="shared" si="511"/>
        <v>2.2739726027397258</v>
      </c>
      <c r="AE333" s="276">
        <f t="shared" si="511"/>
        <v>4.1702127659574471</v>
      </c>
      <c r="AF333" s="325">
        <f t="shared" si="511"/>
        <v>1.2571428571428571</v>
      </c>
      <c r="AG333" s="325">
        <f t="shared" si="511"/>
        <v>0.78081395348837201</v>
      </c>
      <c r="AH333" s="325">
        <f t="shared" si="511"/>
        <v>0.62441314553990601</v>
      </c>
      <c r="AI333" s="325">
        <f t="shared" si="511"/>
        <v>0.66945606694560666</v>
      </c>
      <c r="AJ333" s="276">
        <f t="shared" si="511"/>
        <v>0.76721536351165986</v>
      </c>
      <c r="AK333" s="325">
        <f t="shared" si="511"/>
        <v>0.61181434599156126</v>
      </c>
      <c r="AL333" s="325">
        <f t="shared" si="511"/>
        <v>0.24387855044074436</v>
      </c>
      <c r="AM333" s="325">
        <f t="shared" si="511"/>
        <v>5.2023121387283044E-2</v>
      </c>
      <c r="AN333" s="325">
        <f t="shared" si="511"/>
        <v>-4.2606516290726759E-2</v>
      </c>
      <c r="AO333" s="345">
        <f t="shared" si="511"/>
        <v>0.17131103003958725</v>
      </c>
      <c r="AP333" s="341">
        <f t="shared" si="511"/>
        <v>-2.0942408376963484E-2</v>
      </c>
      <c r="AQ333" s="341">
        <f t="shared" si="511"/>
        <v>0.1076115485564304</v>
      </c>
      <c r="AR333" s="341">
        <f t="shared" si="511"/>
        <v>0.17582417582417587</v>
      </c>
      <c r="AS333" s="341">
        <f t="shared" si="511"/>
        <v>0.17015706806282727</v>
      </c>
      <c r="AT333" s="345">
        <f t="shared" si="511"/>
        <v>0.10735586481113302</v>
      </c>
      <c r="AU333" s="341">
        <f t="shared" si="511"/>
        <v>0.16844919786096257</v>
      </c>
      <c r="AV333" s="341">
        <f t="shared" si="511"/>
        <v>0.12322274881516582</v>
      </c>
      <c r="AW333" s="341">
        <f t="shared" si="511"/>
        <v>5.1401869158878677E-2</v>
      </c>
      <c r="AX333" s="341">
        <f t="shared" si="511"/>
        <v>0.16331096196868011</v>
      </c>
      <c r="AY333" s="345">
        <f t="shared" si="511"/>
        <v>0.12567324955116699</v>
      </c>
      <c r="AZ333" s="890"/>
      <c r="BA333" s="890"/>
      <c r="BB333" s="890"/>
      <c r="BC333" s="890"/>
      <c r="BD333" s="891"/>
      <c r="BE333" s="342"/>
      <c r="BF333" s="342"/>
      <c r="BG333" s="342"/>
      <c r="BH333" s="342"/>
      <c r="BI333" s="891"/>
      <c r="BJ333" s="342"/>
      <c r="BK333" s="342"/>
      <c r="BL333" s="342"/>
      <c r="BM333" s="342"/>
      <c r="BN333" s="913"/>
      <c r="BO333" s="912"/>
      <c r="BP333" s="912"/>
      <c r="BQ333" s="912"/>
      <c r="BR333" s="912"/>
      <c r="BS333" s="913"/>
      <c r="BT333" s="912"/>
      <c r="BU333" s="912"/>
      <c r="BV333" s="912"/>
      <c r="BW333" s="912"/>
      <c r="BX333" s="913"/>
      <c r="BY333" s="912"/>
      <c r="BZ333" s="912"/>
      <c r="CA333" s="912"/>
      <c r="CB333" s="912"/>
      <c r="CC333" s="913"/>
      <c r="CD333" s="913"/>
      <c r="CE333" s="913"/>
      <c r="CF333" s="913"/>
      <c r="CG333" s="913"/>
      <c r="CH333" s="913"/>
    </row>
    <row r="334" spans="1:86" ht="6.75" customHeight="1">
      <c r="A334" s="9"/>
      <c r="B334" s="9"/>
      <c r="C334" s="9"/>
      <c r="D334" s="9"/>
      <c r="E334" s="9"/>
      <c r="F334" s="9"/>
      <c r="G334" s="9"/>
      <c r="H334" s="259"/>
      <c r="I334" s="259"/>
      <c r="L334" s="66"/>
      <c r="M334" s="66"/>
      <c r="N334" s="66"/>
      <c r="O334" s="66"/>
      <c r="Q334" s="66"/>
      <c r="R334" s="66"/>
      <c r="S334" s="66"/>
      <c r="T334" s="66"/>
      <c r="V334" s="66"/>
      <c r="W334" s="66"/>
      <c r="X334" s="66"/>
      <c r="Y334" s="66"/>
      <c r="AA334" s="66"/>
      <c r="AB334" s="66"/>
      <c r="AC334" s="66"/>
      <c r="AD334" s="66"/>
      <c r="AF334" s="66"/>
      <c r="AG334" s="66"/>
      <c r="AH334" s="66"/>
      <c r="AI334" s="66"/>
      <c r="AK334" s="66"/>
      <c r="AL334" s="66"/>
      <c r="AM334" s="66"/>
      <c r="AN334" s="66"/>
      <c r="AP334" s="855"/>
      <c r="AQ334" s="855"/>
      <c r="AR334" s="855"/>
      <c r="AS334" s="855"/>
      <c r="AU334" s="855"/>
      <c r="AV334" s="855"/>
      <c r="AW334" s="855"/>
      <c r="AX334" s="855"/>
      <c r="AZ334" s="855"/>
      <c r="BA334" s="855"/>
      <c r="BB334" s="855"/>
      <c r="BC334" s="855"/>
      <c r="BE334" s="855"/>
      <c r="BF334" s="855"/>
      <c r="BG334" s="855"/>
      <c r="BH334" s="855"/>
      <c r="BJ334" s="855"/>
      <c r="BK334" s="855"/>
      <c r="BL334" s="855"/>
      <c r="BM334" s="855"/>
      <c r="BO334" s="855"/>
      <c r="BP334" s="855"/>
      <c r="BQ334" s="855"/>
      <c r="BR334" s="855"/>
      <c r="BT334" s="855"/>
      <c r="BU334" s="855"/>
      <c r="BV334" s="855"/>
      <c r="BW334" s="855"/>
      <c r="BY334" s="855"/>
      <c r="BZ334" s="855"/>
      <c r="CA334" s="855"/>
      <c r="CB334" s="855"/>
    </row>
    <row r="335" spans="1:86" ht="13.5" thickBot="1">
      <c r="A335" s="9"/>
      <c r="B335" s="9"/>
      <c r="C335" s="9"/>
      <c r="D335" s="9"/>
      <c r="E335" s="9"/>
      <c r="F335" s="9"/>
      <c r="G335" s="9"/>
      <c r="H335" s="318" t="s">
        <v>583</v>
      </c>
      <c r="I335" s="319"/>
      <c r="J335" s="319"/>
      <c r="K335" s="41"/>
      <c r="L335" s="43" t="str">
        <f>"1Q:" &amp; RIGHT(YEAR(L$4),2) &amp; IF(L$4&lt;=LatestRpQ, "A", "E")</f>
        <v>1Q:05A</v>
      </c>
      <c r="M335" s="43" t="str">
        <f>"2Q:" &amp; RIGHT(YEAR(M$4),2) &amp; IF(M$4&lt;=LatestRpQ, "A", "E")</f>
        <v>2Q:05A</v>
      </c>
      <c r="N335" s="43" t="str">
        <f>"3Q:" &amp; RIGHT(YEAR(N$4),2) &amp; IF(N$4&lt;=LatestRpQ, "A", "E")</f>
        <v>3Q:05A</v>
      </c>
      <c r="O335" s="43" t="str">
        <f>"4Q:" &amp; RIGHT(YEAR(O$4),2) &amp; IF(O$4&lt;=LatestRpQ, "A", "E")</f>
        <v>4Q:05A</v>
      </c>
      <c r="P335" s="44" t="str">
        <f>YEAR(P$4) &amp; IF(P$4&lt;=LatestRpQ, "A", "E")</f>
        <v>2005A</v>
      </c>
      <c r="Q335" s="43" t="str">
        <f>"1Q:" &amp; RIGHT(YEAR(Q$4),2) &amp; IF(Q$4&lt;=LatestRpQ, "A", "E")</f>
        <v>1Q:06A</v>
      </c>
      <c r="R335" s="43" t="str">
        <f>"2Q:" &amp; RIGHT(YEAR(R$4),2) &amp; IF(R$4&lt;=LatestRpQ, "A", "E")</f>
        <v>2Q:06A</v>
      </c>
      <c r="S335" s="43" t="str">
        <f>"3Q:" &amp; RIGHT(YEAR(S$4),2) &amp; IF(S$4&lt;=LatestRpQ, "A", "E")</f>
        <v>3Q:06A</v>
      </c>
      <c r="T335" s="43" t="str">
        <f>"4Q:" &amp; RIGHT(YEAR(T$4),2) &amp; IF(T$4&lt;=LatestRpQ, "A", "E")</f>
        <v>4Q:06A</v>
      </c>
      <c r="U335" s="44" t="str">
        <f>YEAR(U$4) &amp; IF(U$4&lt;=LatestRpQ, "A", "E")</f>
        <v>2006A</v>
      </c>
      <c r="V335" s="43" t="str">
        <f>"1Q:" &amp; RIGHT(YEAR(V$4),2) &amp; IF(V$4&lt;=LatestRpQ, "A", "E")</f>
        <v>1Q:07A</v>
      </c>
      <c r="W335" s="43" t="str">
        <f>"2Q:" &amp; RIGHT(YEAR(W$4),2) &amp; IF(W$4&lt;=LatestRpQ, "A", "E")</f>
        <v>2Q:07A</v>
      </c>
      <c r="X335" s="43" t="str">
        <f>"3Q:" &amp; RIGHT(YEAR(X$4),2) &amp; IF(X$4&lt;=LatestRpQ, "A", "E")</f>
        <v>3Q:07A</v>
      </c>
      <c r="Y335" s="43" t="str">
        <f>"4Q:" &amp; RIGHT(YEAR(Y$4),2) &amp; IF(Y$4&lt;=LatestRpQ, "A", "E")</f>
        <v>4Q:07A</v>
      </c>
      <c r="Z335" s="44" t="str">
        <f>YEAR(Z$4) &amp; IF(Z$4&lt;=LatestRpQ, "A", "E")</f>
        <v>2007A</v>
      </c>
      <c r="AA335" s="43" t="str">
        <f>"1Q:" &amp; RIGHT(YEAR(AA$4),2) &amp; IF(AA$4&lt;=LatestRpQ, "A", "E")</f>
        <v>1Q:08A</v>
      </c>
      <c r="AB335" s="43" t="str">
        <f>"2Q:" &amp; RIGHT(YEAR(AB$4),2) &amp; IF(AB$4&lt;=LatestRpQ, "A", "E")</f>
        <v>2Q:08A</v>
      </c>
      <c r="AC335" s="43" t="str">
        <f>"3Q:" &amp; RIGHT(YEAR(AC$4),2) &amp; IF(AC$4&lt;=LatestRpQ, "A", "E")</f>
        <v>3Q:08A</v>
      </c>
      <c r="AD335" s="43" t="str">
        <f>"4Q:" &amp; RIGHT(YEAR(AD$4),2) &amp; IF(AD$4&lt;=LatestRpQ, "A", "E")</f>
        <v>4Q:08A</v>
      </c>
      <c r="AE335" s="44" t="str">
        <f>YEAR(AE$4) &amp; IF(AE$4&lt;=LatestRpQ, "A", "E")</f>
        <v>2008A</v>
      </c>
      <c r="AF335" s="43" t="str">
        <f>"1Q:" &amp; RIGHT(YEAR(AF$4),2) &amp; IF(AF$4&lt;=LatestRpQ, "A", "E")</f>
        <v>1Q:09A</v>
      </c>
      <c r="AG335" s="43" t="str">
        <f>"2Q:" &amp; RIGHT(YEAR(AG$4),2) &amp; IF(AG$4&lt;=LatestRpQ, "A", "E")</f>
        <v>2Q:09A</v>
      </c>
      <c r="AH335" s="43" t="str">
        <f>"3Q:" &amp; RIGHT(YEAR(AH$4),2) &amp; IF(AH$4&lt;=LatestRpQ, "A", "E")</f>
        <v>3Q:09A</v>
      </c>
      <c r="AI335" s="43" t="str">
        <f>"4Q:" &amp; RIGHT(YEAR(AI$4),2) &amp; IF(AI$4&lt;=LatestRpQ, "A", "E")</f>
        <v>4Q:09A</v>
      </c>
      <c r="AJ335" s="44" t="str">
        <f>YEAR(AJ$4) &amp; IF(AJ$4&lt;=LatestRpQ, "A", "E")</f>
        <v>2009A</v>
      </c>
      <c r="AK335" s="43" t="str">
        <f>"1Q:" &amp; RIGHT(YEAR(AK$4),2) &amp; IF(AK$4&lt;=LatestRpQ, "A", "E")</f>
        <v>1Q:10A</v>
      </c>
      <c r="AL335" s="43" t="str">
        <f>"2Q:" &amp; RIGHT(YEAR(AL$4),2) &amp; IF(AL$4&lt;=LatestRpQ, "A", "E")</f>
        <v>2Q:10A</v>
      </c>
      <c r="AM335" s="43" t="str">
        <f>"3Q:" &amp; RIGHT(YEAR(AM$4),2) &amp; IF(AM$4&lt;=LatestRpQ, "A", "E")</f>
        <v>3Q:10A</v>
      </c>
      <c r="AN335" s="43" t="str">
        <f>"4Q:" &amp; RIGHT(YEAR(AN$4),2) &amp; IF(AN$4&lt;=LatestRpQ, "A", "E")</f>
        <v>4Q:10A</v>
      </c>
      <c r="AO335" s="44" t="str">
        <f>YEAR(AO$4) &amp; IF(AO$4&lt;=LatestRpQ, "A", "E")</f>
        <v>2010A</v>
      </c>
      <c r="AP335" s="43" t="str">
        <f>"1Q:" &amp; RIGHT(YEAR(AP$4),2) &amp; IF(AP$4&lt;=LatestRpQ, "A", "E")</f>
        <v>1Q:11A</v>
      </c>
      <c r="AQ335" s="43" t="str">
        <f>"2Q:" &amp; RIGHT(YEAR(AQ$4),2) &amp; IF(AQ$4&lt;=LatestRpQ, "A", "E")</f>
        <v>2Q:11A</v>
      </c>
      <c r="AR335" s="43" t="str">
        <f>"3Q:" &amp; RIGHT(YEAR(AR$4),2) &amp; IF(AR$4&lt;=LatestRpQ, "A", "E")</f>
        <v>3Q:11A</v>
      </c>
      <c r="AS335" s="43" t="str">
        <f>"4Q:" &amp; RIGHT(YEAR(AS$4),2) &amp; IF(AS$4&lt;=LatestRpQ, "A", "E")</f>
        <v>4Q:11A</v>
      </c>
      <c r="AT335" s="44" t="str">
        <f>YEAR(AT$4) &amp; IF(AT$4&lt;=LatestRpQ, "A", "E")</f>
        <v>2011A</v>
      </c>
      <c r="AU335" s="43" t="str">
        <f>"1Q:" &amp; RIGHT(YEAR(AU$4),2) &amp; IF(AU$4&lt;=LatestRpQ, "A", "E")</f>
        <v>1Q:12A</v>
      </c>
      <c r="AV335" s="43" t="str">
        <f>"2Q:" &amp; RIGHT(YEAR(AV$4),2) &amp; IF(AV$4&lt;=LatestRpQ, "A", "E")</f>
        <v>2Q:12A</v>
      </c>
      <c r="AW335" s="43" t="str">
        <f>"3Q:" &amp; RIGHT(YEAR(AW$4),2) &amp; IF(AW$4&lt;=LatestRpQ, "A", "E")</f>
        <v>3Q:12A</v>
      </c>
      <c r="AX335" s="43" t="str">
        <f>"4Q:" &amp; RIGHT(YEAR(AX$4),2) &amp; IF(AX$4&lt;=LatestRpQ, "A", "E")</f>
        <v>4Q:12A</v>
      </c>
      <c r="AY335" s="44" t="str">
        <f>YEAR(AY$4) &amp; IF(AY$4&lt;=LatestRpQ, "A", "E")</f>
        <v>2012A</v>
      </c>
      <c r="AZ335" s="43" t="str">
        <f>"1Q:" &amp; RIGHT(YEAR(AZ$4),2) &amp; IF(AZ$4&lt;=LatestRpQ, "A", "E")</f>
        <v>1Q:13A</v>
      </c>
      <c r="BA335" s="43" t="str">
        <f>"2Q:" &amp; RIGHT(YEAR(BA$4),2) &amp; IF(BA$4&lt;=LatestRpQ, "A", "E")</f>
        <v>2Q:13A</v>
      </c>
      <c r="BB335" s="43" t="str">
        <f>"3Q:" &amp; RIGHT(YEAR(BB$4),2) &amp; IF(BB$4&lt;=LatestRpQ, "A", "E")</f>
        <v>3Q:13A</v>
      </c>
      <c r="BC335" s="43" t="str">
        <f>"4Q:" &amp; RIGHT(YEAR(BC$4),2) &amp; IF(BC$4&lt;=LatestRpQ, "A", "E")</f>
        <v>4Q:13A</v>
      </c>
      <c r="BD335" s="44" t="str">
        <f>YEAR(BD$4) &amp; IF(BD$4&lt;=LatestRpQ, "A", "E")</f>
        <v>2013A</v>
      </c>
      <c r="BE335" s="43" t="str">
        <f>"1Q:" &amp; RIGHT(YEAR(BE$4),2) &amp; IF(BE$4&lt;=LatestRpQ, "A", "E")</f>
        <v>1Q:14A</v>
      </c>
      <c r="BF335" s="43" t="str">
        <f>"2Q:" &amp; RIGHT(YEAR(BF$4),2) &amp; IF(BF$4&lt;=LatestRpQ, "A", "E")</f>
        <v>2Q:14A</v>
      </c>
      <c r="BG335" s="43" t="str">
        <f>"3Q:" &amp; RIGHT(YEAR(BG$4),2) &amp; IF(BG$4&lt;=LatestRpQ, "A", "E")</f>
        <v>3Q:14A</v>
      </c>
      <c r="BH335" s="43" t="str">
        <f>"4Q:" &amp; RIGHT(YEAR(BH$4),2) &amp; IF(BH$4&lt;=LatestRpQ, "A", "E")</f>
        <v>4Q:14A</v>
      </c>
      <c r="BI335" s="44" t="str">
        <f>YEAR(BI$4) &amp; IF(BI$4&lt;=LatestRpQ, "A", "E")</f>
        <v>2014A</v>
      </c>
      <c r="BJ335" s="43" t="str">
        <f>"1Q:" &amp; RIGHT(YEAR(BJ$4),2) &amp; IF(BJ$4&lt;=LatestRpQ, "A", "E")</f>
        <v>1Q:15A</v>
      </c>
      <c r="BK335" s="43" t="str">
        <f>"2Q:" &amp; RIGHT(YEAR(BK$4),2) &amp; IF(BK$4&lt;=LatestRpQ, "A", "E")</f>
        <v>2Q:15A</v>
      </c>
      <c r="BL335" s="43" t="str">
        <f>"3Q:" &amp; RIGHT(YEAR(BL$4),2) &amp; IF(BL$4&lt;=LatestRpQ, "A", "E")</f>
        <v>3Q:15A</v>
      </c>
      <c r="BM335" s="43" t="str">
        <f>"4Q:" &amp; RIGHT(YEAR(BM$4),2) &amp; IF(BM$4&lt;=LatestRpQ, "A", "E")</f>
        <v>4Q:15A</v>
      </c>
      <c r="BN335" s="44" t="str">
        <f>YEAR(BN$4) &amp; IF(BN$4&lt;=LatestRpQ, "A", "E")</f>
        <v>2015A</v>
      </c>
      <c r="BO335" s="43" t="str">
        <f>"1Q:" &amp; RIGHT(YEAR(BO$4),2) &amp; IF(BO$4&lt;=LatestRpQ, "A", "E")</f>
        <v>1Q:16A</v>
      </c>
      <c r="BP335" s="43" t="str">
        <f>"2Q:" &amp; RIGHT(YEAR(BP$4),2) &amp; IF(BP$4&lt;=LatestRpQ, "A", "E")</f>
        <v>2Q:16A</v>
      </c>
      <c r="BQ335" s="43" t="str">
        <f>"3Q:" &amp; RIGHT(YEAR(BQ$4),2) &amp; IF(BQ$4&lt;=LatestRpQ, "A", "E")</f>
        <v>3Q:16A</v>
      </c>
      <c r="BR335" s="43" t="str">
        <f>"4Q:" &amp; RIGHT(YEAR(BR$4),2) &amp; IF(BR$4&lt;=LatestRpQ, "A", "E")</f>
        <v>4Q:16A</v>
      </c>
      <c r="BS335" s="44" t="str">
        <f>YEAR(BS$4) &amp; IF(BS$4&lt;=LatestRpQ, "A", "E")</f>
        <v>2016A</v>
      </c>
      <c r="BT335" s="43" t="str">
        <f>"1Q:" &amp; RIGHT(YEAR(BT$4),2) &amp; IF(BT$4&lt;=LatestRpQ, "A", "E")</f>
        <v>1Q:17A</v>
      </c>
      <c r="BU335" s="43" t="str">
        <f>"2Q:" &amp; RIGHT(YEAR(BU$4),2) &amp; IF(BU$4&lt;=LatestRpQ, "A", "E")</f>
        <v>2Q:17A</v>
      </c>
      <c r="BV335" s="43" t="str">
        <f>"3Q:" &amp; RIGHT(YEAR(BV$4),2) &amp; IF(BV$4&lt;=LatestRpQ, "A", "E")</f>
        <v>3Q:17A</v>
      </c>
      <c r="BW335" s="43" t="str">
        <f>"4Q:" &amp; RIGHT(YEAR(BW$4),2) &amp; IF(BW$4&lt;=LatestRpQ, "A", "E")</f>
        <v>4Q:17A</v>
      </c>
      <c r="BX335" s="44" t="str">
        <f>YEAR(BX$4) &amp; IF(BX$4&lt;=LatestRpQ, "A", "E")</f>
        <v>2017A</v>
      </c>
      <c r="BY335" s="43" t="str">
        <f>"1Q:" &amp; RIGHT(YEAR(BY$4),2) &amp; IF(BY$4&lt;=LatestRpQ, "A", "E")</f>
        <v>1Q:18A</v>
      </c>
      <c r="BZ335" s="43" t="str">
        <f>"2Q:" &amp; RIGHT(YEAR(BZ$4),2) &amp; IF(BZ$4&lt;=LatestRpQ, "A", "E")</f>
        <v>2Q:18E</v>
      </c>
      <c r="CA335" s="43" t="str">
        <f>"3Q:" &amp; RIGHT(YEAR(CA$4),2) &amp; IF(CA$4&lt;=LatestRpQ, "A", "E")</f>
        <v>3Q:18E</v>
      </c>
      <c r="CB335" s="43" t="str">
        <f>"4Q:" &amp; RIGHT(YEAR(CB$4),2) &amp; IF(CB$4&lt;=LatestRpQ, "A", "E")</f>
        <v>4Q:18E</v>
      </c>
      <c r="CC335" s="44" t="str">
        <f t="shared" ref="CC335:CH335" si="512">YEAR(CC$4) &amp; IF(CC$4&lt;=LatestRpQ, "A", "E")</f>
        <v>2018E</v>
      </c>
      <c r="CD335" s="44" t="str">
        <f t="shared" si="512"/>
        <v>2019E</v>
      </c>
      <c r="CE335" s="44" t="str">
        <f t="shared" si="512"/>
        <v>2020E</v>
      </c>
      <c r="CF335" s="44" t="str">
        <f t="shared" si="512"/>
        <v>2021E</v>
      </c>
      <c r="CG335" s="44" t="str">
        <f t="shared" si="512"/>
        <v>2022E</v>
      </c>
      <c r="CH335" s="44" t="str">
        <f t="shared" si="512"/>
        <v>2023E</v>
      </c>
    </row>
    <row r="336" spans="1:86">
      <c r="A336" s="9"/>
      <c r="B336" s="9"/>
      <c r="C336" s="9"/>
      <c r="D336" s="9"/>
      <c r="E336" s="9"/>
      <c r="F336" s="9"/>
      <c r="G336" s="9"/>
      <c r="H336" s="260" t="s">
        <v>736</v>
      </c>
      <c r="I336" s="260"/>
      <c r="J336" s="59"/>
      <c r="K336" s="59"/>
      <c r="L336" s="326">
        <v>0.36314178850731027</v>
      </c>
      <c r="M336" s="326">
        <v>0.45129351644841909</v>
      </c>
      <c r="N336" s="326">
        <v>0.28849407783417913</v>
      </c>
      <c r="O336" s="326">
        <v>0.20870425321463926</v>
      </c>
      <c r="P336" s="327">
        <v>0.3182550139071878</v>
      </c>
      <c r="Q336" s="326">
        <f t="shared" ref="Q336:T338" si="513">Q106/L106-1</f>
        <v>0.17011723621850838</v>
      </c>
      <c r="R336" s="326">
        <f t="shared" si="513"/>
        <v>9.3089788732394485E-2</v>
      </c>
      <c r="S336" s="326">
        <f t="shared" si="513"/>
        <v>0.12015758371634933</v>
      </c>
      <c r="T336" s="326">
        <f t="shared" si="513"/>
        <v>0.11027004909983606</v>
      </c>
      <c r="U336" s="327">
        <f t="shared" ref="U336:AZ336" si="514">IF(ISERROR(U106/P106-1),"NM",(U106/P106-1))</f>
        <v>0.1217656857301499</v>
      </c>
      <c r="V336" s="326">
        <f t="shared" si="514"/>
        <v>0.20400767426987843</v>
      </c>
      <c r="W336" s="326">
        <f t="shared" si="514"/>
        <v>0.21340849607408896</v>
      </c>
      <c r="X336" s="326">
        <f t="shared" si="514"/>
        <v>0.19069949198905811</v>
      </c>
      <c r="Y336" s="326">
        <f t="shared" si="514"/>
        <v>0.23383084577114444</v>
      </c>
      <c r="Z336" s="327">
        <f t="shared" si="514"/>
        <v>0.21095876849972783</v>
      </c>
      <c r="AA336" s="326">
        <f t="shared" si="514"/>
        <v>0.23742917847025491</v>
      </c>
      <c r="AB336" s="326">
        <f t="shared" si="514"/>
        <v>0.22200099552015917</v>
      </c>
      <c r="AC336" s="326">
        <f t="shared" si="514"/>
        <v>0.27978339350180503</v>
      </c>
      <c r="AD336" s="326">
        <f t="shared" si="514"/>
        <v>0.114247311827957</v>
      </c>
      <c r="AE336" s="327">
        <f t="shared" si="514"/>
        <v>0.21046392806049452</v>
      </c>
      <c r="AF336" s="326">
        <f t="shared" si="514"/>
        <v>4.3067677779367708E-2</v>
      </c>
      <c r="AG336" s="326">
        <f t="shared" si="514"/>
        <v>3.5193482688391065E-2</v>
      </c>
      <c r="AH336" s="326">
        <f t="shared" si="514"/>
        <v>4.6287985639184459E-2</v>
      </c>
      <c r="AI336" s="326">
        <f t="shared" si="514"/>
        <v>0.14488674440423543</v>
      </c>
      <c r="AJ336" s="327">
        <f t="shared" si="514"/>
        <v>6.7609914229756152E-2</v>
      </c>
      <c r="AK336" s="326">
        <f t="shared" si="514"/>
        <v>0.14128943758573365</v>
      </c>
      <c r="AL336" s="326">
        <f t="shared" si="514"/>
        <v>0.13677500590225855</v>
      </c>
      <c r="AM336" s="326">
        <f t="shared" si="514"/>
        <v>0.10710784313725497</v>
      </c>
      <c r="AN336" s="326">
        <f t="shared" si="514"/>
        <v>-3.1140248185436814E-2</v>
      </c>
      <c r="AO336" s="356">
        <f t="shared" si="514"/>
        <v>8.4791973734984039E-2</v>
      </c>
      <c r="AP336" s="735">
        <f t="shared" si="514"/>
        <v>-8.293269230769218E-2</v>
      </c>
      <c r="AQ336" s="735">
        <f t="shared" si="514"/>
        <v>-0.14180223837544703</v>
      </c>
      <c r="AR336" s="735">
        <f t="shared" si="514"/>
        <v>-0.18452512729687842</v>
      </c>
      <c r="AS336" s="735">
        <f t="shared" si="514"/>
        <v>-8.5065248912517988E-2</v>
      </c>
      <c r="AT336" s="737">
        <f t="shared" si="514"/>
        <v>-0.12508382657375305</v>
      </c>
      <c r="AU336" s="735">
        <f t="shared" si="514"/>
        <v>5.3604193971166447E-2</v>
      </c>
      <c r="AV336" s="735">
        <f t="shared" si="514"/>
        <v>0.13834364076364625</v>
      </c>
      <c r="AW336" s="735">
        <f t="shared" si="514"/>
        <v>7.465725532781331E-2</v>
      </c>
      <c r="AX336" s="735">
        <f t="shared" si="514"/>
        <v>0.10829371368198615</v>
      </c>
      <c r="AY336" s="737">
        <f t="shared" si="514"/>
        <v>9.3578165094811538E-2</v>
      </c>
      <c r="AZ336" s="735">
        <f t="shared" si="514"/>
        <v>-4.9384251772608412E-2</v>
      </c>
      <c r="BA336" s="735">
        <f t="shared" ref="BA336:CC336" si="515">IF(ISERROR(BA106/AV106-1),"NM",(BA106/AV106-1))</f>
        <v>-4.5588756348175385E-2</v>
      </c>
      <c r="BB336" s="735">
        <f t="shared" si="515"/>
        <v>3.8019451812555172E-2</v>
      </c>
      <c r="BC336" s="735">
        <f t="shared" si="515"/>
        <v>4.2063870352716748E-2</v>
      </c>
      <c r="BD336" s="737">
        <f t="shared" si="515"/>
        <v>-3.9311290568336821E-3</v>
      </c>
      <c r="BE336" s="735">
        <f t="shared" si="515"/>
        <v>1.3085579691174409E-4</v>
      </c>
      <c r="BF336" s="735">
        <f t="shared" si="515"/>
        <v>6.2244771686672751E-2</v>
      </c>
      <c r="BG336" s="735">
        <f t="shared" si="515"/>
        <v>7.3740569481625773E-2</v>
      </c>
      <c r="BH336" s="735">
        <f t="shared" si="515"/>
        <v>1.5323041738136034E-2</v>
      </c>
      <c r="BI336" s="737">
        <f t="shared" si="515"/>
        <v>3.8059107874931053E-2</v>
      </c>
      <c r="BJ336" s="735">
        <f t="shared" si="515"/>
        <v>-6.934449823367772E-3</v>
      </c>
      <c r="BK336" s="735">
        <f t="shared" si="515"/>
        <v>7.4790307548928014E-2</v>
      </c>
      <c r="BL336" s="735">
        <f t="shared" si="515"/>
        <v>-2.3912058023572214E-2</v>
      </c>
      <c r="BM336" s="735">
        <f t="shared" si="515"/>
        <v>8.8973983556706937E-2</v>
      </c>
      <c r="BN336" s="737">
        <f t="shared" si="515"/>
        <v>3.4423813734158593E-2</v>
      </c>
      <c r="BO336" s="1104">
        <f t="shared" si="515"/>
        <v>0.1785243741765481</v>
      </c>
      <c r="BP336" s="1104">
        <f t="shared" si="515"/>
        <v>5.1918491220463991E-2</v>
      </c>
      <c r="BQ336" s="1104">
        <f t="shared" si="515"/>
        <v>9.9849065366306666E-2</v>
      </c>
      <c r="BR336" s="1104">
        <f t="shared" si="515"/>
        <v>-5.9364980866687289E-2</v>
      </c>
      <c r="BS336" s="737">
        <f t="shared" si="515"/>
        <v>5.7011795543905786E-2</v>
      </c>
      <c r="BT336" s="1104">
        <f t="shared" si="515"/>
        <v>-8.2727780883175006E-3</v>
      </c>
      <c r="BU336" s="735">
        <f t="shared" si="515"/>
        <v>-1.5146831530139071E-2</v>
      </c>
      <c r="BV336" s="735">
        <f t="shared" si="515"/>
        <v>1.0873007494985876E-2</v>
      </c>
      <c r="BW336" s="735">
        <f t="shared" si="515"/>
        <v>0.11203958218801557</v>
      </c>
      <c r="BX336" s="737">
        <f t="shared" si="515"/>
        <v>2.7494002533761108E-2</v>
      </c>
      <c r="BY336" s="1104">
        <f t="shared" si="515"/>
        <v>7.8232442791117185E-2</v>
      </c>
      <c r="BZ336" s="1104">
        <f t="shared" si="515"/>
        <v>7.6213643021552535E-2</v>
      </c>
      <c r="CA336" s="1104">
        <f t="shared" si="515"/>
        <v>0.12267335004177116</v>
      </c>
      <c r="CB336" s="1104">
        <f t="shared" si="515"/>
        <v>0.12180047458967747</v>
      </c>
      <c r="CC336" s="737">
        <f t="shared" si="515"/>
        <v>0.10045016920695682</v>
      </c>
      <c r="CD336" s="737">
        <f t="shared" ref="CD336:CH338" si="516">IF(ISERROR(CD106/CC106-1),"NM",(CD106/CC106-1))</f>
        <v>9.4449481096384513E-2</v>
      </c>
      <c r="CE336" s="737">
        <f t="shared" si="516"/>
        <v>4.0552519212440297E-2</v>
      </c>
      <c r="CF336" s="737">
        <f t="shared" si="516"/>
        <v>-4.9020329257543405E-2</v>
      </c>
      <c r="CG336" s="737">
        <f t="shared" si="516"/>
        <v>-0.13010686691901896</v>
      </c>
      <c r="CH336" s="737">
        <f t="shared" si="516"/>
        <v>-0.1361897751297414</v>
      </c>
    </row>
    <row r="337" spans="1:86">
      <c r="A337" s="9"/>
      <c r="B337" s="9"/>
      <c r="C337" s="9"/>
      <c r="D337" s="9"/>
      <c r="E337" s="9"/>
      <c r="F337" s="9"/>
      <c r="G337" s="9"/>
      <c r="H337" s="257" t="s">
        <v>231</v>
      </c>
      <c r="I337" s="257"/>
      <c r="L337" s="336">
        <v>0.3643521832498211</v>
      </c>
      <c r="M337" s="336">
        <v>0.53077975376197006</v>
      </c>
      <c r="N337" s="336">
        <v>0.21436227224008553</v>
      </c>
      <c r="O337" s="336">
        <v>0.12593283582089576</v>
      </c>
      <c r="P337" s="48">
        <v>0.28461202504003502</v>
      </c>
      <c r="Q337" s="325">
        <f t="shared" si="513"/>
        <v>0.19412381951731383</v>
      </c>
      <c r="R337" s="325">
        <f t="shared" si="513"/>
        <v>6.210902591599643E-2</v>
      </c>
      <c r="S337" s="325">
        <f t="shared" si="513"/>
        <v>7.1932921447484643E-2</v>
      </c>
      <c r="T337" s="325">
        <f t="shared" si="513"/>
        <v>4.2667771333885662E-2</v>
      </c>
      <c r="U337" s="48">
        <f t="shared" ref="U337:AD338" si="517">IF(ISERROR(U107/P107-1),"NM",(U107/P107-1))</f>
        <v>8.7828649138712578E-2</v>
      </c>
      <c r="V337" s="325">
        <f t="shared" si="517"/>
        <v>0.17223198594024591</v>
      </c>
      <c r="W337" s="325">
        <f t="shared" si="517"/>
        <v>0.14934791754312182</v>
      </c>
      <c r="X337" s="325">
        <f t="shared" si="517"/>
        <v>0.14162206669411281</v>
      </c>
      <c r="Y337" s="325">
        <f t="shared" si="517"/>
        <v>0.19507350019864922</v>
      </c>
      <c r="Z337" s="48">
        <f t="shared" si="517"/>
        <v>0.16480883425356807</v>
      </c>
      <c r="AA337" s="325">
        <f t="shared" si="517"/>
        <v>0.19902548725637215</v>
      </c>
      <c r="AB337" s="325">
        <f t="shared" si="517"/>
        <v>0.21376281112737883</v>
      </c>
      <c r="AC337" s="325">
        <f t="shared" si="517"/>
        <v>0.30256040389469874</v>
      </c>
      <c r="AD337" s="325">
        <f t="shared" si="517"/>
        <v>0.19215425531914887</v>
      </c>
      <c r="AE337" s="48">
        <f t="shared" ref="AE337:AN338" si="518">IF(ISERROR(AE107/Z107-1),"NM",(AE107/Z107-1))</f>
        <v>0.22645559431177897</v>
      </c>
      <c r="AF337" s="325">
        <f t="shared" si="518"/>
        <v>0.13785557986870911</v>
      </c>
      <c r="AG337" s="325">
        <f t="shared" si="518"/>
        <v>0.23884197828709297</v>
      </c>
      <c r="AH337" s="325">
        <f t="shared" si="518"/>
        <v>0.17497231450719819</v>
      </c>
      <c r="AI337" s="325">
        <f t="shared" si="518"/>
        <v>0.20329057445621879</v>
      </c>
      <c r="AJ337" s="48">
        <f t="shared" si="518"/>
        <v>0.18916356741777873</v>
      </c>
      <c r="AK337" s="325">
        <f t="shared" si="518"/>
        <v>0.13186813186813162</v>
      </c>
      <c r="AL337" s="325">
        <f t="shared" si="518"/>
        <v>0.11976630963972723</v>
      </c>
      <c r="AM337" s="325">
        <f t="shared" si="518"/>
        <v>0.13972667295004726</v>
      </c>
      <c r="AN337" s="325">
        <f t="shared" si="518"/>
        <v>-9.5249130938586335E-2</v>
      </c>
      <c r="AO337" s="339">
        <f t="shared" ref="AO337:AX338" si="519">IF(ISERROR(AO107/AJ107-1),"NM",(AO107/AJ107-1))</f>
        <v>7.0767155209419563E-2</v>
      </c>
      <c r="AP337" s="341">
        <f t="shared" si="519"/>
        <v>-0.22475728155339803</v>
      </c>
      <c r="AQ337" s="341">
        <f t="shared" si="519"/>
        <v>-0.37586956521739123</v>
      </c>
      <c r="AR337" s="341">
        <f t="shared" si="519"/>
        <v>-0.43994211287988427</v>
      </c>
      <c r="AS337" s="341">
        <f t="shared" si="519"/>
        <v>-0.29431352459016391</v>
      </c>
      <c r="AT337" s="345">
        <f t="shared" si="519"/>
        <v>-0.33972853788442825</v>
      </c>
      <c r="AU337" s="341">
        <f t="shared" si="519"/>
        <v>0.12523481527864733</v>
      </c>
      <c r="AV337" s="341">
        <f t="shared" si="519"/>
        <v>0.29362591431556928</v>
      </c>
      <c r="AW337" s="341">
        <f t="shared" si="519"/>
        <v>0.2886674049464748</v>
      </c>
      <c r="AX337" s="341">
        <f t="shared" si="519"/>
        <v>0.27586206896551735</v>
      </c>
      <c r="AY337" s="345">
        <f t="shared" ref="AY337:BH338" si="520">IF(ISERROR(AY107/AT107-1),"NM",(AY107/AT107-1))</f>
        <v>0.24156474976147124</v>
      </c>
      <c r="AZ337" s="341">
        <f t="shared" si="520"/>
        <v>-5.8987200890372793E-2</v>
      </c>
      <c r="BA337" s="341">
        <f t="shared" si="520"/>
        <v>8.077544426494665E-4</v>
      </c>
      <c r="BB337" s="341">
        <f t="shared" si="520"/>
        <v>6.7888857061014107E-2</v>
      </c>
      <c r="BC337" s="341">
        <f t="shared" si="520"/>
        <v>0.15561877667140811</v>
      </c>
      <c r="BD337" s="345">
        <f t="shared" si="520"/>
        <v>4.0170462484280911E-2</v>
      </c>
      <c r="BE337" s="341">
        <f t="shared" si="520"/>
        <v>-8.1608515671200421E-2</v>
      </c>
      <c r="BF337" s="341">
        <f t="shared" si="520"/>
        <v>8.4476728544525148E-2</v>
      </c>
      <c r="BG337" s="341">
        <f t="shared" si="520"/>
        <v>0.10729613733905574</v>
      </c>
      <c r="BH337" s="341">
        <f t="shared" si="520"/>
        <v>9.2811422944362398E-2</v>
      </c>
      <c r="BI337" s="345">
        <f t="shared" ref="BI337:BR338" si="521">IF(ISERROR(BI107/BD107-1),"NM",(BI107/BD107-1))</f>
        <v>5.4738397474645817E-2</v>
      </c>
      <c r="BJ337" s="341">
        <f t="shared" si="521"/>
        <v>0.17385705086928516</v>
      </c>
      <c r="BK337" s="341">
        <f t="shared" si="521"/>
        <v>0.28975440337385261</v>
      </c>
      <c r="BL337" s="341">
        <f t="shared" si="521"/>
        <v>5.9108527131782829E-2</v>
      </c>
      <c r="BM337" s="341">
        <f t="shared" si="521"/>
        <v>0.16760531651272803</v>
      </c>
      <c r="BN337" s="345">
        <f t="shared" si="521"/>
        <v>0.17167600611309219</v>
      </c>
      <c r="BO337" s="1103">
        <f t="shared" si="521"/>
        <v>0.30938014262205149</v>
      </c>
      <c r="BP337" s="1103">
        <f t="shared" si="521"/>
        <v>3.0775149067128194E-3</v>
      </c>
      <c r="BQ337" s="1103">
        <f t="shared" si="521"/>
        <v>0.1505032021957915</v>
      </c>
      <c r="BR337" s="1103">
        <f t="shared" si="521"/>
        <v>-8.7401119043025166E-2</v>
      </c>
      <c r="BS337" s="345">
        <f t="shared" ref="BS337:BX338" si="522">IF(ISERROR(BS107/BN107-1),"NM",(BS107/BN107-1))</f>
        <v>6.7119565217391264E-2</v>
      </c>
      <c r="BT337" s="1103">
        <f t="shared" si="522"/>
        <v>-2.8487641390867124E-2</v>
      </c>
      <c r="BU337" s="341">
        <f t="shared" si="522"/>
        <v>-3.4515819750717824E-3</v>
      </c>
      <c r="BV337" s="341">
        <f t="shared" si="522"/>
        <v>1.2524850894632289E-2</v>
      </c>
      <c r="BW337" s="341">
        <f t="shared" si="522"/>
        <v>0.17885835095137415</v>
      </c>
      <c r="BX337" s="345">
        <f t="shared" si="522"/>
        <v>4.4257703081232558E-2</v>
      </c>
      <c r="BY337" s="1103">
        <f t="shared" ref="BY337:CC338" si="523">IF(ISERROR(BY107/BT107-1),"NM",(BY107/BT107-1))</f>
        <v>0.10004312203535992</v>
      </c>
      <c r="BZ337" s="1103">
        <f t="shared" si="523"/>
        <v>9.8493361554743197E-2</v>
      </c>
      <c r="CA337" s="1103">
        <f t="shared" si="523"/>
        <v>0.18632436677793063</v>
      </c>
      <c r="CB337" s="1103">
        <f t="shared" si="523"/>
        <v>0.166499282639885</v>
      </c>
      <c r="CC337" s="345">
        <f t="shared" si="523"/>
        <v>0.13915431135388179</v>
      </c>
      <c r="CD337" s="345">
        <f t="shared" si="516"/>
        <v>0.12159259535167299</v>
      </c>
      <c r="CE337" s="345">
        <f t="shared" si="516"/>
        <v>5.0443978068719808E-2</v>
      </c>
      <c r="CF337" s="345">
        <f t="shared" si="516"/>
        <v>-1.2872025323235725E-2</v>
      </c>
      <c r="CG337" s="345">
        <f t="shared" si="516"/>
        <v>-0.18809562610545416</v>
      </c>
      <c r="CH337" s="345">
        <f t="shared" si="516"/>
        <v>-0.22655997863938138</v>
      </c>
    </row>
    <row r="338" spans="1:86">
      <c r="A338" s="9"/>
      <c r="B338" s="9"/>
      <c r="C338" s="9"/>
      <c r="D338" s="9"/>
      <c r="E338" s="9"/>
      <c r="F338" s="9"/>
      <c r="G338" s="9"/>
      <c r="H338" s="257" t="s">
        <v>232</v>
      </c>
      <c r="I338" s="257"/>
      <c r="L338" s="336">
        <v>0.36204663212435229</v>
      </c>
      <c r="M338" s="336">
        <v>0.3816656680647097</v>
      </c>
      <c r="N338" s="336">
        <v>0.37083333333333335</v>
      </c>
      <c r="O338" s="336">
        <v>0.30210526315789465</v>
      </c>
      <c r="P338" s="48">
        <v>0.35227440011776823</v>
      </c>
      <c r="Q338" s="325">
        <f t="shared" si="513"/>
        <v>0.1483594864479314</v>
      </c>
      <c r="R338" s="325">
        <f t="shared" si="513"/>
        <v>0.12315698178664358</v>
      </c>
      <c r="S338" s="325">
        <f t="shared" si="513"/>
        <v>0.16760746851932251</v>
      </c>
      <c r="T338" s="325">
        <f t="shared" si="513"/>
        <v>0.17623282134195639</v>
      </c>
      <c r="U338" s="48">
        <f t="shared" si="517"/>
        <v>0.15436533855867629</v>
      </c>
      <c r="V338" s="325">
        <f t="shared" si="517"/>
        <v>0.23395445134575565</v>
      </c>
      <c r="W338" s="325">
        <f t="shared" si="517"/>
        <v>0.27220077220077221</v>
      </c>
      <c r="X338" s="325">
        <f t="shared" si="517"/>
        <v>0.23503161026403885</v>
      </c>
      <c r="Y338" s="325">
        <f t="shared" si="517"/>
        <v>0.2673539518900343</v>
      </c>
      <c r="Z338" s="48">
        <f t="shared" si="517"/>
        <v>0.25273481705016976</v>
      </c>
      <c r="AA338" s="325">
        <f t="shared" si="517"/>
        <v>0.27181208053691286</v>
      </c>
      <c r="AB338" s="325">
        <f t="shared" si="517"/>
        <v>0.22883156297420348</v>
      </c>
      <c r="AC338" s="325">
        <f t="shared" si="517"/>
        <v>0.26076482987052074</v>
      </c>
      <c r="AD338" s="325">
        <f t="shared" si="517"/>
        <v>5.0704989154013003E-2</v>
      </c>
      <c r="AE338" s="48">
        <f t="shared" si="518"/>
        <v>0.19700391448358934</v>
      </c>
      <c r="AF338" s="325">
        <f t="shared" si="518"/>
        <v>-3.693931398416872E-2</v>
      </c>
      <c r="AG338" s="325">
        <f t="shared" si="518"/>
        <v>-0.13158804643121769</v>
      </c>
      <c r="AH338" s="325">
        <f t="shared" si="518"/>
        <v>-6.4724146166706409E-2</v>
      </c>
      <c r="AI338" s="325">
        <f t="shared" si="518"/>
        <v>9.0838709677419249E-2</v>
      </c>
      <c r="AJ338" s="48">
        <f t="shared" si="518"/>
        <v>-3.7217785044965757E-2</v>
      </c>
      <c r="AK338" s="325">
        <f t="shared" si="518"/>
        <v>0.15068493150684925</v>
      </c>
      <c r="AL338" s="325">
        <f t="shared" si="518"/>
        <v>0.15664637961435646</v>
      </c>
      <c r="AM338" s="325">
        <f t="shared" si="518"/>
        <v>7.1756894790602654E-2</v>
      </c>
      <c r="AN338" s="325">
        <f t="shared" si="518"/>
        <v>3.4303288384196939E-2</v>
      </c>
      <c r="AO338" s="339">
        <f t="shared" si="519"/>
        <v>9.973088077757164E-2</v>
      </c>
      <c r="AP338" s="341">
        <f t="shared" si="519"/>
        <v>5.6190476190475902E-2</v>
      </c>
      <c r="AQ338" s="341">
        <f t="shared" si="519"/>
        <v>0.12294074256208498</v>
      </c>
      <c r="AR338" s="341">
        <f t="shared" si="519"/>
        <v>0.10984036216344983</v>
      </c>
      <c r="AS338" s="341">
        <f t="shared" si="519"/>
        <v>0.10178408051235133</v>
      </c>
      <c r="AT338" s="345">
        <f t="shared" si="519"/>
        <v>9.7529104300308811E-2</v>
      </c>
      <c r="AU338" s="341">
        <f t="shared" si="519"/>
        <v>2.0288548241660376E-3</v>
      </c>
      <c r="AV338" s="341">
        <f t="shared" si="519"/>
        <v>4.0726954236917079E-2</v>
      </c>
      <c r="AW338" s="341">
        <f t="shared" si="519"/>
        <v>-4.9806784027479512E-2</v>
      </c>
      <c r="AX338" s="341">
        <f t="shared" si="519"/>
        <v>1.2455885405854294E-2</v>
      </c>
      <c r="AY338" s="345">
        <f t="shared" si="520"/>
        <v>1.2447234549195496E-3</v>
      </c>
      <c r="AZ338" s="341">
        <f t="shared" si="520"/>
        <v>-4.161979752530931E-2</v>
      </c>
      <c r="BA338" s="341">
        <f t="shared" si="520"/>
        <v>-8.1843046496949401E-2</v>
      </c>
      <c r="BB338" s="341">
        <f t="shared" si="520"/>
        <v>1.446000903750555E-2</v>
      </c>
      <c r="BC338" s="341">
        <f t="shared" si="520"/>
        <v>-3.9778552388763488E-2</v>
      </c>
      <c r="BD338" s="345">
        <f t="shared" si="520"/>
        <v>-3.8051997189341047E-2</v>
      </c>
      <c r="BE338" s="341">
        <f t="shared" si="520"/>
        <v>6.5023474178403706E-2</v>
      </c>
      <c r="BF338" s="341">
        <f t="shared" si="520"/>
        <v>4.3308890925756183E-2</v>
      </c>
      <c r="BG338" s="341">
        <f t="shared" si="520"/>
        <v>4.587973273942092E-2</v>
      </c>
      <c r="BH338" s="341">
        <f t="shared" si="520"/>
        <v>-5.1889814221652841E-2</v>
      </c>
      <c r="BI338" s="345">
        <f t="shared" si="521"/>
        <v>2.4105186267348255E-2</v>
      </c>
      <c r="BJ338" s="341">
        <f t="shared" si="521"/>
        <v>-0.13070310778047167</v>
      </c>
      <c r="BK338" s="341">
        <f t="shared" si="521"/>
        <v>-0.11552822314957178</v>
      </c>
      <c r="BL338" s="341">
        <f t="shared" si="521"/>
        <v>-9.6890971039182316E-2</v>
      </c>
      <c r="BM338" s="341">
        <f t="shared" si="521"/>
        <v>1.0360360360360366E-2</v>
      </c>
      <c r="BN338" s="345">
        <f t="shared" si="521"/>
        <v>-8.3836277844837159E-2</v>
      </c>
      <c r="BO338" s="1103">
        <f t="shared" si="521"/>
        <v>5.7555780933062906E-2</v>
      </c>
      <c r="BP338" s="1103">
        <f t="shared" si="521"/>
        <v>0.11497392599950329</v>
      </c>
      <c r="BQ338" s="1103">
        <f t="shared" si="521"/>
        <v>4.7630275878330464E-2</v>
      </c>
      <c r="BR338" s="1103">
        <f t="shared" si="521"/>
        <v>-2.6972804279982165E-2</v>
      </c>
      <c r="BS338" s="345">
        <f t="shared" si="522"/>
        <v>4.5873757336208021E-2</v>
      </c>
      <c r="BT338" s="1103">
        <f t="shared" si="522"/>
        <v>1.4864540877487453E-2</v>
      </c>
      <c r="BU338" s="341">
        <f t="shared" si="522"/>
        <v>-2.8730512249443119E-2</v>
      </c>
      <c r="BV338" s="341">
        <f t="shared" si="522"/>
        <v>9.0029259509341042E-3</v>
      </c>
      <c r="BW338" s="341">
        <f t="shared" si="522"/>
        <v>3.9633447880870643E-2</v>
      </c>
      <c r="BX338" s="345">
        <f t="shared" si="522"/>
        <v>8.646358222629269E-3</v>
      </c>
      <c r="BY338" s="1103">
        <f t="shared" si="523"/>
        <v>5.4334987006851021E-2</v>
      </c>
      <c r="BZ338" s="1103">
        <f t="shared" si="523"/>
        <v>4.9662921348314626E-2</v>
      </c>
      <c r="CA338" s="1103">
        <f t="shared" si="523"/>
        <v>5.0361365157260529E-2</v>
      </c>
      <c r="CB338" s="1103">
        <f t="shared" si="523"/>
        <v>6.6877479065667877E-2</v>
      </c>
      <c r="CC338" s="345">
        <f t="shared" si="523"/>
        <v>5.5398240136247612E-2</v>
      </c>
      <c r="CD338" s="345">
        <f t="shared" si="516"/>
        <v>6.0347326963170911E-2</v>
      </c>
      <c r="CE338" s="345">
        <f t="shared" si="516"/>
        <v>2.7407250308461695E-2</v>
      </c>
      <c r="CF338" s="345">
        <f t="shared" si="516"/>
        <v>-9.8136818926281788E-2</v>
      </c>
      <c r="CG338" s="345">
        <f t="shared" si="516"/>
        <v>-4.3865424026716227E-2</v>
      </c>
      <c r="CH338" s="345">
        <f t="shared" si="516"/>
        <v>-2.206411154043586E-2</v>
      </c>
    </row>
    <row r="339" spans="1:86" s="76" customFormat="1" ht="13.5">
      <c r="A339" s="85"/>
      <c r="B339" s="85"/>
      <c r="C339" s="85"/>
      <c r="D339" s="85"/>
      <c r="E339" s="85"/>
      <c r="F339" s="85"/>
      <c r="G339" s="85"/>
      <c r="H339" s="622" t="s">
        <v>1072</v>
      </c>
      <c r="L339" s="570"/>
      <c r="M339" s="570"/>
      <c r="N339" s="570"/>
      <c r="O339" s="570"/>
      <c r="P339" s="240"/>
      <c r="Q339" s="570"/>
      <c r="R339" s="570"/>
      <c r="S339" s="570"/>
      <c r="T339" s="570"/>
      <c r="U339" s="240"/>
      <c r="V339" s="570"/>
      <c r="W339" s="570"/>
      <c r="X339" s="570"/>
      <c r="Y339" s="570"/>
      <c r="Z339" s="240"/>
      <c r="AA339" s="570"/>
      <c r="AB339" s="570"/>
      <c r="AC339" s="570"/>
      <c r="AD339" s="570"/>
      <c r="AE339" s="240"/>
      <c r="AF339" s="265"/>
      <c r="AG339" s="265"/>
      <c r="AH339" s="265"/>
      <c r="AI339" s="265"/>
      <c r="AJ339" s="330"/>
      <c r="AK339" s="265"/>
      <c r="AL339" s="265"/>
      <c r="AM339" s="265"/>
      <c r="AN339" s="265"/>
      <c r="AO339" s="329"/>
      <c r="AP339" s="265"/>
      <c r="AQ339" s="265"/>
      <c r="AR339" s="265"/>
      <c r="AS339" s="265"/>
      <c r="AT339" s="329"/>
      <c r="AU339" s="265"/>
      <c r="AV339" s="265"/>
      <c r="AW339" s="265"/>
      <c r="AX339" s="265"/>
      <c r="AY339" s="329"/>
      <c r="AZ339" s="265"/>
      <c r="BA339" s="265"/>
      <c r="BB339" s="265"/>
      <c r="BC339" s="265"/>
      <c r="BD339" s="329"/>
      <c r="BE339" s="265"/>
      <c r="BF339" s="265"/>
      <c r="BG339" s="265"/>
      <c r="BH339" s="265"/>
      <c r="BI339" s="329"/>
      <c r="BJ339" s="265"/>
      <c r="BK339" s="265"/>
      <c r="BL339" s="265"/>
      <c r="BM339" s="265"/>
      <c r="BN339" s="329"/>
      <c r="BO339" s="265"/>
      <c r="BP339" s="265"/>
      <c r="BQ339" s="265"/>
      <c r="BR339" s="265"/>
      <c r="BS339" s="329"/>
      <c r="BT339" s="265"/>
      <c r="BU339" s="265"/>
      <c r="BV339" s="265"/>
      <c r="BW339" s="265"/>
      <c r="BX339" s="329"/>
      <c r="BY339" s="265"/>
      <c r="BZ339" s="265"/>
      <c r="CA339" s="265"/>
      <c r="CB339" s="1105">
        <f>IF(ISERROR(CB109/BW109-1),"NM",(CB109/BW109-1))</f>
        <v>3.7761904761904761</v>
      </c>
      <c r="CC339" s="736">
        <f>IF(ISERROR(CC109/BX109-1),"NM",(CC109/BX109-1))</f>
        <v>11.238095238095237</v>
      </c>
      <c r="CD339" s="329">
        <f>'REV-ANNUAL'!CD109/'REV-ANNUAL'!CC109-1</f>
        <v>1.132295719844358</v>
      </c>
      <c r="CE339" s="329">
        <f>'REV-ANNUAL'!CE109/'REV-ANNUAL'!CD109-1</f>
        <v>0.44890510948905105</v>
      </c>
      <c r="CF339" s="329">
        <f>'REV-ANNUAL'!CF109/'REV-ANNUAL'!CE109-1</f>
        <v>0.28916876574307304</v>
      </c>
      <c r="CG339" s="329">
        <f>'REV-ANNUAL'!CG109/'REV-ANNUAL'!CF109-1</f>
        <v>0.15463071512309501</v>
      </c>
      <c r="CH339" s="329">
        <f>'REV-ANNUAL'!CH109/'REV-ANNUAL'!CG109-1</f>
        <v>7.2494669509594933E-2</v>
      </c>
    </row>
    <row r="340" spans="1:86" s="76" customFormat="1" ht="13.5">
      <c r="A340" s="85"/>
      <c r="B340" s="85"/>
      <c r="C340" s="85"/>
      <c r="D340" s="85"/>
      <c r="E340" s="85"/>
      <c r="F340" s="85"/>
      <c r="G340" s="85"/>
      <c r="H340" s="623" t="s">
        <v>231</v>
      </c>
      <c r="L340" s="570"/>
      <c r="M340" s="570"/>
      <c r="N340" s="570"/>
      <c r="O340" s="570"/>
      <c r="P340" s="240"/>
      <c r="Q340" s="570"/>
      <c r="R340" s="570"/>
      <c r="S340" s="570"/>
      <c r="T340" s="570"/>
      <c r="U340" s="240"/>
      <c r="V340" s="570"/>
      <c r="W340" s="570"/>
      <c r="X340" s="570"/>
      <c r="Y340" s="570"/>
      <c r="Z340" s="240"/>
      <c r="AA340" s="570"/>
      <c r="AB340" s="570"/>
      <c r="AC340" s="570"/>
      <c r="AD340" s="570"/>
      <c r="AE340" s="240"/>
      <c r="AF340" s="269"/>
      <c r="AG340" s="269"/>
      <c r="AH340" s="269"/>
      <c r="AI340" s="269"/>
      <c r="AJ340" s="332"/>
      <c r="AK340" s="269"/>
      <c r="AL340" s="269"/>
      <c r="AM340" s="269"/>
      <c r="AN340" s="269"/>
      <c r="AO340" s="332"/>
      <c r="AP340" s="269"/>
      <c r="AQ340" s="269"/>
      <c r="AR340" s="269"/>
      <c r="AS340" s="269"/>
      <c r="AT340" s="332"/>
      <c r="AU340" s="269"/>
      <c r="AV340" s="269"/>
      <c r="AW340" s="269"/>
      <c r="AX340" s="269"/>
      <c r="AY340" s="332"/>
      <c r="AZ340" s="269"/>
      <c r="BA340" s="269"/>
      <c r="BB340" s="269"/>
      <c r="BC340" s="269"/>
      <c r="BD340" s="332"/>
      <c r="BE340" s="269"/>
      <c r="BF340" s="269"/>
      <c r="BG340" s="269"/>
      <c r="BH340" s="269"/>
      <c r="BI340" s="332"/>
      <c r="BJ340" s="269"/>
      <c r="BK340" s="269"/>
      <c r="BL340" s="269"/>
      <c r="BM340" s="269"/>
      <c r="BN340" s="332"/>
      <c r="BO340" s="269"/>
      <c r="BP340" s="269"/>
      <c r="BQ340" s="269"/>
      <c r="BR340" s="269"/>
      <c r="BS340" s="332"/>
      <c r="BT340" s="269"/>
      <c r="BU340" s="269"/>
      <c r="BV340" s="269"/>
      <c r="BW340" s="269"/>
      <c r="BX340" s="332"/>
      <c r="BY340" s="269"/>
      <c r="BZ340" s="269"/>
      <c r="CA340" s="269"/>
      <c r="CB340" s="1106">
        <v>3.3</v>
      </c>
      <c r="CC340" s="345">
        <f>IF(ISERROR(CC110/BX110-1),"NM",(CC110/BX110-1))</f>
        <v>10.428571428571429</v>
      </c>
      <c r="CD340" s="332">
        <v>1</v>
      </c>
      <c r="CE340" s="332">
        <v>0.3</v>
      </c>
      <c r="CF340" s="332">
        <v>0.15</v>
      </c>
      <c r="CG340" s="332">
        <v>0.05</v>
      </c>
      <c r="CH340" s="332">
        <v>0</v>
      </c>
    </row>
    <row r="341" spans="1:86" s="76" customFormat="1" ht="13.5">
      <c r="A341" s="85"/>
      <c r="B341" s="85"/>
      <c r="C341" s="85"/>
      <c r="D341" s="85"/>
      <c r="E341" s="85"/>
      <c r="F341" s="85"/>
      <c r="G341" s="85"/>
      <c r="H341" s="624" t="s">
        <v>232</v>
      </c>
      <c r="L341" s="570"/>
      <c r="M341" s="570"/>
      <c r="N341" s="570"/>
      <c r="O341" s="570"/>
      <c r="P341" s="240"/>
      <c r="Q341" s="570"/>
      <c r="R341" s="570"/>
      <c r="S341" s="570"/>
      <c r="T341" s="570"/>
      <c r="U341" s="240"/>
      <c r="V341" s="570"/>
      <c r="W341" s="570"/>
      <c r="X341" s="570"/>
      <c r="Y341" s="570"/>
      <c r="Z341" s="240"/>
      <c r="AA341" s="570"/>
      <c r="AB341" s="570"/>
      <c r="AC341" s="570"/>
      <c r="AD341" s="570"/>
      <c r="AE341" s="240"/>
      <c r="AF341" s="269"/>
      <c r="AG341" s="269"/>
      <c r="AH341" s="269"/>
      <c r="AI341" s="269"/>
      <c r="AJ341" s="332"/>
      <c r="AK341" s="269"/>
      <c r="AL341" s="269"/>
      <c r="AM341" s="269"/>
      <c r="AN341" s="269"/>
      <c r="AO341" s="332"/>
      <c r="AP341" s="269"/>
      <c r="AQ341" s="269"/>
      <c r="AR341" s="269"/>
      <c r="AS341" s="269"/>
      <c r="AT341" s="332"/>
      <c r="AU341" s="269"/>
      <c r="AV341" s="269"/>
      <c r="AW341" s="269"/>
      <c r="AX341" s="269"/>
      <c r="AY341" s="332"/>
      <c r="AZ341" s="269"/>
      <c r="BA341" s="269"/>
      <c r="BB341" s="269"/>
      <c r="BC341" s="269"/>
      <c r="BD341" s="332"/>
      <c r="BE341" s="269"/>
      <c r="BF341" s="269"/>
      <c r="BG341" s="269"/>
      <c r="BH341" s="269"/>
      <c r="BI341" s="332"/>
      <c r="BJ341" s="269"/>
      <c r="BK341" s="269"/>
      <c r="BL341" s="269"/>
      <c r="BM341" s="269"/>
      <c r="BN341" s="332"/>
      <c r="BO341" s="269"/>
      <c r="BP341" s="269"/>
      <c r="BQ341" s="269"/>
      <c r="BR341" s="269"/>
      <c r="BS341" s="332"/>
      <c r="BT341" s="269"/>
      <c r="BU341" s="269"/>
      <c r="BV341" s="269"/>
      <c r="BW341" s="269"/>
      <c r="BX341" s="332"/>
      <c r="BY341" s="269"/>
      <c r="BZ341" s="269"/>
      <c r="CA341" s="269"/>
      <c r="CB341" s="1106"/>
      <c r="CC341" s="345" t="str">
        <f>IF(ISERROR(CC111/BX111-1),"NM",(CC111/BX111-1))</f>
        <v>NM</v>
      </c>
      <c r="CD341" s="332">
        <v>3</v>
      </c>
      <c r="CE341" s="332">
        <v>1.5</v>
      </c>
      <c r="CF341" s="332">
        <v>0.8</v>
      </c>
      <c r="CG341" s="332">
        <v>0.4</v>
      </c>
      <c r="CH341" s="332">
        <v>0.2</v>
      </c>
    </row>
    <row r="342" spans="1:86">
      <c r="A342" s="9"/>
      <c r="B342" s="9"/>
      <c r="C342" s="9"/>
      <c r="D342" s="9"/>
      <c r="E342" s="9"/>
      <c r="F342" s="9"/>
      <c r="G342" s="9"/>
      <c r="H342" s="266" t="s">
        <v>737</v>
      </c>
      <c r="I342" s="266"/>
      <c r="L342" s="328">
        <v>9.1756272401433803E-2</v>
      </c>
      <c r="M342" s="328">
        <v>0.16945107398568027</v>
      </c>
      <c r="N342" s="328">
        <v>6.9075791493443894E-2</v>
      </c>
      <c r="O342" s="328">
        <v>7.0106221547799663E-2</v>
      </c>
      <c r="P342" s="330">
        <v>9.8806093042404175E-2</v>
      </c>
      <c r="Q342" s="328">
        <f>Q112/L112-1</f>
        <v>0.1122783978988835</v>
      </c>
      <c r="R342" s="328">
        <f>R112/M112-1</f>
        <v>1.4577259475219151E-3</v>
      </c>
      <c r="S342" s="328">
        <f>S112/N112-1</f>
        <v>6.0723900688004928E-2</v>
      </c>
      <c r="T342" s="328">
        <f>T112/O112-1</f>
        <v>5.3034600113442742E-2</v>
      </c>
      <c r="U342" s="330">
        <f t="shared" ref="U342:AD342" si="524">IF(ISERROR(U112/P112-1),"NM",(U112/P112-1))</f>
        <v>5.5226676657924356E-2</v>
      </c>
      <c r="V342" s="328">
        <f t="shared" si="524"/>
        <v>0.11245572609208976</v>
      </c>
      <c r="W342" s="328">
        <f t="shared" si="524"/>
        <v>0.1516739446870452</v>
      </c>
      <c r="X342" s="328">
        <f t="shared" si="524"/>
        <v>0.11223914269599544</v>
      </c>
      <c r="Y342" s="328">
        <f t="shared" si="524"/>
        <v>0.14597360624831679</v>
      </c>
      <c r="Z342" s="330">
        <f t="shared" si="524"/>
        <v>0.13080528334043473</v>
      </c>
      <c r="AA342" s="328">
        <f t="shared" si="524"/>
        <v>0.13080392677102681</v>
      </c>
      <c r="AB342" s="328">
        <f t="shared" si="524"/>
        <v>0.11248736097067735</v>
      </c>
      <c r="AC342" s="328">
        <f t="shared" si="524"/>
        <v>0.11587221095334699</v>
      </c>
      <c r="AD342" s="328">
        <f t="shared" si="524"/>
        <v>-2.8907168037602848E-2</v>
      </c>
      <c r="AE342" s="330">
        <f t="shared" ref="AE342:AN342" si="525">IF(ISERROR(AE112/Z112-1),"NM",(AE112/Z112-1))</f>
        <v>7.9879427279577975E-2</v>
      </c>
      <c r="AF342" s="328">
        <f t="shared" si="525"/>
        <v>-0.13725950258094777</v>
      </c>
      <c r="AG342" s="328">
        <f t="shared" si="525"/>
        <v>-0.19738695750965685</v>
      </c>
      <c r="AH342" s="328">
        <f t="shared" si="525"/>
        <v>-0.24608043626448539</v>
      </c>
      <c r="AI342" s="328">
        <f t="shared" si="525"/>
        <v>-0.24878993223620527</v>
      </c>
      <c r="AJ342" s="330">
        <f t="shared" si="525"/>
        <v>-0.20729820888578743</v>
      </c>
      <c r="AK342" s="328">
        <f t="shared" si="525"/>
        <v>-0.2172967092738648</v>
      </c>
      <c r="AL342" s="328">
        <f t="shared" si="525"/>
        <v>-0.16937972425898151</v>
      </c>
      <c r="AM342" s="328">
        <f t="shared" si="525"/>
        <v>-2.169981916817354E-2</v>
      </c>
      <c r="AN342" s="328">
        <f t="shared" si="525"/>
        <v>-0.21649484536082475</v>
      </c>
      <c r="AO342" s="352">
        <f t="shared" ref="AO342:AX342" si="526">IF(ISERROR(AO112/AJ112-1),"NM",(AO112/AJ112-1))</f>
        <v>-0.15708699830537076</v>
      </c>
      <c r="AP342" s="338">
        <f t="shared" si="526"/>
        <v>-0.45760945100764416</v>
      </c>
      <c r="AQ342" s="338">
        <f t="shared" si="526"/>
        <v>-0.6165644171779141</v>
      </c>
      <c r="AR342" s="338">
        <f t="shared" si="526"/>
        <v>-0.71996303142329032</v>
      </c>
      <c r="AS342" s="338">
        <f t="shared" si="526"/>
        <v>-0.61924342105263164</v>
      </c>
      <c r="AT342" s="736">
        <f t="shared" si="526"/>
        <v>-0.60652741514360309</v>
      </c>
      <c r="AU342" s="338">
        <f t="shared" si="526"/>
        <v>-0.45611787315823182</v>
      </c>
      <c r="AV342" s="338">
        <f t="shared" si="526"/>
        <v>-0.3235555555555556</v>
      </c>
      <c r="AW342" s="338">
        <f t="shared" si="526"/>
        <v>-0.32233223322332227</v>
      </c>
      <c r="AX342" s="338">
        <f t="shared" si="526"/>
        <v>-0.273218142548596</v>
      </c>
      <c r="AY342" s="736">
        <f t="shared" ref="AY342:BH342" si="527">IF(ISERROR(AY112/AT112-1),"NM",(AY112/AT112-1))</f>
        <v>-0.35877018358770196</v>
      </c>
      <c r="AZ342" s="338">
        <f t="shared" si="527"/>
        <v>-0.37926972909305068</v>
      </c>
      <c r="BA342" s="338">
        <f t="shared" si="527"/>
        <v>-0.37582128777923784</v>
      </c>
      <c r="BB342" s="338">
        <f t="shared" si="527"/>
        <v>-0.2808441558441559</v>
      </c>
      <c r="BC342" s="338">
        <f t="shared" si="527"/>
        <v>-0.27786032689450235</v>
      </c>
      <c r="BD342" s="736">
        <f t="shared" si="527"/>
        <v>-0.33390824422214549</v>
      </c>
      <c r="BE342" s="338">
        <f t="shared" si="527"/>
        <v>-0.20872865275142316</v>
      </c>
      <c r="BF342" s="338">
        <f t="shared" si="527"/>
        <v>-0.16210526315789475</v>
      </c>
      <c r="BG342" s="338">
        <f t="shared" si="527"/>
        <v>-0.14221218961625282</v>
      </c>
      <c r="BH342" s="338">
        <f t="shared" si="527"/>
        <v>-0.31893004115226331</v>
      </c>
      <c r="BI342" s="736">
        <f t="shared" ref="BI342:BR342" si="528">IF(ISERROR(BI112/BD112-1),"NM",(BI112/BD112-1))</f>
        <v>-0.20973588814085986</v>
      </c>
      <c r="BJ342" s="338">
        <f t="shared" si="528"/>
        <v>-0.27577937649880102</v>
      </c>
      <c r="BK342" s="338">
        <f t="shared" si="528"/>
        <v>-9.5477386934673336E-2</v>
      </c>
      <c r="BL342" s="338">
        <f t="shared" si="528"/>
        <v>-6.0526315789473761E-2</v>
      </c>
      <c r="BM342" s="338">
        <f t="shared" si="528"/>
        <v>0.37462235649546827</v>
      </c>
      <c r="BN342" s="736">
        <f t="shared" si="528"/>
        <v>-3.4076015727391828E-2</v>
      </c>
      <c r="BO342" s="1105">
        <f t="shared" si="528"/>
        <v>-2.3178807947019875E-2</v>
      </c>
      <c r="BP342" s="1105">
        <f t="shared" si="528"/>
        <v>-0.11111111111111116</v>
      </c>
      <c r="BQ342" s="1105">
        <f t="shared" si="528"/>
        <v>-0.21288515406162456</v>
      </c>
      <c r="BR342" s="1105">
        <f t="shared" si="528"/>
        <v>-0.52747252747252749</v>
      </c>
      <c r="BS342" s="736">
        <f t="shared" ref="BS342:BY342" si="529">IF(ISERROR(BS112/BN112-1),"NM",(BS112/BN112-1))</f>
        <v>-0.24626865671641784</v>
      </c>
      <c r="BT342" s="1105">
        <f t="shared" si="529"/>
        <v>-0.12542372881355934</v>
      </c>
      <c r="BU342" s="338">
        <f t="shared" si="529"/>
        <v>-0.13124999999999998</v>
      </c>
      <c r="BV342" s="338">
        <f t="shared" si="529"/>
        <v>-4.2704626334519658E-2</v>
      </c>
      <c r="BW342" s="338">
        <f t="shared" si="529"/>
        <v>0.413953488372093</v>
      </c>
      <c r="BX342" s="736">
        <f t="shared" si="529"/>
        <v>-1.8001800180018623E-3</v>
      </c>
      <c r="BY342" s="1105">
        <f t="shared" si="529"/>
        <v>-1</v>
      </c>
      <c r="BZ342" s="1105">
        <f>IF(ISERROR(BZ112/BU112-1),"NM",(BZ112/BU112-1))</f>
        <v>-1</v>
      </c>
      <c r="CA342" s="1105">
        <f>IF(ISERROR(CA112/BV112-1),"NM",(CA112/BV112-1))</f>
        <v>-1</v>
      </c>
      <c r="CB342" s="1105">
        <f>IF(ISERROR(CB112/BW112-1),"NM",(CB112/BW112-1))</f>
        <v>-1</v>
      </c>
      <c r="CC342" s="736">
        <f t="shared" ref="CC342:CC350" si="530">IF(ISERROR(CC112/BX112-1),"NM",(CC112/BX112-1))</f>
        <v>-1</v>
      </c>
      <c r="CD342" s="736" t="str">
        <f>IF(ISERROR(CD112/CC112-1),"NM",(CD112/CC112-1))</f>
        <v>NM</v>
      </c>
      <c r="CE342" s="736" t="str">
        <f>IF(ISERROR(CE112/CD112-1),"NM",(CE112/CD112-1))</f>
        <v>NM</v>
      </c>
      <c r="CF342" s="736" t="str">
        <f>IF(ISERROR(CF112/CE112-1),"NM",(CF112/CE112-1))</f>
        <v>NM</v>
      </c>
      <c r="CG342" s="736" t="str">
        <f>IF(ISERROR(CG112/CF112-1),"NM",(CG112/CF112-1))</f>
        <v>NM</v>
      </c>
      <c r="CH342" s="736" t="str">
        <f>IF(ISERROR(CH112/CG112-1),"NM",(CH112/CG112-1))</f>
        <v>NM</v>
      </c>
    </row>
    <row r="343" spans="1:86">
      <c r="A343" s="9"/>
      <c r="B343" s="9"/>
      <c r="C343" s="9"/>
      <c r="D343" s="9"/>
      <c r="E343" s="9"/>
      <c r="F343" s="9"/>
      <c r="G343" s="9"/>
      <c r="H343" s="257" t="s">
        <v>1169</v>
      </c>
      <c r="I343" s="257"/>
      <c r="L343" s="336">
        <v>-9.3676814988289392E-3</v>
      </c>
      <c r="M343" s="336">
        <v>0.19212962962962976</v>
      </c>
      <c r="N343" s="336">
        <v>-1.707156927117548E-2</v>
      </c>
      <c r="O343" s="336">
        <v>-1.2894906511926596E-3</v>
      </c>
      <c r="P343" s="48">
        <v>3.6984604494779694E-2</v>
      </c>
      <c r="Q343" s="336">
        <f t="shared" ref="Q343:T344" si="531">(Q113/L113)-1</f>
        <v>0.17966903073286034</v>
      </c>
      <c r="R343" s="336">
        <f t="shared" si="531"/>
        <v>-2.9126213592232997E-2</v>
      </c>
      <c r="S343" s="336">
        <f t="shared" si="531"/>
        <v>2.2044088176352838E-2</v>
      </c>
      <c r="T343" s="336">
        <f t="shared" si="531"/>
        <v>1.4202711426726911E-2</v>
      </c>
      <c r="U343" s="48">
        <f t="shared" ref="U343:AD350" si="532">IF(ISERROR(U113/P113-1),"NM",(U113/P113-1))</f>
        <v>4.0614334470989721E-2</v>
      </c>
      <c r="V343" s="325">
        <f t="shared" si="532"/>
        <v>8.6840347361389458E-2</v>
      </c>
      <c r="W343" s="325">
        <f t="shared" si="532"/>
        <v>0.1053333333333335</v>
      </c>
      <c r="X343" s="325">
        <f t="shared" si="532"/>
        <v>8.8235294117646967E-2</v>
      </c>
      <c r="Y343" s="325">
        <f t="shared" si="532"/>
        <v>0.11394016549968167</v>
      </c>
      <c r="Z343" s="48">
        <f t="shared" si="532"/>
        <v>9.8720892095769175E-2</v>
      </c>
      <c r="AA343" s="325">
        <f t="shared" si="532"/>
        <v>7.9901659496004918E-2</v>
      </c>
      <c r="AB343" s="325">
        <f t="shared" si="532"/>
        <v>0.10554885404101322</v>
      </c>
      <c r="AC343" s="325">
        <f t="shared" si="532"/>
        <v>0.13633633633633635</v>
      </c>
      <c r="AD343" s="325">
        <f t="shared" si="532"/>
        <v>6.5714285714285614E-2</v>
      </c>
      <c r="AE343" s="276">
        <f t="shared" ref="AE343:AN350" si="533">IF(ISERROR(AE113/Z113-1),"NM",(AE113/Z113-1))</f>
        <v>9.6567164179104603E-2</v>
      </c>
      <c r="AF343" s="325">
        <f t="shared" si="533"/>
        <v>-3.585657370517914E-2</v>
      </c>
      <c r="AG343" s="325">
        <f t="shared" si="533"/>
        <v>6.7103109656301063E-2</v>
      </c>
      <c r="AH343" s="325">
        <f t="shared" si="533"/>
        <v>9.5137420718816035E-3</v>
      </c>
      <c r="AI343" s="325">
        <f t="shared" si="533"/>
        <v>2.5737265415549659E-2</v>
      </c>
      <c r="AJ343" s="276">
        <f t="shared" si="533"/>
        <v>1.7149857084524101E-2</v>
      </c>
      <c r="AK343" s="325">
        <f t="shared" si="533"/>
        <v>2.5383707201888983E-2</v>
      </c>
      <c r="AL343" s="325">
        <f t="shared" si="533"/>
        <v>-2.9652351738241212E-2</v>
      </c>
      <c r="AM343" s="325">
        <f t="shared" si="533"/>
        <v>0.15026178010471192</v>
      </c>
      <c r="AN343" s="325">
        <f t="shared" si="533"/>
        <v>-0.26764244641923685</v>
      </c>
      <c r="AO343" s="345">
        <f t="shared" ref="AO343:AX350" si="534">IF(ISERROR(AO113/AJ113-1),"NM",(AO113/AJ113-1))</f>
        <v>-3.2115616218385989E-2</v>
      </c>
      <c r="AP343" s="341">
        <f t="shared" si="534"/>
        <v>-0.65860679332181915</v>
      </c>
      <c r="AQ343" s="341">
        <f t="shared" si="534"/>
        <v>-0.90937829293993677</v>
      </c>
      <c r="AR343" s="341">
        <f t="shared" si="534"/>
        <v>-1.0191169776968594</v>
      </c>
      <c r="AS343" s="341">
        <f t="shared" si="534"/>
        <v>-1.0121341898643825</v>
      </c>
      <c r="AT343" s="339">
        <f t="shared" si="534"/>
        <v>-0.9023918152910273</v>
      </c>
      <c r="AU343" s="341">
        <f t="shared" si="534"/>
        <v>-0.77234401349072512</v>
      </c>
      <c r="AV343" s="341">
        <f t="shared" si="534"/>
        <v>-0.70348837209302328</v>
      </c>
      <c r="AW343" s="341">
        <f t="shared" si="534"/>
        <v>-0.88095238095238093</v>
      </c>
      <c r="AX343" s="341">
        <f t="shared" si="534"/>
        <v>-0.94117647058823528</v>
      </c>
      <c r="AY343" s="339">
        <f t="shared" ref="AY343:BH350" si="535">IF(ISERROR(AY113/AT113-1),"NM",(AY113/AT113-1))</f>
        <v>-0.74504249291784697</v>
      </c>
      <c r="AZ343" s="341">
        <f t="shared" si="535"/>
        <v>-0.96296296296296302</v>
      </c>
      <c r="BA343" s="341">
        <f t="shared" si="535"/>
        <v>-1</v>
      </c>
      <c r="BB343" s="341">
        <f t="shared" si="535"/>
        <v>-1</v>
      </c>
      <c r="BC343" s="341">
        <f t="shared" si="535"/>
        <v>0</v>
      </c>
      <c r="BD343" s="344">
        <f t="shared" si="535"/>
        <v>-0.97777777777777775</v>
      </c>
      <c r="BE343" s="341">
        <f t="shared" si="535"/>
        <v>-1</v>
      </c>
      <c r="BF343" s="341" t="str">
        <f t="shared" si="535"/>
        <v>NM</v>
      </c>
      <c r="BG343" s="341" t="str">
        <f t="shared" si="535"/>
        <v>NM</v>
      </c>
      <c r="BH343" s="341">
        <f t="shared" si="535"/>
        <v>0</v>
      </c>
      <c r="BI343" s="345">
        <f t="shared" ref="BI343:BR350" si="536">IF(ISERROR(BI113/BD113-1),"NM",(BI113/BD113-1))</f>
        <v>-1.75</v>
      </c>
      <c r="BJ343" s="341" t="str">
        <f t="shared" si="536"/>
        <v>NM</v>
      </c>
      <c r="BK343" s="341">
        <f t="shared" si="536"/>
        <v>-46</v>
      </c>
      <c r="BL343" s="341">
        <f t="shared" si="536"/>
        <v>-74</v>
      </c>
      <c r="BM343" s="341">
        <f t="shared" si="536"/>
        <v>-147</v>
      </c>
      <c r="BN343" s="345">
        <f t="shared" si="536"/>
        <v>-88.666666666666643</v>
      </c>
      <c r="BO343" s="341">
        <f t="shared" si="536"/>
        <v>-7.9999999999999991</v>
      </c>
      <c r="BP343" s="341">
        <f t="shared" si="536"/>
        <v>-0.55555555555555558</v>
      </c>
      <c r="BQ343" s="341">
        <f t="shared" si="536"/>
        <v>-1.0273972602739727</v>
      </c>
      <c r="BR343" s="341">
        <f t="shared" si="536"/>
        <v>-1.3287671232876712</v>
      </c>
      <c r="BS343" s="345">
        <f t="shared" ref="BS343:BY350" si="537">IF(ISERROR(BS113/BN113-1),"NM",(BS113/BN113-1))</f>
        <v>-1.0874524714828897</v>
      </c>
      <c r="BT343" s="341">
        <f t="shared" si="537"/>
        <v>-1</v>
      </c>
      <c r="BU343" s="341">
        <f t="shared" si="537"/>
        <v>-9.9999999999999978E-2</v>
      </c>
      <c r="BV343" s="341">
        <f t="shared" si="537"/>
        <v>4.5</v>
      </c>
      <c r="BW343" s="341">
        <f t="shared" si="537"/>
        <v>-1.6041666666666665</v>
      </c>
      <c r="BX343" s="345">
        <f t="shared" ref="BX343:BX350" si="538">IF(ISERROR(BX113/BS113-1),"NM",(BX113/BS113-1))</f>
        <v>-2.5652173913043477</v>
      </c>
      <c r="BY343" s="341" t="str">
        <f t="shared" si="537"/>
        <v>NM</v>
      </c>
      <c r="BZ343" s="1106">
        <v>-1</v>
      </c>
      <c r="CA343" s="1106">
        <v>-1</v>
      </c>
      <c r="CB343" s="1106">
        <v>-1</v>
      </c>
      <c r="CC343" s="345">
        <f t="shared" si="530"/>
        <v>-1</v>
      </c>
      <c r="CD343" s="909">
        <v>0</v>
      </c>
      <c r="CE343" s="909">
        <v>0</v>
      </c>
      <c r="CF343" s="909">
        <v>0</v>
      </c>
      <c r="CG343" s="909">
        <v>0</v>
      </c>
      <c r="CH343" s="909">
        <v>0</v>
      </c>
    </row>
    <row r="344" spans="1:86">
      <c r="A344" s="9"/>
      <c r="B344" s="9"/>
      <c r="C344" s="9"/>
      <c r="D344" s="9"/>
      <c r="E344" s="9"/>
      <c r="F344" s="9"/>
      <c r="G344" s="9"/>
      <c r="H344" s="257" t="s">
        <v>1170</v>
      </c>
      <c r="I344" s="257"/>
      <c r="L344" s="336">
        <v>0.17760106030483747</v>
      </c>
      <c r="M344" s="336">
        <v>0.15149664019547959</v>
      </c>
      <c r="N344" s="336">
        <v>0.1508728179551122</v>
      </c>
      <c r="O344" s="336">
        <v>0.13360091743119251</v>
      </c>
      <c r="P344" s="48">
        <v>0.15260240221743149</v>
      </c>
      <c r="Q344" s="336">
        <f t="shared" si="531"/>
        <v>6.4153066966798011E-2</v>
      </c>
      <c r="R344" s="336">
        <f t="shared" si="531"/>
        <v>2.6525198938992078E-2</v>
      </c>
      <c r="S344" s="336">
        <f t="shared" si="531"/>
        <v>9.2091007583965379E-2</v>
      </c>
      <c r="T344" s="336">
        <f t="shared" si="531"/>
        <v>8.3459787556904308E-2</v>
      </c>
      <c r="U344" s="48">
        <f t="shared" si="532"/>
        <v>6.6666666666666874E-2</v>
      </c>
      <c r="V344" s="325">
        <f t="shared" si="532"/>
        <v>0.13273400317292428</v>
      </c>
      <c r="W344" s="325">
        <f t="shared" si="532"/>
        <v>0.18759689922480627</v>
      </c>
      <c r="X344" s="325">
        <f t="shared" si="532"/>
        <v>0.1304563492063493</v>
      </c>
      <c r="Y344" s="325">
        <f t="shared" si="532"/>
        <v>0.169467787114846</v>
      </c>
      <c r="Z344" s="48">
        <f t="shared" si="532"/>
        <v>0.15531062124248485</v>
      </c>
      <c r="AA344" s="325">
        <f t="shared" si="532"/>
        <v>0.169467787114846</v>
      </c>
      <c r="AB344" s="325">
        <f t="shared" si="532"/>
        <v>0.11749347258485643</v>
      </c>
      <c r="AC344" s="325">
        <f t="shared" si="532"/>
        <v>0.1009214567792891</v>
      </c>
      <c r="AD344" s="325">
        <f t="shared" si="532"/>
        <v>-9.5009980039920228E-2</v>
      </c>
      <c r="AE344" s="276">
        <f t="shared" si="533"/>
        <v>6.7758022549869956E-2</v>
      </c>
      <c r="AF344" s="325">
        <f t="shared" si="533"/>
        <v>-0.20838323353293409</v>
      </c>
      <c r="AG344" s="325">
        <f t="shared" si="533"/>
        <v>-0.38617601246105926</v>
      </c>
      <c r="AH344" s="325">
        <f t="shared" si="533"/>
        <v>-0.43882024711040257</v>
      </c>
      <c r="AI344" s="325">
        <f t="shared" si="533"/>
        <v>-0.47463608292898107</v>
      </c>
      <c r="AJ344" s="276">
        <f t="shared" si="533"/>
        <v>-0.37472839882221542</v>
      </c>
      <c r="AK344" s="325">
        <f t="shared" si="533"/>
        <v>-0.42460917801311149</v>
      </c>
      <c r="AL344" s="325">
        <f t="shared" si="533"/>
        <v>-0.34276470215060584</v>
      </c>
      <c r="AM344" s="325">
        <f t="shared" si="533"/>
        <v>-0.25497159090909094</v>
      </c>
      <c r="AN344" s="325">
        <f t="shared" si="533"/>
        <v>-0.13434089000839633</v>
      </c>
      <c r="AO344" s="345">
        <f t="shared" si="534"/>
        <v>-0.30873780101651427</v>
      </c>
      <c r="AP344" s="341">
        <f t="shared" si="534"/>
        <v>-0.15162138475021913</v>
      </c>
      <c r="AQ344" s="341">
        <f t="shared" si="534"/>
        <v>-8.0115830115830122E-2</v>
      </c>
      <c r="AR344" s="341">
        <f t="shared" si="534"/>
        <v>-9.3422306959008661E-2</v>
      </c>
      <c r="AS344" s="341">
        <f t="shared" si="534"/>
        <v>-8.5354025218234653E-2</v>
      </c>
      <c r="AT344" s="339">
        <f t="shared" si="534"/>
        <v>-0.10382898754991787</v>
      </c>
      <c r="AU344" s="341">
        <f t="shared" si="534"/>
        <v>-0.26239669421487599</v>
      </c>
      <c r="AV344" s="341">
        <f t="shared" si="534"/>
        <v>-0.25498426023084997</v>
      </c>
      <c r="AW344" s="341">
        <f t="shared" si="534"/>
        <v>-0.34700315457413244</v>
      </c>
      <c r="AX344" s="341">
        <f t="shared" si="534"/>
        <v>-0.28525980911983029</v>
      </c>
      <c r="AY344" s="339">
        <f t="shared" si="535"/>
        <v>-0.28728702490170388</v>
      </c>
      <c r="AZ344" s="341">
        <f t="shared" si="535"/>
        <v>-0.26890756302521013</v>
      </c>
      <c r="BA344" s="341">
        <f t="shared" si="535"/>
        <v>-0.33098591549295775</v>
      </c>
      <c r="BB344" s="341">
        <f t="shared" si="535"/>
        <v>-0.28663446054750408</v>
      </c>
      <c r="BC344" s="341">
        <f t="shared" si="535"/>
        <v>-0.27744807121661719</v>
      </c>
      <c r="BD344" s="344">
        <f t="shared" si="535"/>
        <v>-0.29128356013240164</v>
      </c>
      <c r="BE344" s="341">
        <f t="shared" si="535"/>
        <v>-0.20114942528735635</v>
      </c>
      <c r="BF344" s="341">
        <f t="shared" si="535"/>
        <v>-0.16000000000000003</v>
      </c>
      <c r="BG344" s="341">
        <f t="shared" si="535"/>
        <v>-0.13995485327313761</v>
      </c>
      <c r="BH344" s="341">
        <f t="shared" si="535"/>
        <v>-0.31827515400410678</v>
      </c>
      <c r="BI344" s="345">
        <f t="shared" si="536"/>
        <v>-0.20653866113129227</v>
      </c>
      <c r="BJ344" s="341">
        <f t="shared" si="536"/>
        <v>-0.27338129496402885</v>
      </c>
      <c r="BK344" s="341">
        <f t="shared" si="536"/>
        <v>-0.21052631578947367</v>
      </c>
      <c r="BL344" s="341">
        <f t="shared" si="536"/>
        <v>-0.25459317585301844</v>
      </c>
      <c r="BM344" s="341">
        <f t="shared" si="536"/>
        <v>-6.9277108433735024E-2</v>
      </c>
      <c r="BN344" s="345">
        <f t="shared" si="536"/>
        <v>-0.20797907128842374</v>
      </c>
      <c r="BO344" s="341">
        <f t="shared" si="536"/>
        <v>-4.9504950495049549E-2</v>
      </c>
      <c r="BP344" s="341">
        <f t="shared" si="536"/>
        <v>-4.7619047619047672E-2</v>
      </c>
      <c r="BQ344" s="341">
        <f t="shared" si="536"/>
        <v>-3.5211267605632646E-3</v>
      </c>
      <c r="BR344" s="341">
        <f t="shared" si="536"/>
        <v>-0.1488673139158575</v>
      </c>
      <c r="BS344" s="345">
        <f t="shared" si="537"/>
        <v>-6.3583815028901758E-2</v>
      </c>
      <c r="BT344" s="341">
        <f t="shared" si="537"/>
        <v>-0.10416666666666663</v>
      </c>
      <c r="BU344" s="341">
        <f t="shared" si="537"/>
        <v>-0.1333333333333333</v>
      </c>
      <c r="BV344" s="341">
        <f t="shared" si="537"/>
        <v>-1.0600706713780994E-2</v>
      </c>
      <c r="BW344" s="341">
        <f t="shared" si="537"/>
        <v>4.5627376425855459E-2</v>
      </c>
      <c r="BX344" s="345">
        <f t="shared" si="538"/>
        <v>-5.3791887125220428E-2</v>
      </c>
      <c r="BY344" s="341">
        <f t="shared" si="537"/>
        <v>-1</v>
      </c>
      <c r="BZ344" s="1106">
        <v>-0.05</v>
      </c>
      <c r="CA344" s="1106">
        <v>-0.05</v>
      </c>
      <c r="CB344" s="1106">
        <v>-0.05</v>
      </c>
      <c r="CC344" s="345">
        <f t="shared" si="530"/>
        <v>-1</v>
      </c>
      <c r="CD344" s="909">
        <v>-0.05</v>
      </c>
      <c r="CE344" s="909">
        <v>-0.05</v>
      </c>
      <c r="CF344" s="909">
        <v>-0.05</v>
      </c>
      <c r="CG344" s="909">
        <v>-0.05</v>
      </c>
      <c r="CH344" s="909">
        <v>-0.05</v>
      </c>
    </row>
    <row r="345" spans="1:86">
      <c r="A345" s="9"/>
      <c r="B345" s="9"/>
      <c r="C345" s="9"/>
      <c r="D345" s="9"/>
      <c r="E345" s="9"/>
      <c r="F345" s="9"/>
      <c r="G345" s="9"/>
      <c r="H345" s="266" t="s">
        <v>738</v>
      </c>
      <c r="I345" s="266"/>
      <c r="L345" s="328">
        <v>7.0948275862068968</v>
      </c>
      <c r="M345" s="328">
        <v>5.2415730337078648</v>
      </c>
      <c r="N345" s="328">
        <v>2.0575000000000001</v>
      </c>
      <c r="O345" s="328">
        <v>0.85909712722298237</v>
      </c>
      <c r="P345" s="330">
        <v>2.2505263157894739</v>
      </c>
      <c r="Q345" s="328">
        <f>Q115/L115-1</f>
        <v>0.38551650692225792</v>
      </c>
      <c r="R345" s="328">
        <f>R115/M115-1</f>
        <v>0.37803780378037821</v>
      </c>
      <c r="S345" s="328">
        <f>S115/N115-1</f>
        <v>0.28536385936222408</v>
      </c>
      <c r="T345" s="328">
        <f>T115/O115-1</f>
        <v>0.26122148638704901</v>
      </c>
      <c r="U345" s="330">
        <f t="shared" si="532"/>
        <v>0.32081174438687388</v>
      </c>
      <c r="V345" s="328">
        <f t="shared" si="532"/>
        <v>0.44427363566487266</v>
      </c>
      <c r="W345" s="328">
        <f t="shared" si="532"/>
        <v>0.35271064663618534</v>
      </c>
      <c r="X345" s="328">
        <f t="shared" si="532"/>
        <v>0.36768447837150142</v>
      </c>
      <c r="Y345" s="328">
        <f t="shared" si="532"/>
        <v>0.42415402567094529</v>
      </c>
      <c r="Z345" s="330">
        <f t="shared" si="532"/>
        <v>0.39604445897352081</v>
      </c>
      <c r="AA345" s="328">
        <f t="shared" si="532"/>
        <v>0.31559340074507736</v>
      </c>
      <c r="AB345" s="328">
        <f t="shared" si="532"/>
        <v>0.3278609367455334</v>
      </c>
      <c r="AC345" s="328">
        <f t="shared" si="532"/>
        <v>0.45999999999999996</v>
      </c>
      <c r="AD345" s="328">
        <f t="shared" si="532"/>
        <v>0.30561245391233105</v>
      </c>
      <c r="AE345" s="330">
        <f t="shared" si="533"/>
        <v>0.35206650275143425</v>
      </c>
      <c r="AF345" s="328">
        <f t="shared" si="533"/>
        <v>0.35598705501618144</v>
      </c>
      <c r="AG345" s="328">
        <f t="shared" si="533"/>
        <v>0.40109090909090916</v>
      </c>
      <c r="AH345" s="328">
        <f t="shared" si="533"/>
        <v>0.47148773494743557</v>
      </c>
      <c r="AI345" s="328">
        <f t="shared" si="533"/>
        <v>0.64292438029494825</v>
      </c>
      <c r="AJ345" s="330">
        <f t="shared" si="533"/>
        <v>0.4773120886733635</v>
      </c>
      <c r="AK345" s="328">
        <f t="shared" si="533"/>
        <v>0.57309069212410457</v>
      </c>
      <c r="AL345" s="328">
        <f t="shared" si="533"/>
        <v>0.43239034518556951</v>
      </c>
      <c r="AM345" s="328">
        <f t="shared" si="533"/>
        <v>0.21303312405282515</v>
      </c>
      <c r="AN345" s="328">
        <f t="shared" si="533"/>
        <v>8.6898395721925148E-2</v>
      </c>
      <c r="AO345" s="352">
        <f t="shared" si="534"/>
        <v>0.29460726846424379</v>
      </c>
      <c r="AP345" s="338">
        <f t="shared" si="534"/>
        <v>9.9753461027877854E-2</v>
      </c>
      <c r="AQ345" s="338">
        <f t="shared" si="534"/>
        <v>0.11143323065772792</v>
      </c>
      <c r="AR345" s="338">
        <f t="shared" si="534"/>
        <v>0.12386221666964148</v>
      </c>
      <c r="AS345" s="338">
        <f t="shared" si="534"/>
        <v>0.12141978562642763</v>
      </c>
      <c r="AT345" s="736">
        <f t="shared" si="534"/>
        <v>0.11437109481119268</v>
      </c>
      <c r="AU345" s="338">
        <f t="shared" si="534"/>
        <v>4.6387308156578655E-2</v>
      </c>
      <c r="AV345" s="338">
        <f t="shared" si="534"/>
        <v>7.5154874470166222E-2</v>
      </c>
      <c r="AW345" s="338">
        <f t="shared" si="534"/>
        <v>2.2074003493727234E-2</v>
      </c>
      <c r="AX345" s="338">
        <f t="shared" si="534"/>
        <v>7.2234409276088929E-2</v>
      </c>
      <c r="AY345" s="736">
        <f t="shared" si="535"/>
        <v>5.4038680318543975E-2</v>
      </c>
      <c r="AZ345" s="338">
        <f t="shared" si="535"/>
        <v>1.6479894528675043E-2</v>
      </c>
      <c r="BA345" s="338">
        <f t="shared" si="535"/>
        <v>1.501137225170579E-2</v>
      </c>
      <c r="BB345" s="338">
        <f t="shared" si="535"/>
        <v>7.2871348663766211E-2</v>
      </c>
      <c r="BC345" s="338">
        <f t="shared" si="535"/>
        <v>6.1230454479029861E-2</v>
      </c>
      <c r="BD345" s="736">
        <f t="shared" si="535"/>
        <v>4.190116413537881E-2</v>
      </c>
      <c r="BE345" s="338">
        <f t="shared" si="535"/>
        <v>2.4643320363164856E-2</v>
      </c>
      <c r="BF345" s="338">
        <f t="shared" si="535"/>
        <v>6.3041529728114831E-2</v>
      </c>
      <c r="BG345" s="338">
        <f t="shared" si="535"/>
        <v>4.7646632874728478E-2</v>
      </c>
      <c r="BH345" s="338">
        <f t="shared" si="535"/>
        <v>-1.6524373450840235E-3</v>
      </c>
      <c r="BI345" s="736">
        <f t="shared" si="536"/>
        <v>3.29645935846683E-2</v>
      </c>
      <c r="BJ345" s="338">
        <f t="shared" si="536"/>
        <v>-9.3354430379746889E-2</v>
      </c>
      <c r="BK345" s="338">
        <f t="shared" si="536"/>
        <v>-6.6469926925239009E-2</v>
      </c>
      <c r="BL345" s="338">
        <f t="shared" si="536"/>
        <v>-0.13118606580038705</v>
      </c>
      <c r="BM345" s="338">
        <f t="shared" si="536"/>
        <v>-0.13489655172413784</v>
      </c>
      <c r="BN345" s="736">
        <f t="shared" si="536"/>
        <v>-0.10709169054441259</v>
      </c>
      <c r="BO345" s="338">
        <f t="shared" si="536"/>
        <v>-1.5357766143106355E-2</v>
      </c>
      <c r="BP345" s="338">
        <f t="shared" si="536"/>
        <v>-8.6105675146770921E-2</v>
      </c>
      <c r="BQ345" s="1105">
        <f t="shared" si="536"/>
        <v>-9.2442322991248993E-2</v>
      </c>
      <c r="BR345" s="1105">
        <f t="shared" si="536"/>
        <v>-0.13663903061224492</v>
      </c>
      <c r="BS345" s="736">
        <f t="shared" si="537"/>
        <v>-8.415563578018459E-2</v>
      </c>
      <c r="BT345" s="338">
        <f t="shared" si="537"/>
        <v>-0.13169088975540588</v>
      </c>
      <c r="BU345" s="338">
        <f>IF(ISERROR(BU115/BP115-1),"NM",(BU115/BP115-1))</f>
        <v>-0.12222039202767243</v>
      </c>
      <c r="BV345" s="338">
        <f>IF(ISERROR(BV115/BQ115-1),"NM",(BV115/BQ115-1))</f>
        <v>-9.8001402524544146E-2</v>
      </c>
      <c r="BW345" s="338">
        <f>IF(ISERROR(BW115/BR115-1),"NM",(BW115/BR115-1))</f>
        <v>-3.0101569713757992E-2</v>
      </c>
      <c r="BX345" s="736">
        <f t="shared" si="538"/>
        <v>-9.6662578836720359E-2</v>
      </c>
      <c r="BY345" s="338">
        <f t="shared" si="537"/>
        <v>1.9799959175341941E-2</v>
      </c>
      <c r="BZ345" s="1105">
        <f>IF(ISERROR(BZ115/BU115-1),"NM",(BZ115/BU115-1))</f>
        <v>1.029461437417889E-2</v>
      </c>
      <c r="CA345" s="1105">
        <f>IF(ISERROR(CA115/BV115-1),"NM",(CA115/BV115-1))</f>
        <v>5.0592808551992219E-2</v>
      </c>
      <c r="CB345" s="1105">
        <f>IF(ISERROR(CB115/BW115-1),"NM",(CB115/BW115-1))</f>
        <v>5.1865955826351895E-2</v>
      </c>
      <c r="CC345" s="736">
        <f t="shared" si="530"/>
        <v>3.3190787878788042E-2</v>
      </c>
      <c r="CD345" s="736">
        <f>IF(ISERROR(CD115/CC115-1),"NM",(CD115/CC115-1))</f>
        <v>2.6069426116728911E-2</v>
      </c>
      <c r="CE345" s="736">
        <f>IF(ISERROR(CE115/CD115-1),"NM",(CE115/CD115-1))</f>
        <v>-4.6645135843953689E-2</v>
      </c>
      <c r="CF345" s="736">
        <f>IF(ISERROR(CF115/CE115-1),"NM",(CF115/CE115-1))</f>
        <v>-0.23210386972763208</v>
      </c>
      <c r="CG345" s="736">
        <f>IF(ISERROR(CG115/CF115-1),"NM",(CG115/CF115-1))</f>
        <v>-0.46559329718700992</v>
      </c>
      <c r="CH345" s="736">
        <f>IF(ISERROR(CH115/CG115-1),"NM",(CH115/CG115-1))</f>
        <v>-0.70685102208553174</v>
      </c>
    </row>
    <row r="346" spans="1:86">
      <c r="A346" s="9"/>
      <c r="B346" s="9"/>
      <c r="C346" s="9"/>
      <c r="D346" s="9"/>
      <c r="E346" s="9"/>
      <c r="F346" s="9"/>
      <c r="G346" s="9"/>
      <c r="H346" s="257" t="s">
        <v>1031</v>
      </c>
      <c r="I346" s="257"/>
      <c r="L346" s="325">
        <v>4.4827586206896557</v>
      </c>
      <c r="M346" s="325">
        <v>3.1746987951807224</v>
      </c>
      <c r="N346" s="325">
        <v>1.2419825072886299</v>
      </c>
      <c r="O346" s="325">
        <v>0.4586846543001688</v>
      </c>
      <c r="P346" s="48">
        <v>1.4326765188834156</v>
      </c>
      <c r="Q346" s="325">
        <f t="shared" ref="Q346:T347" si="539">(Q116/L116)-1</f>
        <v>0.22484276729559749</v>
      </c>
      <c r="R346" s="325">
        <f t="shared" si="539"/>
        <v>0.2655122655122657</v>
      </c>
      <c r="S346" s="325">
        <f t="shared" si="539"/>
        <v>0.16905071521456438</v>
      </c>
      <c r="T346" s="325">
        <f t="shared" si="539"/>
        <v>9.3641618497109835E-2</v>
      </c>
      <c r="U346" s="48">
        <f t="shared" si="532"/>
        <v>0.18157273034087074</v>
      </c>
      <c r="V346" s="325">
        <f t="shared" si="532"/>
        <v>0.33632862644415895</v>
      </c>
      <c r="W346" s="325">
        <f t="shared" si="532"/>
        <v>0.22462941847206386</v>
      </c>
      <c r="X346" s="325">
        <f t="shared" si="532"/>
        <v>0.23248053392658496</v>
      </c>
      <c r="Y346" s="325">
        <f t="shared" si="532"/>
        <v>0.32980972515856233</v>
      </c>
      <c r="Z346" s="48">
        <f t="shared" si="532"/>
        <v>0.27992002285061401</v>
      </c>
      <c r="AA346" s="325">
        <f t="shared" si="532"/>
        <v>0.17098943323727189</v>
      </c>
      <c r="AB346" s="325">
        <f t="shared" si="532"/>
        <v>0.20670391061452498</v>
      </c>
      <c r="AC346" s="325">
        <f t="shared" si="532"/>
        <v>0.34747292418772568</v>
      </c>
      <c r="AD346" s="325">
        <f t="shared" si="532"/>
        <v>0.2813990461049285</v>
      </c>
      <c r="AE346" s="276">
        <f t="shared" si="533"/>
        <v>0.25418433385405037</v>
      </c>
      <c r="AF346" s="325">
        <f t="shared" si="533"/>
        <v>0.41755537325676784</v>
      </c>
      <c r="AG346" s="325">
        <f t="shared" si="533"/>
        <v>0.53163580246913589</v>
      </c>
      <c r="AH346" s="325">
        <f t="shared" si="533"/>
        <v>0.44340254521098443</v>
      </c>
      <c r="AI346" s="325">
        <f t="shared" si="533"/>
        <v>0.41935483870967749</v>
      </c>
      <c r="AJ346" s="276">
        <f t="shared" si="533"/>
        <v>0.45124555160142332</v>
      </c>
      <c r="AK346" s="325">
        <f t="shared" si="533"/>
        <v>0.28877314814814792</v>
      </c>
      <c r="AL346" s="325">
        <f t="shared" si="533"/>
        <v>0.27758186397984885</v>
      </c>
      <c r="AM346" s="325">
        <f t="shared" si="533"/>
        <v>0.13921113689095121</v>
      </c>
      <c r="AN346" s="325">
        <f t="shared" si="533"/>
        <v>2.8409090909090828E-2</v>
      </c>
      <c r="AO346" s="345">
        <f t="shared" si="534"/>
        <v>0.17349190779794021</v>
      </c>
      <c r="AP346" s="341">
        <f t="shared" si="534"/>
        <v>4.6250561293219583E-2</v>
      </c>
      <c r="AQ346" s="341">
        <f t="shared" si="534"/>
        <v>-6.7034700315456996E-3</v>
      </c>
      <c r="AR346" s="341">
        <f t="shared" si="534"/>
        <v>5.4582484725050895E-2</v>
      </c>
      <c r="AS346" s="341">
        <f t="shared" si="534"/>
        <v>6.5873353166170823E-2</v>
      </c>
      <c r="AT346" s="345">
        <f t="shared" si="534"/>
        <v>3.9180858844425792E-2</v>
      </c>
      <c r="AU346" s="341">
        <f t="shared" si="534"/>
        <v>0.10128755364806885</v>
      </c>
      <c r="AV346" s="341">
        <f t="shared" si="534"/>
        <v>0.10877332274712193</v>
      </c>
      <c r="AW346" s="341">
        <f t="shared" si="534"/>
        <v>0.11548860563924301</v>
      </c>
      <c r="AX346" s="341">
        <f t="shared" si="534"/>
        <v>0.1866028708133971</v>
      </c>
      <c r="AY346" s="345">
        <f t="shared" si="535"/>
        <v>0.12839332394932668</v>
      </c>
      <c r="AZ346" s="341">
        <f t="shared" si="535"/>
        <v>2.1434138737334463E-2</v>
      </c>
      <c r="BA346" s="341">
        <f t="shared" si="535"/>
        <v>9.1657715717865962E-2</v>
      </c>
      <c r="BB346" s="341">
        <f t="shared" si="535"/>
        <v>7.3407202216066336E-2</v>
      </c>
      <c r="BC346" s="341">
        <f t="shared" si="535"/>
        <v>0.11559139784946226</v>
      </c>
      <c r="BD346" s="344">
        <f t="shared" si="535"/>
        <v>7.7252071638599151E-2</v>
      </c>
      <c r="BE346" s="341">
        <f t="shared" si="535"/>
        <v>-6.219000381533768E-2</v>
      </c>
      <c r="BF346" s="341">
        <f t="shared" si="535"/>
        <v>5.2804198097736954E-2</v>
      </c>
      <c r="BG346" s="341">
        <f t="shared" si="535"/>
        <v>3.3548387096774102E-2</v>
      </c>
      <c r="BH346" s="341">
        <f t="shared" si="535"/>
        <v>3.1024096385542155E-2</v>
      </c>
      <c r="BI346" s="345">
        <f t="shared" si="536"/>
        <v>1.6956162117452545E-2</v>
      </c>
      <c r="BJ346" s="341">
        <f t="shared" si="536"/>
        <v>2.8071602929210737E-2</v>
      </c>
      <c r="BK346" s="341">
        <f t="shared" si="536"/>
        <v>2.8037383177569986E-2</v>
      </c>
      <c r="BL346" s="341">
        <f t="shared" si="536"/>
        <v>-7.3970037453183535E-2</v>
      </c>
      <c r="BM346" s="341">
        <f t="shared" si="536"/>
        <v>-0.17323984808647386</v>
      </c>
      <c r="BN346" s="345">
        <f t="shared" si="536"/>
        <v>-5.4575030500203292E-2</v>
      </c>
      <c r="BO346" s="341">
        <f t="shared" si="536"/>
        <v>4.1155520379897226E-2</v>
      </c>
      <c r="BP346" s="341">
        <f t="shared" si="536"/>
        <v>-0.11818181818181817</v>
      </c>
      <c r="BQ346" s="341">
        <f t="shared" si="536"/>
        <v>-6.6397034041118963E-2</v>
      </c>
      <c r="BR346" s="341">
        <f t="shared" si="536"/>
        <v>-4.6643109540635996E-2</v>
      </c>
      <c r="BS346" s="345">
        <f t="shared" si="537"/>
        <v>-5.2907777013076362E-2</v>
      </c>
      <c r="BT346" s="341">
        <f t="shared" si="537"/>
        <v>-0.13606993538578493</v>
      </c>
      <c r="BU346" s="341">
        <f t="shared" si="537"/>
        <v>-5.7388316151202656E-2</v>
      </c>
      <c r="BV346" s="341">
        <f t="shared" si="537"/>
        <v>-6.0288808664259896E-2</v>
      </c>
      <c r="BW346" s="341">
        <f t="shared" si="537"/>
        <v>9.6367679762785485E-3</v>
      </c>
      <c r="BX346" s="345">
        <f t="shared" si="538"/>
        <v>-6.0495957852665927E-2</v>
      </c>
      <c r="BY346" s="341">
        <f t="shared" si="537"/>
        <v>7.9190497140343208E-2</v>
      </c>
      <c r="BZ346" s="1106">
        <v>0.02</v>
      </c>
      <c r="CA346" s="1106">
        <v>0.1</v>
      </c>
      <c r="CB346" s="1106">
        <v>0.1</v>
      </c>
      <c r="CC346" s="345">
        <f t="shared" si="530"/>
        <v>7.4210577201972105E-2</v>
      </c>
      <c r="CD346" s="909">
        <v>0.05</v>
      </c>
      <c r="CE346" s="909">
        <v>0</v>
      </c>
      <c r="CF346" s="909">
        <v>-0.1</v>
      </c>
      <c r="CG346" s="1228">
        <v>-0.5</v>
      </c>
      <c r="CH346" s="909">
        <v>-0.9</v>
      </c>
    </row>
    <row r="347" spans="1:86">
      <c r="A347" s="9"/>
      <c r="B347" s="9"/>
      <c r="C347" s="9"/>
      <c r="D347" s="9"/>
      <c r="E347" s="9"/>
      <c r="F347" s="9"/>
      <c r="G347" s="9"/>
      <c r="H347" s="257" t="s">
        <v>232</v>
      </c>
      <c r="I347" s="257"/>
      <c r="L347" s="325"/>
      <c r="M347" s="325"/>
      <c r="N347" s="325"/>
      <c r="O347" s="325"/>
      <c r="P347" s="48">
        <v>7.0628019323671491</v>
      </c>
      <c r="Q347" s="325">
        <f t="shared" si="539"/>
        <v>0.72277227722772275</v>
      </c>
      <c r="R347" s="325">
        <f t="shared" si="539"/>
        <v>0.56459330143540698</v>
      </c>
      <c r="S347" s="325">
        <f t="shared" si="539"/>
        <v>0.48237885462555075</v>
      </c>
      <c r="T347" s="325">
        <f t="shared" si="539"/>
        <v>0.55465587044534415</v>
      </c>
      <c r="U347" s="48">
        <f t="shared" si="532"/>
        <v>0.56800479328939479</v>
      </c>
      <c r="V347" s="325">
        <f t="shared" si="532"/>
        <v>0.60536398467432928</v>
      </c>
      <c r="W347" s="325">
        <f t="shared" si="532"/>
        <v>0.52446483180428127</v>
      </c>
      <c r="X347" s="325">
        <f t="shared" si="532"/>
        <v>0.54829123328380391</v>
      </c>
      <c r="Y347" s="325">
        <f t="shared" si="532"/>
        <v>0.54036458333333326</v>
      </c>
      <c r="Z347" s="48">
        <f t="shared" si="532"/>
        <v>0.55139472678639678</v>
      </c>
      <c r="AA347" s="325">
        <f t="shared" si="532"/>
        <v>0.49522673031026265</v>
      </c>
      <c r="AB347" s="325">
        <f t="shared" si="532"/>
        <v>0.45837512537612835</v>
      </c>
      <c r="AC347" s="325">
        <f t="shared" si="532"/>
        <v>0.57965451055662176</v>
      </c>
      <c r="AD347" s="325">
        <f t="shared" si="532"/>
        <v>0.33136094674556227</v>
      </c>
      <c r="AE347" s="276">
        <f t="shared" si="533"/>
        <v>0.46009852216748759</v>
      </c>
      <c r="AF347" s="325">
        <f t="shared" si="533"/>
        <v>0.2960893854748603</v>
      </c>
      <c r="AG347" s="325">
        <f t="shared" si="533"/>
        <v>0.28473177441540587</v>
      </c>
      <c r="AH347" s="325">
        <f t="shared" si="533"/>
        <v>0.49696233292831105</v>
      </c>
      <c r="AI347" s="325">
        <f t="shared" si="533"/>
        <v>0.87174603174603171</v>
      </c>
      <c r="AJ347" s="276">
        <f t="shared" si="533"/>
        <v>0.50202429149797601</v>
      </c>
      <c r="AK347" s="325">
        <f t="shared" si="533"/>
        <v>0.87561576354679804</v>
      </c>
      <c r="AL347" s="325">
        <f t="shared" si="533"/>
        <v>0.59689507494646676</v>
      </c>
      <c r="AM347" s="325">
        <f t="shared" si="533"/>
        <v>0.27759740259740262</v>
      </c>
      <c r="AN347" s="325">
        <f t="shared" si="533"/>
        <v>0.13229308005427409</v>
      </c>
      <c r="AO347" s="345">
        <f t="shared" si="534"/>
        <v>0.40554806828391721</v>
      </c>
      <c r="AP347" s="341">
        <f t="shared" si="534"/>
        <v>0.13887065003282983</v>
      </c>
      <c r="AQ347" s="341">
        <f t="shared" si="534"/>
        <v>0.21186724773717724</v>
      </c>
      <c r="AR347" s="341">
        <f t="shared" si="534"/>
        <v>0.17789072426937746</v>
      </c>
      <c r="AS347" s="341">
        <f t="shared" si="534"/>
        <v>0.16057519472738147</v>
      </c>
      <c r="AT347" s="345">
        <f t="shared" si="534"/>
        <v>0.17187375149820205</v>
      </c>
      <c r="AU347" s="341">
        <f t="shared" si="534"/>
        <v>9.5128279042953068E-3</v>
      </c>
      <c r="AV347" s="341">
        <f t="shared" si="534"/>
        <v>5.172890733056712E-2</v>
      </c>
      <c r="AW347" s="341">
        <f t="shared" si="534"/>
        <v>-4.314994606256739E-2</v>
      </c>
      <c r="AX347" s="341">
        <f t="shared" si="534"/>
        <v>-1.8069179143004321E-3</v>
      </c>
      <c r="AY347" s="345">
        <f t="shared" si="535"/>
        <v>3.6138006273014334E-3</v>
      </c>
      <c r="AZ347" s="341">
        <f t="shared" si="535"/>
        <v>1.2849800114220544E-2</v>
      </c>
      <c r="BA347" s="341">
        <f t="shared" si="535"/>
        <v>-4.1294055760126236E-2</v>
      </c>
      <c r="BB347" s="341">
        <f t="shared" si="535"/>
        <v>7.2435174746335873E-2</v>
      </c>
      <c r="BC347" s="341">
        <f t="shared" si="535"/>
        <v>1.9394879751745586E-2</v>
      </c>
      <c r="BD347" s="344">
        <f t="shared" si="535"/>
        <v>1.4946667572525385E-2</v>
      </c>
      <c r="BE347" s="341">
        <f t="shared" si="535"/>
        <v>8.8807442909500933E-2</v>
      </c>
      <c r="BF347" s="341">
        <f t="shared" si="535"/>
        <v>7.1604938271605079E-2</v>
      </c>
      <c r="BG347" s="341">
        <f t="shared" si="535"/>
        <v>5.9132720105124825E-2</v>
      </c>
      <c r="BH347" s="341">
        <f t="shared" si="535"/>
        <v>-2.9173008625063446E-2</v>
      </c>
      <c r="BI347" s="345">
        <f t="shared" si="536"/>
        <v>4.5920074971550928E-2</v>
      </c>
      <c r="BJ347" s="341">
        <f t="shared" si="536"/>
        <v>-0.17063697566027958</v>
      </c>
      <c r="BK347" s="341">
        <f t="shared" si="536"/>
        <v>-0.14413722478238611</v>
      </c>
      <c r="BL347" s="341">
        <f t="shared" si="536"/>
        <v>-0.17667493796526057</v>
      </c>
      <c r="BM347" s="341">
        <f t="shared" si="536"/>
        <v>-0.10060099294486546</v>
      </c>
      <c r="BN347" s="345">
        <f t="shared" si="536"/>
        <v>-0.14841599999999988</v>
      </c>
      <c r="BO347" s="341">
        <f t="shared" si="536"/>
        <v>-5.9943802684982783E-2</v>
      </c>
      <c r="BP347" s="341">
        <f t="shared" si="536"/>
        <v>-5.4442117858211181E-2</v>
      </c>
      <c r="BQ347" s="341">
        <f t="shared" si="536"/>
        <v>-0.11573236889692595</v>
      </c>
      <c r="BR347" s="341">
        <f t="shared" si="536"/>
        <v>-0.21063335270191752</v>
      </c>
      <c r="BS347" s="345">
        <f t="shared" si="537"/>
        <v>-0.11145347963324825</v>
      </c>
      <c r="BT347" s="341">
        <f t="shared" si="537"/>
        <v>-0.12786449684490198</v>
      </c>
      <c r="BU347" s="341">
        <f t="shared" si="537"/>
        <v>-0.18190446061372978</v>
      </c>
      <c r="BV347" s="341">
        <f t="shared" si="537"/>
        <v>-0.13360599863667344</v>
      </c>
      <c r="BW347" s="341">
        <f t="shared" si="537"/>
        <v>-6.9562016930437953E-2</v>
      </c>
      <c r="BX347" s="345">
        <f t="shared" si="538"/>
        <v>-0.13033916941554591</v>
      </c>
      <c r="BY347" s="341">
        <f t="shared" si="537"/>
        <v>-3.1607006854531661E-2</v>
      </c>
      <c r="BZ347" s="1106">
        <v>0</v>
      </c>
      <c r="CA347" s="1106">
        <v>0</v>
      </c>
      <c r="CB347" s="1106">
        <v>0</v>
      </c>
      <c r="CC347" s="345">
        <f t="shared" si="530"/>
        <v>-8.0723594631394446E-3</v>
      </c>
      <c r="CD347" s="909">
        <v>0</v>
      </c>
      <c r="CE347" s="909">
        <v>-0.1</v>
      </c>
      <c r="CF347" s="909">
        <v>-0.4</v>
      </c>
      <c r="CG347" s="909">
        <v>-0.4</v>
      </c>
      <c r="CH347" s="909">
        <v>-0.4</v>
      </c>
    </row>
    <row r="348" spans="1:86">
      <c r="A348" s="9"/>
      <c r="B348" s="9"/>
      <c r="C348" s="9"/>
      <c r="D348" s="9"/>
      <c r="E348" s="9"/>
      <c r="F348" s="9"/>
      <c r="G348" s="9"/>
      <c r="H348" s="266" t="s">
        <v>770</v>
      </c>
      <c r="I348" s="266"/>
      <c r="L348" s="328">
        <v>7.0948275862068968</v>
      </c>
      <c r="M348" s="328">
        <v>5.2415730337078648</v>
      </c>
      <c r="N348" s="328">
        <v>2.0575000000000001</v>
      </c>
      <c r="O348" s="328">
        <v>0.85909712722298237</v>
      </c>
      <c r="P348" s="330">
        <v>2.2505263157894739</v>
      </c>
      <c r="Q348" s="328" t="e">
        <f>Q118/L118-1</f>
        <v>#DIV/0!</v>
      </c>
      <c r="R348" s="328" t="e">
        <f>R118/M118-1</f>
        <v>#DIV/0!</v>
      </c>
      <c r="S348" s="328" t="e">
        <f>S118/N118-1</f>
        <v>#DIV/0!</v>
      </c>
      <c r="T348" s="328" t="e">
        <f>T118/O118-1</f>
        <v>#DIV/0!</v>
      </c>
      <c r="U348" s="330" t="str">
        <f t="shared" si="532"/>
        <v>NM</v>
      </c>
      <c r="V348" s="328" t="str">
        <f t="shared" si="532"/>
        <v>NM</v>
      </c>
      <c r="W348" s="328" t="str">
        <f t="shared" si="532"/>
        <v>NM</v>
      </c>
      <c r="X348" s="328" t="str">
        <f t="shared" si="532"/>
        <v>NM</v>
      </c>
      <c r="Y348" s="328" t="str">
        <f t="shared" si="532"/>
        <v>NM</v>
      </c>
      <c r="Z348" s="330" t="str">
        <f t="shared" si="532"/>
        <v>NM</v>
      </c>
      <c r="AA348" s="328" t="str">
        <f t="shared" si="532"/>
        <v>NM</v>
      </c>
      <c r="AB348" s="328" t="str">
        <f t="shared" si="532"/>
        <v>NM</v>
      </c>
      <c r="AC348" s="328" t="str">
        <f t="shared" si="532"/>
        <v>NM</v>
      </c>
      <c r="AD348" s="328" t="str">
        <f t="shared" si="532"/>
        <v>NM</v>
      </c>
      <c r="AE348" s="330" t="str">
        <f t="shared" si="533"/>
        <v>NM</v>
      </c>
      <c r="AF348" s="328" t="str">
        <f t="shared" si="533"/>
        <v>NM</v>
      </c>
      <c r="AG348" s="328" t="str">
        <f t="shared" si="533"/>
        <v>NM</v>
      </c>
      <c r="AH348" s="328" t="str">
        <f t="shared" si="533"/>
        <v>NM</v>
      </c>
      <c r="AI348" s="328" t="str">
        <f t="shared" si="533"/>
        <v>NM</v>
      </c>
      <c r="AJ348" s="330" t="str">
        <f t="shared" si="533"/>
        <v>NM</v>
      </c>
      <c r="AK348" s="328" t="str">
        <f t="shared" si="533"/>
        <v>NM</v>
      </c>
      <c r="AL348" s="328" t="str">
        <f t="shared" si="533"/>
        <v>NM</v>
      </c>
      <c r="AM348" s="328" t="str">
        <f t="shared" si="533"/>
        <v>NM</v>
      </c>
      <c r="AN348" s="328" t="str">
        <f t="shared" si="533"/>
        <v>NM</v>
      </c>
      <c r="AO348" s="352" t="str">
        <f t="shared" si="534"/>
        <v>NM</v>
      </c>
      <c r="AP348" s="338" t="str">
        <f t="shared" si="534"/>
        <v>NM</v>
      </c>
      <c r="AQ348" s="338" t="str">
        <f t="shared" si="534"/>
        <v>NM</v>
      </c>
      <c r="AR348" s="338" t="str">
        <f t="shared" si="534"/>
        <v>NM</v>
      </c>
      <c r="AS348" s="338" t="str">
        <f t="shared" si="534"/>
        <v>NM</v>
      </c>
      <c r="AT348" s="736" t="str">
        <f t="shared" si="534"/>
        <v>NM</v>
      </c>
      <c r="AU348" s="338" t="str">
        <f t="shared" si="534"/>
        <v>NM</v>
      </c>
      <c r="AV348" s="338" t="str">
        <f t="shared" si="534"/>
        <v>NM</v>
      </c>
      <c r="AW348" s="338" t="str">
        <f t="shared" si="534"/>
        <v>NM</v>
      </c>
      <c r="AX348" s="338" t="str">
        <f t="shared" si="534"/>
        <v>NM</v>
      </c>
      <c r="AY348" s="736" t="str">
        <f t="shared" si="535"/>
        <v>NM</v>
      </c>
      <c r="AZ348" s="338" t="str">
        <f t="shared" si="535"/>
        <v>NM</v>
      </c>
      <c r="BA348" s="338" t="str">
        <f t="shared" si="535"/>
        <v>NM</v>
      </c>
      <c r="BB348" s="338" t="str">
        <f t="shared" si="535"/>
        <v>NM</v>
      </c>
      <c r="BC348" s="338" t="str">
        <f t="shared" si="535"/>
        <v>NM</v>
      </c>
      <c r="BD348" s="736" t="str">
        <f t="shared" si="535"/>
        <v>NM</v>
      </c>
      <c r="BE348" s="338" t="str">
        <f t="shared" si="535"/>
        <v>NM</v>
      </c>
      <c r="BF348" s="338" t="str">
        <f t="shared" si="535"/>
        <v>NM</v>
      </c>
      <c r="BG348" s="338" t="str">
        <f t="shared" si="535"/>
        <v>NM</v>
      </c>
      <c r="BH348" s="338" t="str">
        <f t="shared" si="535"/>
        <v>NM</v>
      </c>
      <c r="BI348" s="736" t="str">
        <f t="shared" si="536"/>
        <v>NM</v>
      </c>
      <c r="BJ348" s="338" t="str">
        <f t="shared" si="536"/>
        <v>NM</v>
      </c>
      <c r="BK348" s="338">
        <f t="shared" si="536"/>
        <v>5.4014598540145995</v>
      </c>
      <c r="BL348" s="338">
        <f t="shared" si="536"/>
        <v>2.915492957746479</v>
      </c>
      <c r="BM348" s="338">
        <f t="shared" si="536"/>
        <v>2.4970238095238093</v>
      </c>
      <c r="BN348" s="736">
        <f t="shared" si="536"/>
        <v>4.0713342140026425</v>
      </c>
      <c r="BO348" s="338">
        <f t="shared" si="536"/>
        <v>0.94074074074074066</v>
      </c>
      <c r="BP348" s="338">
        <f t="shared" si="536"/>
        <v>0.67616875712656777</v>
      </c>
      <c r="BQ348" s="1105">
        <f t="shared" si="536"/>
        <v>0.42985611510791366</v>
      </c>
      <c r="BR348" s="1105">
        <f t="shared" si="536"/>
        <v>0.50723404255319138</v>
      </c>
      <c r="BS348" s="736">
        <f t="shared" si="537"/>
        <v>0.5996353216983592</v>
      </c>
      <c r="BT348" s="338">
        <f t="shared" si="537"/>
        <v>0.30763358778625971</v>
      </c>
      <c r="BU348" s="338">
        <f>IF(ISERROR(BU118/BP118-1),"NM",(BU118/BP118-1))</f>
        <v>0.2673469387755103</v>
      </c>
      <c r="BV348" s="338">
        <f>IF(ISERROR(BV118/BQ118-1),"NM",(BV118/BQ118-1))</f>
        <v>0.23270440251572322</v>
      </c>
      <c r="BW348" s="338">
        <f>IF(ISERROR(BW118/BR118-1),"NM",(BW118/BR118-1))</f>
        <v>0.15640880858272177</v>
      </c>
      <c r="BX348" s="736">
        <f t="shared" si="538"/>
        <v>0.23497801660967288</v>
      </c>
      <c r="BY348" s="338">
        <f t="shared" si="537"/>
        <v>7.1803852889667175E-2</v>
      </c>
      <c r="BZ348" s="1105">
        <f>IF(ISERROR(BZ118/BU118-1),"NM",(BZ118/BU118-1))</f>
        <v>4.2624798711755174E-2</v>
      </c>
      <c r="CA348" s="1105">
        <f>IF(ISERROR(CA118/BV118-1),"NM",(CA118/BV118-1))</f>
        <v>4.2908163265306332E-2</v>
      </c>
      <c r="CB348" s="1105">
        <f>IF(ISERROR(CB118/BW118-1),"NM",(CB118/BW118-1))</f>
        <v>5.093750000000008E-2</v>
      </c>
      <c r="CC348" s="736">
        <f t="shared" si="530"/>
        <v>5.1533491561181366E-2</v>
      </c>
      <c r="CD348" s="736">
        <f>IF(ISERROR(CD118/CC118-1),"NM",(CD118/CC118-1))</f>
        <v>5.0000000000000044E-2</v>
      </c>
      <c r="CE348" s="736">
        <f>IF(ISERROR(CE118/CD118-1),"NM",(CE118/CD118-1))</f>
        <v>3.7148641413045747E-2</v>
      </c>
      <c r="CF348" s="736">
        <f>IF(ISERROR(CF118/CE118-1),"NM",(CF118/CE118-1))</f>
        <v>1.8093051429618479E-2</v>
      </c>
      <c r="CG348" s="736">
        <f>IF(ISERROR(CG118/CF118-1),"NM",(CG118/CF118-1))</f>
        <v>7.4640344414187432E-3</v>
      </c>
      <c r="CH348" s="736">
        <f>IF(ISERROR(CH118/CG118-1),"NM",(CH118/CG118-1))</f>
        <v>0</v>
      </c>
    </row>
    <row r="349" spans="1:86">
      <c r="A349" s="9"/>
      <c r="B349" s="9"/>
      <c r="C349" s="9"/>
      <c r="D349" s="9"/>
      <c r="E349" s="9"/>
      <c r="F349" s="9"/>
      <c r="G349" s="9"/>
      <c r="H349" s="257" t="s">
        <v>1162</v>
      </c>
      <c r="I349" s="257"/>
      <c r="L349" s="325">
        <v>4.4827586206896557</v>
      </c>
      <c r="M349" s="325">
        <v>3.1746987951807224</v>
      </c>
      <c r="N349" s="325">
        <v>1.2419825072886299</v>
      </c>
      <c r="O349" s="325">
        <v>0.4586846543001688</v>
      </c>
      <c r="P349" s="48">
        <v>1.4326765188834156</v>
      </c>
      <c r="Q349" s="325" t="e">
        <f t="shared" ref="Q349:T350" si="540">(Q119/L119)-1</f>
        <v>#DIV/0!</v>
      </c>
      <c r="R349" s="325" t="e">
        <f t="shared" si="540"/>
        <v>#DIV/0!</v>
      </c>
      <c r="S349" s="325" t="e">
        <f t="shared" si="540"/>
        <v>#DIV/0!</v>
      </c>
      <c r="T349" s="325" t="e">
        <f t="shared" si="540"/>
        <v>#DIV/0!</v>
      </c>
      <c r="U349" s="48" t="str">
        <f t="shared" si="532"/>
        <v>NM</v>
      </c>
      <c r="V349" s="325" t="str">
        <f t="shared" si="532"/>
        <v>NM</v>
      </c>
      <c r="W349" s="325" t="str">
        <f t="shared" si="532"/>
        <v>NM</v>
      </c>
      <c r="X349" s="325" t="str">
        <f t="shared" si="532"/>
        <v>NM</v>
      </c>
      <c r="Y349" s="325" t="str">
        <f t="shared" si="532"/>
        <v>NM</v>
      </c>
      <c r="Z349" s="48" t="str">
        <f t="shared" si="532"/>
        <v>NM</v>
      </c>
      <c r="AA349" s="325" t="str">
        <f t="shared" si="532"/>
        <v>NM</v>
      </c>
      <c r="AB349" s="325" t="str">
        <f t="shared" si="532"/>
        <v>NM</v>
      </c>
      <c r="AC349" s="325" t="str">
        <f t="shared" si="532"/>
        <v>NM</v>
      </c>
      <c r="AD349" s="325" t="str">
        <f t="shared" si="532"/>
        <v>NM</v>
      </c>
      <c r="AE349" s="276" t="str">
        <f t="shared" si="533"/>
        <v>NM</v>
      </c>
      <c r="AF349" s="325" t="str">
        <f t="shared" si="533"/>
        <v>NM</v>
      </c>
      <c r="AG349" s="325" t="str">
        <f t="shared" si="533"/>
        <v>NM</v>
      </c>
      <c r="AH349" s="325" t="str">
        <f t="shared" si="533"/>
        <v>NM</v>
      </c>
      <c r="AI349" s="325" t="str">
        <f t="shared" si="533"/>
        <v>NM</v>
      </c>
      <c r="AJ349" s="276" t="str">
        <f t="shared" si="533"/>
        <v>NM</v>
      </c>
      <c r="AK349" s="325" t="str">
        <f t="shared" si="533"/>
        <v>NM</v>
      </c>
      <c r="AL349" s="325" t="str">
        <f t="shared" si="533"/>
        <v>NM</v>
      </c>
      <c r="AM349" s="325" t="str">
        <f t="shared" si="533"/>
        <v>NM</v>
      </c>
      <c r="AN349" s="325" t="str">
        <f t="shared" si="533"/>
        <v>NM</v>
      </c>
      <c r="AO349" s="345" t="str">
        <f t="shared" si="534"/>
        <v>NM</v>
      </c>
      <c r="AP349" s="341" t="str">
        <f t="shared" si="534"/>
        <v>NM</v>
      </c>
      <c r="AQ349" s="341" t="str">
        <f t="shared" si="534"/>
        <v>NM</v>
      </c>
      <c r="AR349" s="341" t="str">
        <f t="shared" si="534"/>
        <v>NM</v>
      </c>
      <c r="AS349" s="341" t="str">
        <f t="shared" si="534"/>
        <v>NM</v>
      </c>
      <c r="AT349" s="345" t="str">
        <f t="shared" si="534"/>
        <v>NM</v>
      </c>
      <c r="AU349" s="341" t="str">
        <f t="shared" si="534"/>
        <v>NM</v>
      </c>
      <c r="AV349" s="341" t="str">
        <f t="shared" si="534"/>
        <v>NM</v>
      </c>
      <c r="AW349" s="341" t="str">
        <f t="shared" si="534"/>
        <v>NM</v>
      </c>
      <c r="AX349" s="341" t="str">
        <f t="shared" si="534"/>
        <v>NM</v>
      </c>
      <c r="AY349" s="345" t="str">
        <f t="shared" si="535"/>
        <v>NM</v>
      </c>
      <c r="AZ349" s="341" t="str">
        <f t="shared" si="535"/>
        <v>NM</v>
      </c>
      <c r="BA349" s="341" t="str">
        <f t="shared" si="535"/>
        <v>NM</v>
      </c>
      <c r="BB349" s="341" t="str">
        <f t="shared" si="535"/>
        <v>NM</v>
      </c>
      <c r="BC349" s="341" t="str">
        <f t="shared" si="535"/>
        <v>NM</v>
      </c>
      <c r="BD349" s="344" t="str">
        <f t="shared" si="535"/>
        <v>NM</v>
      </c>
      <c r="BE349" s="341" t="str">
        <f t="shared" si="535"/>
        <v>NM</v>
      </c>
      <c r="BF349" s="341" t="str">
        <f t="shared" si="535"/>
        <v>NM</v>
      </c>
      <c r="BG349" s="341" t="str">
        <f t="shared" si="535"/>
        <v>NM</v>
      </c>
      <c r="BH349" s="341" t="str">
        <f t="shared" si="535"/>
        <v>NM</v>
      </c>
      <c r="BI349" s="345" t="str">
        <f t="shared" si="536"/>
        <v>NM</v>
      </c>
      <c r="BJ349" s="341" t="str">
        <f t="shared" si="536"/>
        <v>NM</v>
      </c>
      <c r="BK349" s="341">
        <f t="shared" si="536"/>
        <v>4.1386861313868621</v>
      </c>
      <c r="BL349" s="341">
        <f t="shared" si="536"/>
        <v>1.672535211267606</v>
      </c>
      <c r="BM349" s="341">
        <f t="shared" si="536"/>
        <v>1.0565476190476186</v>
      </c>
      <c r="BN349" s="345">
        <f t="shared" si="536"/>
        <v>2.6684280052840164</v>
      </c>
      <c r="BO349" s="341">
        <f t="shared" si="536"/>
        <v>0.14927768860353119</v>
      </c>
      <c r="BP349" s="341">
        <f t="shared" si="536"/>
        <v>-3.5511363636363646E-2</v>
      </c>
      <c r="BQ349" s="341">
        <f t="shared" si="536"/>
        <v>-0.11725955204216076</v>
      </c>
      <c r="BR349" s="341">
        <f t="shared" si="536"/>
        <v>-7.9594790159189466E-2</v>
      </c>
      <c r="BS349" s="276">
        <f t="shared" si="537"/>
        <v>-2.7367662945624649E-2</v>
      </c>
      <c r="BT349" s="341">
        <f t="shared" si="537"/>
        <v>-7.5418994413407714E-2</v>
      </c>
      <c r="BU349" s="341">
        <f t="shared" si="537"/>
        <v>1.178203240058906E-2</v>
      </c>
      <c r="BV349" s="341">
        <f t="shared" si="537"/>
        <v>3.7313432835820892E-2</v>
      </c>
      <c r="BW349" s="341">
        <f t="shared" si="537"/>
        <v>0.16981132075471694</v>
      </c>
      <c r="BX349" s="276">
        <f t="shared" si="538"/>
        <v>3.2210292484265102E-2</v>
      </c>
      <c r="BY349" s="341">
        <f t="shared" si="537"/>
        <v>3.1722054380664666E-2</v>
      </c>
      <c r="BZ349" s="1099">
        <v>0.03</v>
      </c>
      <c r="CA349" s="1099">
        <v>0.03</v>
      </c>
      <c r="CB349" s="1099">
        <v>0</v>
      </c>
      <c r="CC349" s="276">
        <f t="shared" si="530"/>
        <v>2.2403156384505074E-2</v>
      </c>
      <c r="CD349" s="332">
        <v>0.05</v>
      </c>
      <c r="CE349" s="332">
        <v>0.05</v>
      </c>
      <c r="CF349" s="332">
        <v>0.05</v>
      </c>
      <c r="CG349" s="332">
        <v>0.02</v>
      </c>
      <c r="CH349" s="332">
        <v>0</v>
      </c>
    </row>
    <row r="350" spans="1:86">
      <c r="A350" s="9"/>
      <c r="B350" s="9"/>
      <c r="C350" s="9"/>
      <c r="D350" s="9"/>
      <c r="E350" s="9"/>
      <c r="F350" s="9"/>
      <c r="G350" s="9"/>
      <c r="H350" s="257" t="s">
        <v>232</v>
      </c>
      <c r="I350" s="257"/>
      <c r="L350" s="325"/>
      <c r="M350" s="325"/>
      <c r="N350" s="325"/>
      <c r="O350" s="325"/>
      <c r="P350" s="48">
        <v>7.0628019323671491</v>
      </c>
      <c r="Q350" s="325" t="e">
        <f t="shared" si="540"/>
        <v>#DIV/0!</v>
      </c>
      <c r="R350" s="325" t="e">
        <f t="shared" si="540"/>
        <v>#DIV/0!</v>
      </c>
      <c r="S350" s="325" t="e">
        <f t="shared" si="540"/>
        <v>#DIV/0!</v>
      </c>
      <c r="T350" s="325" t="e">
        <f t="shared" si="540"/>
        <v>#DIV/0!</v>
      </c>
      <c r="U350" s="48" t="str">
        <f t="shared" si="532"/>
        <v>NM</v>
      </c>
      <c r="V350" s="325" t="str">
        <f t="shared" si="532"/>
        <v>NM</v>
      </c>
      <c r="W350" s="325" t="str">
        <f t="shared" si="532"/>
        <v>NM</v>
      </c>
      <c r="X350" s="325" t="str">
        <f t="shared" si="532"/>
        <v>NM</v>
      </c>
      <c r="Y350" s="325" t="str">
        <f t="shared" si="532"/>
        <v>NM</v>
      </c>
      <c r="Z350" s="48" t="str">
        <f t="shared" si="532"/>
        <v>NM</v>
      </c>
      <c r="AA350" s="325" t="str">
        <f t="shared" si="532"/>
        <v>NM</v>
      </c>
      <c r="AB350" s="325" t="str">
        <f t="shared" si="532"/>
        <v>NM</v>
      </c>
      <c r="AC350" s="325" t="str">
        <f t="shared" si="532"/>
        <v>NM</v>
      </c>
      <c r="AD350" s="325" t="str">
        <f t="shared" si="532"/>
        <v>NM</v>
      </c>
      <c r="AE350" s="276" t="str">
        <f t="shared" si="533"/>
        <v>NM</v>
      </c>
      <c r="AF350" s="325" t="str">
        <f t="shared" si="533"/>
        <v>NM</v>
      </c>
      <c r="AG350" s="325" t="str">
        <f t="shared" si="533"/>
        <v>NM</v>
      </c>
      <c r="AH350" s="325" t="str">
        <f t="shared" si="533"/>
        <v>NM</v>
      </c>
      <c r="AI350" s="325" t="str">
        <f t="shared" si="533"/>
        <v>NM</v>
      </c>
      <c r="AJ350" s="276" t="str">
        <f t="shared" si="533"/>
        <v>NM</v>
      </c>
      <c r="AK350" s="325" t="str">
        <f t="shared" si="533"/>
        <v>NM</v>
      </c>
      <c r="AL350" s="325" t="str">
        <f t="shared" si="533"/>
        <v>NM</v>
      </c>
      <c r="AM350" s="325" t="str">
        <f t="shared" si="533"/>
        <v>NM</v>
      </c>
      <c r="AN350" s="325" t="str">
        <f t="shared" si="533"/>
        <v>NM</v>
      </c>
      <c r="AO350" s="345" t="str">
        <f t="shared" si="534"/>
        <v>NM</v>
      </c>
      <c r="AP350" s="341" t="str">
        <f t="shared" si="534"/>
        <v>NM</v>
      </c>
      <c r="AQ350" s="341" t="str">
        <f t="shared" si="534"/>
        <v>NM</v>
      </c>
      <c r="AR350" s="341" t="str">
        <f t="shared" si="534"/>
        <v>NM</v>
      </c>
      <c r="AS350" s="341" t="str">
        <f t="shared" si="534"/>
        <v>NM</v>
      </c>
      <c r="AT350" s="345" t="str">
        <f t="shared" si="534"/>
        <v>NM</v>
      </c>
      <c r="AU350" s="341" t="str">
        <f t="shared" si="534"/>
        <v>NM</v>
      </c>
      <c r="AV350" s="341" t="str">
        <f t="shared" si="534"/>
        <v>NM</v>
      </c>
      <c r="AW350" s="341" t="str">
        <f t="shared" si="534"/>
        <v>NM</v>
      </c>
      <c r="AX350" s="341" t="str">
        <f t="shared" si="534"/>
        <v>NM</v>
      </c>
      <c r="AY350" s="345" t="str">
        <f t="shared" si="535"/>
        <v>NM</v>
      </c>
      <c r="AZ350" s="341" t="str">
        <f t="shared" si="535"/>
        <v>NM</v>
      </c>
      <c r="BA350" s="341" t="str">
        <f t="shared" si="535"/>
        <v>NM</v>
      </c>
      <c r="BB350" s="341" t="str">
        <f t="shared" si="535"/>
        <v>NM</v>
      </c>
      <c r="BC350" s="341" t="str">
        <f t="shared" si="535"/>
        <v>NM</v>
      </c>
      <c r="BD350" s="344" t="str">
        <f t="shared" si="535"/>
        <v>NM</v>
      </c>
      <c r="BE350" s="341" t="str">
        <f t="shared" si="535"/>
        <v>NM</v>
      </c>
      <c r="BF350" s="341" t="str">
        <f t="shared" si="535"/>
        <v>NM</v>
      </c>
      <c r="BG350" s="341" t="str">
        <f t="shared" si="535"/>
        <v>NM</v>
      </c>
      <c r="BH350" s="341" t="str">
        <f t="shared" si="535"/>
        <v>NM</v>
      </c>
      <c r="BI350" s="345" t="str">
        <f t="shared" si="536"/>
        <v>NM</v>
      </c>
      <c r="BJ350" s="341" t="str">
        <f t="shared" si="536"/>
        <v>NM</v>
      </c>
      <c r="BK350" s="341" t="str">
        <f t="shared" si="536"/>
        <v>NM</v>
      </c>
      <c r="BL350" s="341" t="str">
        <f t="shared" si="536"/>
        <v>NM</v>
      </c>
      <c r="BM350" s="341" t="str">
        <f t="shared" si="536"/>
        <v>NM</v>
      </c>
      <c r="BN350" s="345" t="str">
        <f t="shared" si="536"/>
        <v>NM</v>
      </c>
      <c r="BO350" s="341">
        <f t="shared" si="536"/>
        <v>10.423076923076922</v>
      </c>
      <c r="BP350" s="341">
        <f t="shared" si="536"/>
        <v>3.5722543352601148</v>
      </c>
      <c r="BQ350" s="341">
        <f t="shared" si="536"/>
        <v>1.606232294617564</v>
      </c>
      <c r="BR350" s="341">
        <f t="shared" si="536"/>
        <v>1.3450413223140498</v>
      </c>
      <c r="BS350" s="276">
        <f t="shared" si="537"/>
        <v>2.2391713747645956</v>
      </c>
      <c r="BT350" s="341">
        <f t="shared" si="537"/>
        <v>0.76936026936026924</v>
      </c>
      <c r="BU350" s="341">
        <f t="shared" si="537"/>
        <v>0.48672566371681425</v>
      </c>
      <c r="BV350" s="341">
        <f t="shared" si="537"/>
        <v>0.375</v>
      </c>
      <c r="BW350" s="341">
        <f t="shared" si="537"/>
        <v>0.14889867841409687</v>
      </c>
      <c r="BX350" s="276">
        <f t="shared" si="538"/>
        <v>0.39418604651162803</v>
      </c>
      <c r="BY350" s="341">
        <f t="shared" si="537"/>
        <v>9.7050428163653724E-2</v>
      </c>
      <c r="BZ350" s="1099">
        <v>0.05</v>
      </c>
      <c r="CA350" s="1099">
        <v>0.05</v>
      </c>
      <c r="CB350" s="1099">
        <v>0.08</v>
      </c>
      <c r="CC350" s="276">
        <f t="shared" si="530"/>
        <v>6.8467472894078396E-2</v>
      </c>
      <c r="CD350" s="332">
        <v>0.05</v>
      </c>
      <c r="CE350" s="332">
        <v>0.03</v>
      </c>
      <c r="CF350" s="332">
        <v>0</v>
      </c>
      <c r="CG350" s="332">
        <v>0</v>
      </c>
      <c r="CH350" s="332">
        <v>0</v>
      </c>
    </row>
    <row r="351" spans="1:86">
      <c r="A351" s="9"/>
      <c r="B351" s="9"/>
      <c r="C351" s="9"/>
      <c r="D351" s="9"/>
      <c r="E351" s="9"/>
      <c r="F351" s="9"/>
      <c r="G351" s="9"/>
      <c r="H351" s="266" t="s">
        <v>769</v>
      </c>
      <c r="I351" s="266"/>
      <c r="L351" s="325"/>
      <c r="M351" s="325"/>
      <c r="N351" s="325"/>
      <c r="O351" s="325"/>
      <c r="P351" s="48"/>
      <c r="Q351" s="325"/>
      <c r="R351" s="325"/>
      <c r="S351" s="325"/>
      <c r="T351" s="325"/>
      <c r="U351" s="48"/>
      <c r="V351" s="325"/>
      <c r="W351" s="325"/>
      <c r="X351" s="325"/>
      <c r="Y351" s="325"/>
      <c r="Z351" s="48"/>
      <c r="AA351" s="328"/>
      <c r="AB351" s="328"/>
      <c r="AC351" s="328"/>
      <c r="AD351" s="328"/>
      <c r="AE351" s="330"/>
      <c r="AF351" s="328">
        <f t="shared" ref="AF351:BN351" si="541">IF(ISERROR(AF121/AA121-1),"NM",(AF121/AA121-1))</f>
        <v>2.3529411764706021E-2</v>
      </c>
      <c r="AG351" s="328">
        <f t="shared" si="541"/>
        <v>0.11635514018691606</v>
      </c>
      <c r="AH351" s="328">
        <f t="shared" si="541"/>
        <v>-0.13899613899613905</v>
      </c>
      <c r="AI351" s="328">
        <f t="shared" si="541"/>
        <v>0.42253521126760596</v>
      </c>
      <c r="AJ351" s="330">
        <f t="shared" si="541"/>
        <v>6.3103448275861895E-2</v>
      </c>
      <c r="AK351" s="328">
        <f t="shared" si="541"/>
        <v>-0.35249042145593878</v>
      </c>
      <c r="AL351" s="328">
        <f t="shared" si="541"/>
        <v>-0.10422771033905398</v>
      </c>
      <c r="AM351" s="328">
        <f t="shared" si="541"/>
        <v>-0.17040358744394613</v>
      </c>
      <c r="AN351" s="328">
        <f t="shared" si="541"/>
        <v>-0.25742574257425754</v>
      </c>
      <c r="AO351" s="352">
        <f t="shared" si="541"/>
        <v>-0.22369985944426418</v>
      </c>
      <c r="AP351" s="338">
        <f t="shared" si="541"/>
        <v>0.60355029585798836</v>
      </c>
      <c r="AQ351" s="338">
        <f t="shared" si="541"/>
        <v>-0.15887850467289732</v>
      </c>
      <c r="AR351" s="338">
        <f t="shared" si="541"/>
        <v>-0.12432432432432439</v>
      </c>
      <c r="AS351" s="338">
        <f t="shared" si="541"/>
        <v>0.76</v>
      </c>
      <c r="AT351" s="736">
        <f t="shared" si="541"/>
        <v>0.2214484679665738</v>
      </c>
      <c r="AU351" s="338">
        <f t="shared" si="541"/>
        <v>0.25461254612546114</v>
      </c>
      <c r="AV351" s="338">
        <f t="shared" si="541"/>
        <v>0.59444444444444433</v>
      </c>
      <c r="AW351" s="338">
        <f t="shared" si="541"/>
        <v>-0.61728395061728392</v>
      </c>
      <c r="AX351" s="338">
        <f t="shared" si="541"/>
        <v>-0.71590909090909083</v>
      </c>
      <c r="AY351" s="736">
        <f t="shared" si="541"/>
        <v>-0.12884834663625977</v>
      </c>
      <c r="AZ351" s="338">
        <f t="shared" si="541"/>
        <v>-0.25882352941176467</v>
      </c>
      <c r="BA351" s="338">
        <f t="shared" si="541"/>
        <v>-0.56445993031358888</v>
      </c>
      <c r="BB351" s="338">
        <f t="shared" si="541"/>
        <v>0</v>
      </c>
      <c r="BC351" s="338">
        <f t="shared" si="541"/>
        <v>0.96</v>
      </c>
      <c r="BD351" s="736">
        <f t="shared" si="541"/>
        <v>-0.23298429319371727</v>
      </c>
      <c r="BE351" s="338">
        <f t="shared" si="541"/>
        <v>-0.47619047619047616</v>
      </c>
      <c r="BF351" s="338">
        <f t="shared" si="541"/>
        <v>-8.0000000000000071E-3</v>
      </c>
      <c r="BG351" s="338">
        <f t="shared" si="541"/>
        <v>0.41935483870967749</v>
      </c>
      <c r="BH351" s="338">
        <f t="shared" si="541"/>
        <v>-0.20408163265306123</v>
      </c>
      <c r="BI351" s="736">
        <f t="shared" si="541"/>
        <v>-0.21331058020477811</v>
      </c>
      <c r="BJ351" s="338">
        <f t="shared" si="541"/>
        <v>4.5454545454545636E-2</v>
      </c>
      <c r="BK351" s="338">
        <f t="shared" si="541"/>
        <v>-0.11290322580645162</v>
      </c>
      <c r="BL351" s="338">
        <f t="shared" si="541"/>
        <v>-1.2613636363636362</v>
      </c>
      <c r="BM351" s="338">
        <f t="shared" si="541"/>
        <v>-1</v>
      </c>
      <c r="BN351" s="736">
        <f t="shared" si="541"/>
        <v>-0.51193058568329719</v>
      </c>
      <c r="BO351" s="910"/>
      <c r="BP351" s="910"/>
      <c r="BQ351" s="1112"/>
      <c r="BR351" s="1112"/>
      <c r="BS351" s="782"/>
      <c r="BT351" s="910"/>
      <c r="BU351" s="910"/>
      <c r="BV351" s="910"/>
      <c r="BW351" s="910"/>
      <c r="BX351" s="782"/>
      <c r="BY351" s="910"/>
      <c r="BZ351" s="1112"/>
      <c r="CA351" s="1112"/>
      <c r="CB351" s="1112"/>
      <c r="CC351" s="782"/>
      <c r="CD351" s="782"/>
      <c r="CE351" s="782"/>
      <c r="CF351" s="782"/>
      <c r="CG351" s="782"/>
      <c r="CH351" s="782"/>
    </row>
    <row r="352" spans="1:86">
      <c r="A352" s="9"/>
      <c r="B352" s="9"/>
      <c r="C352" s="9"/>
      <c r="D352" s="9"/>
      <c r="E352" s="9"/>
      <c r="F352" s="9"/>
      <c r="G352" s="9"/>
      <c r="H352" s="257" t="s">
        <v>1171</v>
      </c>
      <c r="I352" s="257"/>
      <c r="L352" s="325"/>
      <c r="M352" s="325"/>
      <c r="N352" s="325"/>
      <c r="O352" s="325"/>
      <c r="P352" s="48"/>
      <c r="Q352" s="325"/>
      <c r="R352" s="325"/>
      <c r="S352" s="325"/>
      <c r="T352" s="325"/>
      <c r="U352" s="48"/>
      <c r="V352" s="325"/>
      <c r="W352" s="325"/>
      <c r="X352" s="325"/>
      <c r="Y352" s="325"/>
      <c r="Z352" s="48"/>
      <c r="AA352" s="325"/>
      <c r="AB352" s="325"/>
      <c r="AC352" s="325"/>
      <c r="AD352" s="325"/>
      <c r="AE352" s="276"/>
      <c r="AF352" s="325">
        <f t="shared" ref="AF352:AO359" si="542">IF(ISERROR(AF122/AA122-1),"NM",(AF122/AA122-1))</f>
        <v>-2.2421524663677084E-2</v>
      </c>
      <c r="AG352" s="325">
        <f t="shared" si="542"/>
        <v>-0.10695187165775399</v>
      </c>
      <c r="AH352" s="325">
        <f t="shared" si="542"/>
        <v>-0.21145374449339216</v>
      </c>
      <c r="AI352" s="325">
        <f t="shared" si="542"/>
        <v>4.587155963302747E-2</v>
      </c>
      <c r="AJ352" s="276">
        <f t="shared" si="542"/>
        <v>-9.1152815013404997E-2</v>
      </c>
      <c r="AK352" s="325">
        <f t="shared" si="542"/>
        <v>-0.28440366972477071</v>
      </c>
      <c r="AL352" s="325">
        <f t="shared" si="542"/>
        <v>-5.9880239520956335E-3</v>
      </c>
      <c r="AM352" s="325">
        <f t="shared" si="542"/>
        <v>3.3519553072625774E-2</v>
      </c>
      <c r="AN352" s="325">
        <f t="shared" si="542"/>
        <v>0.3157894736842104</v>
      </c>
      <c r="AO352" s="345">
        <f t="shared" si="542"/>
        <v>-3.0973451327433565E-2</v>
      </c>
      <c r="AP352" s="341">
        <f t="shared" ref="AP352:AY359" si="543">IF(ISERROR(AP122/AK122-1),"NM",(AP122/AK122-1))</f>
        <v>0.73717948717948723</v>
      </c>
      <c r="AQ352" s="341">
        <f t="shared" si="543"/>
        <v>8.43373493975903E-2</v>
      </c>
      <c r="AR352" s="341">
        <f t="shared" si="543"/>
        <v>-0.12432432432432439</v>
      </c>
      <c r="AS352" s="341">
        <f t="shared" si="543"/>
        <v>0.76</v>
      </c>
      <c r="AT352" s="345">
        <f t="shared" si="543"/>
        <v>0.33485540334855379</v>
      </c>
      <c r="AU352" s="341">
        <f t="shared" si="543"/>
        <v>0.25461254612546114</v>
      </c>
      <c r="AV352" s="341">
        <f t="shared" si="543"/>
        <v>0.59444444444444433</v>
      </c>
      <c r="AW352" s="341">
        <f t="shared" si="543"/>
        <v>-0.61728395061728392</v>
      </c>
      <c r="AX352" s="341">
        <f t="shared" si="543"/>
        <v>-0.99242424242424243</v>
      </c>
      <c r="AY352" s="345">
        <f t="shared" si="543"/>
        <v>-0.21208665906499413</v>
      </c>
      <c r="AZ352" s="341">
        <f t="shared" ref="AZ352:BI359" si="544">IF(ISERROR(AZ122/AU122-1),"NM",(AZ122/AU122-1))</f>
        <v>-0.25882352941176467</v>
      </c>
      <c r="BA352" s="341">
        <f t="shared" si="544"/>
        <v>-0.56445993031358888</v>
      </c>
      <c r="BB352" s="341">
        <f t="shared" si="544"/>
        <v>0</v>
      </c>
      <c r="BC352" s="341">
        <f t="shared" si="544"/>
        <v>72.499999999999986</v>
      </c>
      <c r="BD352" s="344">
        <f t="shared" si="544"/>
        <v>-0.15195369030390737</v>
      </c>
      <c r="BE352" s="341">
        <f t="shared" si="544"/>
        <v>-0.47619047619047616</v>
      </c>
      <c r="BF352" s="341">
        <f t="shared" si="544"/>
        <v>-8.0000000000000071E-3</v>
      </c>
      <c r="BG352" s="341">
        <f t="shared" si="544"/>
        <v>0.41935483870967749</v>
      </c>
      <c r="BH352" s="341">
        <f t="shared" si="544"/>
        <v>-0.20408163265306123</v>
      </c>
      <c r="BI352" s="345">
        <f t="shared" si="544"/>
        <v>-0.21331058020477811</v>
      </c>
      <c r="BJ352" s="341">
        <f t="shared" ref="BJ352:BN359" si="545">IF(ISERROR(BJ122/BE122-1),"NM",(BJ122/BE122-1))</f>
        <v>-1</v>
      </c>
      <c r="BK352" s="341">
        <f t="shared" si="545"/>
        <v>-0.11290322580645162</v>
      </c>
      <c r="BL352" s="341">
        <f t="shared" si="545"/>
        <v>-1.2613636363636362</v>
      </c>
      <c r="BM352" s="341">
        <f t="shared" si="545"/>
        <v>-1</v>
      </c>
      <c r="BN352" s="345">
        <f t="shared" si="545"/>
        <v>-0.81127982646420826</v>
      </c>
      <c r="BO352" s="772"/>
      <c r="BP352" s="772"/>
      <c r="BQ352" s="772"/>
      <c r="BR352" s="772"/>
      <c r="BS352" s="773"/>
      <c r="BT352" s="772"/>
      <c r="BU352" s="1111"/>
      <c r="BV352" s="1111"/>
      <c r="BW352" s="1111"/>
      <c r="BX352" s="773"/>
      <c r="BY352" s="772"/>
      <c r="BZ352" s="1111"/>
      <c r="CA352" s="1111"/>
      <c r="CB352" s="1111"/>
      <c r="CC352" s="773"/>
      <c r="CD352" s="913"/>
      <c r="CE352" s="913"/>
      <c r="CF352" s="913"/>
      <c r="CG352" s="913"/>
      <c r="CH352" s="913"/>
    </row>
    <row r="353" spans="1:86">
      <c r="A353" s="9"/>
      <c r="B353" s="9"/>
      <c r="C353" s="9"/>
      <c r="D353" s="9"/>
      <c r="E353" s="9"/>
      <c r="F353" s="9"/>
      <c r="G353" s="9"/>
      <c r="H353" s="257" t="s">
        <v>232</v>
      </c>
      <c r="I353" s="257"/>
      <c r="L353" s="325"/>
      <c r="M353" s="325"/>
      <c r="N353" s="325"/>
      <c r="O353" s="325"/>
      <c r="P353" s="48"/>
      <c r="Q353" s="325"/>
      <c r="R353" s="325"/>
      <c r="S353" s="325"/>
      <c r="T353" s="325"/>
      <c r="U353" s="48"/>
      <c r="V353" s="325"/>
      <c r="W353" s="325"/>
      <c r="X353" s="325"/>
      <c r="Y353" s="325"/>
      <c r="Z353" s="48"/>
      <c r="AA353" s="325"/>
      <c r="AB353" s="325"/>
      <c r="AC353" s="325"/>
      <c r="AD353" s="325"/>
      <c r="AE353" s="276"/>
      <c r="AF353" s="325">
        <f t="shared" si="542"/>
        <v>0.34374999999999978</v>
      </c>
      <c r="AG353" s="325">
        <f t="shared" si="542"/>
        <v>1.662962962962963</v>
      </c>
      <c r="AH353" s="325">
        <f t="shared" si="542"/>
        <v>0.375</v>
      </c>
      <c r="AI353" s="325">
        <f t="shared" si="542"/>
        <v>1.666666666666667</v>
      </c>
      <c r="AJ353" s="276">
        <f t="shared" si="542"/>
        <v>0.99112903225806437</v>
      </c>
      <c r="AK353" s="325">
        <f t="shared" si="542"/>
        <v>-0.69767441860465107</v>
      </c>
      <c r="AL353" s="325">
        <f t="shared" si="542"/>
        <v>-0.33240611961057032</v>
      </c>
      <c r="AM353" s="325">
        <f t="shared" si="542"/>
        <v>-1</v>
      </c>
      <c r="AN353" s="325">
        <f t="shared" si="542"/>
        <v>-1</v>
      </c>
      <c r="AO353" s="345">
        <f t="shared" si="542"/>
        <v>-0.75293641150263269</v>
      </c>
      <c r="AP353" s="341">
        <f t="shared" si="543"/>
        <v>-1</v>
      </c>
      <c r="AQ353" s="341">
        <f t="shared" si="543"/>
        <v>-1</v>
      </c>
      <c r="AR353" s="341" t="str">
        <f t="shared" si="543"/>
        <v>NM</v>
      </c>
      <c r="AS353" s="341" t="str">
        <f t="shared" si="543"/>
        <v>NM</v>
      </c>
      <c r="AT353" s="345">
        <f t="shared" si="543"/>
        <v>-1</v>
      </c>
      <c r="AU353" s="341" t="str">
        <f t="shared" si="543"/>
        <v>NM</v>
      </c>
      <c r="AV353" s="341" t="str">
        <f t="shared" si="543"/>
        <v>NM</v>
      </c>
      <c r="AW353" s="341" t="str">
        <f t="shared" si="543"/>
        <v>NM</v>
      </c>
      <c r="AX353" s="341" t="str">
        <f t="shared" si="543"/>
        <v>NM</v>
      </c>
      <c r="AY353" s="345" t="str">
        <f t="shared" si="543"/>
        <v>NM</v>
      </c>
      <c r="AZ353" s="341" t="str">
        <f t="shared" si="544"/>
        <v>NM</v>
      </c>
      <c r="BA353" s="341" t="str">
        <f t="shared" si="544"/>
        <v>NM</v>
      </c>
      <c r="BB353" s="341" t="str">
        <f t="shared" si="544"/>
        <v>NM</v>
      </c>
      <c r="BC353" s="341">
        <f t="shared" si="544"/>
        <v>-1</v>
      </c>
      <c r="BD353" s="344">
        <f t="shared" si="544"/>
        <v>-1</v>
      </c>
      <c r="BE353" s="341" t="str">
        <f t="shared" si="544"/>
        <v>NM</v>
      </c>
      <c r="BF353" s="341" t="str">
        <f t="shared" si="544"/>
        <v>NM</v>
      </c>
      <c r="BG353" s="341" t="str">
        <f t="shared" si="544"/>
        <v>NM</v>
      </c>
      <c r="BH353" s="341" t="str">
        <f t="shared" si="544"/>
        <v>NM</v>
      </c>
      <c r="BI353" s="345" t="str">
        <f t="shared" si="544"/>
        <v>NM</v>
      </c>
      <c r="BJ353" s="341" t="str">
        <f t="shared" si="545"/>
        <v>NM</v>
      </c>
      <c r="BK353" s="341" t="str">
        <f t="shared" si="545"/>
        <v>NM</v>
      </c>
      <c r="BL353" s="341" t="str">
        <f t="shared" si="545"/>
        <v>NM</v>
      </c>
      <c r="BM353" s="341" t="str">
        <f t="shared" si="545"/>
        <v>NM</v>
      </c>
      <c r="BN353" s="345" t="str">
        <f t="shared" si="545"/>
        <v>NM</v>
      </c>
      <c r="BO353" s="772"/>
      <c r="BP353" s="772"/>
      <c r="BQ353" s="772"/>
      <c r="BR353" s="772"/>
      <c r="BS353" s="773"/>
      <c r="BT353" s="772"/>
      <c r="BU353" s="1111"/>
      <c r="BV353" s="1111"/>
      <c r="BW353" s="1111"/>
      <c r="BX353" s="773"/>
      <c r="BY353" s="772"/>
      <c r="BZ353" s="1111"/>
      <c r="CA353" s="1111"/>
      <c r="CB353" s="1111"/>
      <c r="CC353" s="773"/>
      <c r="CD353" s="913"/>
      <c r="CE353" s="913"/>
      <c r="CF353" s="913"/>
      <c r="CG353" s="913"/>
      <c r="CH353" s="913"/>
    </row>
    <row r="354" spans="1:86">
      <c r="A354" s="9"/>
      <c r="B354" s="9"/>
      <c r="C354" s="9"/>
      <c r="D354" s="9"/>
      <c r="E354" s="9"/>
      <c r="F354" s="9"/>
      <c r="G354" s="9"/>
      <c r="H354" s="270" t="s">
        <v>816</v>
      </c>
      <c r="I354" s="18"/>
      <c r="L354" s="325"/>
      <c r="M354" s="325"/>
      <c r="N354" s="325"/>
      <c r="O354" s="325"/>
      <c r="P354" s="276"/>
      <c r="Q354" s="325"/>
      <c r="R354" s="325"/>
      <c r="S354" s="325"/>
      <c r="T354" s="325"/>
      <c r="U354" s="276"/>
      <c r="V354" s="325"/>
      <c r="W354" s="325"/>
      <c r="X354" s="325"/>
      <c r="Y354" s="325"/>
      <c r="Z354" s="276"/>
      <c r="AA354" s="325"/>
      <c r="AB354" s="325"/>
      <c r="AC354" s="325"/>
      <c r="AD354" s="325"/>
      <c r="AE354" s="276"/>
      <c r="AF354" s="333">
        <f t="shared" si="542"/>
        <v>-0.1225806451612903</v>
      </c>
      <c r="AG354" s="333">
        <f t="shared" si="542"/>
        <v>-4.534005037783384E-2</v>
      </c>
      <c r="AH354" s="333">
        <f t="shared" si="542"/>
        <v>8.5948158253751572E-2</v>
      </c>
      <c r="AI354" s="333">
        <f t="shared" si="542"/>
        <v>3.0303030303030276E-2</v>
      </c>
      <c r="AJ354" s="334">
        <f t="shared" si="542"/>
        <v>-1.5191545574636756E-2</v>
      </c>
      <c r="AK354" s="333">
        <f t="shared" si="542"/>
        <v>0.10882352941176476</v>
      </c>
      <c r="AL354" s="333">
        <f t="shared" si="542"/>
        <v>8.5751978891820624E-2</v>
      </c>
      <c r="AM354" s="333">
        <f t="shared" si="542"/>
        <v>-3.391959798994959E-2</v>
      </c>
      <c r="AN354" s="333">
        <f t="shared" si="542"/>
        <v>6.2834224598930621E-2</v>
      </c>
      <c r="AO354" s="353">
        <f t="shared" si="542"/>
        <v>5.3319919517102798E-2</v>
      </c>
      <c r="AP354" s="354">
        <f t="shared" si="543"/>
        <v>1.9893899204244114E-2</v>
      </c>
      <c r="AQ354" s="354">
        <f t="shared" si="543"/>
        <v>-2.43013365735123E-3</v>
      </c>
      <c r="AR354" s="354">
        <f t="shared" si="543"/>
        <v>5.4616384915474381E-2</v>
      </c>
      <c r="AS354" s="354">
        <f t="shared" si="543"/>
        <v>2.515723270440251E-2</v>
      </c>
      <c r="AT354" s="353">
        <f t="shared" si="543"/>
        <v>2.3877745940783068E-2</v>
      </c>
      <c r="AU354" s="354">
        <f t="shared" si="543"/>
        <v>3.1209362808842567E-2</v>
      </c>
      <c r="AV354" s="354">
        <f t="shared" si="543"/>
        <v>-9.74421437271622E-3</v>
      </c>
      <c r="AW354" s="354">
        <f t="shared" si="543"/>
        <v>-8.6313193588161141E-3</v>
      </c>
      <c r="AX354" s="354">
        <f t="shared" si="543"/>
        <v>-2.4539877300613466E-2</v>
      </c>
      <c r="AY354" s="353">
        <f t="shared" si="543"/>
        <v>-3.4203980099501985E-3</v>
      </c>
      <c r="AZ354" s="354">
        <f t="shared" si="544"/>
        <v>-0.12105926860025218</v>
      </c>
      <c r="BA354" s="354">
        <f t="shared" si="544"/>
        <v>-2.4600246002460024E-2</v>
      </c>
      <c r="BB354" s="354">
        <f t="shared" si="544"/>
        <v>7.4626865671640896E-3</v>
      </c>
      <c r="BC354" s="354">
        <f t="shared" si="544"/>
        <v>7.2955974842767279E-2</v>
      </c>
      <c r="BD354" s="353">
        <f t="shared" si="544"/>
        <v>-1.6224648985959433E-2</v>
      </c>
      <c r="BE354" s="354">
        <f t="shared" si="544"/>
        <v>0.11477761836441891</v>
      </c>
      <c r="BF354" s="354">
        <f t="shared" si="544"/>
        <v>2.2698612862547263E-2</v>
      </c>
      <c r="BG354" s="354">
        <f t="shared" si="544"/>
        <v>3.8271604938271642E-2</v>
      </c>
      <c r="BH354" s="354">
        <f t="shared" si="544"/>
        <v>-1.0550996483001063E-2</v>
      </c>
      <c r="BI354" s="353">
        <f t="shared" si="544"/>
        <v>3.8058991436726863E-2</v>
      </c>
      <c r="BJ354" s="354">
        <f t="shared" si="545"/>
        <v>-4.2471042471042386E-2</v>
      </c>
      <c r="BK354" s="354">
        <f t="shared" si="545"/>
        <v>0.52404438964241673</v>
      </c>
      <c r="BL354" s="354">
        <f t="shared" si="545"/>
        <v>4.8751486325802729E-2</v>
      </c>
      <c r="BM354" s="354">
        <f t="shared" si="545"/>
        <v>1.0876777251184833</v>
      </c>
      <c r="BN354" s="353">
        <f t="shared" si="545"/>
        <v>0.41277115795905894</v>
      </c>
      <c r="BO354" s="354">
        <f t="shared" ref="BO354:CC354" si="546">IF(ISERROR(BO124/BJ124-1),"NM",(BO124/BJ124-1))</f>
        <v>1.259408602150538</v>
      </c>
      <c r="BP354" s="354">
        <f t="shared" si="546"/>
        <v>0.46116504854368956</v>
      </c>
      <c r="BQ354" s="1115">
        <f t="shared" si="546"/>
        <v>1.0929705215419498</v>
      </c>
      <c r="BR354" s="1115">
        <f t="shared" si="546"/>
        <v>-0.12769580022701477</v>
      </c>
      <c r="BS354" s="353">
        <f t="shared" si="546"/>
        <v>0.48572664359861584</v>
      </c>
      <c r="BT354" s="354">
        <f t="shared" si="546"/>
        <v>-8.1499107674003812E-2</v>
      </c>
      <c r="BU354" s="1114">
        <f t="shared" si="546"/>
        <v>-0.11904761904761918</v>
      </c>
      <c r="BV354" s="1114">
        <f t="shared" si="546"/>
        <v>-0.11484290357529792</v>
      </c>
      <c r="BW354" s="1114">
        <f t="shared" si="546"/>
        <v>9.8893949251789293E-2</v>
      </c>
      <c r="BX354" s="353">
        <f t="shared" si="546"/>
        <v>-5.9970887918486038E-2</v>
      </c>
      <c r="BY354" s="354">
        <f t="shared" si="546"/>
        <v>-3.1088082901554293E-2</v>
      </c>
      <c r="BZ354" s="1115">
        <f t="shared" si="546"/>
        <v>-8.6876178504085466E-2</v>
      </c>
      <c r="CA354" s="1115">
        <f t="shared" si="546"/>
        <v>-8.6585067319461473E-2</v>
      </c>
      <c r="CB354" s="1115">
        <f t="shared" si="546"/>
        <v>-8.7969212551805787E-2</v>
      </c>
      <c r="CC354" s="353">
        <f t="shared" si="546"/>
        <v>-7.3750387116754634E-2</v>
      </c>
      <c r="CD354" s="353">
        <f>IF(ISERROR(CD124/CC124-1),"NM",(CD124/CC124-1))</f>
        <v>-9.1171268464588673E-2</v>
      </c>
      <c r="CE354" s="353">
        <f>IF(ISERROR(CE124/CD124-1),"NM",(CE124/CD124-1))</f>
        <v>-9.0771314035736128E-2</v>
      </c>
      <c r="CF354" s="353">
        <f>IF(ISERROR(CF124/CE124-1),"NM",(CF124/CE124-1))</f>
        <v>-9.0357484534539512E-2</v>
      </c>
      <c r="CG354" s="353">
        <f>IF(ISERROR(CG124/CF124-1),"NM",(CG124/CF124-1))</f>
        <v>-8.9929681675553375E-2</v>
      </c>
      <c r="CH354" s="353">
        <f>IF(ISERROR(CH124/CG124-1),"NM",(CH124/CG124-1))</f>
        <v>-8.9487842625350256E-2</v>
      </c>
    </row>
    <row r="355" spans="1:86">
      <c r="A355" s="9"/>
      <c r="B355" s="9"/>
      <c r="C355" s="9"/>
      <c r="D355" s="9"/>
      <c r="E355" s="9"/>
      <c r="F355" s="9"/>
      <c r="G355" s="9"/>
      <c r="H355" s="257" t="s">
        <v>1171</v>
      </c>
      <c r="I355" s="73"/>
      <c r="L355" s="66"/>
      <c r="M355" s="66"/>
      <c r="N355" s="66"/>
      <c r="O355" s="66"/>
      <c r="Q355" s="66"/>
      <c r="R355" s="66"/>
      <c r="S355" s="66"/>
      <c r="T355" s="66"/>
      <c r="V355" s="66"/>
      <c r="W355" s="66"/>
      <c r="X355" s="66"/>
      <c r="Y355" s="66"/>
      <c r="AA355" s="66"/>
      <c r="AB355" s="66"/>
      <c r="AC355" s="66"/>
      <c r="AD355" s="66"/>
      <c r="AF355" s="336">
        <f t="shared" si="542"/>
        <v>-0.13344316309719939</v>
      </c>
      <c r="AG355" s="336">
        <f t="shared" si="542"/>
        <v>-0.11885895404120439</v>
      </c>
      <c r="AH355" s="336">
        <f t="shared" si="542"/>
        <v>-2.0100502512562901E-2</v>
      </c>
      <c r="AI355" s="336">
        <f t="shared" si="542"/>
        <v>-0.12733446519524616</v>
      </c>
      <c r="AJ355" s="280">
        <f t="shared" si="542"/>
        <v>-0.10024752475247534</v>
      </c>
      <c r="AK355" s="336">
        <f t="shared" si="542"/>
        <v>4.1825095057034245E-2</v>
      </c>
      <c r="AL355" s="336">
        <f t="shared" si="542"/>
        <v>-1.4388489208633115E-2</v>
      </c>
      <c r="AM355" s="336">
        <f t="shared" si="542"/>
        <v>-0.13504273504273501</v>
      </c>
      <c r="AN355" s="336">
        <f t="shared" si="542"/>
        <v>6.6147859922178975E-2</v>
      </c>
      <c r="AO355" s="344">
        <f t="shared" si="542"/>
        <v>-1.421366345712971E-2</v>
      </c>
      <c r="AP355" s="369">
        <f t="shared" si="543"/>
        <v>-6.021897810218968E-2</v>
      </c>
      <c r="AQ355" s="369">
        <f t="shared" si="543"/>
        <v>1.0948905109489093E-2</v>
      </c>
      <c r="AR355" s="369">
        <f t="shared" si="543"/>
        <v>9.6837944664031506E-2</v>
      </c>
      <c r="AS355" s="369">
        <f t="shared" si="543"/>
        <v>1.8248175182481674E-2</v>
      </c>
      <c r="AT355" s="344">
        <f t="shared" si="543"/>
        <v>1.4883720930232602E-2</v>
      </c>
      <c r="AU355" s="369">
        <f t="shared" si="543"/>
        <v>7.3786407766990303E-2</v>
      </c>
      <c r="AV355" s="369">
        <f t="shared" si="543"/>
        <v>5.2346570397111991E-2</v>
      </c>
      <c r="AW355" s="369">
        <f t="shared" si="543"/>
        <v>-1.8018018018018056E-2</v>
      </c>
      <c r="AX355" s="369">
        <f t="shared" si="543"/>
        <v>-3.5842293906810041E-2</v>
      </c>
      <c r="AY355" s="344">
        <f t="shared" si="543"/>
        <v>1.6956920256645303E-2</v>
      </c>
      <c r="AZ355" s="369">
        <f t="shared" si="544"/>
        <v>-8.6799276672694381E-2</v>
      </c>
      <c r="BA355" s="369">
        <f t="shared" si="544"/>
        <v>-6.8610634648370472E-2</v>
      </c>
      <c r="BB355" s="369">
        <f t="shared" si="544"/>
        <v>4.0366972477064333E-2</v>
      </c>
      <c r="BC355" s="369">
        <f t="shared" si="544"/>
        <v>0.10780669144981414</v>
      </c>
      <c r="BD355" s="930">
        <f t="shared" si="544"/>
        <v>-3.6052275799909328E-3</v>
      </c>
      <c r="BE355" s="369">
        <f t="shared" si="544"/>
        <v>2.1782178217821802E-2</v>
      </c>
      <c r="BF355" s="369">
        <f t="shared" si="544"/>
        <v>3.3149171270718369E-2</v>
      </c>
      <c r="BG355" s="369">
        <f t="shared" si="544"/>
        <v>-2.4691358024691468E-2</v>
      </c>
      <c r="BH355" s="369">
        <f t="shared" si="544"/>
        <v>-5.2013422818791955E-2</v>
      </c>
      <c r="BI355" s="345">
        <f t="shared" si="544"/>
        <v>-7.2365445499773529E-3</v>
      </c>
      <c r="BJ355" s="369">
        <f t="shared" si="545"/>
        <v>-3.8759689922480578E-2</v>
      </c>
      <c r="BK355" s="369">
        <f t="shared" si="545"/>
        <v>0.85026737967914423</v>
      </c>
      <c r="BL355" s="369">
        <f t="shared" si="545"/>
        <v>7.9566003616636571E-2</v>
      </c>
      <c r="BM355" s="369">
        <f t="shared" si="545"/>
        <v>1.6725663716814161</v>
      </c>
      <c r="BN355" s="345">
        <f t="shared" si="545"/>
        <v>0.65876993166287034</v>
      </c>
      <c r="BO355" s="369">
        <f t="shared" ref="BO355:BY359" si="547">IF(ISERROR(BO125/BJ125-1),"NM",(BO125/BJ125-1))</f>
        <v>1.8286290322580645</v>
      </c>
      <c r="BP355" s="369">
        <f t="shared" si="547"/>
        <v>0.51059730250481716</v>
      </c>
      <c r="BQ355" s="369">
        <f t="shared" si="547"/>
        <v>1.5862646566164154</v>
      </c>
      <c r="BR355" s="369">
        <f t="shared" si="547"/>
        <v>-0.14105960264900674</v>
      </c>
      <c r="BS355" s="344">
        <f t="shared" si="547"/>
        <v>0.59626476242790449</v>
      </c>
      <c r="BT355" s="369">
        <f t="shared" si="547"/>
        <v>-7.9116179615110638E-2</v>
      </c>
      <c r="BU355" s="369">
        <f t="shared" si="547"/>
        <v>-0.1517857142857143</v>
      </c>
      <c r="BV355" s="369">
        <f t="shared" si="547"/>
        <v>-0.11917098445595853</v>
      </c>
      <c r="BW355" s="369">
        <f t="shared" si="547"/>
        <v>0.10639938319198161</v>
      </c>
      <c r="BX355" s="344">
        <f t="shared" ref="BX355:BX365" si="548">IF(ISERROR(BX125/BS125-1),"NM",(BX125/BS125-1))</f>
        <v>-6.79628355127323E-2</v>
      </c>
      <c r="BY355" s="369">
        <f t="shared" si="547"/>
        <v>-6.1145510835913242E-2</v>
      </c>
      <c r="BZ355" s="1116">
        <v>-0.1</v>
      </c>
      <c r="CA355" s="1116">
        <v>-0.1</v>
      </c>
      <c r="CB355" s="1116">
        <v>-0.1</v>
      </c>
      <c r="CC355" s="344">
        <f t="shared" ref="CC355:CC362" si="549">IF(ISERROR(CC125/BX125-1),"NM",(CC125/BX125-1))</f>
        <v>-9.0732877976740012E-2</v>
      </c>
      <c r="CD355" s="498">
        <v>-0.1</v>
      </c>
      <c r="CE355" s="498">
        <v>-0.1</v>
      </c>
      <c r="CF355" s="498">
        <v>-0.1</v>
      </c>
      <c r="CG355" s="498">
        <v>-0.1</v>
      </c>
      <c r="CH355" s="498">
        <v>-0.1</v>
      </c>
    </row>
    <row r="356" spans="1:86">
      <c r="A356" s="9"/>
      <c r="B356" s="9"/>
      <c r="C356" s="9"/>
      <c r="D356" s="9"/>
      <c r="E356" s="9"/>
      <c r="F356" s="9"/>
      <c r="G356" s="9"/>
      <c r="H356" s="257" t="s">
        <v>751</v>
      </c>
      <c r="I356" s="73"/>
      <c r="L356" s="66"/>
      <c r="M356" s="66"/>
      <c r="N356" s="66"/>
      <c r="O356" s="66"/>
      <c r="Q356" s="66"/>
      <c r="R356" s="66"/>
      <c r="S356" s="66"/>
      <c r="T356" s="66"/>
      <c r="V356" s="66"/>
      <c r="W356" s="66"/>
      <c r="X356" s="66"/>
      <c r="Y356" s="66"/>
      <c r="AA356" s="66"/>
      <c r="AB356" s="66"/>
      <c r="AC356" s="66"/>
      <c r="AD356" s="66"/>
      <c r="AF356" s="336">
        <f t="shared" si="542"/>
        <v>-8.333333333333337E-2</v>
      </c>
      <c r="AG356" s="336">
        <f t="shared" si="542"/>
        <v>0.23926380368098155</v>
      </c>
      <c r="AH356" s="336">
        <f t="shared" si="542"/>
        <v>0.55147058823529416</v>
      </c>
      <c r="AI356" s="336">
        <f t="shared" si="542"/>
        <v>0.70802919708029188</v>
      </c>
      <c r="AJ356" s="280">
        <f t="shared" si="542"/>
        <v>0.32615894039735083</v>
      </c>
      <c r="AK356" s="336">
        <f t="shared" si="542"/>
        <v>0.33766233766233777</v>
      </c>
      <c r="AL356" s="336">
        <f t="shared" si="542"/>
        <v>0.36138613861386149</v>
      </c>
      <c r="AM356" s="336">
        <f t="shared" si="542"/>
        <v>0.24644549763033163</v>
      </c>
      <c r="AN356" s="336">
        <f t="shared" si="542"/>
        <v>5.555555555555558E-2</v>
      </c>
      <c r="AO356" s="344">
        <f t="shared" si="542"/>
        <v>0.23720349563046206</v>
      </c>
      <c r="AP356" s="369">
        <f t="shared" si="543"/>
        <v>0.23300970873786397</v>
      </c>
      <c r="AQ356" s="369">
        <f t="shared" si="543"/>
        <v>-2.9090909090909167E-2</v>
      </c>
      <c r="AR356" s="369">
        <f t="shared" si="543"/>
        <v>-2.6615969581749055E-2</v>
      </c>
      <c r="AS356" s="369">
        <f t="shared" si="543"/>
        <v>4.0485829959514108E-2</v>
      </c>
      <c r="AT356" s="344">
        <f t="shared" si="543"/>
        <v>4.3390514631685084E-2</v>
      </c>
      <c r="AU356" s="369">
        <f t="shared" si="543"/>
        <v>-5.5118110236220375E-2</v>
      </c>
      <c r="AV356" s="369">
        <f t="shared" si="543"/>
        <v>-0.13857677902621723</v>
      </c>
      <c r="AW356" s="369">
        <f t="shared" si="543"/>
        <v>1.1718749999999778E-2</v>
      </c>
      <c r="AX356" s="369">
        <f t="shared" si="543"/>
        <v>0</v>
      </c>
      <c r="AY356" s="344">
        <f t="shared" si="543"/>
        <v>-4.6421663442939853E-2</v>
      </c>
      <c r="AZ356" s="369">
        <f t="shared" si="544"/>
        <v>-0.20000000000000007</v>
      </c>
      <c r="BA356" s="369">
        <f t="shared" si="544"/>
        <v>8.6956521739130377E-2</v>
      </c>
      <c r="BB356" s="369">
        <f t="shared" si="544"/>
        <v>-6.1776061776061653E-2</v>
      </c>
      <c r="BC356" s="369">
        <f t="shared" si="544"/>
        <v>0</v>
      </c>
      <c r="BD356" s="930">
        <f t="shared" si="544"/>
        <v>-4.4624746450304342E-2</v>
      </c>
      <c r="BE356" s="369">
        <f t="shared" si="544"/>
        <v>0.35937500000000022</v>
      </c>
      <c r="BF356" s="369">
        <f t="shared" si="544"/>
        <v>0</v>
      </c>
      <c r="BG356" s="369">
        <f t="shared" si="544"/>
        <v>0.18518518518518512</v>
      </c>
      <c r="BH356" s="369">
        <f t="shared" si="544"/>
        <v>8.5603112840466844E-2</v>
      </c>
      <c r="BI356" s="345">
        <f t="shared" si="544"/>
        <v>0.14437367303609361</v>
      </c>
      <c r="BJ356" s="369">
        <f t="shared" si="545"/>
        <v>-4.9808429118773923E-2</v>
      </c>
      <c r="BK356" s="369">
        <f t="shared" si="545"/>
        <v>-0.20799999999999996</v>
      </c>
      <c r="BL356" s="369">
        <f t="shared" si="545"/>
        <v>-1.0416666666666741E-2</v>
      </c>
      <c r="BM356" s="369">
        <f t="shared" si="545"/>
        <v>-9.6774193548387122E-2</v>
      </c>
      <c r="BN356" s="345">
        <f t="shared" si="545"/>
        <v>-8.8126159554731132E-2</v>
      </c>
      <c r="BO356" s="369">
        <f t="shared" si="547"/>
        <v>0.12096774193548376</v>
      </c>
      <c r="BP356" s="369">
        <f t="shared" si="547"/>
        <v>0.20202020202020199</v>
      </c>
      <c r="BQ356" s="369">
        <f t="shared" si="547"/>
        <v>5.9649122807017507E-2</v>
      </c>
      <c r="BR356" s="369">
        <f t="shared" si="547"/>
        <v>-4.7619047619047561E-2</v>
      </c>
      <c r="BS356" s="344">
        <f t="shared" si="547"/>
        <v>7.6297049847405818E-2</v>
      </c>
      <c r="BT356" s="369">
        <f t="shared" si="547"/>
        <v>-9.3525179856115193E-2</v>
      </c>
      <c r="BU356" s="369">
        <f t="shared" si="547"/>
        <v>9.6638655462184975E-2</v>
      </c>
      <c r="BV356" s="369">
        <f t="shared" si="547"/>
        <v>-9.27152317880795E-2</v>
      </c>
      <c r="BW356" s="369">
        <f t="shared" si="547"/>
        <v>5.8333333333333348E-2</v>
      </c>
      <c r="BX356" s="344">
        <f t="shared" si="548"/>
        <v>-1.6068052930056753E-2</v>
      </c>
      <c r="BY356" s="369">
        <f t="shared" si="547"/>
        <v>0.12301587301587302</v>
      </c>
      <c r="BZ356" s="1116">
        <v>-0.02</v>
      </c>
      <c r="CA356" s="1116">
        <v>-0.02</v>
      </c>
      <c r="CB356" s="1116">
        <v>-0.02</v>
      </c>
      <c r="CC356" s="344">
        <f t="shared" si="549"/>
        <v>1.4620557156580061E-2</v>
      </c>
      <c r="CD356" s="498">
        <v>-0.05</v>
      </c>
      <c r="CE356" s="498">
        <v>-0.05</v>
      </c>
      <c r="CF356" s="498">
        <v>-0.05</v>
      </c>
      <c r="CG356" s="498">
        <v>-0.05</v>
      </c>
      <c r="CH356" s="498">
        <v>-0.05</v>
      </c>
    </row>
    <row r="357" spans="1:86">
      <c r="A357" s="9"/>
      <c r="B357" s="9"/>
      <c r="C357" s="9"/>
      <c r="D357" s="9"/>
      <c r="E357" s="9"/>
      <c r="F357" s="9"/>
      <c r="G357" s="9"/>
      <c r="H357" s="270" t="s">
        <v>901</v>
      </c>
      <c r="I357" s="18"/>
      <c r="L357" s="325"/>
      <c r="M357" s="325"/>
      <c r="N357" s="325"/>
      <c r="O357" s="325"/>
      <c r="P357" s="276"/>
      <c r="Q357" s="325"/>
      <c r="R357" s="325"/>
      <c r="S357" s="325"/>
      <c r="T357" s="325"/>
      <c r="U357" s="276"/>
      <c r="V357" s="325"/>
      <c r="W357" s="325"/>
      <c r="X357" s="325"/>
      <c r="Y357" s="325"/>
      <c r="Z357" s="276"/>
      <c r="AA357" s="325"/>
      <c r="AB357" s="325"/>
      <c r="AC357" s="325"/>
      <c r="AD357" s="325"/>
      <c r="AE357" s="276"/>
      <c r="AF357" s="333" t="str">
        <f t="shared" si="542"/>
        <v>NM</v>
      </c>
      <c r="AG357" s="333" t="str">
        <f t="shared" si="542"/>
        <v>NM</v>
      </c>
      <c r="AH357" s="333" t="str">
        <f t="shared" si="542"/>
        <v>NM</v>
      </c>
      <c r="AI357" s="333" t="str">
        <f t="shared" si="542"/>
        <v>NM</v>
      </c>
      <c r="AJ357" s="334" t="str">
        <f t="shared" si="542"/>
        <v>NM</v>
      </c>
      <c r="AK357" s="333" t="str">
        <f t="shared" si="542"/>
        <v>NM</v>
      </c>
      <c r="AL357" s="333" t="str">
        <f t="shared" si="542"/>
        <v>NM</v>
      </c>
      <c r="AM357" s="333" t="str">
        <f t="shared" si="542"/>
        <v>NM</v>
      </c>
      <c r="AN357" s="333" t="str">
        <f t="shared" si="542"/>
        <v>NM</v>
      </c>
      <c r="AO357" s="353" t="str">
        <f t="shared" si="542"/>
        <v>NM</v>
      </c>
      <c r="AP357" s="354" t="str">
        <f t="shared" si="543"/>
        <v>NM</v>
      </c>
      <c r="AQ357" s="354" t="str">
        <f t="shared" si="543"/>
        <v>NM</v>
      </c>
      <c r="AR357" s="354" t="str">
        <f t="shared" si="543"/>
        <v>NM</v>
      </c>
      <c r="AS357" s="354" t="str">
        <f t="shared" si="543"/>
        <v>NM</v>
      </c>
      <c r="AT357" s="353" t="str">
        <f t="shared" si="543"/>
        <v>NM</v>
      </c>
      <c r="AU357" s="354" t="str">
        <f t="shared" si="543"/>
        <v>NM</v>
      </c>
      <c r="AV357" s="354" t="str">
        <f t="shared" si="543"/>
        <v>NM</v>
      </c>
      <c r="AW357" s="354" t="str">
        <f t="shared" si="543"/>
        <v>NM</v>
      </c>
      <c r="AX357" s="354" t="str">
        <f t="shared" si="543"/>
        <v>NM</v>
      </c>
      <c r="AY357" s="353" t="str">
        <f t="shared" si="543"/>
        <v>NM</v>
      </c>
      <c r="AZ357" s="354" t="str">
        <f t="shared" si="544"/>
        <v>NM</v>
      </c>
      <c r="BA357" s="354" t="str">
        <f t="shared" si="544"/>
        <v>NM</v>
      </c>
      <c r="BB357" s="354" t="str">
        <f t="shared" si="544"/>
        <v>NM</v>
      </c>
      <c r="BC357" s="354" t="str">
        <f t="shared" si="544"/>
        <v>NM</v>
      </c>
      <c r="BD357" s="353" t="str">
        <f t="shared" si="544"/>
        <v>NM</v>
      </c>
      <c r="BE357" s="354" t="str">
        <f t="shared" si="544"/>
        <v>NM</v>
      </c>
      <c r="BF357" s="354" t="str">
        <f t="shared" si="544"/>
        <v>NM</v>
      </c>
      <c r="BG357" s="354" t="str">
        <f t="shared" si="544"/>
        <v>NM</v>
      </c>
      <c r="BH357" s="354" t="str">
        <f t="shared" si="544"/>
        <v>NM</v>
      </c>
      <c r="BI357" s="353" t="str">
        <f t="shared" si="544"/>
        <v>NM</v>
      </c>
      <c r="BJ357" s="354" t="str">
        <f t="shared" si="545"/>
        <v>NM</v>
      </c>
      <c r="BK357" s="354" t="str">
        <f t="shared" si="545"/>
        <v>NM</v>
      </c>
      <c r="BL357" s="354" t="str">
        <f t="shared" si="545"/>
        <v>NM</v>
      </c>
      <c r="BM357" s="354" t="str">
        <f t="shared" si="545"/>
        <v>NM</v>
      </c>
      <c r="BN357" s="353" t="str">
        <f t="shared" si="545"/>
        <v>NM</v>
      </c>
      <c r="BO357" s="354" t="str">
        <f t="shared" si="547"/>
        <v>NM</v>
      </c>
      <c r="BP357" s="354" t="str">
        <f t="shared" si="547"/>
        <v>NM</v>
      </c>
      <c r="BQ357" s="1115" t="str">
        <f t="shared" si="547"/>
        <v>NM</v>
      </c>
      <c r="BR357" s="1115" t="str">
        <f t="shared" si="547"/>
        <v>NM</v>
      </c>
      <c r="BS357" s="353" t="str">
        <f t="shared" si="547"/>
        <v>NM</v>
      </c>
      <c r="BT357" s="354">
        <f t="shared" si="547"/>
        <v>1.1176470588235294</v>
      </c>
      <c r="BU357" s="1115">
        <f>IF(ISERROR(BU127/BP127-1),"NM",(BU127/BP127-1))</f>
        <v>-0.42499999999999993</v>
      </c>
      <c r="BV357" s="1115">
        <f>IF(ISERROR(BV127/BQ127-1),"NM",(BV127/BQ127-1))</f>
        <v>-0.56603773584905648</v>
      </c>
      <c r="BW357" s="1115">
        <f>IF(ISERROR(BW127/BR127-1),"NM",(BW127/BR127-1))</f>
        <v>-0.43243243243243235</v>
      </c>
      <c r="BX357" s="353">
        <f t="shared" si="548"/>
        <v>-0.29931972789115635</v>
      </c>
      <c r="BY357" s="354"/>
      <c r="BZ357" s="1115"/>
      <c r="CA357" s="1115"/>
      <c r="CB357" s="1115"/>
      <c r="CC357" s="353"/>
      <c r="CD357" s="353"/>
      <c r="CE357" s="353"/>
      <c r="CF357" s="353"/>
      <c r="CG357" s="353"/>
      <c r="CH357" s="353"/>
    </row>
    <row r="358" spans="1:86">
      <c r="A358" s="9"/>
      <c r="B358" s="9"/>
      <c r="C358" s="9"/>
      <c r="D358" s="9"/>
      <c r="E358" s="9"/>
      <c r="F358" s="9"/>
      <c r="G358" s="9"/>
      <c r="H358" s="257" t="s">
        <v>1172</v>
      </c>
      <c r="I358" s="73"/>
      <c r="L358" s="66"/>
      <c r="M358" s="66"/>
      <c r="N358" s="66"/>
      <c r="O358" s="66"/>
      <c r="Q358" s="66"/>
      <c r="R358" s="66"/>
      <c r="S358" s="66"/>
      <c r="T358" s="66"/>
      <c r="V358" s="66"/>
      <c r="W358" s="66"/>
      <c r="X358" s="66"/>
      <c r="Y358" s="66"/>
      <c r="AA358" s="66"/>
      <c r="AB358" s="66"/>
      <c r="AC358" s="66"/>
      <c r="AD358" s="66"/>
      <c r="AF358" s="336" t="str">
        <f t="shared" si="542"/>
        <v>NM</v>
      </c>
      <c r="AG358" s="336" t="str">
        <f t="shared" si="542"/>
        <v>NM</v>
      </c>
      <c r="AH358" s="336" t="str">
        <f t="shared" si="542"/>
        <v>NM</v>
      </c>
      <c r="AI358" s="336" t="str">
        <f t="shared" si="542"/>
        <v>NM</v>
      </c>
      <c r="AJ358" s="280" t="str">
        <f t="shared" si="542"/>
        <v>NM</v>
      </c>
      <c r="AK358" s="336" t="str">
        <f t="shared" si="542"/>
        <v>NM</v>
      </c>
      <c r="AL358" s="336" t="str">
        <f t="shared" si="542"/>
        <v>NM</v>
      </c>
      <c r="AM358" s="336" t="str">
        <f t="shared" si="542"/>
        <v>NM</v>
      </c>
      <c r="AN358" s="336" t="str">
        <f t="shared" si="542"/>
        <v>NM</v>
      </c>
      <c r="AO358" s="344" t="str">
        <f t="shared" si="542"/>
        <v>NM</v>
      </c>
      <c r="AP358" s="369" t="str">
        <f t="shared" si="543"/>
        <v>NM</v>
      </c>
      <c r="AQ358" s="369" t="str">
        <f t="shared" si="543"/>
        <v>NM</v>
      </c>
      <c r="AR358" s="369" t="str">
        <f t="shared" si="543"/>
        <v>NM</v>
      </c>
      <c r="AS358" s="369" t="str">
        <f t="shared" si="543"/>
        <v>NM</v>
      </c>
      <c r="AT358" s="344" t="str">
        <f t="shared" si="543"/>
        <v>NM</v>
      </c>
      <c r="AU358" s="369" t="str">
        <f t="shared" si="543"/>
        <v>NM</v>
      </c>
      <c r="AV358" s="369" t="str">
        <f t="shared" si="543"/>
        <v>NM</v>
      </c>
      <c r="AW358" s="369" t="str">
        <f t="shared" si="543"/>
        <v>NM</v>
      </c>
      <c r="AX358" s="369" t="str">
        <f t="shared" si="543"/>
        <v>NM</v>
      </c>
      <c r="AY358" s="344" t="str">
        <f t="shared" si="543"/>
        <v>NM</v>
      </c>
      <c r="AZ358" s="369" t="str">
        <f t="shared" si="544"/>
        <v>NM</v>
      </c>
      <c r="BA358" s="369" t="str">
        <f t="shared" si="544"/>
        <v>NM</v>
      </c>
      <c r="BB358" s="369" t="str">
        <f t="shared" si="544"/>
        <v>NM</v>
      </c>
      <c r="BC358" s="369" t="str">
        <f t="shared" si="544"/>
        <v>NM</v>
      </c>
      <c r="BD358" s="930" t="str">
        <f t="shared" si="544"/>
        <v>NM</v>
      </c>
      <c r="BE358" s="369" t="str">
        <f t="shared" si="544"/>
        <v>NM</v>
      </c>
      <c r="BF358" s="369" t="str">
        <f t="shared" si="544"/>
        <v>NM</v>
      </c>
      <c r="BG358" s="369" t="str">
        <f t="shared" si="544"/>
        <v>NM</v>
      </c>
      <c r="BH358" s="369" t="str">
        <f t="shared" si="544"/>
        <v>NM</v>
      </c>
      <c r="BI358" s="345" t="str">
        <f t="shared" si="544"/>
        <v>NM</v>
      </c>
      <c r="BJ358" s="369" t="str">
        <f t="shared" si="545"/>
        <v>NM</v>
      </c>
      <c r="BK358" s="369" t="str">
        <f t="shared" si="545"/>
        <v>NM</v>
      </c>
      <c r="BL358" s="369" t="str">
        <f t="shared" si="545"/>
        <v>NM</v>
      </c>
      <c r="BM358" s="369" t="str">
        <f t="shared" si="545"/>
        <v>NM</v>
      </c>
      <c r="BN358" s="345" t="str">
        <f t="shared" si="545"/>
        <v>NM</v>
      </c>
      <c r="BO358" s="369" t="str">
        <f t="shared" si="547"/>
        <v>NM</v>
      </c>
      <c r="BP358" s="369" t="str">
        <f t="shared" si="547"/>
        <v>NM</v>
      </c>
      <c r="BQ358" s="369" t="str">
        <f t="shared" si="547"/>
        <v>NM</v>
      </c>
      <c r="BR358" s="369" t="str">
        <f t="shared" si="547"/>
        <v>NM</v>
      </c>
      <c r="BS358" s="344" t="str">
        <f t="shared" si="547"/>
        <v>NM</v>
      </c>
      <c r="BT358" s="369">
        <f t="shared" si="547"/>
        <v>0.82352941176470607</v>
      </c>
      <c r="BU358" s="369">
        <f t="shared" si="547"/>
        <v>-0.43589743589743579</v>
      </c>
      <c r="BV358" s="369">
        <f t="shared" si="547"/>
        <v>-0.54166666666666663</v>
      </c>
      <c r="BW358" s="369">
        <f t="shared" si="547"/>
        <v>-0.4242424242424242</v>
      </c>
      <c r="BX358" s="344">
        <f t="shared" si="548"/>
        <v>-0.31386861313868608</v>
      </c>
      <c r="BY358" s="369"/>
      <c r="BZ358" s="1099"/>
      <c r="CA358" s="1099"/>
      <c r="CB358" s="1099"/>
      <c r="CC358" s="344"/>
      <c r="CD358" s="332"/>
      <c r="CE358" s="332"/>
      <c r="CF358" s="332"/>
      <c r="CG358" s="332"/>
      <c r="CH358" s="332"/>
    </row>
    <row r="359" spans="1:86">
      <c r="A359" s="9"/>
      <c r="B359" s="9"/>
      <c r="C359" s="9"/>
      <c r="D359" s="9"/>
      <c r="E359" s="9"/>
      <c r="F359" s="9"/>
      <c r="G359" s="9"/>
      <c r="H359" s="257" t="s">
        <v>232</v>
      </c>
      <c r="I359" s="73"/>
      <c r="L359" s="66"/>
      <c r="M359" s="66"/>
      <c r="N359" s="66"/>
      <c r="O359" s="66"/>
      <c r="Q359" s="66"/>
      <c r="R359" s="66"/>
      <c r="S359" s="66"/>
      <c r="T359" s="66"/>
      <c r="V359" s="66"/>
      <c r="W359" s="66"/>
      <c r="X359" s="66"/>
      <c r="Y359" s="66"/>
      <c r="AA359" s="66"/>
      <c r="AB359" s="66"/>
      <c r="AC359" s="66"/>
      <c r="AD359" s="66"/>
      <c r="AF359" s="336" t="str">
        <f t="shared" si="542"/>
        <v>NM</v>
      </c>
      <c r="AG359" s="336" t="str">
        <f t="shared" si="542"/>
        <v>NM</v>
      </c>
      <c r="AH359" s="336" t="str">
        <f t="shared" si="542"/>
        <v>NM</v>
      </c>
      <c r="AI359" s="336" t="str">
        <f t="shared" si="542"/>
        <v>NM</v>
      </c>
      <c r="AJ359" s="280" t="str">
        <f t="shared" si="542"/>
        <v>NM</v>
      </c>
      <c r="AK359" s="336" t="str">
        <f t="shared" si="542"/>
        <v>NM</v>
      </c>
      <c r="AL359" s="336" t="str">
        <f t="shared" si="542"/>
        <v>NM</v>
      </c>
      <c r="AM359" s="336" t="str">
        <f t="shared" si="542"/>
        <v>NM</v>
      </c>
      <c r="AN359" s="336" t="str">
        <f t="shared" si="542"/>
        <v>NM</v>
      </c>
      <c r="AO359" s="344" t="str">
        <f t="shared" si="542"/>
        <v>NM</v>
      </c>
      <c r="AP359" s="369" t="str">
        <f t="shared" si="543"/>
        <v>NM</v>
      </c>
      <c r="AQ359" s="369" t="str">
        <f t="shared" si="543"/>
        <v>NM</v>
      </c>
      <c r="AR359" s="369" t="str">
        <f t="shared" si="543"/>
        <v>NM</v>
      </c>
      <c r="AS359" s="369" t="str">
        <f t="shared" si="543"/>
        <v>NM</v>
      </c>
      <c r="AT359" s="344" t="str">
        <f t="shared" si="543"/>
        <v>NM</v>
      </c>
      <c r="AU359" s="369" t="str">
        <f t="shared" si="543"/>
        <v>NM</v>
      </c>
      <c r="AV359" s="369" t="str">
        <f t="shared" si="543"/>
        <v>NM</v>
      </c>
      <c r="AW359" s="369" t="str">
        <f t="shared" si="543"/>
        <v>NM</v>
      </c>
      <c r="AX359" s="369" t="str">
        <f t="shared" si="543"/>
        <v>NM</v>
      </c>
      <c r="AY359" s="344" t="str">
        <f t="shared" si="543"/>
        <v>NM</v>
      </c>
      <c r="AZ359" s="369" t="str">
        <f t="shared" si="544"/>
        <v>NM</v>
      </c>
      <c r="BA359" s="369" t="str">
        <f t="shared" si="544"/>
        <v>NM</v>
      </c>
      <c r="BB359" s="369" t="str">
        <f t="shared" si="544"/>
        <v>NM</v>
      </c>
      <c r="BC359" s="369" t="str">
        <f t="shared" si="544"/>
        <v>NM</v>
      </c>
      <c r="BD359" s="930" t="str">
        <f t="shared" si="544"/>
        <v>NM</v>
      </c>
      <c r="BE359" s="369" t="str">
        <f t="shared" si="544"/>
        <v>NM</v>
      </c>
      <c r="BF359" s="369" t="str">
        <f t="shared" si="544"/>
        <v>NM</v>
      </c>
      <c r="BG359" s="369" t="str">
        <f t="shared" si="544"/>
        <v>NM</v>
      </c>
      <c r="BH359" s="369" t="str">
        <f t="shared" si="544"/>
        <v>NM</v>
      </c>
      <c r="BI359" s="345" t="str">
        <f t="shared" si="544"/>
        <v>NM</v>
      </c>
      <c r="BJ359" s="369" t="str">
        <f t="shared" si="545"/>
        <v>NM</v>
      </c>
      <c r="BK359" s="369" t="str">
        <f t="shared" si="545"/>
        <v>NM</v>
      </c>
      <c r="BL359" s="369" t="str">
        <f t="shared" si="545"/>
        <v>NM</v>
      </c>
      <c r="BM359" s="369" t="str">
        <f t="shared" si="545"/>
        <v>NM</v>
      </c>
      <c r="BN359" s="345" t="str">
        <f t="shared" si="545"/>
        <v>NM</v>
      </c>
      <c r="BO359" s="369" t="str">
        <f t="shared" si="547"/>
        <v>NM</v>
      </c>
      <c r="BP359" s="369" t="str">
        <f t="shared" si="547"/>
        <v>NM</v>
      </c>
      <c r="BQ359" s="369" t="str">
        <f t="shared" si="547"/>
        <v>NM</v>
      </c>
      <c r="BR359" s="369" t="str">
        <f t="shared" si="547"/>
        <v>NM</v>
      </c>
      <c r="BS359" s="344" t="str">
        <f t="shared" si="547"/>
        <v>NM</v>
      </c>
      <c r="BT359" s="369" t="str">
        <f t="shared" si="547"/>
        <v>NM</v>
      </c>
      <c r="BU359" s="369">
        <f t="shared" si="547"/>
        <v>0</v>
      </c>
      <c r="BV359" s="369">
        <f t="shared" si="547"/>
        <v>-0.8</v>
      </c>
      <c r="BW359" s="369">
        <f t="shared" si="547"/>
        <v>-0.5</v>
      </c>
      <c r="BX359" s="344">
        <f t="shared" si="548"/>
        <v>-0.10000000000000009</v>
      </c>
      <c r="BY359" s="369"/>
      <c r="BZ359" s="1099"/>
      <c r="CA359" s="1099"/>
      <c r="CB359" s="1099"/>
      <c r="CC359" s="344"/>
      <c r="CD359" s="332"/>
      <c r="CE359" s="332"/>
      <c r="CF359" s="332"/>
      <c r="CG359" s="332"/>
      <c r="CH359" s="332"/>
    </row>
    <row r="360" spans="1:86" s="76" customFormat="1" ht="13.5">
      <c r="A360" s="85"/>
      <c r="B360" s="85"/>
      <c r="C360" s="85"/>
      <c r="D360" s="85"/>
      <c r="E360" s="85"/>
      <c r="F360" s="85"/>
      <c r="G360" s="85"/>
      <c r="H360" s="622" t="s">
        <v>981</v>
      </c>
      <c r="L360" s="570"/>
      <c r="M360" s="570"/>
      <c r="N360" s="570"/>
      <c r="O360" s="570"/>
      <c r="P360" s="240"/>
      <c r="Q360" s="570"/>
      <c r="R360" s="570"/>
      <c r="S360" s="570"/>
      <c r="T360" s="570"/>
      <c r="U360" s="240"/>
      <c r="V360" s="570"/>
      <c r="W360" s="570"/>
      <c r="X360" s="570"/>
      <c r="Y360" s="570"/>
      <c r="Z360" s="240"/>
      <c r="AA360" s="570"/>
      <c r="AB360" s="570"/>
      <c r="AC360" s="570"/>
      <c r="AD360" s="570"/>
      <c r="AE360" s="240"/>
      <c r="AF360" s="265"/>
      <c r="AG360" s="265"/>
      <c r="AH360" s="265"/>
      <c r="AI360" s="265"/>
      <c r="AJ360" s="337"/>
      <c r="AK360" s="265"/>
      <c r="AL360" s="265"/>
      <c r="AM360" s="265"/>
      <c r="AN360" s="265"/>
      <c r="AO360" s="329"/>
      <c r="AP360" s="265"/>
      <c r="AQ360" s="265"/>
      <c r="AR360" s="265"/>
      <c r="AS360" s="265"/>
      <c r="AT360" s="329"/>
      <c r="AU360" s="265"/>
      <c r="AV360" s="265"/>
      <c r="AW360" s="265"/>
      <c r="AX360" s="265"/>
      <c r="AY360" s="329"/>
      <c r="AZ360" s="265"/>
      <c r="BA360" s="265"/>
      <c r="BB360" s="265"/>
      <c r="BC360" s="265"/>
      <c r="BD360" s="329"/>
      <c r="BE360" s="265"/>
      <c r="BF360" s="265"/>
      <c r="BG360" s="265"/>
      <c r="BH360" s="265"/>
      <c r="BI360" s="329"/>
      <c r="BJ360" s="265"/>
      <c r="BK360" s="265"/>
      <c r="BL360" s="265"/>
      <c r="BM360" s="265"/>
      <c r="BN360" s="329"/>
      <c r="BO360" s="265"/>
      <c r="BP360" s="265"/>
      <c r="BQ360" s="265"/>
      <c r="BR360" s="1098"/>
      <c r="BS360" s="329"/>
      <c r="BT360" s="265"/>
      <c r="BU360" s="265"/>
      <c r="BV360" s="265"/>
      <c r="BW360" s="1115">
        <f>IF(ISERROR(BW130/BR130-1),"NM",(BW130/BR130-1))</f>
        <v>3.9579831932773111</v>
      </c>
      <c r="BX360" s="353">
        <f t="shared" si="548"/>
        <v>16.05042016806723</v>
      </c>
      <c r="BY360" s="1115">
        <f>IF(ISERROR(BY130/BT130-1),"NM",(BY130/BT130-1))</f>
        <v>0.52969121140142517</v>
      </c>
      <c r="BZ360" s="1098">
        <f>'REV-ANNUAL'!BZ130/'REV-ANNUAL'!BU130-1</f>
        <v>0.4924050632911392</v>
      </c>
      <c r="CA360" s="1098">
        <f>'REV-ANNUAL'!CA130/'REV-ANNUAL'!BV130-1</f>
        <v>0.43161764705882355</v>
      </c>
      <c r="CB360" s="1098">
        <f>'REV-ANNUAL'!CB130/'REV-ANNUAL'!BW130-1</f>
        <v>0.43347457627118646</v>
      </c>
      <c r="CC360" s="353">
        <f t="shared" si="549"/>
        <v>0.46670773780187247</v>
      </c>
      <c r="CD360" s="329">
        <f>'REV-ANNUAL'!CD130/'REV-ANNUAL'!CC130-1</f>
        <v>0.21608696382667714</v>
      </c>
      <c r="CE360" s="329">
        <f>'REV-ANNUAL'!CE130/'REV-ANNUAL'!CD130-1</f>
        <v>0.16691455739049377</v>
      </c>
      <c r="CF360" s="329">
        <f>'REV-ANNUAL'!CF130/'REV-ANNUAL'!CE130-1</f>
        <v>0.11601846095214507</v>
      </c>
      <c r="CG360" s="329">
        <f>'REV-ANNUAL'!CG130/'REV-ANNUAL'!CF130-1</f>
        <v>6.3126995140976083E-2</v>
      </c>
      <c r="CH360" s="329">
        <f>'REV-ANNUAL'!CH130/'REV-ANNUAL'!CG130-1</f>
        <v>3.4689695649164465E-2</v>
      </c>
    </row>
    <row r="361" spans="1:86" s="76" customFormat="1" ht="13.5">
      <c r="A361" s="85"/>
      <c r="B361" s="85"/>
      <c r="C361" s="85"/>
      <c r="D361" s="85"/>
      <c r="E361" s="85"/>
      <c r="F361" s="85"/>
      <c r="G361" s="85"/>
      <c r="H361" s="623" t="s">
        <v>231</v>
      </c>
      <c r="L361" s="570"/>
      <c r="M361" s="570"/>
      <c r="N361" s="570"/>
      <c r="O361" s="570"/>
      <c r="P361" s="240"/>
      <c r="Q361" s="570"/>
      <c r="R361" s="570"/>
      <c r="S361" s="570"/>
      <c r="T361" s="570"/>
      <c r="U361" s="240"/>
      <c r="V361" s="570"/>
      <c r="W361" s="570"/>
      <c r="X361" s="570"/>
      <c r="Y361" s="570"/>
      <c r="Z361" s="240"/>
      <c r="AA361" s="570"/>
      <c r="AB361" s="570"/>
      <c r="AC361" s="570"/>
      <c r="AD361" s="570"/>
      <c r="AE361" s="240"/>
      <c r="AF361" s="258"/>
      <c r="AG361" s="258"/>
      <c r="AH361" s="258"/>
      <c r="AI361" s="258"/>
      <c r="AJ361" s="337"/>
      <c r="AK361" s="258"/>
      <c r="AL361" s="258"/>
      <c r="AM361" s="258"/>
      <c r="AN361" s="258"/>
      <c r="AO361" s="332"/>
      <c r="AP361" s="258"/>
      <c r="AQ361" s="258"/>
      <c r="AR361" s="258"/>
      <c r="AS361" s="258"/>
      <c r="AT361" s="332"/>
      <c r="AU361" s="258"/>
      <c r="AV361" s="258"/>
      <c r="AW361" s="258"/>
      <c r="AX361" s="258"/>
      <c r="AY361" s="332"/>
      <c r="AZ361" s="258"/>
      <c r="BA361" s="258"/>
      <c r="BB361" s="258"/>
      <c r="BC361" s="258"/>
      <c r="BD361" s="332"/>
      <c r="BE361" s="258"/>
      <c r="BF361" s="258"/>
      <c r="BG361" s="258"/>
      <c r="BH361" s="258"/>
      <c r="BI361" s="332"/>
      <c r="BJ361" s="258"/>
      <c r="BK361" s="258"/>
      <c r="BL361" s="258"/>
      <c r="BM361" s="258"/>
      <c r="BN361" s="332"/>
      <c r="BO361" s="258"/>
      <c r="BP361" s="258"/>
      <c r="BQ361" s="258"/>
      <c r="BR361" s="1099"/>
      <c r="BS361" s="332"/>
      <c r="BT361" s="258"/>
      <c r="BU361" s="258"/>
      <c r="BV361" s="258"/>
      <c r="BW361" s="369">
        <f t="shared" ref="BW361:BY362" si="550">IF(ISERROR(BW131/BR131-1),"NM",(BW131/BR131-1))</f>
        <v>2.6403508771929824</v>
      </c>
      <c r="BX361" s="344">
        <f t="shared" si="548"/>
        <v>13.184210526315791</v>
      </c>
      <c r="BY361" s="369">
        <f t="shared" si="550"/>
        <v>0.1286089238845145</v>
      </c>
      <c r="BZ361" s="1099">
        <v>0.2</v>
      </c>
      <c r="CA361" s="1099">
        <v>0.2</v>
      </c>
      <c r="CB361" s="1099">
        <v>0.3</v>
      </c>
      <c r="CC361" s="344">
        <f t="shared" si="549"/>
        <v>0.20884353741496575</v>
      </c>
      <c r="CD361" s="332">
        <v>0.12</v>
      </c>
      <c r="CE361" s="332">
        <v>0.08</v>
      </c>
      <c r="CF361" s="332">
        <v>0.05</v>
      </c>
      <c r="CG361" s="332">
        <v>0.03</v>
      </c>
      <c r="CH361" s="332">
        <v>0.02</v>
      </c>
    </row>
    <row r="362" spans="1:86" s="76" customFormat="1" ht="13.5">
      <c r="A362" s="85"/>
      <c r="B362" s="85"/>
      <c r="C362" s="85"/>
      <c r="D362" s="85"/>
      <c r="E362" s="85"/>
      <c r="F362" s="85"/>
      <c r="G362" s="85"/>
      <c r="H362" s="624" t="s">
        <v>232</v>
      </c>
      <c r="L362" s="570"/>
      <c r="M362" s="570"/>
      <c r="N362" s="570"/>
      <c r="O362" s="570"/>
      <c r="P362" s="240"/>
      <c r="Q362" s="570"/>
      <c r="R362" s="570"/>
      <c r="S362" s="570"/>
      <c r="T362" s="570"/>
      <c r="U362" s="240"/>
      <c r="V362" s="570"/>
      <c r="W362" s="570"/>
      <c r="X362" s="570"/>
      <c r="Y362" s="570"/>
      <c r="Z362" s="240"/>
      <c r="AA362" s="570"/>
      <c r="AB362" s="570"/>
      <c r="AC362" s="570"/>
      <c r="AD362" s="570"/>
      <c r="AE362" s="240"/>
      <c r="AF362" s="258"/>
      <c r="AG362" s="258"/>
      <c r="AH362" s="258"/>
      <c r="AI362" s="258"/>
      <c r="AJ362" s="337"/>
      <c r="AK362" s="258"/>
      <c r="AL362" s="258"/>
      <c r="AM362" s="258"/>
      <c r="AN362" s="258"/>
      <c r="AO362" s="332"/>
      <c r="AP362" s="258"/>
      <c r="AQ362" s="258"/>
      <c r="AR362" s="258"/>
      <c r="AS362" s="258"/>
      <c r="AT362" s="332"/>
      <c r="AU362" s="258"/>
      <c r="AV362" s="258"/>
      <c r="AW362" s="258"/>
      <c r="AX362" s="258"/>
      <c r="AY362" s="332"/>
      <c r="AZ362" s="258"/>
      <c r="BA362" s="258"/>
      <c r="BB362" s="258"/>
      <c r="BC362" s="258"/>
      <c r="BD362" s="332"/>
      <c r="BE362" s="258"/>
      <c r="BF362" s="258"/>
      <c r="BG362" s="258"/>
      <c r="BH362" s="258"/>
      <c r="BI362" s="332"/>
      <c r="BJ362" s="258"/>
      <c r="BK362" s="258"/>
      <c r="BL362" s="258"/>
      <c r="BM362" s="258"/>
      <c r="BN362" s="332"/>
      <c r="BO362" s="258"/>
      <c r="BP362" s="258"/>
      <c r="BQ362" s="258"/>
      <c r="BR362" s="1099"/>
      <c r="BS362" s="332"/>
      <c r="BT362" s="258"/>
      <c r="BU362" s="258"/>
      <c r="BV362" s="258"/>
      <c r="BW362" s="369">
        <f t="shared" si="550"/>
        <v>34</v>
      </c>
      <c r="BX362" s="344">
        <f t="shared" si="548"/>
        <v>81.400000000000006</v>
      </c>
      <c r="BY362" s="369">
        <f t="shared" si="550"/>
        <v>4.3499999999999996</v>
      </c>
      <c r="BZ362" s="1099">
        <v>2</v>
      </c>
      <c r="CA362" s="1099">
        <v>1.25</v>
      </c>
      <c r="CB362" s="1099">
        <v>0.75</v>
      </c>
      <c r="CC362" s="344">
        <f t="shared" si="549"/>
        <v>1.47876213592233</v>
      </c>
      <c r="CD362" s="332">
        <v>0.4</v>
      </c>
      <c r="CE362" s="332">
        <v>0.3</v>
      </c>
      <c r="CF362" s="332">
        <v>0.2</v>
      </c>
      <c r="CG362" s="332">
        <v>0.1</v>
      </c>
      <c r="CH362" s="332">
        <v>0.05</v>
      </c>
    </row>
    <row r="363" spans="1:86">
      <c r="A363" s="9"/>
      <c r="B363" s="9"/>
      <c r="C363" s="9"/>
      <c r="D363" s="9"/>
      <c r="E363" s="9"/>
      <c r="F363" s="9"/>
      <c r="G363" s="9"/>
      <c r="H363" s="266" t="s">
        <v>298</v>
      </c>
      <c r="I363" s="266"/>
      <c r="L363" s="338" t="str">
        <f t="shared" ref="L363:O365" si="551">IF(ISERROR(L133/G133-1),"NM",(L133/G133-1))</f>
        <v>NM</v>
      </c>
      <c r="M363" s="338" t="str">
        <f t="shared" si="551"/>
        <v>NM</v>
      </c>
      <c r="N363" s="338" t="str">
        <f t="shared" si="551"/>
        <v>NM</v>
      </c>
      <c r="O363" s="338" t="str">
        <f t="shared" si="551"/>
        <v>NM</v>
      </c>
      <c r="P363" s="330">
        <v>-0.64130434782608714</v>
      </c>
      <c r="Q363" s="338">
        <f t="shared" ref="Q363:AE364" si="552">IF(ISERROR(Q133/L133-1),"NM",(Q133/L133-1))</f>
        <v>-0.91666666666666663</v>
      </c>
      <c r="R363" s="338">
        <f t="shared" si="552"/>
        <v>-0.66666666666666663</v>
      </c>
      <c r="S363" s="338">
        <f t="shared" si="552"/>
        <v>-1</v>
      </c>
      <c r="T363" s="338">
        <f t="shared" si="552"/>
        <v>-1</v>
      </c>
      <c r="U363" s="330">
        <f t="shared" si="552"/>
        <v>-0.90909090909090906</v>
      </c>
      <c r="V363" s="338">
        <f t="shared" si="552"/>
        <v>-1</v>
      </c>
      <c r="W363" s="338">
        <f t="shared" si="552"/>
        <v>-1</v>
      </c>
      <c r="X363" s="338" t="str">
        <f t="shared" si="552"/>
        <v>NM</v>
      </c>
      <c r="Y363" s="338" t="str">
        <f t="shared" si="552"/>
        <v>NM</v>
      </c>
      <c r="Z363" s="330">
        <f t="shared" si="552"/>
        <v>-1</v>
      </c>
      <c r="AA363" s="338" t="str">
        <f t="shared" si="552"/>
        <v>NM</v>
      </c>
      <c r="AB363" s="338" t="str">
        <f t="shared" si="552"/>
        <v>NM</v>
      </c>
      <c r="AC363" s="338" t="str">
        <f t="shared" si="552"/>
        <v>NM</v>
      </c>
      <c r="AD363" s="338" t="str">
        <f t="shared" si="552"/>
        <v>NM</v>
      </c>
      <c r="AE363" s="352" t="str">
        <f t="shared" si="552"/>
        <v>NM</v>
      </c>
      <c r="AF363" s="338" t="str">
        <f t="shared" ref="AF363:BO363" si="553">IF(ISERROR(AF133/AA133-1),"NM",(AF133/AA133-1))</f>
        <v>NM</v>
      </c>
      <c r="AG363" s="338" t="str">
        <f t="shared" si="553"/>
        <v>NM</v>
      </c>
      <c r="AH363" s="338" t="str">
        <f t="shared" si="553"/>
        <v>NM</v>
      </c>
      <c r="AI363" s="338" t="str">
        <f t="shared" si="553"/>
        <v>NM</v>
      </c>
      <c r="AJ363" s="352" t="str">
        <f t="shared" si="553"/>
        <v>NM</v>
      </c>
      <c r="AK363" s="338" t="str">
        <f t="shared" si="553"/>
        <v>NM</v>
      </c>
      <c r="AL363" s="338" t="str">
        <f t="shared" si="553"/>
        <v>NM</v>
      </c>
      <c r="AM363" s="338" t="str">
        <f t="shared" si="553"/>
        <v>NM</v>
      </c>
      <c r="AN363" s="338" t="str">
        <f t="shared" si="553"/>
        <v>NM</v>
      </c>
      <c r="AO363" s="352" t="str">
        <f t="shared" si="553"/>
        <v>NM</v>
      </c>
      <c r="AP363" s="338" t="str">
        <f t="shared" si="553"/>
        <v>NM</v>
      </c>
      <c r="AQ363" s="338" t="str">
        <f t="shared" si="553"/>
        <v>NM</v>
      </c>
      <c r="AR363" s="338" t="str">
        <f t="shared" si="553"/>
        <v>NM</v>
      </c>
      <c r="AS363" s="338">
        <f t="shared" si="553"/>
        <v>-1</v>
      </c>
      <c r="AT363" s="353">
        <f t="shared" si="553"/>
        <v>-2</v>
      </c>
      <c r="AU363" s="338">
        <f t="shared" si="553"/>
        <v>9.9999999999996589</v>
      </c>
      <c r="AV363" s="338">
        <f t="shared" si="553"/>
        <v>-11.999999999999659</v>
      </c>
      <c r="AW363" s="338">
        <f t="shared" si="553"/>
        <v>1.4210854715202004E-14</v>
      </c>
      <c r="AX363" s="354" t="str">
        <f t="shared" si="553"/>
        <v>NM</v>
      </c>
      <c r="AY363" s="353">
        <f t="shared" si="553"/>
        <v>-2.6666666666665479</v>
      </c>
      <c r="AZ363" s="338">
        <f t="shared" si="553"/>
        <v>-0.81818181818180025</v>
      </c>
      <c r="BA363" s="338">
        <f t="shared" si="553"/>
        <v>-1.5454545454545832</v>
      </c>
      <c r="BB363" s="338">
        <f t="shared" si="553"/>
        <v>1.0000000000000355</v>
      </c>
      <c r="BC363" s="338">
        <f t="shared" si="553"/>
        <v>-1.4999999999999705</v>
      </c>
      <c r="BD363" s="353">
        <f t="shared" si="553"/>
        <v>-3.6000000000002004</v>
      </c>
      <c r="BE363" s="338">
        <f t="shared" si="553"/>
        <v>0.49999999999984901</v>
      </c>
      <c r="BF363" s="354">
        <f t="shared" si="553"/>
        <v>-0.66666666666669827</v>
      </c>
      <c r="BG363" s="354">
        <f t="shared" si="553"/>
        <v>0.49999999999967137</v>
      </c>
      <c r="BH363" s="354">
        <f t="shared" si="553"/>
        <v>-1.3333333333334241</v>
      </c>
      <c r="BI363" s="353">
        <f t="shared" si="553"/>
        <v>-0.46153846153853639</v>
      </c>
      <c r="BJ363" s="354">
        <f t="shared" si="553"/>
        <v>-1.3333333333333728</v>
      </c>
      <c r="BK363" s="354">
        <f t="shared" si="553"/>
        <v>-0.99999999999975131</v>
      </c>
      <c r="BL363" s="354">
        <f t="shared" si="553"/>
        <v>-1.0000000000000473</v>
      </c>
      <c r="BM363" s="354">
        <f t="shared" si="553"/>
        <v>3.9999999999991829</v>
      </c>
      <c r="BN363" s="353">
        <f t="shared" si="553"/>
        <v>-1.8571428571429274</v>
      </c>
      <c r="BO363" s="354">
        <f t="shared" si="553"/>
        <v>-1.000000000000504</v>
      </c>
      <c r="BP363" s="354" t="s">
        <v>335</v>
      </c>
      <c r="BQ363" s="1115" t="s">
        <v>335</v>
      </c>
      <c r="BR363" s="1115">
        <f t="shared" ref="BR363:BW363" si="554">IF(ISERROR(BR133/BM133-1),"NM",(BR133/BM133-1))</f>
        <v>-0.79999999999996663</v>
      </c>
      <c r="BS363" s="353">
        <f t="shared" si="554"/>
        <v>-1.3333333333334547</v>
      </c>
      <c r="BT363" s="354">
        <f t="shared" si="554"/>
        <v>-1.0704845814977975</v>
      </c>
      <c r="BU363" s="338">
        <f t="shared" si="554"/>
        <v>-1.0000000000004485</v>
      </c>
      <c r="BV363" s="338">
        <f t="shared" si="554"/>
        <v>-2.000000000000524</v>
      </c>
      <c r="BW363" s="338">
        <f t="shared" si="554"/>
        <v>-0.99999999999939604</v>
      </c>
      <c r="BX363" s="353">
        <f t="shared" si="548"/>
        <v>-1.5000000000008409</v>
      </c>
      <c r="BY363" s="354" t="s">
        <v>335</v>
      </c>
      <c r="BZ363" s="354" t="s">
        <v>335</v>
      </c>
      <c r="CA363" s="354" t="s">
        <v>335</v>
      </c>
      <c r="CB363" s="354" t="s">
        <v>335</v>
      </c>
      <c r="CC363" s="353" t="s">
        <v>335</v>
      </c>
      <c r="CD363" s="353">
        <f>IF(ISERROR(CD133/CC133-1),"NM",(CD133/CC133-1))</f>
        <v>0</v>
      </c>
      <c r="CE363" s="353">
        <f>IF(ISERROR(CE133/CD133-1),"NM",(CE133/CD133-1))</f>
        <v>0</v>
      </c>
      <c r="CF363" s="353">
        <f>IF(ISERROR(CF133/CE133-1),"NM",(CF133/CE133-1))</f>
        <v>0</v>
      </c>
      <c r="CG363" s="353">
        <f>IF(ISERROR(CG133/CF133-1),"NM",(CG133/CF133-1))</f>
        <v>0</v>
      </c>
      <c r="CH363" s="353">
        <f>IF(ISERROR(CH133/CG133-1),"NM",(CH133/CG133-1))</f>
        <v>0</v>
      </c>
    </row>
    <row r="364" spans="1:86">
      <c r="A364" s="9"/>
      <c r="B364" s="9"/>
      <c r="C364" s="9"/>
      <c r="D364" s="9"/>
      <c r="E364" s="9"/>
      <c r="F364" s="9"/>
      <c r="G364" s="9"/>
      <c r="H364" s="257" t="s">
        <v>231</v>
      </c>
      <c r="I364" s="257"/>
      <c r="L364" s="341" t="str">
        <f t="shared" si="551"/>
        <v>NM</v>
      </c>
      <c r="M364" s="341" t="str">
        <f t="shared" si="551"/>
        <v>NM</v>
      </c>
      <c r="N364" s="341" t="str">
        <f t="shared" si="551"/>
        <v>NM</v>
      </c>
      <c r="O364" s="341" t="str">
        <f t="shared" si="551"/>
        <v>NM</v>
      </c>
      <c r="P364" s="339" t="str">
        <f>IF(ISERROR(P134/K134-1),"NM",(P134/K134-1))</f>
        <v>NM</v>
      </c>
      <c r="Q364" s="341">
        <f t="shared" si="552"/>
        <v>-1</v>
      </c>
      <c r="R364" s="341" t="str">
        <f t="shared" si="552"/>
        <v>NM</v>
      </c>
      <c r="S364" s="341" t="str">
        <f t="shared" si="552"/>
        <v>NM</v>
      </c>
      <c r="T364" s="341" t="str">
        <f t="shared" si="552"/>
        <v>NM</v>
      </c>
      <c r="U364" s="339">
        <f t="shared" si="552"/>
        <v>-1</v>
      </c>
      <c r="V364" s="341" t="str">
        <f t="shared" si="552"/>
        <v>NM</v>
      </c>
      <c r="W364" s="341" t="str">
        <f t="shared" si="552"/>
        <v>NM</v>
      </c>
      <c r="X364" s="341" t="str">
        <f t="shared" si="552"/>
        <v>NM</v>
      </c>
      <c r="Y364" s="341" t="str">
        <f t="shared" si="552"/>
        <v>NM</v>
      </c>
      <c r="Z364" s="339" t="str">
        <f t="shared" si="552"/>
        <v>NM</v>
      </c>
      <c r="AA364" s="341" t="str">
        <f t="shared" si="552"/>
        <v>NM</v>
      </c>
      <c r="AB364" s="341" t="str">
        <f t="shared" si="552"/>
        <v>NM</v>
      </c>
      <c r="AC364" s="341" t="str">
        <f t="shared" si="552"/>
        <v>NM</v>
      </c>
      <c r="AD364" s="341" t="str">
        <f t="shared" si="552"/>
        <v>NM</v>
      </c>
      <c r="AE364" s="339" t="str">
        <f t="shared" si="552"/>
        <v>NM</v>
      </c>
      <c r="AF364" s="341" t="str">
        <f t="shared" ref="AF364:AO365" si="555">IF(ISERROR(AF134/AA134-1),"NM",(AF134/AA134-1))</f>
        <v>NM</v>
      </c>
      <c r="AG364" s="341" t="str">
        <f t="shared" si="555"/>
        <v>NM</v>
      </c>
      <c r="AH364" s="341" t="str">
        <f t="shared" si="555"/>
        <v>NM</v>
      </c>
      <c r="AI364" s="341" t="str">
        <f t="shared" si="555"/>
        <v>NM</v>
      </c>
      <c r="AJ364" s="339" t="str">
        <f t="shared" si="555"/>
        <v>NM</v>
      </c>
      <c r="AK364" s="341" t="str">
        <f t="shared" si="555"/>
        <v>NM</v>
      </c>
      <c r="AL364" s="341" t="str">
        <f t="shared" si="555"/>
        <v>NM</v>
      </c>
      <c r="AM364" s="341" t="str">
        <f t="shared" si="555"/>
        <v>NM</v>
      </c>
      <c r="AN364" s="341" t="str">
        <f t="shared" si="555"/>
        <v>NM</v>
      </c>
      <c r="AO364" s="339" t="str">
        <f t="shared" si="555"/>
        <v>NM</v>
      </c>
      <c r="AP364" s="341" t="str">
        <f t="shared" ref="AP364:AY365" si="556">IF(ISERROR(AP134/AK134-1),"NM",(AP134/AK134-1))</f>
        <v>NM</v>
      </c>
      <c r="AQ364" s="341" t="str">
        <f t="shared" si="556"/>
        <v>NM</v>
      </c>
      <c r="AR364" s="341" t="str">
        <f t="shared" si="556"/>
        <v>NM</v>
      </c>
      <c r="AS364" s="341" t="str">
        <f t="shared" si="556"/>
        <v>NM</v>
      </c>
      <c r="AT364" s="345" t="str">
        <f t="shared" si="556"/>
        <v>NM</v>
      </c>
      <c r="AU364" s="341" t="str">
        <f t="shared" si="556"/>
        <v>NM</v>
      </c>
      <c r="AV364" s="341" t="str">
        <f t="shared" si="556"/>
        <v>NM</v>
      </c>
      <c r="AW364" s="341" t="str">
        <f t="shared" si="556"/>
        <v>NM</v>
      </c>
      <c r="AX364" s="341" t="str">
        <f t="shared" si="556"/>
        <v>NM</v>
      </c>
      <c r="AY364" s="345" t="str">
        <f t="shared" si="556"/>
        <v>NM</v>
      </c>
      <c r="AZ364" s="341" t="str">
        <f t="shared" ref="AZ364:BI365" si="557">IF(ISERROR(AZ134/AU134-1),"NM",(AZ134/AU134-1))</f>
        <v>NM</v>
      </c>
      <c r="BA364" s="341">
        <f t="shared" si="557"/>
        <v>-1</v>
      </c>
      <c r="BB364" s="341">
        <f t="shared" si="557"/>
        <v>-1.9999999999998579</v>
      </c>
      <c r="BC364" s="341" t="str">
        <f t="shared" si="557"/>
        <v>NM</v>
      </c>
      <c r="BD364" s="344">
        <f t="shared" si="557"/>
        <v>-3.000000000001279</v>
      </c>
      <c r="BE364" s="341">
        <f t="shared" si="557"/>
        <v>-1</v>
      </c>
      <c r="BF364" s="341" t="str">
        <f t="shared" si="557"/>
        <v>NM</v>
      </c>
      <c r="BG364" s="341">
        <f t="shared" si="557"/>
        <v>-1.0000000000005684</v>
      </c>
      <c r="BH364" s="341" t="str">
        <f t="shared" si="557"/>
        <v>NM</v>
      </c>
      <c r="BI364" s="345">
        <f t="shared" si="557"/>
        <v>-0.50000000000031974</v>
      </c>
      <c r="BJ364" s="341" t="str">
        <f>IF(ISERROR(BJ134/BE134-1),"NM",(BJ134/BE134-1))</f>
        <v>NM</v>
      </c>
      <c r="BK364" s="341" t="str">
        <f>IF(ISERROR(BK134/BF134-1),"NM",(BK134/BF134-1))</f>
        <v>NM</v>
      </c>
      <c r="BL364" s="369" t="s">
        <v>335</v>
      </c>
      <c r="BM364" s="369" t="s">
        <v>335</v>
      </c>
      <c r="BN364" s="345">
        <f>IF(ISERROR(BN134/BI134-1),"NM",(BN134/BI134-1))</f>
        <v>-9.0000000000033396</v>
      </c>
      <c r="BO364" s="369" t="s">
        <v>335</v>
      </c>
      <c r="BP364" s="369" t="s">
        <v>335</v>
      </c>
      <c r="BQ364" s="369" t="s">
        <v>335</v>
      </c>
      <c r="BR364" s="369" t="s">
        <v>335</v>
      </c>
      <c r="BS364" s="345">
        <f>IF(ISERROR(BS134/BN134-1),"NM",(BS134/BN134-1))</f>
        <v>-1.1250000000000802</v>
      </c>
      <c r="BT364" s="369" t="s">
        <v>335</v>
      </c>
      <c r="BU364" s="369">
        <f t="shared" ref="BU364:BW365" si="558">IF(ISERROR(BU134/BP134-1),"NM",(BU134/BP134-1))</f>
        <v>-1.0000000000008527</v>
      </c>
      <c r="BV364" s="369">
        <f t="shared" si="558"/>
        <v>-2.263157894736842</v>
      </c>
      <c r="BW364" s="369">
        <f t="shared" si="558"/>
        <v>3</v>
      </c>
      <c r="BX364" s="345">
        <f t="shared" si="548"/>
        <v>-2.4802382370125997E-12</v>
      </c>
      <c r="BY364" s="369" t="s">
        <v>335</v>
      </c>
      <c r="BZ364" s="369" t="s">
        <v>335</v>
      </c>
      <c r="CA364" s="369" t="s">
        <v>335</v>
      </c>
      <c r="CB364" s="369" t="s">
        <v>335</v>
      </c>
      <c r="CC364" s="344" t="s">
        <v>335</v>
      </c>
      <c r="CD364" s="909">
        <v>0</v>
      </c>
      <c r="CE364" s="909">
        <v>0</v>
      </c>
      <c r="CF364" s="909">
        <v>0</v>
      </c>
      <c r="CG364" s="909">
        <v>0</v>
      </c>
      <c r="CH364" s="909">
        <v>0</v>
      </c>
    </row>
    <row r="365" spans="1:86">
      <c r="A365" s="9"/>
      <c r="B365" s="9"/>
      <c r="C365" s="9"/>
      <c r="D365" s="9"/>
      <c r="E365" s="9"/>
      <c r="F365" s="9"/>
      <c r="G365" s="9"/>
      <c r="H365" s="257" t="s">
        <v>232</v>
      </c>
      <c r="I365" s="257"/>
      <c r="L365" s="369" t="str">
        <f t="shared" si="551"/>
        <v>NM</v>
      </c>
      <c r="M365" s="369" t="str">
        <f t="shared" si="551"/>
        <v>NM</v>
      </c>
      <c r="N365" s="369" t="str">
        <f t="shared" si="551"/>
        <v>NM</v>
      </c>
      <c r="O365" s="369" t="str">
        <f t="shared" si="551"/>
        <v>NM</v>
      </c>
      <c r="P365" s="48">
        <v>-0.65217391304347838</v>
      </c>
      <c r="Q365" s="369">
        <f>IF(ISERROR(Q135/L135-1),"NM",(Q135/L135-1))</f>
        <v>-0.91304347826086951</v>
      </c>
      <c r="R365" s="369">
        <f>IF(ISERROR(R135/M135-1),"NM",(R135/M135-1))</f>
        <v>-0.66666666666666663</v>
      </c>
      <c r="S365" s="369">
        <f>IF(ISERROR(S135/N135-1),"NM",(S135/N135-1))</f>
        <v>-1</v>
      </c>
      <c r="T365" s="369">
        <f>IF(ISERROR(T135/O135-1),"NM",(T135/O135-1))</f>
        <v>-1</v>
      </c>
      <c r="U365" s="48">
        <f>U135/P135-1</f>
        <v>-0.90625</v>
      </c>
      <c r="V365" s="369">
        <f>IF(ISERROR(V135/Q135-1),"NM",(V135/Q135-1))</f>
        <v>-1</v>
      </c>
      <c r="W365" s="369">
        <f>IF(ISERROR(W135/R135-1),"NM",(W135/R135-1))</f>
        <v>-1</v>
      </c>
      <c r="X365" s="369" t="str">
        <f>IF(ISERROR(X135/S135-1),"NM",(X135/S135-1))</f>
        <v>NM</v>
      </c>
      <c r="Y365" s="369" t="str">
        <f>IF(ISERROR(Y135/T135-1),"NM",(Y135/T135-1))</f>
        <v>NM</v>
      </c>
      <c r="Z365" s="48">
        <f>Z135/U135-1</f>
        <v>-1</v>
      </c>
      <c r="AA365" s="369" t="str">
        <f>IF(ISERROR(AA135/V135-1),"NM",(AA135/V135-1))</f>
        <v>NM</v>
      </c>
      <c r="AB365" s="369" t="str">
        <f>IF(ISERROR(AB135/W135-1),"NM",(AB135/W135-1))</f>
        <v>NM</v>
      </c>
      <c r="AC365" s="369" t="str">
        <f>IF(ISERROR(AC135/X135-1),"NM",(AC135/X135-1))</f>
        <v>NM</v>
      </c>
      <c r="AD365" s="369" t="str">
        <f>IF(ISERROR(AD135/Y135-1),"NM",(AD135/Y135-1))</f>
        <v>NM</v>
      </c>
      <c r="AE365" s="339" t="str">
        <f>IF(ISERROR(AE135/Z135-1),"NM",(AE135/Z135-1))</f>
        <v>NM</v>
      </c>
      <c r="AF365" s="369" t="str">
        <f t="shared" si="555"/>
        <v>NM</v>
      </c>
      <c r="AG365" s="369" t="str">
        <f t="shared" si="555"/>
        <v>NM</v>
      </c>
      <c r="AH365" s="369" t="str">
        <f t="shared" si="555"/>
        <v>NM</v>
      </c>
      <c r="AI365" s="369" t="str">
        <f t="shared" si="555"/>
        <v>NM</v>
      </c>
      <c r="AJ365" s="339" t="str">
        <f t="shared" si="555"/>
        <v>NM</v>
      </c>
      <c r="AK365" s="369" t="str">
        <f t="shared" si="555"/>
        <v>NM</v>
      </c>
      <c r="AL365" s="369" t="str">
        <f t="shared" si="555"/>
        <v>NM</v>
      </c>
      <c r="AM365" s="369" t="str">
        <f t="shared" si="555"/>
        <v>NM</v>
      </c>
      <c r="AN365" s="369" t="str">
        <f t="shared" si="555"/>
        <v>NM</v>
      </c>
      <c r="AO365" s="339" t="str">
        <f t="shared" si="555"/>
        <v>NM</v>
      </c>
      <c r="AP365" s="369" t="str">
        <f t="shared" si="556"/>
        <v>NM</v>
      </c>
      <c r="AQ365" s="369" t="str">
        <f t="shared" si="556"/>
        <v>NM</v>
      </c>
      <c r="AR365" s="369" t="str">
        <f t="shared" si="556"/>
        <v>NM</v>
      </c>
      <c r="AS365" s="369">
        <f t="shared" si="556"/>
        <v>-1</v>
      </c>
      <c r="AT365" s="345">
        <f t="shared" si="556"/>
        <v>-2</v>
      </c>
      <c r="AU365" s="369">
        <f t="shared" si="556"/>
        <v>9.9999999999996589</v>
      </c>
      <c r="AV365" s="369">
        <f t="shared" si="556"/>
        <v>-12.000000000000227</v>
      </c>
      <c r="AW365" s="369">
        <f t="shared" si="556"/>
        <v>1.0000000000000995</v>
      </c>
      <c r="AX365" s="369" t="str">
        <f t="shared" si="556"/>
        <v>NM</v>
      </c>
      <c r="AY365" s="345">
        <f t="shared" si="556"/>
        <v>-2.3333333333333757</v>
      </c>
      <c r="AZ365" s="369">
        <f t="shared" si="557"/>
        <v>-0.9090909090909276</v>
      </c>
      <c r="BA365" s="369">
        <f t="shared" si="557"/>
        <v>-1.5454545454545547</v>
      </c>
      <c r="BB365" s="369">
        <f t="shared" si="557"/>
        <v>-0.49999999999996447</v>
      </c>
      <c r="BC365" s="369">
        <f t="shared" si="557"/>
        <v>-1.4999999999999705</v>
      </c>
      <c r="BD365" s="344">
        <f t="shared" si="557"/>
        <v>-3.7499999999998535</v>
      </c>
      <c r="BE365" s="369">
        <f t="shared" si="557"/>
        <v>2.000000000000604</v>
      </c>
      <c r="BF365" s="369">
        <f t="shared" si="557"/>
        <v>-0.66666666666669827</v>
      </c>
      <c r="BG365" s="369">
        <f t="shared" si="557"/>
        <v>1.9999999999996447</v>
      </c>
      <c r="BH365" s="369">
        <f t="shared" si="557"/>
        <v>-1.6666666666668246</v>
      </c>
      <c r="BI365" s="345">
        <f t="shared" si="557"/>
        <v>-0.45454545454548356</v>
      </c>
      <c r="BJ365" s="369">
        <f>IF(ISERROR(BJ135/BE135-1),"NM",(BJ135/BE135-1))</f>
        <v>-0.99999999999983424</v>
      </c>
      <c r="BK365" s="369">
        <f>IF(ISERROR(BK135/BF135-1),"NM",(BK135/BF135-1))</f>
        <v>1.7763568394002505E-13</v>
      </c>
      <c r="BL365" s="369">
        <f>IF(ISERROR(BL135/BG135-1),"NM",(BL135/BG135-1))</f>
        <v>-1.3333333333334556</v>
      </c>
      <c r="BM365" s="369">
        <f>IF(ISERROR(BM135/BH135-1),"NM",(BM135/BH135-1))</f>
        <v>-1.4999999999996447</v>
      </c>
      <c r="BN365" s="345">
        <f>IF(ISERROR(BN135/BI135-1),"NM",(BN135/BI135-1))</f>
        <v>-0.66666666666667851</v>
      </c>
      <c r="BO365" s="369">
        <f>IF(ISERROR(BO135/BJ135-1),"NM",(BO135/BJ135-1))</f>
        <v>-0.7857142857142857</v>
      </c>
      <c r="BP365" s="369">
        <f>IF(ISERROR(BP135/BK135-1),"NM",(BP135/BK135-1))</f>
        <v>-0.49999999999997158</v>
      </c>
      <c r="BQ365" s="369">
        <f>IF(ISERROR(BQ135/BL135-1),"NM",(BQ135/BL135-1))</f>
        <v>-1.999999999999396</v>
      </c>
      <c r="BR365" s="369">
        <f>IF(ISERROR(BR135/BM135-1),"NM",(BR135/BM135-1))</f>
        <v>-2.0000000000005898</v>
      </c>
      <c r="BS365" s="345">
        <f>IF(ISERROR(BS135/BN135-1),"NM",(BS135/BN135-1))</f>
        <v>-0.49999999999991995</v>
      </c>
      <c r="BT365" s="369" t="s">
        <v>335</v>
      </c>
      <c r="BU365" s="369">
        <f t="shared" si="558"/>
        <v>-1.0000000000000444</v>
      </c>
      <c r="BV365" s="369">
        <f t="shared" si="558"/>
        <v>-2.0000000000004796</v>
      </c>
      <c r="BW365" s="369">
        <f t="shared" si="558"/>
        <v>-1.0000000000000355</v>
      </c>
      <c r="BX365" s="345">
        <f t="shared" si="548"/>
        <v>-2.9999999999999907</v>
      </c>
      <c r="BY365" s="369" t="s">
        <v>335</v>
      </c>
      <c r="BZ365" s="369" t="s">
        <v>335</v>
      </c>
      <c r="CA365" s="369" t="s">
        <v>335</v>
      </c>
      <c r="CB365" s="369" t="s">
        <v>335</v>
      </c>
      <c r="CC365" s="344" t="s">
        <v>335</v>
      </c>
      <c r="CD365" s="909">
        <v>0</v>
      </c>
      <c r="CE365" s="909">
        <v>0</v>
      </c>
      <c r="CF365" s="909">
        <v>0</v>
      </c>
      <c r="CG365" s="909">
        <v>0</v>
      </c>
      <c r="CH365" s="909">
        <v>0</v>
      </c>
    </row>
    <row r="366" spans="1:86" ht="6.75" customHeight="1">
      <c r="A366" s="9"/>
      <c r="B366" s="9"/>
      <c r="C366" s="9"/>
      <c r="D366" s="9"/>
      <c r="E366" s="9"/>
      <c r="F366" s="9"/>
      <c r="G366" s="9"/>
      <c r="H366" s="259"/>
      <c r="I366" s="259"/>
      <c r="L366" s="331"/>
      <c r="M366" s="331"/>
      <c r="N366" s="331"/>
      <c r="O366" s="331"/>
      <c r="P366" s="337"/>
      <c r="Q366" s="331"/>
      <c r="R366" s="331"/>
      <c r="S366" s="331"/>
      <c r="T366" s="331"/>
      <c r="U366" s="337"/>
      <c r="V366" s="331"/>
      <c r="W366" s="331"/>
      <c r="X366" s="331"/>
      <c r="Y366" s="331"/>
      <c r="Z366" s="337"/>
      <c r="AA366" s="331"/>
      <c r="AB366" s="331"/>
      <c r="AC366" s="331"/>
      <c r="AD366" s="331"/>
      <c r="AE366" s="337"/>
      <c r="AF366" s="331"/>
      <c r="AG366" s="331"/>
      <c r="AH366" s="331"/>
      <c r="AI366" s="331"/>
      <c r="AJ366" s="337"/>
      <c r="AK366" s="331"/>
      <c r="AL366" s="331"/>
      <c r="AM366" s="331"/>
      <c r="AN366" s="331"/>
      <c r="AO366" s="340"/>
      <c r="AP366" s="342"/>
      <c r="AQ366" s="342"/>
      <c r="AR366" s="342"/>
      <c r="AS366" s="342"/>
      <c r="AT366" s="345"/>
      <c r="AU366" s="342"/>
      <c r="AV366" s="342"/>
      <c r="AW366" s="342"/>
      <c r="AX366" s="342"/>
      <c r="AY366" s="909"/>
      <c r="AZ366" s="342"/>
      <c r="BA366" s="342"/>
      <c r="BB366" s="342"/>
      <c r="BC366" s="342"/>
      <c r="BD366" s="345"/>
      <c r="BE366" s="341"/>
      <c r="BF366" s="341"/>
      <c r="BG366" s="341"/>
      <c r="BH366" s="341"/>
      <c r="BI366" s="345"/>
      <c r="BJ366" s="342"/>
      <c r="BK366" s="342"/>
      <c r="BL366" s="342"/>
      <c r="BM366" s="342"/>
      <c r="BN366" s="345"/>
      <c r="BO366" s="1103"/>
      <c r="BP366" s="1103"/>
      <c r="BQ366" s="1103"/>
      <c r="BR366" s="1103"/>
      <c r="BS366" s="345"/>
      <c r="BT366" s="1103"/>
      <c r="BU366" s="369"/>
      <c r="BV366" s="342"/>
      <c r="BW366" s="342"/>
      <c r="BX366" s="345"/>
      <c r="BY366" s="1103"/>
      <c r="BZ366" s="1103"/>
      <c r="CA366" s="1103"/>
      <c r="CB366" s="1103"/>
      <c r="CC366" s="345"/>
      <c r="CD366" s="345"/>
      <c r="CE366" s="345"/>
      <c r="CF366" s="345"/>
      <c r="CG366" s="345"/>
      <c r="CH366" s="345"/>
    </row>
    <row r="367" spans="1:86">
      <c r="A367" s="9"/>
      <c r="B367" s="9"/>
      <c r="C367" s="9"/>
      <c r="D367" s="9"/>
      <c r="E367" s="9"/>
      <c r="F367" s="9"/>
      <c r="G367" s="9"/>
      <c r="H367" s="260" t="s">
        <v>739</v>
      </c>
      <c r="I367" s="260"/>
      <c r="J367" s="59"/>
      <c r="K367" s="59"/>
      <c r="L367" s="326">
        <v>1.3872135102533267E-2</v>
      </c>
      <c r="M367" s="326">
        <v>-0.13411240957150805</v>
      </c>
      <c r="N367" s="326">
        <v>-0.13668150031786375</v>
      </c>
      <c r="O367" s="326">
        <v>-4.1720154043645485E-2</v>
      </c>
      <c r="P367" s="327">
        <v>-7.5778283978739536E-2</v>
      </c>
      <c r="Q367" s="326">
        <f t="shared" ref="Q367:T372" si="559">Q137/L137-1</f>
        <v>-0.14872099940511585</v>
      </c>
      <c r="R367" s="326">
        <f t="shared" si="559"/>
        <v>-0.18059125964010281</v>
      </c>
      <c r="S367" s="326">
        <f t="shared" si="559"/>
        <v>-0.13696612665684837</v>
      </c>
      <c r="T367" s="326">
        <f t="shared" si="559"/>
        <v>-0.15070328198258554</v>
      </c>
      <c r="U367" s="327">
        <f t="shared" ref="U367:AZ367" si="560">IF(ISERROR(U137/P137-1),"NM",(U137/P137-1))</f>
        <v>-0.15478146565888928</v>
      </c>
      <c r="V367" s="326">
        <f t="shared" si="560"/>
        <v>1.2445842068483572</v>
      </c>
      <c r="W367" s="326">
        <f t="shared" si="560"/>
        <v>2.2525490196078435</v>
      </c>
      <c r="X367" s="326">
        <f t="shared" si="560"/>
        <v>2.5733788395904438</v>
      </c>
      <c r="Y367" s="326">
        <f t="shared" si="560"/>
        <v>2.7011041009463721</v>
      </c>
      <c r="Z367" s="327">
        <f t="shared" si="560"/>
        <v>2.1568818040435458</v>
      </c>
      <c r="AA367" s="326">
        <f t="shared" si="560"/>
        <v>0.43835616438356162</v>
      </c>
      <c r="AB367" s="326">
        <f t="shared" si="560"/>
        <v>0.14950566674704602</v>
      </c>
      <c r="AC367" s="326">
        <f t="shared" si="560"/>
        <v>0.1401623686723974</v>
      </c>
      <c r="AD367" s="326">
        <f t="shared" si="560"/>
        <v>-5.7532495205624423E-3</v>
      </c>
      <c r="AE367" s="327">
        <f t="shared" si="560"/>
        <v>0.15936941929921811</v>
      </c>
      <c r="AF367" s="326">
        <f t="shared" si="560"/>
        <v>-1.5151515151515249E-2</v>
      </c>
      <c r="AG367" s="326">
        <f t="shared" si="560"/>
        <v>-4.7430249632892996E-2</v>
      </c>
      <c r="AH367" s="326">
        <f t="shared" si="560"/>
        <v>6.8062827225130906E-2</v>
      </c>
      <c r="AI367" s="326">
        <f t="shared" si="560"/>
        <v>0.18302614659237038</v>
      </c>
      <c r="AJ367" s="327">
        <f t="shared" si="560"/>
        <v>4.69485313645297E-2</v>
      </c>
      <c r="AK367" s="326">
        <f t="shared" si="560"/>
        <v>0.14219780219780209</v>
      </c>
      <c r="AL367" s="326">
        <f t="shared" si="560"/>
        <v>0.16760994516505545</v>
      </c>
      <c r="AM367" s="326">
        <f t="shared" si="560"/>
        <v>1.2745098039215641E-2</v>
      </c>
      <c r="AN367" s="326">
        <f t="shared" si="560"/>
        <v>8.6050724637681153E-2</v>
      </c>
      <c r="AO367" s="356">
        <f t="shared" si="560"/>
        <v>9.8833640270104217E-2</v>
      </c>
      <c r="AP367" s="735">
        <f t="shared" si="560"/>
        <v>0.11198768520300173</v>
      </c>
      <c r="AQ367" s="735">
        <f t="shared" si="560"/>
        <v>0.19992455677102949</v>
      </c>
      <c r="AR367" s="735">
        <f t="shared" si="560"/>
        <v>0.2098741529525654</v>
      </c>
      <c r="AS367" s="735">
        <f t="shared" si="560"/>
        <v>8.0066722268557156E-2</v>
      </c>
      <c r="AT367" s="737">
        <f t="shared" si="560"/>
        <v>0.14802160764578232</v>
      </c>
      <c r="AU367" s="735">
        <f t="shared" si="560"/>
        <v>0.10503547326527096</v>
      </c>
      <c r="AV367" s="735">
        <f t="shared" si="560"/>
        <v>1.6818610499842901E-2</v>
      </c>
      <c r="AW367" s="735">
        <f t="shared" si="560"/>
        <v>4.1606657065130337E-2</v>
      </c>
      <c r="AX367" s="735">
        <f t="shared" si="560"/>
        <v>7.4903474903474931E-2</v>
      </c>
      <c r="AY367" s="737">
        <f t="shared" si="560"/>
        <v>5.8676855017092189E-2</v>
      </c>
      <c r="AZ367" s="735">
        <f t="shared" si="560"/>
        <v>8.65956780457251E-2</v>
      </c>
      <c r="BA367" s="735">
        <f t="shared" ref="BA367:CC367" si="561">IF(ISERROR(BA137/AV137-1),"NM",(BA137/AV137-1))</f>
        <v>0.13046838769516156</v>
      </c>
      <c r="BB367" s="735">
        <f t="shared" si="561"/>
        <v>9.9400829620525544E-2</v>
      </c>
      <c r="BC367" s="735">
        <f t="shared" si="561"/>
        <v>0.12399425287356314</v>
      </c>
      <c r="BD367" s="737">
        <f t="shared" si="561"/>
        <v>0.1104315453578486</v>
      </c>
      <c r="BE367" s="735">
        <f t="shared" si="561"/>
        <v>2.7237354085603016E-2</v>
      </c>
      <c r="BF367" s="735">
        <f t="shared" si="561"/>
        <v>4.6492547518118377E-2</v>
      </c>
      <c r="BG367" s="735">
        <f t="shared" si="561"/>
        <v>5.8133035215204076E-2</v>
      </c>
      <c r="BH367" s="735">
        <f t="shared" si="561"/>
        <v>4.601815160424394E-2</v>
      </c>
      <c r="BI367" s="737">
        <f t="shared" si="561"/>
        <v>4.4644384386438807E-2</v>
      </c>
      <c r="BJ367" s="735">
        <f t="shared" si="561"/>
        <v>3.3670033670034627E-3</v>
      </c>
      <c r="BK367" s="735">
        <f t="shared" si="561"/>
        <v>-2.7440219521754905E-3</v>
      </c>
      <c r="BL367" s="735">
        <f t="shared" si="561"/>
        <v>3.5657686212362538E-3</v>
      </c>
      <c r="BM367" s="735">
        <f t="shared" si="561"/>
        <v>1.3931321031406707E-2</v>
      </c>
      <c r="BN367" s="737">
        <f t="shared" si="561"/>
        <v>4.7157453497510549E-3</v>
      </c>
      <c r="BO367" s="1104">
        <f t="shared" si="561"/>
        <v>5.4530201342281925E-2</v>
      </c>
      <c r="BP367" s="1104">
        <f t="shared" si="561"/>
        <v>8.3988469601677052E-2</v>
      </c>
      <c r="BQ367" s="1104">
        <f t="shared" si="561"/>
        <v>1.7897091722594904E-2</v>
      </c>
      <c r="BR367" s="1104">
        <f t="shared" si="561"/>
        <v>4.9053874894540161E-2</v>
      </c>
      <c r="BS367" s="737">
        <f t="shared" si="561"/>
        <v>5.130378096479804E-2</v>
      </c>
      <c r="BT367" s="1104">
        <f t="shared" si="561"/>
        <v>-7.5576770087509959E-2</v>
      </c>
      <c r="BU367" s="735">
        <f t="shared" si="561"/>
        <v>-1.7889520125710101E-2</v>
      </c>
      <c r="BV367" s="735">
        <f t="shared" si="561"/>
        <v>-0.14298642533936656</v>
      </c>
      <c r="BW367" s="735">
        <f t="shared" si="561"/>
        <v>-0.197265625</v>
      </c>
      <c r="BX367" s="737">
        <f t="shared" si="561"/>
        <v>-0.10978483288894403</v>
      </c>
      <c r="BY367" s="1104">
        <f t="shared" si="561"/>
        <v>-0.19463568559954103</v>
      </c>
      <c r="BZ367" s="1104">
        <f t="shared" si="561"/>
        <v>-0.34397538461538468</v>
      </c>
      <c r="CA367" s="1104">
        <f t="shared" si="561"/>
        <v>-0.36327651229446378</v>
      </c>
      <c r="CB367" s="1104">
        <f t="shared" si="561"/>
        <v>-0.67091169314441101</v>
      </c>
      <c r="CC367" s="737">
        <f t="shared" si="561"/>
        <v>-0.39172569916065902</v>
      </c>
      <c r="CD367" s="737">
        <f t="shared" ref="CD367:CH369" si="562">IF(ISERROR(CD137/CC137-1),"NM",(CD137/CC137-1))</f>
        <v>-0.60383959581755453</v>
      </c>
      <c r="CE367" s="737">
        <f t="shared" si="562"/>
        <v>-0.14958124274109952</v>
      </c>
      <c r="CF367" s="737">
        <f t="shared" si="562"/>
        <v>-7.1230628757378511E-2</v>
      </c>
      <c r="CG367" s="737">
        <f t="shared" si="562"/>
        <v>-3.8571280456083823E-2</v>
      </c>
      <c r="CH367" s="737">
        <f t="shared" si="562"/>
        <v>-1.0845980564999969E-2</v>
      </c>
    </row>
    <row r="368" spans="1:86">
      <c r="A368" s="9"/>
      <c r="B368" s="9"/>
      <c r="C368" s="9"/>
      <c r="D368" s="9"/>
      <c r="E368" s="9"/>
      <c r="F368" s="9"/>
      <c r="G368" s="9"/>
      <c r="H368" s="257" t="s">
        <v>231</v>
      </c>
      <c r="I368" s="257"/>
      <c r="L368" s="325">
        <v>-0.18275418275418265</v>
      </c>
      <c r="M368" s="325">
        <v>-0.2168674698795181</v>
      </c>
      <c r="N368" s="325">
        <v>-0.2750977835723597</v>
      </c>
      <c r="O368" s="325">
        <v>-0.10912052117263848</v>
      </c>
      <c r="P368" s="48">
        <v>-0.20120522263140272</v>
      </c>
      <c r="Q368" s="336">
        <f t="shared" si="559"/>
        <v>-9.4488188976378007E-2</v>
      </c>
      <c r="R368" s="336">
        <f t="shared" si="559"/>
        <v>-0.17846153846153834</v>
      </c>
      <c r="S368" s="336">
        <f t="shared" si="559"/>
        <v>-0.11151079136690645</v>
      </c>
      <c r="T368" s="336">
        <f t="shared" si="559"/>
        <v>-1.6453382084095192E-2</v>
      </c>
      <c r="U368" s="48">
        <f t="shared" ref="U368:AD370" si="563">IF(ISERROR(U138/P138-1),"NM",(U138/P138-1))</f>
        <v>-0.10352053646269899</v>
      </c>
      <c r="V368" s="336">
        <f t="shared" si="563"/>
        <v>1.0573913043478265</v>
      </c>
      <c r="W368" s="336">
        <f t="shared" si="563"/>
        <v>2.013108614232209</v>
      </c>
      <c r="X368" s="336">
        <f t="shared" si="563"/>
        <v>2.1558704453441293</v>
      </c>
      <c r="Y368" s="336">
        <f t="shared" si="563"/>
        <v>2.3178438661710037</v>
      </c>
      <c r="Z368" s="48">
        <f t="shared" si="563"/>
        <v>1.868162692847124</v>
      </c>
      <c r="AA368" s="336">
        <f t="shared" si="563"/>
        <v>0.48689771766694845</v>
      </c>
      <c r="AB368" s="336">
        <f t="shared" si="563"/>
        <v>4.9720323182100845E-2</v>
      </c>
      <c r="AC368" s="336">
        <f t="shared" si="563"/>
        <v>0.11930724823604888</v>
      </c>
      <c r="AD368" s="336">
        <f t="shared" si="563"/>
        <v>3.753501400560233E-2</v>
      </c>
      <c r="AE368" s="48">
        <f t="shared" ref="AE368:AN370" si="564">IF(ISERROR(AE138/Z138-1),"NM",(AE138/Z138-1))</f>
        <v>0.1481662591687043</v>
      </c>
      <c r="AF368" s="336">
        <f t="shared" si="564"/>
        <v>7.2768618533257445E-2</v>
      </c>
      <c r="AG368" s="336">
        <f t="shared" si="564"/>
        <v>8.1705150976909557E-2</v>
      </c>
      <c r="AH368" s="336">
        <f t="shared" si="564"/>
        <v>0.2383954154727792</v>
      </c>
      <c r="AI368" s="336">
        <f t="shared" si="564"/>
        <v>0.1576673866090712</v>
      </c>
      <c r="AJ368" s="48">
        <f t="shared" si="564"/>
        <v>0.13841567291311763</v>
      </c>
      <c r="AK368" s="336">
        <f t="shared" si="564"/>
        <v>5.5643879173291166E-2</v>
      </c>
      <c r="AL368" s="336">
        <f t="shared" si="564"/>
        <v>0.1767925561029009</v>
      </c>
      <c r="AM368" s="336">
        <f t="shared" si="564"/>
        <v>-2.9153169828783021E-2</v>
      </c>
      <c r="AN368" s="336">
        <f t="shared" si="564"/>
        <v>0.21641791044776126</v>
      </c>
      <c r="AO368" s="339">
        <f t="shared" ref="AO368:AX370" si="565">IF(ISERROR(AO138/AJ138-1),"NM",(AO138/AJ138-1))</f>
        <v>0.10337947374984413</v>
      </c>
      <c r="AP368" s="341">
        <f t="shared" si="565"/>
        <v>0.1736947791164658</v>
      </c>
      <c r="AQ368" s="341">
        <f t="shared" si="565"/>
        <v>0.2367441860465116</v>
      </c>
      <c r="AR368" s="341">
        <f t="shared" si="565"/>
        <v>0.21210676835081044</v>
      </c>
      <c r="AS368" s="341">
        <f t="shared" si="565"/>
        <v>9.5858895705521308E-2</v>
      </c>
      <c r="AT368" s="345">
        <f t="shared" si="565"/>
        <v>0.17518083182640121</v>
      </c>
      <c r="AU368" s="341">
        <f t="shared" si="565"/>
        <v>0.26005132591958935</v>
      </c>
      <c r="AV368" s="341">
        <f t="shared" si="565"/>
        <v>0.10455058292591213</v>
      </c>
      <c r="AW368" s="341">
        <f t="shared" si="565"/>
        <v>0.22453794730633092</v>
      </c>
      <c r="AX368" s="341">
        <f t="shared" si="565"/>
        <v>0.13400979706088201</v>
      </c>
      <c r="AY368" s="345">
        <f t="shared" ref="AY368:BH370" si="566">IF(ISERROR(AY138/AT138-1),"NM",(AY138/AT138-1))</f>
        <v>0.17695710713598767</v>
      </c>
      <c r="AZ368" s="341">
        <f t="shared" si="566"/>
        <v>0.10692464358452147</v>
      </c>
      <c r="BA368" s="341">
        <f t="shared" si="566"/>
        <v>0.18522301668369101</v>
      </c>
      <c r="BB368" s="341">
        <f t="shared" si="566"/>
        <v>0.14097623635195911</v>
      </c>
      <c r="BC368" s="341">
        <f t="shared" si="566"/>
        <v>0.25053995680345564</v>
      </c>
      <c r="BD368" s="345">
        <f t="shared" si="566"/>
        <v>0.1724137931034484</v>
      </c>
      <c r="BE368" s="341">
        <f t="shared" si="566"/>
        <v>-4.9064704078503496E-2</v>
      </c>
      <c r="BF368" s="341">
        <f t="shared" si="566"/>
        <v>0.11404768744613603</v>
      </c>
      <c r="BG368" s="341">
        <f t="shared" si="566"/>
        <v>3.6588798198705419E-2</v>
      </c>
      <c r="BH368" s="341">
        <f t="shared" si="566"/>
        <v>9.9679249938317227E-2</v>
      </c>
      <c r="BI368" s="345">
        <f t="shared" ref="BI368:BR370" si="567">IF(ISERROR(BI138/BD138-1),"NM",(BI138/BD138-1))</f>
        <v>5.3735712294396443E-2</v>
      </c>
      <c r="BJ368" s="341">
        <f t="shared" si="567"/>
        <v>0.15285391809093829</v>
      </c>
      <c r="BK368" s="369">
        <f t="shared" si="567"/>
        <v>0.11552346570397121</v>
      </c>
      <c r="BL368" s="369">
        <f t="shared" si="567"/>
        <v>0.1968503937007875</v>
      </c>
      <c r="BM368" s="369">
        <f t="shared" si="567"/>
        <v>0.17567870765088633</v>
      </c>
      <c r="BN368" s="345">
        <f t="shared" si="567"/>
        <v>0.1607249156690258</v>
      </c>
      <c r="BO368" s="1103">
        <f t="shared" si="567"/>
        <v>0.24391608391608388</v>
      </c>
      <c r="BP368" s="1103">
        <f t="shared" si="567"/>
        <v>0.19301895515487755</v>
      </c>
      <c r="BQ368" s="1103">
        <f t="shared" si="567"/>
        <v>7.8720508166969072E-2</v>
      </c>
      <c r="BR368" s="1103">
        <f t="shared" si="567"/>
        <v>5.9351145038168074E-2</v>
      </c>
      <c r="BS368" s="345">
        <f t="shared" ref="BS368:BT370" si="568">IF(ISERROR(BS138/BN138-1),"NM",(BS138/BN138-1))</f>
        <v>0.13476551370448453</v>
      </c>
      <c r="BT368" s="1103">
        <f t="shared" si="568"/>
        <v>-4.9471553856532458E-2</v>
      </c>
      <c r="BU368" s="369">
        <f t="shared" ref="BU368:BW370" si="569">IF(ISERROR(BU138/BP138-1),"NM",(BU138/BP138-1))</f>
        <v>5.0377833753147971E-3</v>
      </c>
      <c r="BV368" s="369">
        <f t="shared" si="569"/>
        <v>-0.22776025236593067</v>
      </c>
      <c r="BW368" s="369">
        <f t="shared" si="569"/>
        <v>-0.25400828679517207</v>
      </c>
      <c r="BX368" s="345">
        <f t="shared" ref="BX368:BX387" si="570">IF(ISERROR(BX138/BS138-1),"NM",(BX138/BS138-1))</f>
        <v>-0.13493019985939547</v>
      </c>
      <c r="BY368" s="1103">
        <f t="shared" ref="BY368:CB369" si="571">IF(ISERROR(BY138/BT138-1),"NM",(BY138/BT138-1))</f>
        <v>-0.2202507688668085</v>
      </c>
      <c r="BZ368" s="1103">
        <f t="shared" si="571"/>
        <v>-0.33747831116252169</v>
      </c>
      <c r="CA368" s="1103">
        <f t="shared" si="571"/>
        <v>-0.31062091503267986</v>
      </c>
      <c r="CB368" s="1103">
        <f t="shared" si="571"/>
        <v>-0.83223858971262965</v>
      </c>
      <c r="CC368" s="345">
        <f t="shared" ref="CC368:CC382" si="572">IF(ISERROR(CC138/BX138-1),"NM",(CC138/BX138-1))</f>
        <v>-0.42191908051314786</v>
      </c>
      <c r="CD368" s="345">
        <f t="shared" si="562"/>
        <v>-0.88402707207840447</v>
      </c>
      <c r="CE368" s="345">
        <f t="shared" si="562"/>
        <v>-0.20229139825166564</v>
      </c>
      <c r="CF368" s="345">
        <f t="shared" si="562"/>
        <v>-0.12128479880516141</v>
      </c>
      <c r="CG368" s="345">
        <f t="shared" si="562"/>
        <v>-8.2815090923823886E-2</v>
      </c>
      <c r="CH368" s="345">
        <f t="shared" si="562"/>
        <v>-7.6748784883685639E-2</v>
      </c>
    </row>
    <row r="369" spans="1:86">
      <c r="A369" s="9"/>
      <c r="B369" s="9"/>
      <c r="C369" s="9"/>
      <c r="D369" s="9"/>
      <c r="E369" s="9"/>
      <c r="F369" s="9"/>
      <c r="G369" s="9"/>
      <c r="H369" s="257" t="s">
        <v>232</v>
      </c>
      <c r="I369" s="257"/>
      <c r="L369" s="325">
        <v>0.18728717366628822</v>
      </c>
      <c r="M369" s="325">
        <v>-6.3081695966907936E-2</v>
      </c>
      <c r="N369" s="325">
        <v>-4.9627791563275903E-3</v>
      </c>
      <c r="O369" s="325">
        <v>2.1186440677967155E-3</v>
      </c>
      <c r="P369" s="48">
        <v>2.8349082823790894E-2</v>
      </c>
      <c r="Q369" s="336">
        <f t="shared" si="559"/>
        <v>-0.1816443594646272</v>
      </c>
      <c r="R369" s="336">
        <f t="shared" si="559"/>
        <v>-0.18211920529801329</v>
      </c>
      <c r="S369" s="336">
        <f t="shared" si="559"/>
        <v>-0.15461346633416462</v>
      </c>
      <c r="T369" s="336">
        <f t="shared" si="559"/>
        <v>-0.22832980972515848</v>
      </c>
      <c r="U369" s="48">
        <f t="shared" si="563"/>
        <v>-0.18783783783783803</v>
      </c>
      <c r="V369" s="336">
        <f t="shared" si="563"/>
        <v>1.370327102803738</v>
      </c>
      <c r="W369" s="336">
        <f t="shared" si="563"/>
        <v>2.4251012145748989</v>
      </c>
      <c r="X369" s="336">
        <f t="shared" si="563"/>
        <v>2.8775811209439537</v>
      </c>
      <c r="Y369" s="336">
        <f t="shared" si="563"/>
        <v>2.9835616438356167</v>
      </c>
      <c r="Z369" s="48">
        <f t="shared" si="563"/>
        <v>2.3623960066555747</v>
      </c>
      <c r="AA369" s="336">
        <f t="shared" si="563"/>
        <v>0.41005421389847241</v>
      </c>
      <c r="AB369" s="336">
        <f t="shared" si="563"/>
        <v>0.2127659574468086</v>
      </c>
      <c r="AC369" s="336">
        <f t="shared" si="563"/>
        <v>0.15252947888931145</v>
      </c>
      <c r="AD369" s="336">
        <f t="shared" si="563"/>
        <v>-3.2324621733150094E-2</v>
      </c>
      <c r="AE369" s="48">
        <f t="shared" si="564"/>
        <v>0.16617181314330987</v>
      </c>
      <c r="AF369" s="336">
        <f t="shared" si="564"/>
        <v>-6.920657112897588E-2</v>
      </c>
      <c r="AG369" s="336">
        <f t="shared" si="564"/>
        <v>-0.11829109811565963</v>
      </c>
      <c r="AH369" s="336">
        <f t="shared" si="564"/>
        <v>-3.0033003300330097E-2</v>
      </c>
      <c r="AI369" s="336">
        <f t="shared" si="564"/>
        <v>0.19971570717839371</v>
      </c>
      <c r="AJ369" s="48">
        <f t="shared" si="564"/>
        <v>-7.7314775524061075E-3</v>
      </c>
      <c r="AK369" s="336">
        <f t="shared" si="564"/>
        <v>0.2035298535486294</v>
      </c>
      <c r="AL369" s="336">
        <f t="shared" si="564"/>
        <v>0.16142820295515703</v>
      </c>
      <c r="AM369" s="336">
        <f t="shared" si="564"/>
        <v>4.3552228649200497E-2</v>
      </c>
      <c r="AN369" s="336">
        <f t="shared" si="564"/>
        <v>3.2582938388625582E-3</v>
      </c>
      <c r="AO369" s="339">
        <f t="shared" si="565"/>
        <v>9.5715837460121911E-2</v>
      </c>
      <c r="AP369" s="341">
        <f t="shared" si="565"/>
        <v>7.363494539781601E-2</v>
      </c>
      <c r="AQ369" s="341">
        <f t="shared" si="565"/>
        <v>0.17480964467005067</v>
      </c>
      <c r="AR369" s="341">
        <f t="shared" si="565"/>
        <v>0.2083469188131728</v>
      </c>
      <c r="AS369" s="341">
        <f t="shared" si="565"/>
        <v>6.7906702096250271E-2</v>
      </c>
      <c r="AT369" s="345">
        <f t="shared" si="565"/>
        <v>0.12926391382405766</v>
      </c>
      <c r="AU369" s="341">
        <f t="shared" si="565"/>
        <v>-2.9061319383905104E-4</v>
      </c>
      <c r="AV369" s="341">
        <f t="shared" si="565"/>
        <v>-4.6178773967053832E-2</v>
      </c>
      <c r="AW369" s="341">
        <f t="shared" si="565"/>
        <v>-8.391797085806818E-2</v>
      </c>
      <c r="AX369" s="341">
        <f t="shared" si="565"/>
        <v>2.8200165883328632E-2</v>
      </c>
      <c r="AY369" s="345">
        <f t="shared" si="566"/>
        <v>-2.6335798714315461E-2</v>
      </c>
      <c r="AZ369" s="341">
        <f t="shared" si="566"/>
        <v>6.9186046511627852E-2</v>
      </c>
      <c r="BA369" s="341">
        <f t="shared" si="566"/>
        <v>8.4937712344280936E-2</v>
      </c>
      <c r="BB369" s="341">
        <f t="shared" si="566"/>
        <v>6.1266568483063333E-2</v>
      </c>
      <c r="BC369" s="341">
        <f t="shared" si="566"/>
        <v>1.3713363807475121E-2</v>
      </c>
      <c r="BD369" s="345">
        <f t="shared" si="566"/>
        <v>5.6581002413744086E-2</v>
      </c>
      <c r="BE369" s="341">
        <f t="shared" si="566"/>
        <v>9.4888526373028803E-2</v>
      </c>
      <c r="BF369" s="341">
        <f t="shared" si="566"/>
        <v>-1.4874739039665963E-2</v>
      </c>
      <c r="BG369" s="341">
        <f t="shared" si="566"/>
        <v>7.9378295864557247E-2</v>
      </c>
      <c r="BH369" s="341">
        <f t="shared" si="566"/>
        <v>-1.1671087533156488E-2</v>
      </c>
      <c r="BI369" s="345">
        <f t="shared" si="567"/>
        <v>3.587986293086054E-2</v>
      </c>
      <c r="BJ369" s="341">
        <f t="shared" si="567"/>
        <v>-0.11174571641420417</v>
      </c>
      <c r="BK369" s="369">
        <f t="shared" si="567"/>
        <v>-0.12423841059602647</v>
      </c>
      <c r="BL369" s="369">
        <f t="shared" si="567"/>
        <v>-0.17948058626896368</v>
      </c>
      <c r="BM369" s="369">
        <f t="shared" si="567"/>
        <v>-0.17954911433172316</v>
      </c>
      <c r="BN369" s="345">
        <f t="shared" si="567"/>
        <v>-0.1482778750729713</v>
      </c>
      <c r="BO369" s="1103">
        <f t="shared" si="567"/>
        <v>-0.13474979032708967</v>
      </c>
      <c r="BP369" s="1103">
        <f t="shared" si="567"/>
        <v>-5.8681185722928131E-2</v>
      </c>
      <c r="BQ369" s="1103">
        <f t="shared" si="567"/>
        <v>-6.6123472265747441E-2</v>
      </c>
      <c r="BR369" s="1103">
        <f t="shared" si="567"/>
        <v>3.1403336604514331E-2</v>
      </c>
      <c r="BS369" s="345">
        <f t="shared" si="568"/>
        <v>-6.023912877922466E-2</v>
      </c>
      <c r="BT369" s="1103">
        <f t="shared" si="568"/>
        <v>-0.11308562197092087</v>
      </c>
      <c r="BU369" s="369">
        <f t="shared" si="569"/>
        <v>-5.5912596401028192E-2</v>
      </c>
      <c r="BV369" s="369">
        <f t="shared" si="569"/>
        <v>-7.7181208053691552E-3</v>
      </c>
      <c r="BW369" s="369">
        <f t="shared" si="569"/>
        <v>-9.7367586425626373E-2</v>
      </c>
      <c r="BX369" s="345">
        <f t="shared" si="570"/>
        <v>-6.9205834683954692E-2</v>
      </c>
      <c r="BY369" s="1103">
        <f t="shared" si="571"/>
        <v>-0.15519125683060109</v>
      </c>
      <c r="BZ369" s="1103">
        <f t="shared" si="571"/>
        <v>-0.35544588155207635</v>
      </c>
      <c r="CA369" s="1103">
        <f t="shared" si="571"/>
        <v>-0.42866418667568484</v>
      </c>
      <c r="CB369" s="1103">
        <f t="shared" si="571"/>
        <v>-0.43617709065354893</v>
      </c>
      <c r="CC369" s="345">
        <f t="shared" si="572"/>
        <v>-0.34644088455511057</v>
      </c>
      <c r="CD369" s="345">
        <f t="shared" si="562"/>
        <v>-0.23213894639246135</v>
      </c>
      <c r="CE369" s="345">
        <f t="shared" si="562"/>
        <v>-0.13902005217061819</v>
      </c>
      <c r="CF369" s="345">
        <f t="shared" si="562"/>
        <v>-6.1938609852981386E-2</v>
      </c>
      <c r="CG369" s="345">
        <f t="shared" si="562"/>
        <v>-3.0877510060280056E-2</v>
      </c>
      <c r="CH369" s="345">
        <f t="shared" si="562"/>
        <v>0</v>
      </c>
    </row>
    <row r="370" spans="1:86">
      <c r="A370" s="9"/>
      <c r="B370" s="9"/>
      <c r="C370" s="9"/>
      <c r="D370" s="9"/>
      <c r="E370" s="9"/>
      <c r="F370" s="9"/>
      <c r="G370" s="9"/>
      <c r="H370" s="266" t="s">
        <v>740</v>
      </c>
      <c r="I370" s="266"/>
      <c r="L370" s="328">
        <v>-0.18143009605122717</v>
      </c>
      <c r="M370" s="328">
        <v>-0.23673870333988212</v>
      </c>
      <c r="N370" s="328">
        <v>-0.20958751393533981</v>
      </c>
      <c r="O370" s="328">
        <v>-7.9896907216494673E-2</v>
      </c>
      <c r="P370" s="330">
        <v>-0.18219404630650493</v>
      </c>
      <c r="Q370" s="328">
        <f t="shared" si="559"/>
        <v>-3.2594524119947899E-2</v>
      </c>
      <c r="R370" s="328">
        <f t="shared" si="559"/>
        <v>-6.9498069498069581E-2</v>
      </c>
      <c r="S370" s="328">
        <f t="shared" si="559"/>
        <v>-5.6417489421720757E-2</v>
      </c>
      <c r="T370" s="328">
        <f t="shared" si="559"/>
        <v>-6.0224089635854461E-2</v>
      </c>
      <c r="U370" s="330">
        <f t="shared" si="563"/>
        <v>-5.4600606673407492E-2</v>
      </c>
      <c r="V370" s="328">
        <f t="shared" si="563"/>
        <v>-6.4690026954177804E-2</v>
      </c>
      <c r="W370" s="328">
        <f t="shared" si="563"/>
        <v>-4.0110650069156151E-2</v>
      </c>
      <c r="X370" s="328">
        <f t="shared" si="563"/>
        <v>-0.1016442451420031</v>
      </c>
      <c r="Y370" s="328">
        <f t="shared" si="563"/>
        <v>6.2593144560357805E-2</v>
      </c>
      <c r="Z370" s="330">
        <f t="shared" si="563"/>
        <v>-3.6720142602495343E-2</v>
      </c>
      <c r="AA370" s="328">
        <f t="shared" si="563"/>
        <v>-7.2046109510086609E-3</v>
      </c>
      <c r="AB370" s="328">
        <f t="shared" si="563"/>
        <v>-2.5936599423631246E-2</v>
      </c>
      <c r="AC370" s="328">
        <f t="shared" si="563"/>
        <v>4.9916805324461411E-3</v>
      </c>
      <c r="AD370" s="328">
        <f t="shared" si="563"/>
        <v>-0.16549789621318367</v>
      </c>
      <c r="AE370" s="330">
        <f t="shared" si="564"/>
        <v>-5.1073279052553655E-2</v>
      </c>
      <c r="AF370" s="328">
        <f t="shared" si="564"/>
        <v>-0.15965166908563144</v>
      </c>
      <c r="AG370" s="328">
        <f t="shared" si="564"/>
        <v>-0.14792899408284022</v>
      </c>
      <c r="AH370" s="328">
        <f t="shared" si="564"/>
        <v>-0.10761589403973504</v>
      </c>
      <c r="AI370" s="328">
        <f t="shared" si="564"/>
        <v>4.5378151260504263E-2</v>
      </c>
      <c r="AJ370" s="330">
        <f t="shared" si="564"/>
        <v>-9.6723868954758374E-2</v>
      </c>
      <c r="AK370" s="328">
        <f t="shared" si="564"/>
        <v>2.7633851468048309E-2</v>
      </c>
      <c r="AL370" s="328">
        <f t="shared" si="564"/>
        <v>-0.1284722222222221</v>
      </c>
      <c r="AM370" s="328">
        <f t="shared" si="564"/>
        <v>-0.17254174397031541</v>
      </c>
      <c r="AN370" s="328">
        <f t="shared" si="564"/>
        <v>-0.18006430868167211</v>
      </c>
      <c r="AO370" s="352">
        <f t="shared" si="565"/>
        <v>-0.11355785837651111</v>
      </c>
      <c r="AP370" s="338">
        <f t="shared" si="565"/>
        <v>-0.20336134453781518</v>
      </c>
      <c r="AQ370" s="338">
        <f t="shared" si="565"/>
        <v>-4.7808764940239112E-2</v>
      </c>
      <c r="AR370" s="338">
        <f t="shared" si="565"/>
        <v>-0.1434977578475336</v>
      </c>
      <c r="AS370" s="338">
        <f t="shared" si="565"/>
        <v>-0.21568627450980393</v>
      </c>
      <c r="AT370" s="736">
        <f t="shared" si="565"/>
        <v>-0.15538236726741372</v>
      </c>
      <c r="AU370" s="338">
        <f t="shared" si="565"/>
        <v>-0.18565400843881852</v>
      </c>
      <c r="AV370" s="338">
        <f t="shared" si="565"/>
        <v>-0.15690376569037656</v>
      </c>
      <c r="AW370" s="338">
        <f t="shared" si="565"/>
        <v>-0.16230366492146608</v>
      </c>
      <c r="AX370" s="338">
        <f t="shared" si="565"/>
        <v>-0.19499999999999995</v>
      </c>
      <c r="AY370" s="736">
        <f t="shared" si="566"/>
        <v>-0.17474048442906553</v>
      </c>
      <c r="AZ370" s="338">
        <f t="shared" si="566"/>
        <v>-0.13212435233160624</v>
      </c>
      <c r="BA370" s="338">
        <f t="shared" si="566"/>
        <v>-0.18362282878411906</v>
      </c>
      <c r="BB370" s="338">
        <f t="shared" si="566"/>
        <v>-1.2499999999999956E-2</v>
      </c>
      <c r="BC370" s="338">
        <f t="shared" si="566"/>
        <v>-0.10248447204968958</v>
      </c>
      <c r="BD370" s="736">
        <f t="shared" si="566"/>
        <v>-0.11320754716981141</v>
      </c>
      <c r="BE370" s="338">
        <f t="shared" si="566"/>
        <v>-0.15522388059701497</v>
      </c>
      <c r="BF370" s="338">
        <f t="shared" si="566"/>
        <v>-0.11246200607902723</v>
      </c>
      <c r="BG370" s="338">
        <f t="shared" si="566"/>
        <v>-0.23101265822784822</v>
      </c>
      <c r="BH370" s="338">
        <f t="shared" si="566"/>
        <v>-3.4602076124566894E-3</v>
      </c>
      <c r="BI370" s="736">
        <f t="shared" si="567"/>
        <v>-0.12844759653270299</v>
      </c>
      <c r="BJ370" s="338">
        <f t="shared" si="567"/>
        <v>-0.22614840989399287</v>
      </c>
      <c r="BK370" s="338">
        <f t="shared" si="567"/>
        <v>-0.10958904109589052</v>
      </c>
      <c r="BL370" s="338">
        <f t="shared" si="567"/>
        <v>-2.8806584362139787E-2</v>
      </c>
      <c r="BM370" s="338">
        <f t="shared" si="567"/>
        <v>-9.375E-2</v>
      </c>
      <c r="BN370" s="736">
        <f t="shared" si="567"/>
        <v>-0.11754068716094035</v>
      </c>
      <c r="BO370" s="1105">
        <f t="shared" si="567"/>
        <v>-0.18721461187214616</v>
      </c>
      <c r="BP370" s="1105">
        <f t="shared" si="567"/>
        <v>-1.538461538461533E-2</v>
      </c>
      <c r="BQ370" s="1105">
        <f t="shared" si="567"/>
        <v>-0.11016949152542377</v>
      </c>
      <c r="BR370" s="1105">
        <f t="shared" si="567"/>
        <v>-0.15325670498084287</v>
      </c>
      <c r="BS370" s="736">
        <f t="shared" si="568"/>
        <v>-0.11372950819672123</v>
      </c>
      <c r="BT370" s="1105">
        <f t="shared" si="568"/>
        <v>-0.72471910112359539</v>
      </c>
      <c r="BU370" s="338">
        <f t="shared" si="569"/>
        <v>-0.8984375</v>
      </c>
      <c r="BV370" s="338">
        <f t="shared" si="569"/>
        <v>-0.97619047619047616</v>
      </c>
      <c r="BW370" s="338">
        <f t="shared" si="569"/>
        <v>-0.98642533936651589</v>
      </c>
      <c r="BX370" s="736">
        <f t="shared" si="570"/>
        <v>-0.90404624277456647</v>
      </c>
      <c r="BY370" s="1105"/>
      <c r="BZ370" s="1105"/>
      <c r="CA370" s="1105"/>
      <c r="CB370" s="1105"/>
      <c r="CC370" s="736"/>
      <c r="CD370" s="736"/>
      <c r="CE370" s="736"/>
      <c r="CF370" s="736"/>
      <c r="CG370" s="736"/>
      <c r="CH370" s="736"/>
    </row>
    <row r="371" spans="1:86">
      <c r="A371" s="9"/>
      <c r="B371" s="9"/>
      <c r="C371" s="9"/>
      <c r="D371" s="9"/>
      <c r="E371" s="9"/>
      <c r="F371" s="9"/>
      <c r="G371" s="9"/>
      <c r="H371" s="257" t="s">
        <v>1173</v>
      </c>
      <c r="I371" s="257"/>
      <c r="L371" s="325">
        <v>-0.36784140969162993</v>
      </c>
      <c r="M371" s="325">
        <v>-0.40636704119850187</v>
      </c>
      <c r="N371" s="325">
        <v>-0.31623931623931623</v>
      </c>
      <c r="O371" s="325">
        <v>-0.3</v>
      </c>
      <c r="P371" s="48">
        <v>-0.31755986316989737</v>
      </c>
      <c r="Q371" s="336">
        <f t="shared" si="559"/>
        <v>3.1358885017421567E-2</v>
      </c>
      <c r="R371" s="336">
        <f t="shared" si="559"/>
        <v>-0.10725552050473186</v>
      </c>
      <c r="S371" s="336">
        <f t="shared" si="559"/>
        <v>-0.16874999999999996</v>
      </c>
      <c r="T371" s="336">
        <f t="shared" si="559"/>
        <v>-4.7619047619047672E-2</v>
      </c>
      <c r="U371" s="48">
        <f t="shared" ref="U371:AI375" si="573">IF(ISERROR(U141/P141-1),"NM",(U141/P141-1))</f>
        <v>-7.685881370091896E-2</v>
      </c>
      <c r="V371" s="325">
        <f t="shared" si="573"/>
        <v>-0.12500000000000011</v>
      </c>
      <c r="W371" s="325">
        <f t="shared" si="573"/>
        <v>-8.1272084805653733E-2</v>
      </c>
      <c r="X371" s="325">
        <f t="shared" si="573"/>
        <v>-0.27443609022556392</v>
      </c>
      <c r="Y371" s="325">
        <f t="shared" si="573"/>
        <v>-0.10769230769230775</v>
      </c>
      <c r="Z371" s="48">
        <f t="shared" si="573"/>
        <v>-0.14570135746606327</v>
      </c>
      <c r="AA371" s="325">
        <f t="shared" si="573"/>
        <v>-0.13899613899613894</v>
      </c>
      <c r="AB371" s="325">
        <f t="shared" si="573"/>
        <v>-0.18076923076923079</v>
      </c>
      <c r="AC371" s="325">
        <f t="shared" si="573"/>
        <v>-3.1088082901554515E-2</v>
      </c>
      <c r="AD371" s="325">
        <f t="shared" si="573"/>
        <v>-0.17672413793103436</v>
      </c>
      <c r="AE371" s="276">
        <f t="shared" si="573"/>
        <v>-0.13771186440677963</v>
      </c>
      <c r="AF371" s="325">
        <f t="shared" si="573"/>
        <v>-8.5201793721973229E-2</v>
      </c>
      <c r="AG371" s="325">
        <f t="shared" si="573"/>
        <v>-9.3896713615023497E-2</v>
      </c>
      <c r="AH371" s="325">
        <f t="shared" si="573"/>
        <v>-0.10695187165775399</v>
      </c>
      <c r="AI371" s="325">
        <f t="shared" si="573"/>
        <v>4.7120418848167533E-2</v>
      </c>
      <c r="AJ371" s="276">
        <f>(AJ141/AE141)-1</f>
        <v>-6.1425061425061434E-2</v>
      </c>
      <c r="AK371" s="325">
        <f t="shared" ref="AK371:AK379" si="574">IF(ISERROR(AK141/AF141-1),"NM",(AK141/AF141-1))</f>
        <v>-4.9019607843135971E-3</v>
      </c>
      <c r="AL371" s="325">
        <f t="shared" ref="AL371:AL379" si="575">IF(ISERROR(AL141/AG141-1),"NM",(AL141/AG141-1))</f>
        <v>-0.24870466321243523</v>
      </c>
      <c r="AM371" s="325">
        <f t="shared" ref="AM371:AM379" si="576">IF(ISERROR(AM141/AH141-1),"NM",(AM141/AH141-1))</f>
        <v>-0.12574850299401197</v>
      </c>
      <c r="AN371" s="325">
        <f t="shared" ref="AN371:AN379" si="577">IF(ISERROR(AN141/AI141-1),"NM",(AN141/AI141-1))</f>
        <v>-0.18000000000000005</v>
      </c>
      <c r="AO371" s="345">
        <f>(AO141/AJ141)-1</f>
        <v>-0.13874345549738232</v>
      </c>
      <c r="AP371" s="341">
        <f t="shared" ref="AP371:AP381" si="578">IF(ISERROR(AP141/AK141-1),"NM",(AP141/AK141-1))</f>
        <v>-0.29064039408866993</v>
      </c>
      <c r="AQ371" s="341">
        <f t="shared" ref="AQ371:AQ381" si="579">IF(ISERROR(AQ141/AL141-1),"NM",(AQ141/AL141-1))</f>
        <v>3.4482758620689724E-2</v>
      </c>
      <c r="AR371" s="341">
        <f t="shared" ref="AR371:AR381" si="580">IF(ISERROR(AR141/AM141-1),"NM",(AR141/AM141-1))</f>
        <v>-0.35616438356164382</v>
      </c>
      <c r="AS371" s="341">
        <f t="shared" ref="AS371:AS381" si="581">IF(ISERROR(AS141/AN141-1),"NM",(AS141/AN141-1))</f>
        <v>-0.24390243902439013</v>
      </c>
      <c r="AT371" s="339">
        <f>(AT141/AO141)-1</f>
        <v>-0.22188449848024316</v>
      </c>
      <c r="AU371" s="341">
        <f t="shared" ref="AU371:AU381" si="582">IF(ISERROR(AU141/AP141-1),"NM",(AU141/AP141-1))</f>
        <v>-0.13194444444444442</v>
      </c>
      <c r="AV371" s="341">
        <f t="shared" ref="AV371:AV381" si="583">IF(ISERROR(AV141/AQ141-1),"NM",(AV141/AQ141-1))</f>
        <v>-0.1333333333333333</v>
      </c>
      <c r="AW371" s="341">
        <f t="shared" ref="AW371:AW381" si="584">IF(ISERROR(AW141/AR141-1),"NM",(AW141/AR141-1))</f>
        <v>0.1914893617021276</v>
      </c>
      <c r="AX371" s="341">
        <f t="shared" ref="AX371:AX381" si="585">IF(ISERROR(AX141/AS141-1),"NM",(AX141/AS141-1))</f>
        <v>-0.31451612903225812</v>
      </c>
      <c r="AY371" s="339">
        <f>(AY141/AT141)-1</f>
        <v>-0.11718749999999989</v>
      </c>
      <c r="AZ371" s="341">
        <f t="shared" ref="AZ371:AZ381" si="586">IF(ISERROR(AZ141/AU141-1),"NM",(AZ141/AU141-1))</f>
        <v>-8.7999999999999967E-2</v>
      </c>
      <c r="BA371" s="341">
        <f t="shared" ref="BA371:BA381" si="587">IF(ISERROR(BA141/AV141-1),"NM",(BA141/AV141-1))</f>
        <v>-6.1538461538461542E-2</v>
      </c>
      <c r="BB371" s="341">
        <f t="shared" ref="BB371:BB381" si="588">IF(ISERROR(BB141/AW141-1),"NM",(BB141/AW141-1))</f>
        <v>-1.7857142857142794E-2</v>
      </c>
      <c r="BC371" s="341">
        <f t="shared" ref="BC371:BC381" si="589">IF(ISERROR(BC141/AX141-1),"NM",(BC141/AX141-1))</f>
        <v>4.705882352941182E-2</v>
      </c>
      <c r="BD371" s="345">
        <f t="shared" ref="BD371:BD381" si="590">IF(ISERROR(BD141/AY141-1),"NM",(BD141/AY141-1))</f>
        <v>-3.7610619469026663E-2</v>
      </c>
      <c r="BE371" s="341">
        <f t="shared" ref="BE371:BE381" si="591">IF(ISERROR(BE141/AZ141-1),"NM",(BE141/AZ141-1))</f>
        <v>-0.37719298245614041</v>
      </c>
      <c r="BF371" s="341">
        <f t="shared" ref="BF371:BF381" si="592">IF(ISERROR(BF141/BA141-1),"NM",(BF141/BA141-1))</f>
        <v>-0.2295081967213114</v>
      </c>
      <c r="BG371" s="341">
        <f t="shared" ref="BG371:BG381" si="593">IF(ISERROR(BG141/BB141-1),"NM",(BG141/BB141-1))</f>
        <v>-0.37272727272727268</v>
      </c>
      <c r="BH371" s="341">
        <f t="shared" ref="BH371:BH381" si="594">IF(ISERROR(BH141/BC141-1),"NM",(BH141/BC141-1))</f>
        <v>0.1797752808988764</v>
      </c>
      <c r="BI371" s="345">
        <f t="shared" ref="BI371:BI381" si="595">IF(ISERROR(BI141/BD141-1),"NM",(BI141/BD141-1))</f>
        <v>-0.22068965517241379</v>
      </c>
      <c r="BJ371" s="341">
        <f t="shared" ref="BJ371:BJ381" si="596">IF(ISERROR(BJ141/BE141-1),"NM",(BJ141/BE141-1))</f>
        <v>-0.19718309859154926</v>
      </c>
      <c r="BK371" s="341">
        <f t="shared" ref="BK371:BK381" si="597">IF(ISERROR(BK141/BF141-1),"NM",(BK141/BF141-1))</f>
        <v>0.1914893617021276</v>
      </c>
      <c r="BL371" s="341">
        <f t="shared" ref="BL371:BL381" si="598">IF(ISERROR(BL141/BG141-1),"NM",(BL141/BG141-1))</f>
        <v>0.30434782608695654</v>
      </c>
      <c r="BM371" s="341">
        <f t="shared" ref="BM371:BM381" si="599">IF(ISERROR(BM141/BH141-1),"NM",(BM141/BH141-1))</f>
        <v>0.16190476190476177</v>
      </c>
      <c r="BN371" s="345">
        <f t="shared" ref="BN371:BN381" si="600">IF(ISERROR(BN141/BI141-1),"NM",(BN141/BI141-1))</f>
        <v>0.12389380530973448</v>
      </c>
      <c r="BO371" s="341">
        <f t="shared" ref="BO371:BO381" si="601">IF(ISERROR(BO141/BJ141-1),"NM",(BO141/BJ141-1))</f>
        <v>7.0175438596491224E-2</v>
      </c>
      <c r="BP371" s="341">
        <f t="shared" ref="BP371:BP381" si="602">IF(ISERROR(BP141/BK141-1),"NM",(BP141/BK141-1))</f>
        <v>8.9285714285716189E-3</v>
      </c>
      <c r="BQ371" s="341">
        <f t="shared" ref="BQ371:BQ381" si="603">IF(ISERROR(BQ141/BL141-1),"NM",(BQ141/BL141-1))</f>
        <v>2.2222222222222143E-2</v>
      </c>
      <c r="BR371" s="341">
        <f t="shared" ref="BR371:BR381" si="604">IF(ISERROR(BR141/BM141-1),"NM",(BR141/BM141-1))</f>
        <v>-0.22131147540983598</v>
      </c>
      <c r="BS371" s="345">
        <f t="shared" ref="BS371:BS381" si="605">IF(ISERROR(BS141/BN141-1),"NM",(BS141/BN141-1))</f>
        <v>-5.2493438320210029E-2</v>
      </c>
      <c r="BT371" s="341">
        <f t="shared" ref="BT371:BY381" si="606">IF(ISERROR(BT141/BO141-1),"NM",(BT141/BO141-1))</f>
        <v>-0.31147540983606548</v>
      </c>
      <c r="BU371" s="341">
        <f t="shared" si="606"/>
        <v>-1</v>
      </c>
      <c r="BV371" s="341">
        <f t="shared" si="606"/>
        <v>-1</v>
      </c>
      <c r="BW371" s="341">
        <f t="shared" si="606"/>
        <v>-1.2105263157894737</v>
      </c>
      <c r="BX371" s="345">
        <f t="shared" si="570"/>
        <v>-0.93905817174515238</v>
      </c>
      <c r="BY371" s="341"/>
      <c r="BZ371" s="1106"/>
      <c r="CA371" s="1106"/>
      <c r="CB371" s="1106"/>
      <c r="CC371" s="345"/>
      <c r="CD371" s="909"/>
      <c r="CE371" s="909"/>
      <c r="CF371" s="909"/>
      <c r="CG371" s="909"/>
      <c r="CH371" s="909"/>
    </row>
    <row r="372" spans="1:86">
      <c r="A372" s="9"/>
      <c r="B372" s="9"/>
      <c r="C372" s="9"/>
      <c r="D372" s="9"/>
      <c r="E372" s="9"/>
      <c r="F372" s="9"/>
      <c r="G372" s="9"/>
      <c r="H372" s="257" t="s">
        <v>232</v>
      </c>
      <c r="I372" s="257"/>
      <c r="L372" s="325">
        <v>-6.2111801242235032E-3</v>
      </c>
      <c r="M372" s="325">
        <v>-4.9586776859504078E-2</v>
      </c>
      <c r="N372" s="325">
        <v>-9.3240093240093191E-2</v>
      </c>
      <c r="O372" s="325">
        <v>-0.05</v>
      </c>
      <c r="P372" s="48">
        <v>-5.5496264674492979E-2</v>
      </c>
      <c r="Q372" s="336">
        <f t="shared" si="559"/>
        <v>-7.0833333333333304E-2</v>
      </c>
      <c r="R372" s="336">
        <f t="shared" si="559"/>
        <v>-4.3478260869565188E-2</v>
      </c>
      <c r="S372" s="336">
        <f t="shared" si="559"/>
        <v>3.5989717223650297E-2</v>
      </c>
      <c r="T372" s="336">
        <f t="shared" si="559"/>
        <v>-6.8027210884353706E-2</v>
      </c>
      <c r="U372" s="48">
        <f t="shared" si="573"/>
        <v>-3.9548022598870247E-2</v>
      </c>
      <c r="V372" s="325">
        <f t="shared" si="573"/>
        <v>-2.4663677130044914E-2</v>
      </c>
      <c r="W372" s="325">
        <f t="shared" si="573"/>
        <v>-1.3636363636363669E-2</v>
      </c>
      <c r="X372" s="325">
        <f t="shared" si="573"/>
        <v>1.2406947890818865E-2</v>
      </c>
      <c r="Y372" s="325">
        <f t="shared" si="573"/>
        <v>0.17031630170316303</v>
      </c>
      <c r="Z372" s="48">
        <f t="shared" si="573"/>
        <v>3.4117647058823808E-2</v>
      </c>
      <c r="AA372" s="325">
        <f t="shared" si="573"/>
        <v>7.1264367816092022E-2</v>
      </c>
      <c r="AB372" s="325">
        <f t="shared" si="573"/>
        <v>6.682027649769573E-2</v>
      </c>
      <c r="AC372" s="325">
        <f t="shared" si="573"/>
        <v>2.2058823529411908E-2</v>
      </c>
      <c r="AD372" s="325">
        <f t="shared" si="573"/>
        <v>-0.16008316008316015</v>
      </c>
      <c r="AE372" s="276">
        <f t="shared" si="573"/>
        <v>-4.55062571103515E-3</v>
      </c>
      <c r="AF372" s="325">
        <f t="shared" si="573"/>
        <v>-0.19527896995708161</v>
      </c>
      <c r="AG372" s="325">
        <f t="shared" si="573"/>
        <v>-0.17278617710583155</v>
      </c>
      <c r="AH372" s="325">
        <f t="shared" si="573"/>
        <v>-0.1079136690647482</v>
      </c>
      <c r="AI372" s="325">
        <f t="shared" si="573"/>
        <v>4.4554455445544594E-2</v>
      </c>
      <c r="AJ372" s="276">
        <f>(AJ142/AE142)-1</f>
        <v>-0.11314285714285732</v>
      </c>
      <c r="AK372" s="325">
        <f t="shared" si="574"/>
        <v>4.5333333333333448E-2</v>
      </c>
      <c r="AL372" s="325">
        <f t="shared" si="575"/>
        <v>-6.788511749347248E-2</v>
      </c>
      <c r="AM372" s="325">
        <f t="shared" si="576"/>
        <v>-0.19354838709677424</v>
      </c>
      <c r="AN372" s="325">
        <f t="shared" si="577"/>
        <v>-0.18009478672985779</v>
      </c>
      <c r="AO372" s="345">
        <f>(AO142/AJ142)-1</f>
        <v>-0.10115979381443296</v>
      </c>
      <c r="AP372" s="341">
        <f t="shared" si="578"/>
        <v>-0.15816326530612246</v>
      </c>
      <c r="AQ372" s="341">
        <f t="shared" si="579"/>
        <v>-8.1232492997199035E-2</v>
      </c>
      <c r="AR372" s="341">
        <f t="shared" si="580"/>
        <v>-3.9999999999999925E-2</v>
      </c>
      <c r="AS372" s="341">
        <f t="shared" si="581"/>
        <v>-0.20231213872832365</v>
      </c>
      <c r="AT372" s="345">
        <f>(AT142/AO142)-1</f>
        <v>-0.12401433691756281</v>
      </c>
      <c r="AU372" s="341">
        <f t="shared" si="582"/>
        <v>-0.20909090909090899</v>
      </c>
      <c r="AV372" s="341">
        <f t="shared" si="583"/>
        <v>-0.16768292682926822</v>
      </c>
      <c r="AW372" s="341">
        <f t="shared" si="584"/>
        <v>-0.27777777777777779</v>
      </c>
      <c r="AX372" s="341">
        <f t="shared" si="585"/>
        <v>-0.14130434782608703</v>
      </c>
      <c r="AY372" s="345">
        <f>(AY142/AT142)-1</f>
        <v>-0.19885433715220935</v>
      </c>
      <c r="AZ372" s="341">
        <f t="shared" si="586"/>
        <v>-0.15325670498084287</v>
      </c>
      <c r="BA372" s="341">
        <f t="shared" si="587"/>
        <v>-0.24175824175824179</v>
      </c>
      <c r="BB372" s="341">
        <f t="shared" si="588"/>
        <v>-9.6153846153845812E-3</v>
      </c>
      <c r="BC372" s="341">
        <f t="shared" si="589"/>
        <v>-0.15611814345991559</v>
      </c>
      <c r="BD372" s="345">
        <f t="shared" si="590"/>
        <v>-0.14811031664964247</v>
      </c>
      <c r="BE372" s="341">
        <f t="shared" si="591"/>
        <v>-4.0723981900452566E-2</v>
      </c>
      <c r="BF372" s="341">
        <f t="shared" si="592"/>
        <v>-4.3478260869565188E-2</v>
      </c>
      <c r="BG372" s="341">
        <f t="shared" si="593"/>
        <v>-0.15533980582524287</v>
      </c>
      <c r="BH372" s="341">
        <f t="shared" si="594"/>
        <v>-8.4999999999999964E-2</v>
      </c>
      <c r="BI372" s="345">
        <f t="shared" si="595"/>
        <v>-8.0335731414868161E-2</v>
      </c>
      <c r="BJ372" s="341">
        <f t="shared" si="596"/>
        <v>-0.23584905660377364</v>
      </c>
      <c r="BK372" s="341">
        <f t="shared" si="597"/>
        <v>-0.25252525252525249</v>
      </c>
      <c r="BL372" s="341">
        <f t="shared" si="598"/>
        <v>-0.16091954022988497</v>
      </c>
      <c r="BM372" s="341">
        <f t="shared" si="599"/>
        <v>-0.2404371584699454</v>
      </c>
      <c r="BN372" s="345">
        <f t="shared" si="600"/>
        <v>-0.22425032594524119</v>
      </c>
      <c r="BO372" s="341">
        <f t="shared" si="601"/>
        <v>-0.27777777777777779</v>
      </c>
      <c r="BP372" s="341">
        <f t="shared" si="602"/>
        <v>-3.3783783783783772E-2</v>
      </c>
      <c r="BQ372" s="341">
        <f t="shared" si="603"/>
        <v>-0.1917808219178081</v>
      </c>
      <c r="BR372" s="341">
        <f t="shared" si="604"/>
        <v>-9.3525179856115193E-2</v>
      </c>
      <c r="BS372" s="345">
        <f t="shared" si="605"/>
        <v>-0.15294117647058825</v>
      </c>
      <c r="BT372" s="341">
        <f t="shared" si="606"/>
        <v>-0.94017094017094016</v>
      </c>
      <c r="BU372" s="341">
        <f t="shared" si="606"/>
        <v>-0.81818181818181812</v>
      </c>
      <c r="BV372" s="341">
        <f t="shared" si="606"/>
        <v>-0.9576271186440678</v>
      </c>
      <c r="BW372" s="341">
        <f t="shared" si="606"/>
        <v>-0.81746031746031744</v>
      </c>
      <c r="BX372" s="345">
        <f t="shared" si="570"/>
        <v>-0.87896825396825395</v>
      </c>
      <c r="BY372" s="341"/>
      <c r="BZ372" s="1106"/>
      <c r="CA372" s="1106"/>
      <c r="CB372" s="1106"/>
      <c r="CC372" s="345"/>
      <c r="CD372" s="909"/>
      <c r="CE372" s="909"/>
      <c r="CF372" s="909"/>
      <c r="CG372" s="909"/>
      <c r="CH372" s="909"/>
    </row>
    <row r="373" spans="1:86">
      <c r="A373" s="9"/>
      <c r="B373" s="9"/>
      <c r="C373" s="9"/>
      <c r="D373" s="9"/>
      <c r="E373" s="9"/>
      <c r="F373" s="9"/>
      <c r="G373" s="9"/>
      <c r="H373" s="270" t="s">
        <v>742</v>
      </c>
      <c r="I373" s="270"/>
      <c r="L373" s="333"/>
      <c r="M373" s="333"/>
      <c r="N373" s="333"/>
      <c r="O373" s="333"/>
      <c r="P373" s="334"/>
      <c r="Q373" s="333"/>
      <c r="R373" s="333"/>
      <c r="S373" s="333"/>
      <c r="T373" s="333"/>
      <c r="U373" s="353" t="str">
        <f t="shared" si="573"/>
        <v>NM</v>
      </c>
      <c r="V373" s="354" t="str">
        <f t="shared" si="573"/>
        <v>NM</v>
      </c>
      <c r="W373" s="354" t="str">
        <f t="shared" si="573"/>
        <v>NM</v>
      </c>
      <c r="X373" s="354" t="str">
        <f t="shared" si="573"/>
        <v>NM</v>
      </c>
      <c r="Y373" s="354" t="str">
        <f t="shared" si="573"/>
        <v>NM</v>
      </c>
      <c r="Z373" s="353" t="str">
        <f t="shared" si="573"/>
        <v>NM</v>
      </c>
      <c r="AA373" s="354">
        <f t="shared" si="573"/>
        <v>0.74520973588814088</v>
      </c>
      <c r="AB373" s="354">
        <f t="shared" si="573"/>
        <v>0.23575571477311508</v>
      </c>
      <c r="AC373" s="354">
        <f t="shared" si="573"/>
        <v>0.20937700706486839</v>
      </c>
      <c r="AD373" s="354">
        <f t="shared" si="573"/>
        <v>6.5280184864240365E-2</v>
      </c>
      <c r="AE373" s="334">
        <f t="shared" si="573"/>
        <v>0.26298303899283093</v>
      </c>
      <c r="AF373" s="328">
        <f t="shared" si="573"/>
        <v>6.4688427299703033E-2</v>
      </c>
      <c r="AG373" s="328">
        <f t="shared" si="573"/>
        <v>4.0033130866923283E-3</v>
      </c>
      <c r="AH373" s="328">
        <f t="shared" si="573"/>
        <v>5.4699946893255413E-2</v>
      </c>
      <c r="AI373" s="328">
        <f t="shared" si="573"/>
        <v>0.19197396963123636</v>
      </c>
      <c r="AJ373" s="330">
        <f>IF(ISERROR(AJ143/AE143-1),"NM",(AJ143/AE143-1))</f>
        <v>7.9364529973695142E-2</v>
      </c>
      <c r="AK373" s="328">
        <f t="shared" si="574"/>
        <v>0.13795986622073575</v>
      </c>
      <c r="AL373" s="328">
        <f t="shared" si="575"/>
        <v>0.15138182318163063</v>
      </c>
      <c r="AM373" s="328">
        <f t="shared" si="576"/>
        <v>2.3413897280966767E-2</v>
      </c>
      <c r="AN373" s="328">
        <f t="shared" si="577"/>
        <v>5.9827115559599742E-2</v>
      </c>
      <c r="AO373" s="352">
        <f>IF(ISERROR(AO143/AJ143-1),"NM",(AO143/AJ143-1))</f>
        <v>8.9882956549623305E-2</v>
      </c>
      <c r="AP373" s="338">
        <f t="shared" si="578"/>
        <v>6.3923585598824495E-2</v>
      </c>
      <c r="AQ373" s="338">
        <f t="shared" si="579"/>
        <v>0.13995700979221404</v>
      </c>
      <c r="AR373" s="338">
        <f t="shared" si="580"/>
        <v>0.15571955719557207</v>
      </c>
      <c r="AS373" s="338">
        <f t="shared" si="581"/>
        <v>6.0742648637046592E-2</v>
      </c>
      <c r="AT373" s="736">
        <f>IF(ISERROR(AT143/AO143-1),"NM",(AT143/AO143-1))</f>
        <v>0.10374249735200647</v>
      </c>
      <c r="AU373" s="338">
        <f t="shared" si="582"/>
        <v>6.3075506445672058E-2</v>
      </c>
      <c r="AV373" s="338">
        <f t="shared" si="583"/>
        <v>-1.6341923318667573E-2</v>
      </c>
      <c r="AW373" s="338">
        <f t="shared" si="584"/>
        <v>2.6181353767560589E-2</v>
      </c>
      <c r="AX373" s="338">
        <f t="shared" si="585"/>
        <v>3.8850667745851775E-2</v>
      </c>
      <c r="AY373" s="736">
        <f>IF(ISERROR(AY143/AT143-1),"NM",(AY143/AT143-1))</f>
        <v>2.7243162552646805E-2</v>
      </c>
      <c r="AZ373" s="338">
        <f t="shared" si="586"/>
        <v>0.11520138588133388</v>
      </c>
      <c r="BA373" s="338">
        <f t="shared" si="587"/>
        <v>0.12758253461128866</v>
      </c>
      <c r="BB373" s="338">
        <f t="shared" si="588"/>
        <v>9.2511926986102555E-2</v>
      </c>
      <c r="BC373" s="338">
        <f t="shared" si="589"/>
        <v>0.14589014413712498</v>
      </c>
      <c r="BD373" s="736">
        <f t="shared" si="590"/>
        <v>0.12071828939173779</v>
      </c>
      <c r="BE373" s="338">
        <f t="shared" si="591"/>
        <v>3.3786407766990489E-2</v>
      </c>
      <c r="BF373" s="338">
        <f t="shared" si="592"/>
        <v>7.2534945221004898E-2</v>
      </c>
      <c r="BG373" s="338">
        <f t="shared" si="593"/>
        <v>7.9172204290867576E-2</v>
      </c>
      <c r="BH373" s="338">
        <f t="shared" si="594"/>
        <v>5.7963624001359904E-2</v>
      </c>
      <c r="BI373" s="736">
        <f t="shared" si="595"/>
        <v>6.0942854496619292E-2</v>
      </c>
      <c r="BJ373" s="338">
        <f t="shared" si="596"/>
        <v>1.1081893313298119E-2</v>
      </c>
      <c r="BK373" s="338">
        <f t="shared" si="597"/>
        <v>1.7611835153230615E-4</v>
      </c>
      <c r="BL373" s="338">
        <f t="shared" si="598"/>
        <v>-4.0464461646726457E-3</v>
      </c>
      <c r="BM373" s="338">
        <f t="shared" si="599"/>
        <v>2.5706940874036022E-2</v>
      </c>
      <c r="BN373" s="736">
        <f t="shared" si="600"/>
        <v>8.5988651243997793E-3</v>
      </c>
      <c r="BO373" s="338">
        <f t="shared" si="601"/>
        <v>7.133568642021193E-2</v>
      </c>
      <c r="BP373" s="338">
        <f t="shared" si="602"/>
        <v>0.11023067441450962</v>
      </c>
      <c r="BQ373" s="1105">
        <f t="shared" si="603"/>
        <v>3.9039039039039158E-2</v>
      </c>
      <c r="BR373" s="1105">
        <f t="shared" si="604"/>
        <v>5.9367167919799568E-2</v>
      </c>
      <c r="BS373" s="736">
        <f t="shared" si="605"/>
        <v>6.9675855801272446E-2</v>
      </c>
      <c r="BT373" s="338">
        <f t="shared" si="606"/>
        <v>-7.4735564418241807E-2</v>
      </c>
      <c r="BU373" s="338">
        <f>IF(ISERROR(BU143/BP143-1),"NM",(BU143/BP143-1))</f>
        <v>-5.0753370341000137E-3</v>
      </c>
      <c r="BV373" s="338">
        <f>IF(ISERROR(BV143/BQ143-1),"NM",(BV143/BQ143-1))</f>
        <v>-3.9612376742604427E-2</v>
      </c>
      <c r="BW373" s="338">
        <f>IF(ISERROR(BW143/BR143-1),"NM",(BW143/BR143-1))</f>
        <v>-0.11666420227709595</v>
      </c>
      <c r="BX373" s="736">
        <f t="shared" si="570"/>
        <v>-6.0080106809078826E-2</v>
      </c>
      <c r="BY373" s="338">
        <f t="shared" si="606"/>
        <v>-7.1589205397301403E-2</v>
      </c>
      <c r="BZ373" s="1105">
        <f>IF(ISERROR(BZ143/BU143-1),"NM",(BZ143/BU143-1))</f>
        <v>-0.24815877570540401</v>
      </c>
      <c r="CA373" s="1105">
        <f>IF(ISERROR(CA143/BV143-1),"NM",(CA143/BV143-1))</f>
        <v>-0.35855903699769875</v>
      </c>
      <c r="CB373" s="1105">
        <f>IF(ISERROR(CB143/BW143-1),"NM",(CB143/BW143-1))</f>
        <v>-0.71173418145296274</v>
      </c>
      <c r="CC373" s="736">
        <f t="shared" si="572"/>
        <v>-0.35365444214876018</v>
      </c>
      <c r="CD373" s="736">
        <f>IF(ISERROR(CD143/CC143-1),"NM",(CD143/CC143-1))</f>
        <v>-0.6844719264246566</v>
      </c>
      <c r="CE373" s="736">
        <f>IF(ISERROR(CE143/CD143-1),"NM",(CE143/CD143-1))</f>
        <v>-0.20786131013111608</v>
      </c>
      <c r="CF373" s="736">
        <f>IF(ISERROR(CF143/CE143-1),"NM",(CF143/CE143-1))</f>
        <v>-0.11488623816446331</v>
      </c>
      <c r="CG373" s="736">
        <f>IF(ISERROR(CG143/CF143-1),"NM",(CG143/CF143-1))</f>
        <v>-6.3454756942061263E-2</v>
      </c>
      <c r="CH373" s="736">
        <f>IF(ISERROR(CH143/CG143-1),"NM",(CH143/CG143-1))</f>
        <v>-1.8317123735651641E-2</v>
      </c>
    </row>
    <row r="374" spans="1:86">
      <c r="A374" s="9"/>
      <c r="B374" s="9"/>
      <c r="C374" s="9"/>
      <c r="D374" s="9"/>
      <c r="E374" s="9"/>
      <c r="F374" s="9"/>
      <c r="G374" s="9"/>
      <c r="H374" s="257" t="s">
        <v>1174</v>
      </c>
      <c r="I374" s="257"/>
      <c r="L374" s="281"/>
      <c r="M374" s="281"/>
      <c r="N374" s="281"/>
      <c r="O374" s="281"/>
      <c r="P374" s="337"/>
      <c r="Q374" s="281"/>
      <c r="R374" s="281"/>
      <c r="S374" s="281"/>
      <c r="T374" s="281"/>
      <c r="U374" s="339" t="str">
        <f t="shared" si="573"/>
        <v>NM</v>
      </c>
      <c r="V374" s="341" t="str">
        <f t="shared" si="573"/>
        <v>NM</v>
      </c>
      <c r="W374" s="341" t="str">
        <f t="shared" si="573"/>
        <v>NM</v>
      </c>
      <c r="X374" s="341" t="str">
        <f t="shared" si="573"/>
        <v>NM</v>
      </c>
      <c r="Y374" s="341" t="str">
        <f t="shared" si="573"/>
        <v>NM</v>
      </c>
      <c r="Z374" s="339" t="str">
        <f t="shared" si="573"/>
        <v>NM</v>
      </c>
      <c r="AA374" s="325">
        <f t="shared" si="573"/>
        <v>0.921875</v>
      </c>
      <c r="AB374" s="325">
        <f t="shared" si="573"/>
        <v>0.16515426497277685</v>
      </c>
      <c r="AC374" s="325">
        <f t="shared" si="573"/>
        <v>0.19897084048027458</v>
      </c>
      <c r="AD374" s="325">
        <f t="shared" si="573"/>
        <v>0.11127819548872186</v>
      </c>
      <c r="AE374" s="276">
        <f t="shared" si="573"/>
        <v>0.27182633317602667</v>
      </c>
      <c r="AF374" s="325">
        <f t="shared" si="573"/>
        <v>0.21219512195121948</v>
      </c>
      <c r="AG374" s="325">
        <f t="shared" si="573"/>
        <v>0.16355140186915884</v>
      </c>
      <c r="AH374" s="325">
        <f t="shared" si="573"/>
        <v>0.13519313304721003</v>
      </c>
      <c r="AI374" s="325">
        <f t="shared" si="573"/>
        <v>0.12449255751014876</v>
      </c>
      <c r="AJ374" s="276">
        <f>(AJ144/AE144)-1</f>
        <v>0.15658627087198518</v>
      </c>
      <c r="AK374" s="325">
        <f t="shared" si="574"/>
        <v>5.3655264922871648E-3</v>
      </c>
      <c r="AL374" s="325">
        <f t="shared" si="575"/>
        <v>0.10575635876840694</v>
      </c>
      <c r="AM374" s="325">
        <f t="shared" si="576"/>
        <v>-3.2766225582860686E-2</v>
      </c>
      <c r="AN374" s="325">
        <f t="shared" si="577"/>
        <v>0.14019253910950669</v>
      </c>
      <c r="AO374" s="345">
        <f>(AO144/AJ144)-1</f>
        <v>5.5662495989733829E-2</v>
      </c>
      <c r="AP374" s="341">
        <f t="shared" si="578"/>
        <v>5.270180120080048E-2</v>
      </c>
      <c r="AQ374" s="341">
        <f t="shared" si="579"/>
        <v>9.1404358353511128E-2</v>
      </c>
      <c r="AR374" s="341">
        <f t="shared" si="580"/>
        <v>9.5765472312703492E-2</v>
      </c>
      <c r="AS374" s="341">
        <f t="shared" si="581"/>
        <v>4.5910290237467066E-2</v>
      </c>
      <c r="AT374" s="345">
        <f>(AT144/AO144)-1</f>
        <v>7.0506002127336265E-2</v>
      </c>
      <c r="AU374" s="341">
        <f t="shared" si="582"/>
        <v>0.13307984790874516</v>
      </c>
      <c r="AV374" s="341">
        <f t="shared" si="583"/>
        <v>3.4941763727121433E-2</v>
      </c>
      <c r="AW374" s="341">
        <f t="shared" si="584"/>
        <v>0.22294887039239009</v>
      </c>
      <c r="AX374" s="341">
        <f t="shared" si="585"/>
        <v>6.4581231079717583E-2</v>
      </c>
      <c r="AY374" s="345">
        <f>(AY144/AT144)-1</f>
        <v>0.11014904187366903</v>
      </c>
      <c r="AZ374" s="341">
        <f t="shared" si="586"/>
        <v>0.19798657718120793</v>
      </c>
      <c r="BA374" s="341">
        <f t="shared" si="587"/>
        <v>0.15058949624866025</v>
      </c>
      <c r="BB374" s="341">
        <f t="shared" si="588"/>
        <v>0.13757899854156541</v>
      </c>
      <c r="BC374" s="341">
        <f t="shared" si="589"/>
        <v>0.32606635071090051</v>
      </c>
      <c r="BD374" s="345">
        <f t="shared" si="590"/>
        <v>0.20534458509142084</v>
      </c>
      <c r="BE374" s="341">
        <f t="shared" si="591"/>
        <v>-4.1549953314659049E-2</v>
      </c>
      <c r="BF374" s="341">
        <f t="shared" si="592"/>
        <v>0.24219841639496975</v>
      </c>
      <c r="BG374" s="341">
        <f t="shared" si="593"/>
        <v>6.8376068376068355E-2</v>
      </c>
      <c r="BH374" s="341">
        <f t="shared" si="594"/>
        <v>0.13616869192280179</v>
      </c>
      <c r="BI374" s="345">
        <f t="shared" si="595"/>
        <v>0.10310809377320473</v>
      </c>
      <c r="BJ374" s="341">
        <f t="shared" si="596"/>
        <v>0.20360448124695552</v>
      </c>
      <c r="BK374" s="341">
        <f t="shared" si="597"/>
        <v>0.16047994000749921</v>
      </c>
      <c r="BL374" s="341">
        <f t="shared" si="598"/>
        <v>0.25320000000000009</v>
      </c>
      <c r="BM374" s="341">
        <f t="shared" si="599"/>
        <v>0.21736395092796479</v>
      </c>
      <c r="BN374" s="345">
        <f t="shared" si="600"/>
        <v>0.20867391095297627</v>
      </c>
      <c r="BO374" s="341">
        <f t="shared" si="601"/>
        <v>0.311210036422501</v>
      </c>
      <c r="BP374" s="341">
        <f t="shared" si="602"/>
        <v>0.23812600969305331</v>
      </c>
      <c r="BQ374" s="341">
        <f t="shared" si="603"/>
        <v>0.11235237791254393</v>
      </c>
      <c r="BR374" s="341">
        <f t="shared" si="604"/>
        <v>6.9250645994832105E-2</v>
      </c>
      <c r="BS374" s="345">
        <f t="shared" si="605"/>
        <v>0.16914631235579591</v>
      </c>
      <c r="BT374" s="341">
        <f t="shared" si="606"/>
        <v>-8.4259259259259256E-2</v>
      </c>
      <c r="BU374" s="341">
        <f t="shared" si="606"/>
        <v>-5.7411273486429604E-3</v>
      </c>
      <c r="BV374" s="341">
        <f t="shared" si="606"/>
        <v>-8.2926829268292646E-2</v>
      </c>
      <c r="BW374" s="341">
        <f t="shared" si="606"/>
        <v>-0.12663122281295325</v>
      </c>
      <c r="BX374" s="345">
        <f t="shared" si="570"/>
        <v>-7.5399795848928197E-2</v>
      </c>
      <c r="BY374" s="341">
        <f t="shared" si="606"/>
        <v>5.6285810583080575E-2</v>
      </c>
      <c r="BZ374" s="1106">
        <v>-0.15</v>
      </c>
      <c r="CA374" s="1106">
        <v>-0.25</v>
      </c>
      <c r="CB374" s="1106">
        <v>-0.85</v>
      </c>
      <c r="CC374" s="345">
        <f t="shared" si="572"/>
        <v>-0.31466843306101422</v>
      </c>
      <c r="CD374" s="909">
        <v>-0.92</v>
      </c>
      <c r="CE374" s="909">
        <v>-0.25</v>
      </c>
      <c r="CF374" s="909">
        <v>-0.2</v>
      </c>
      <c r="CG374" s="909">
        <v>-0.15</v>
      </c>
      <c r="CH374" s="909">
        <v>-0.15</v>
      </c>
    </row>
    <row r="375" spans="1:86">
      <c r="A375" s="9"/>
      <c r="B375" s="9"/>
      <c r="C375" s="9"/>
      <c r="D375" s="9"/>
      <c r="E375" s="9"/>
      <c r="F375" s="9"/>
      <c r="G375" s="9"/>
      <c r="H375" s="257" t="s">
        <v>1175</v>
      </c>
      <c r="I375" s="257"/>
      <c r="L375" s="325"/>
      <c r="M375" s="325"/>
      <c r="N375" s="325"/>
      <c r="O375" s="325"/>
      <c r="P375" s="48"/>
      <c r="Q375" s="325"/>
      <c r="R375" s="325"/>
      <c r="S375" s="325"/>
      <c r="T375" s="325"/>
      <c r="U375" s="339" t="str">
        <f t="shared" si="573"/>
        <v>NM</v>
      </c>
      <c r="V375" s="341" t="str">
        <f t="shared" si="573"/>
        <v>NM</v>
      </c>
      <c r="W375" s="341" t="str">
        <f t="shared" si="573"/>
        <v>NM</v>
      </c>
      <c r="X375" s="341" t="str">
        <f t="shared" si="573"/>
        <v>NM</v>
      </c>
      <c r="Y375" s="341" t="str">
        <f t="shared" si="573"/>
        <v>NM</v>
      </c>
      <c r="Z375" s="339" t="str">
        <f t="shared" si="573"/>
        <v>NM</v>
      </c>
      <c r="AA375" s="325">
        <f t="shared" si="573"/>
        <v>0.6576297443841983</v>
      </c>
      <c r="AB375" s="325">
        <f t="shared" si="573"/>
        <v>0.27829414980863865</v>
      </c>
      <c r="AC375" s="325">
        <f t="shared" si="573"/>
        <v>0.21560574948665301</v>
      </c>
      <c r="AD375" s="325">
        <f t="shared" si="573"/>
        <v>3.6585365853658569E-2</v>
      </c>
      <c r="AE375" s="276">
        <f t="shared" si="573"/>
        <v>0.25777777777777788</v>
      </c>
      <c r="AF375" s="325">
        <f t="shared" si="573"/>
        <v>-2.0093457943925253E-2</v>
      </c>
      <c r="AG375" s="325">
        <f t="shared" si="573"/>
        <v>-8.361847733105221E-2</v>
      </c>
      <c r="AH375" s="325">
        <f t="shared" si="573"/>
        <v>7.179054054053946E-3</v>
      </c>
      <c r="AI375" s="325">
        <f t="shared" si="573"/>
        <v>0.23710407239818987</v>
      </c>
      <c r="AJ375" s="276">
        <f>(AJ145/AE145)-1</f>
        <v>3.3403268551236653E-2</v>
      </c>
      <c r="AK375" s="325">
        <f t="shared" si="574"/>
        <v>0.23223652837386743</v>
      </c>
      <c r="AL375" s="325">
        <f t="shared" si="575"/>
        <v>0.18319719953325553</v>
      </c>
      <c r="AM375" s="325">
        <f t="shared" si="576"/>
        <v>6.079664570230614E-2</v>
      </c>
      <c r="AN375" s="325">
        <f t="shared" si="577"/>
        <v>1.0972933430870579E-2</v>
      </c>
      <c r="AO375" s="345">
        <f>(AO145/AJ145)-1</f>
        <v>0.11267831383234483</v>
      </c>
      <c r="AP375" s="341">
        <f t="shared" si="578"/>
        <v>7.0433436532507887E-2</v>
      </c>
      <c r="AQ375" s="341">
        <f t="shared" si="579"/>
        <v>0.17159763313609466</v>
      </c>
      <c r="AR375" s="341">
        <f t="shared" si="580"/>
        <v>0.19209486166007905</v>
      </c>
      <c r="AS375" s="341">
        <f t="shared" si="581"/>
        <v>7.0911722141823619E-2</v>
      </c>
      <c r="AT375" s="345">
        <f>(AT145/AO145)-1</f>
        <v>0.12474791126476537</v>
      </c>
      <c r="AU375" s="341">
        <f t="shared" si="582"/>
        <v>2.3138105567606537E-2</v>
      </c>
      <c r="AV375" s="341">
        <f t="shared" si="583"/>
        <v>-4.7474747474747558E-2</v>
      </c>
      <c r="AW375" s="341">
        <f t="shared" si="584"/>
        <v>-8.3554376657825058E-2</v>
      </c>
      <c r="AX375" s="341">
        <f t="shared" si="585"/>
        <v>2.1621621621621623E-2</v>
      </c>
      <c r="AY375" s="345">
        <f>(AY145/AT145)-1</f>
        <v>-2.2626366120218733E-2</v>
      </c>
      <c r="AZ375" s="341">
        <f t="shared" si="586"/>
        <v>6.2897526501766832E-2</v>
      </c>
      <c r="BA375" s="341">
        <f t="shared" si="587"/>
        <v>0.11240721102863205</v>
      </c>
      <c r="BB375" s="341">
        <f t="shared" si="588"/>
        <v>5.8972503617945149E-2</v>
      </c>
      <c r="BC375" s="341">
        <f t="shared" si="589"/>
        <v>2.0171957671957674E-2</v>
      </c>
      <c r="BD375" s="345">
        <f t="shared" si="590"/>
        <v>6.2898576046125809E-2</v>
      </c>
      <c r="BE375" s="341">
        <f t="shared" si="591"/>
        <v>8.7433510638297962E-2</v>
      </c>
      <c r="BF375" s="341">
        <f t="shared" si="592"/>
        <v>-4.3215761042262324E-2</v>
      </c>
      <c r="BG375" s="341">
        <f t="shared" si="593"/>
        <v>8.7803211479330345E-2</v>
      </c>
      <c r="BH375" s="341">
        <f t="shared" si="594"/>
        <v>-1.2965964343598091E-2</v>
      </c>
      <c r="BI375" s="345">
        <f t="shared" si="595"/>
        <v>2.8273197994575394E-2</v>
      </c>
      <c r="BJ375" s="341">
        <f t="shared" si="596"/>
        <v>-0.10975236930602272</v>
      </c>
      <c r="BK375" s="341">
        <f t="shared" si="597"/>
        <v>-0.14181335104616422</v>
      </c>
      <c r="BL375" s="341">
        <f t="shared" si="598"/>
        <v>-0.20603015075376874</v>
      </c>
      <c r="BM375" s="341">
        <f t="shared" si="599"/>
        <v>-0.174384236453202</v>
      </c>
      <c r="BN375" s="345">
        <f t="shared" si="600"/>
        <v>-0.15770122292382704</v>
      </c>
      <c r="BO375" s="341">
        <f t="shared" si="601"/>
        <v>-0.13221153846153844</v>
      </c>
      <c r="BP375" s="341">
        <f t="shared" si="602"/>
        <v>-4.2956656346749056E-2</v>
      </c>
      <c r="BQ375" s="341">
        <f t="shared" si="603"/>
        <v>-5.1819620253164667E-2</v>
      </c>
      <c r="BR375" s="341">
        <f t="shared" si="604"/>
        <v>4.4152744630071572E-2</v>
      </c>
      <c r="BS375" s="345">
        <f t="shared" si="605"/>
        <v>-4.8965648130575024E-2</v>
      </c>
      <c r="BT375" s="341">
        <f t="shared" si="606"/>
        <v>-6.2524732884843615E-2</v>
      </c>
      <c r="BU375" s="341">
        <f t="shared" si="606"/>
        <v>-4.0436716538616579E-3</v>
      </c>
      <c r="BV375" s="341">
        <f t="shared" si="606"/>
        <v>2.336253650396336E-2</v>
      </c>
      <c r="BW375" s="341">
        <f t="shared" si="606"/>
        <v>-0.1009523809523809</v>
      </c>
      <c r="BX375" s="345">
        <f t="shared" si="570"/>
        <v>-3.7617242067451651E-2</v>
      </c>
      <c r="BY375" s="341">
        <f t="shared" si="606"/>
        <v>-0.23174335162515836</v>
      </c>
      <c r="BZ375" s="1106">
        <v>-0.4</v>
      </c>
      <c r="CA375" s="1106">
        <v>-0.5</v>
      </c>
      <c r="CB375" s="1106">
        <v>-0.5</v>
      </c>
      <c r="CC375" s="345">
        <f t="shared" si="572"/>
        <v>-0.4085743908761017</v>
      </c>
      <c r="CD375" s="909">
        <v>-0.3</v>
      </c>
      <c r="CE375" s="909">
        <v>-0.2</v>
      </c>
      <c r="CF375" s="909">
        <v>-0.1</v>
      </c>
      <c r="CG375" s="909">
        <v>-0.05</v>
      </c>
      <c r="CH375" s="909">
        <v>0</v>
      </c>
    </row>
    <row r="376" spans="1:86">
      <c r="A376" s="9"/>
      <c r="B376" s="9"/>
      <c r="C376" s="9"/>
      <c r="D376" s="9"/>
      <c r="E376" s="9"/>
      <c r="F376" s="9"/>
      <c r="G376" s="9"/>
      <c r="H376" s="270" t="s">
        <v>255</v>
      </c>
      <c r="I376" s="257"/>
      <c r="L376" s="325"/>
      <c r="M376" s="325"/>
      <c r="N376" s="325"/>
      <c r="O376" s="325"/>
      <c r="P376" s="48"/>
      <c r="Q376" s="325"/>
      <c r="R376" s="325"/>
      <c r="S376" s="325"/>
      <c r="T376" s="325"/>
      <c r="U376" s="339"/>
      <c r="V376" s="341"/>
      <c r="W376" s="341"/>
      <c r="X376" s="341"/>
      <c r="Y376" s="341"/>
      <c r="Z376" s="339"/>
      <c r="AA376" s="325"/>
      <c r="AB376" s="325"/>
      <c r="AC376" s="325"/>
      <c r="AD376" s="325"/>
      <c r="AE376" s="276"/>
      <c r="AF376" s="338" t="str">
        <f>IF(ISERROR(AF146/AA146-1),"NM",(AF146/AA146-1))</f>
        <v>NM</v>
      </c>
      <c r="AG376" s="338" t="str">
        <f>IF(ISERROR(AG146/AB146-1),"NM",(AG146/AB146-1))</f>
        <v>NM</v>
      </c>
      <c r="AH376" s="338" t="str">
        <f>IF(ISERROR(AH146/AC146-1),"NM",(AH146/AC146-1))</f>
        <v>NM</v>
      </c>
      <c r="AI376" s="338" t="str">
        <f>IF(ISERROR(AI146/AD146-1),"NM",(AI146/AD146-1))</f>
        <v>NM</v>
      </c>
      <c r="AJ376" s="736" t="str">
        <f>IF(ISERROR(AJ146/AE146-1),"NM",(AJ146/AE146-1))</f>
        <v>NM</v>
      </c>
      <c r="AK376" s="338">
        <f t="shared" si="574"/>
        <v>28.333333333333336</v>
      </c>
      <c r="AL376" s="338">
        <f t="shared" si="575"/>
        <v>90.6</v>
      </c>
      <c r="AM376" s="338">
        <f t="shared" si="576"/>
        <v>0.60619469026548645</v>
      </c>
      <c r="AN376" s="338">
        <f t="shared" si="577"/>
        <v>11.394736842105262</v>
      </c>
      <c r="AO376" s="736">
        <f t="shared" ref="AO376:AO381" si="607">IF(ISERROR(AO146/AJ146-1),"NM",(AO146/AJ146-1))</f>
        <v>3.2708719851576991</v>
      </c>
      <c r="AP376" s="338">
        <f t="shared" si="578"/>
        <v>5.3977272727272716</v>
      </c>
      <c r="AQ376" s="338">
        <f t="shared" si="579"/>
        <v>2.1353711790393013</v>
      </c>
      <c r="AR376" s="338">
        <f t="shared" si="580"/>
        <v>1.3002754820936642</v>
      </c>
      <c r="AS376" s="338">
        <f t="shared" si="581"/>
        <v>0.92993630573248454</v>
      </c>
      <c r="AT376" s="353">
        <f t="shared" ref="AT376:AT381" si="608">IF(ISERROR(AT146/AO146-1),"NM",(AT146/AO146-1))</f>
        <v>1.6281494352736754</v>
      </c>
      <c r="AU376" s="338">
        <f t="shared" si="582"/>
        <v>1.0568383658969807</v>
      </c>
      <c r="AV376" s="338">
        <f t="shared" si="583"/>
        <v>0.5473537604456824</v>
      </c>
      <c r="AW376" s="338">
        <f t="shared" si="584"/>
        <v>0.31377245508982043</v>
      </c>
      <c r="AX376" s="354">
        <f t="shared" si="585"/>
        <v>0.32673267326732658</v>
      </c>
      <c r="AY376" s="353">
        <f t="shared" ref="AY376:AY381" si="609">IF(ISERROR(AY146/AT146-1),"NM",(AY146/AT146-1))</f>
        <v>0.51140495867768587</v>
      </c>
      <c r="AZ376" s="354">
        <f t="shared" si="586"/>
        <v>8.6355785837666232E-4</v>
      </c>
      <c r="BA376" s="338">
        <f t="shared" si="587"/>
        <v>0.23672367236723679</v>
      </c>
      <c r="BB376" s="338">
        <f t="shared" si="588"/>
        <v>0.13855970829535091</v>
      </c>
      <c r="BC376" s="338">
        <f t="shared" si="589"/>
        <v>8.2918739635157612E-2</v>
      </c>
      <c r="BD376" s="353">
        <f t="shared" si="590"/>
        <v>0.11286089238845154</v>
      </c>
      <c r="BE376" s="338">
        <f t="shared" si="591"/>
        <v>2.9335634167385605E-2</v>
      </c>
      <c r="BF376" s="354">
        <f t="shared" si="592"/>
        <v>-2.7656477438136928E-2</v>
      </c>
      <c r="BG376" s="354">
        <f t="shared" si="593"/>
        <v>5.2842273819055263E-2</v>
      </c>
      <c r="BH376" s="354">
        <f t="shared" si="594"/>
        <v>5.513016845329255E-2</v>
      </c>
      <c r="BI376" s="353">
        <f t="shared" si="595"/>
        <v>2.6336477987421336E-2</v>
      </c>
      <c r="BJ376" s="354">
        <f t="shared" si="596"/>
        <v>2.0955574182732528E-2</v>
      </c>
      <c r="BK376" s="354">
        <f t="shared" si="597"/>
        <v>-3.5928143712574689E-2</v>
      </c>
      <c r="BL376" s="354">
        <f t="shared" si="598"/>
        <v>4.5627376425854127E-3</v>
      </c>
      <c r="BM376" s="354">
        <f t="shared" si="599"/>
        <v>1.8142235123367101E-2</v>
      </c>
      <c r="BN376" s="353">
        <f t="shared" si="600"/>
        <v>1.5319800842590325E-3</v>
      </c>
      <c r="BO376" s="354">
        <f t="shared" si="601"/>
        <v>7.9638752052545225E-2</v>
      </c>
      <c r="BP376" s="354">
        <f t="shared" si="602"/>
        <v>4.8913043478260754E-2</v>
      </c>
      <c r="BQ376" s="1115">
        <f t="shared" si="603"/>
        <v>-3.3308099924299728E-2</v>
      </c>
      <c r="BR376" s="1115">
        <f t="shared" si="604"/>
        <v>4.2765502494654939E-3</v>
      </c>
      <c r="BS376" s="353">
        <f t="shared" si="605"/>
        <v>2.3326959847036477E-2</v>
      </c>
      <c r="BT376" s="354">
        <f t="shared" si="606"/>
        <v>-2.8136882129277563E-2</v>
      </c>
      <c r="BU376" s="354">
        <f>IF(ISERROR(BU146/BP146-1),"NM",(BU146/BP146-1))</f>
        <v>5.7735011102886924E-2</v>
      </c>
      <c r="BV376" s="354">
        <f>IF(ISERROR(BV146/BQ146-1),"NM",(BV146/BQ146-1))</f>
        <v>-0.56303837118245892</v>
      </c>
      <c r="BW376" s="354">
        <f>IF(ISERROR(BW146/BR146-1),"NM",(BW146/BR146-1))</f>
        <v>-0.55784244144783535</v>
      </c>
      <c r="BX376" s="353">
        <f t="shared" si="570"/>
        <v>-0.273542600896861</v>
      </c>
      <c r="BY376" s="354">
        <f t="shared" si="606"/>
        <v>-0.75273865414710484</v>
      </c>
      <c r="BZ376" s="1115">
        <f>IF(ISERROR(BZ146/BU146-1),"NM",(BZ146/BU146-1))</f>
        <v>-0.86668999300209937</v>
      </c>
      <c r="CA376" s="1115">
        <f>IF(ISERROR(CA146/BV146-1),"NM",(CA146/BV146-1))</f>
        <v>-0.72956989247311832</v>
      </c>
      <c r="CB376" s="1115">
        <f>IF(ISERROR(CB146/BW146-1),"NM",(CB146/BW146-1))</f>
        <v>-0.73739967897271264</v>
      </c>
      <c r="CC376" s="353">
        <f t="shared" si="572"/>
        <v>-0.78883744855967075</v>
      </c>
      <c r="CD376" s="353">
        <f>IF(ISERROR(CD146/CC146-1),"NM",(CD146/CC146-1))</f>
        <v>-0.41546894031668702</v>
      </c>
      <c r="CE376" s="353">
        <f>IF(ISERROR(CE146/CD146-1),"NM",(CE146/CD146-1))</f>
        <v>-0.19999999999999984</v>
      </c>
      <c r="CF376" s="353">
        <f>IF(ISERROR(CF146/CE146-1),"NM",(CF146/CE146-1))</f>
        <v>-5.0614711398207834E-2</v>
      </c>
      <c r="CG376" s="353">
        <f>IF(ISERROR(CG146/CF146-1),"NM",(CG146/CF146-1))</f>
        <v>0</v>
      </c>
      <c r="CH376" s="353">
        <f>IF(ISERROR(CH146/CG146-1),"NM",(CH146/CG146-1))</f>
        <v>0</v>
      </c>
    </row>
    <row r="377" spans="1:86">
      <c r="A377" s="9"/>
      <c r="B377" s="9"/>
      <c r="C377" s="9"/>
      <c r="D377" s="9"/>
      <c r="E377" s="9"/>
      <c r="F377" s="9"/>
      <c r="G377" s="9"/>
      <c r="H377" s="257" t="s">
        <v>1176</v>
      </c>
      <c r="I377" s="257"/>
      <c r="L377" s="325"/>
      <c r="M377" s="325"/>
      <c r="N377" s="325"/>
      <c r="O377" s="325"/>
      <c r="P377" s="48"/>
      <c r="Q377" s="325"/>
      <c r="R377" s="325"/>
      <c r="S377" s="325"/>
      <c r="T377" s="325"/>
      <c r="U377" s="48"/>
      <c r="V377" s="341"/>
      <c r="W377" s="341"/>
      <c r="X377" s="341"/>
      <c r="Y377" s="341"/>
      <c r="Z377" s="48"/>
      <c r="AA377" s="325"/>
      <c r="AB377" s="325"/>
      <c r="AC377" s="325"/>
      <c r="AD377" s="325"/>
      <c r="AE377" s="276"/>
      <c r="AF377" s="341"/>
      <c r="AG377" s="341"/>
      <c r="AH377" s="341"/>
      <c r="AI377" s="341"/>
      <c r="AJ377" s="345"/>
      <c r="AK377" s="341" t="str">
        <f t="shared" si="574"/>
        <v>NM</v>
      </c>
      <c r="AL377" s="341" t="str">
        <f t="shared" si="575"/>
        <v>NM</v>
      </c>
      <c r="AM377" s="341">
        <f t="shared" si="576"/>
        <v>0.33175355450236954</v>
      </c>
      <c r="AN377" s="341">
        <f t="shared" si="577"/>
        <v>24.571428571428569</v>
      </c>
      <c r="AO377" s="345">
        <f t="shared" si="607"/>
        <v>2.7644444444444445</v>
      </c>
      <c r="AP377" s="341">
        <f t="shared" si="578"/>
        <v>8.3333333333333339</v>
      </c>
      <c r="AQ377" s="341">
        <f t="shared" si="579"/>
        <v>2.1901840490797544</v>
      </c>
      <c r="AR377" s="341">
        <f t="shared" si="580"/>
        <v>1.185053380782918</v>
      </c>
      <c r="AS377" s="341">
        <f t="shared" si="581"/>
        <v>0.86871508379888307</v>
      </c>
      <c r="AT377" s="345">
        <f t="shared" si="608"/>
        <v>1.6245572609208971</v>
      </c>
      <c r="AU377" s="341">
        <f t="shared" si="582"/>
        <v>1.138095238095238</v>
      </c>
      <c r="AV377" s="341">
        <f t="shared" si="583"/>
        <v>0.55769230769230771</v>
      </c>
      <c r="AW377" s="341">
        <f t="shared" si="584"/>
        <v>0.30944625407166138</v>
      </c>
      <c r="AX377" s="341">
        <f t="shared" si="585"/>
        <v>0.31240657698056795</v>
      </c>
      <c r="AY377" s="345">
        <f t="shared" si="609"/>
        <v>0.52496626180836703</v>
      </c>
      <c r="AZ377" s="341">
        <f t="shared" si="586"/>
        <v>-6.7928730512249347E-2</v>
      </c>
      <c r="BA377" s="341">
        <f t="shared" si="587"/>
        <v>0.28148148148148144</v>
      </c>
      <c r="BB377" s="341">
        <f t="shared" si="588"/>
        <v>0.15298507462686572</v>
      </c>
      <c r="BC377" s="341">
        <f t="shared" si="589"/>
        <v>0.10250569476082005</v>
      </c>
      <c r="BD377" s="345">
        <f t="shared" si="590"/>
        <v>0.11209439528023601</v>
      </c>
      <c r="BE377" s="341">
        <f t="shared" si="591"/>
        <v>4.898446833930703E-2</v>
      </c>
      <c r="BF377" s="341">
        <f t="shared" si="592"/>
        <v>-3.3718689788053924E-2</v>
      </c>
      <c r="BG377" s="341">
        <f t="shared" si="593"/>
        <v>7.4433656957928696E-2</v>
      </c>
      <c r="BH377" s="341">
        <f t="shared" si="594"/>
        <v>0.10227272727272729</v>
      </c>
      <c r="BI377" s="345">
        <f t="shared" si="595"/>
        <v>4.615384615384599E-2</v>
      </c>
      <c r="BJ377" s="341">
        <f t="shared" si="596"/>
        <v>7.7448747152619513E-2</v>
      </c>
      <c r="BK377" s="341">
        <f t="shared" si="597"/>
        <v>1.6949152542372836E-2</v>
      </c>
      <c r="BL377" s="341">
        <f t="shared" si="598"/>
        <v>6.7269076305220832E-2</v>
      </c>
      <c r="BM377" s="341">
        <f t="shared" si="599"/>
        <v>7.4039362699156452E-2</v>
      </c>
      <c r="BN377" s="345">
        <f t="shared" si="600"/>
        <v>5.8569979716024401E-2</v>
      </c>
      <c r="BO377" s="341">
        <f t="shared" si="601"/>
        <v>0.15961945031712488</v>
      </c>
      <c r="BP377" s="341">
        <f t="shared" si="602"/>
        <v>0.1450980392156862</v>
      </c>
      <c r="BQ377" s="341">
        <f t="shared" si="603"/>
        <v>5.8325493885230451E-2</v>
      </c>
      <c r="BR377" s="341">
        <f t="shared" si="604"/>
        <v>0.10471204188481686</v>
      </c>
      <c r="BS377" s="345">
        <f t="shared" si="605"/>
        <v>0.11520958083832333</v>
      </c>
      <c r="BT377" s="341">
        <f t="shared" si="606"/>
        <v>6.6545123062898837E-2</v>
      </c>
      <c r="BU377" s="341">
        <f t="shared" si="606"/>
        <v>0.12157534246575352</v>
      </c>
      <c r="BV377" s="341">
        <f t="shared" si="606"/>
        <v>-0.62044444444444435</v>
      </c>
      <c r="BW377" s="341">
        <f t="shared" si="606"/>
        <v>-0.61058451816745651</v>
      </c>
      <c r="BX377" s="345">
        <f t="shared" si="570"/>
        <v>-0.26975945017182135</v>
      </c>
      <c r="BY377" s="341">
        <f t="shared" si="606"/>
        <v>-0.86410256410256414</v>
      </c>
      <c r="BZ377" s="1106">
        <v>-0.9</v>
      </c>
      <c r="CA377" s="1106">
        <v>-0.8</v>
      </c>
      <c r="CB377" s="1106">
        <v>-0.8</v>
      </c>
      <c r="CC377" s="345">
        <f t="shared" si="572"/>
        <v>-0.86058823529411765</v>
      </c>
      <c r="CD377" s="909">
        <v>-0.5</v>
      </c>
      <c r="CE377" s="909">
        <v>-0.2</v>
      </c>
      <c r="CF377" s="909">
        <v>0</v>
      </c>
      <c r="CG377" s="909">
        <v>0</v>
      </c>
      <c r="CH377" s="909">
        <v>0</v>
      </c>
    </row>
    <row r="378" spans="1:86">
      <c r="A378" s="9"/>
      <c r="B378" s="9"/>
      <c r="C378" s="9"/>
      <c r="D378" s="9"/>
      <c r="E378" s="9"/>
      <c r="F378" s="9"/>
      <c r="G378" s="9"/>
      <c r="H378" s="257" t="s">
        <v>1177</v>
      </c>
      <c r="I378" s="257"/>
      <c r="L378" s="325"/>
      <c r="M378" s="325"/>
      <c r="N378" s="325"/>
      <c r="O378" s="325"/>
      <c r="P378" s="48"/>
      <c r="Q378" s="325"/>
      <c r="R378" s="325"/>
      <c r="S378" s="325"/>
      <c r="T378" s="325"/>
      <c r="U378" s="48"/>
      <c r="V378" s="341"/>
      <c r="W378" s="341"/>
      <c r="X378" s="341"/>
      <c r="Y378" s="341"/>
      <c r="Z378" s="48"/>
      <c r="AA378" s="325"/>
      <c r="AB378" s="325"/>
      <c r="AC378" s="325"/>
      <c r="AD378" s="325"/>
      <c r="AE378" s="276"/>
      <c r="AF378" s="341" t="str">
        <f t="shared" ref="AF378:AJ379" si="610">IF(ISERROR(AF148/AA148-1),"NM",(AF148/AA148-1))</f>
        <v>NM</v>
      </c>
      <c r="AG378" s="341" t="str">
        <f t="shared" si="610"/>
        <v>NM</v>
      </c>
      <c r="AH378" s="341" t="str">
        <f t="shared" si="610"/>
        <v>NM</v>
      </c>
      <c r="AI378" s="341" t="str">
        <f t="shared" si="610"/>
        <v>NM</v>
      </c>
      <c r="AJ378" s="345" t="str">
        <f t="shared" si="610"/>
        <v>NM</v>
      </c>
      <c r="AK378" s="341">
        <f t="shared" si="574"/>
        <v>13.333333333333334</v>
      </c>
      <c r="AL378" s="341">
        <f t="shared" si="575"/>
        <v>25.4</v>
      </c>
      <c r="AM378" s="341">
        <f t="shared" si="576"/>
        <v>4.4666666666666659</v>
      </c>
      <c r="AN378" s="341">
        <f t="shared" si="577"/>
        <v>3.7083333333333339</v>
      </c>
      <c r="AO378" s="345">
        <f t="shared" si="607"/>
        <v>5.8314606741573041</v>
      </c>
      <c r="AP378" s="341">
        <f t="shared" si="578"/>
        <v>2.3255813953488373</v>
      </c>
      <c r="AQ378" s="341">
        <f t="shared" si="579"/>
        <v>2.0000000000000004</v>
      </c>
      <c r="AR378" s="341">
        <f t="shared" si="580"/>
        <v>1.6951219512195128</v>
      </c>
      <c r="AS378" s="341">
        <f t="shared" si="581"/>
        <v>1.1238938053097343</v>
      </c>
      <c r="AT378" s="345">
        <f t="shared" si="608"/>
        <v>1.6381578947368425</v>
      </c>
      <c r="AU378" s="341">
        <f t="shared" si="582"/>
        <v>0.81818181818181812</v>
      </c>
      <c r="AV378" s="341">
        <f t="shared" si="583"/>
        <v>0.52020202020202011</v>
      </c>
      <c r="AW378" s="341">
        <f t="shared" si="584"/>
        <v>0.32579185520361986</v>
      </c>
      <c r="AX378" s="341">
        <f t="shared" si="585"/>
        <v>0.36666666666666647</v>
      </c>
      <c r="AY378" s="345">
        <f t="shared" si="609"/>
        <v>0.47381546134663344</v>
      </c>
      <c r="AZ378" s="341">
        <f t="shared" si="586"/>
        <v>0.2384615384615385</v>
      </c>
      <c r="BA378" s="341">
        <f t="shared" si="587"/>
        <v>0.11627906976744184</v>
      </c>
      <c r="BB378" s="341">
        <f t="shared" si="588"/>
        <v>9.8976109215017205E-2</v>
      </c>
      <c r="BC378" s="341">
        <f t="shared" si="589"/>
        <v>3.0487804878048808E-2</v>
      </c>
      <c r="BD378" s="345">
        <f t="shared" si="590"/>
        <v>0.11505922165820648</v>
      </c>
      <c r="BE378" s="341">
        <f t="shared" si="591"/>
        <v>-2.1739130434782705E-2</v>
      </c>
      <c r="BF378" s="341">
        <f t="shared" si="592"/>
        <v>-8.9285714285715079E-3</v>
      </c>
      <c r="BG378" s="341">
        <f t="shared" si="593"/>
        <v>-9.3167701863355878E-3</v>
      </c>
      <c r="BH378" s="341">
        <f t="shared" si="594"/>
        <v>-7.9881656804733581E-2</v>
      </c>
      <c r="BI378" s="345">
        <f t="shared" si="595"/>
        <v>-3.0349013657056334E-2</v>
      </c>
      <c r="BJ378" s="341">
        <f t="shared" si="596"/>
        <v>-0.13650793650793658</v>
      </c>
      <c r="BK378" s="341">
        <f t="shared" si="597"/>
        <v>-0.19519519519519513</v>
      </c>
      <c r="BL378" s="341">
        <f t="shared" si="598"/>
        <v>-0.19122257053291525</v>
      </c>
      <c r="BM378" s="341">
        <f t="shared" si="599"/>
        <v>-0.17363344051446949</v>
      </c>
      <c r="BN378" s="345">
        <f t="shared" si="600"/>
        <v>-0.17449139280125181</v>
      </c>
      <c r="BO378" s="341">
        <f t="shared" si="601"/>
        <v>-0.19852941176470584</v>
      </c>
      <c r="BP378" s="341">
        <f t="shared" si="602"/>
        <v>-0.31716417910447758</v>
      </c>
      <c r="BQ378" s="341">
        <f t="shared" si="603"/>
        <v>-0.41085271317829464</v>
      </c>
      <c r="BR378" s="341">
        <f t="shared" si="604"/>
        <v>-0.44357976653696496</v>
      </c>
      <c r="BS378" s="345">
        <f t="shared" si="605"/>
        <v>-0.34028436018957353</v>
      </c>
      <c r="BT378" s="341">
        <f t="shared" si="606"/>
        <v>-0.50458715596330272</v>
      </c>
      <c r="BU378" s="341">
        <f t="shared" si="606"/>
        <v>-0.34972677595628421</v>
      </c>
      <c r="BV378" s="341">
        <f t="shared" si="606"/>
        <v>-0.13815789473684204</v>
      </c>
      <c r="BW378" s="341">
        <f t="shared" si="606"/>
        <v>-9.0909090909090939E-2</v>
      </c>
      <c r="BX378" s="345">
        <f t="shared" si="570"/>
        <v>-0.29885057471264354</v>
      </c>
      <c r="BY378" s="341">
        <f t="shared" si="606"/>
        <v>0.4537037037037035</v>
      </c>
      <c r="BZ378" s="1106">
        <v>-0.5</v>
      </c>
      <c r="CA378" s="1106">
        <v>-0.5</v>
      </c>
      <c r="CB378" s="1106">
        <v>-0.5</v>
      </c>
      <c r="CC378" s="345">
        <f t="shared" si="572"/>
        <v>-0.28893442622950816</v>
      </c>
      <c r="CD378" s="909">
        <v>-0.3</v>
      </c>
      <c r="CE378" s="909">
        <v>-0.2</v>
      </c>
      <c r="CF378" s="909">
        <v>-0.1</v>
      </c>
      <c r="CG378" s="909">
        <v>0</v>
      </c>
      <c r="CH378" s="909">
        <v>0</v>
      </c>
    </row>
    <row r="379" spans="1:86">
      <c r="A379" s="9"/>
      <c r="B379" s="9"/>
      <c r="C379" s="9"/>
      <c r="D379" s="9"/>
      <c r="E379" s="9"/>
      <c r="F379" s="9"/>
      <c r="G379" s="9"/>
      <c r="H379" s="266" t="s">
        <v>298</v>
      </c>
      <c r="I379" s="266"/>
      <c r="L379" s="328">
        <v>-0.34782608695652173</v>
      </c>
      <c r="M379" s="328">
        <v>-0.53731343283582089</v>
      </c>
      <c r="N379" s="328">
        <v>-3.5714285714285587E-2</v>
      </c>
      <c r="O379" s="328">
        <v>-0.37209302325581384</v>
      </c>
      <c r="P379" s="330">
        <v>-0.38251366120218588</v>
      </c>
      <c r="Q379" s="328">
        <f>Q149/L149-1</f>
        <v>5.2</v>
      </c>
      <c r="R379" s="328">
        <f>R149/M149-1</f>
        <v>1.193548387096774</v>
      </c>
      <c r="S379" s="328">
        <f>S149/N149-1</f>
        <v>2.0370370370370368</v>
      </c>
      <c r="T379" s="328">
        <f>T149/O149-1</f>
        <v>2.1111111111111112</v>
      </c>
      <c r="U379" s="330">
        <f t="shared" ref="U379:AE379" si="611">IF(ISERROR(U149/P149-1),"NM",(U149/P149-1))</f>
        <v>2.6991150442477871</v>
      </c>
      <c r="V379" s="328">
        <f t="shared" si="611"/>
        <v>-0.60752688172043012</v>
      </c>
      <c r="W379" s="328">
        <f t="shared" si="611"/>
        <v>-5.8823529411764608E-2</v>
      </c>
      <c r="X379" s="328">
        <f t="shared" si="611"/>
        <v>-0.18292682926829262</v>
      </c>
      <c r="Y379" s="328">
        <f t="shared" si="611"/>
        <v>-0.19047619047619058</v>
      </c>
      <c r="Z379" s="330">
        <f t="shared" si="611"/>
        <v>-0.35167464114832536</v>
      </c>
      <c r="AA379" s="328">
        <f t="shared" si="611"/>
        <v>-0.31506849315068497</v>
      </c>
      <c r="AB379" s="328">
        <f t="shared" si="611"/>
        <v>-0.140625</v>
      </c>
      <c r="AC379" s="328">
        <f t="shared" si="611"/>
        <v>-7.4626865671641895E-2</v>
      </c>
      <c r="AD379" s="328">
        <f t="shared" si="611"/>
        <v>-0.36764705882352944</v>
      </c>
      <c r="AE379" s="330">
        <f t="shared" si="611"/>
        <v>-0.22878228782287813</v>
      </c>
      <c r="AF379" s="328">
        <f t="shared" si="610"/>
        <v>-0.14000000000000001</v>
      </c>
      <c r="AG379" s="328">
        <f t="shared" si="610"/>
        <v>-7.0909090909090811E-2</v>
      </c>
      <c r="AH379" s="328">
        <f t="shared" si="610"/>
        <v>0.20967741935483875</v>
      </c>
      <c r="AI379" s="328">
        <f t="shared" si="610"/>
        <v>1.13953488372093</v>
      </c>
      <c r="AJ379" s="330">
        <f t="shared" si="610"/>
        <v>0.24928229665071755</v>
      </c>
      <c r="AK379" s="328">
        <f t="shared" si="574"/>
        <v>1.5116279069767447</v>
      </c>
      <c r="AL379" s="328">
        <f t="shared" si="575"/>
        <v>1.093933463796477</v>
      </c>
      <c r="AM379" s="328">
        <f t="shared" si="576"/>
        <v>0.32000000000000006</v>
      </c>
      <c r="AN379" s="328">
        <f t="shared" si="577"/>
        <v>0.16304347826086962</v>
      </c>
      <c r="AO379" s="352">
        <f t="shared" si="607"/>
        <v>0.61240903868249696</v>
      </c>
      <c r="AP379" s="338">
        <f t="shared" si="578"/>
        <v>8.3333333333333259E-2</v>
      </c>
      <c r="AQ379" s="338">
        <f t="shared" si="579"/>
        <v>0.2990654205607477</v>
      </c>
      <c r="AR379" s="338">
        <f t="shared" si="580"/>
        <v>0.31313131313131315</v>
      </c>
      <c r="AS379" s="338">
        <f t="shared" si="581"/>
        <v>0.5420560747663552</v>
      </c>
      <c r="AT379" s="736">
        <f t="shared" si="608"/>
        <v>0.30878859857482199</v>
      </c>
      <c r="AU379" s="338">
        <f t="shared" si="582"/>
        <v>0.91452991452991395</v>
      </c>
      <c r="AV379" s="338">
        <f t="shared" si="583"/>
        <v>0.87050359712230185</v>
      </c>
      <c r="AW379" s="338">
        <f t="shared" si="584"/>
        <v>1.0846153846153852</v>
      </c>
      <c r="AX379" s="338">
        <f t="shared" si="585"/>
        <v>0.80606060606060836</v>
      </c>
      <c r="AY379" s="736">
        <f t="shared" si="609"/>
        <v>0.9110707803992748</v>
      </c>
      <c r="AZ379" s="338">
        <f t="shared" si="586"/>
        <v>0.31696428571428759</v>
      </c>
      <c r="BA379" s="338">
        <f t="shared" si="587"/>
        <v>0.21538461538461795</v>
      </c>
      <c r="BB379" s="338">
        <f t="shared" si="588"/>
        <v>0.19557195571955721</v>
      </c>
      <c r="BC379" s="338">
        <f t="shared" si="589"/>
        <v>0.15771812080536862</v>
      </c>
      <c r="BD379" s="736">
        <f t="shared" si="590"/>
        <v>0.21557454890788308</v>
      </c>
      <c r="BE379" s="338">
        <f t="shared" si="591"/>
        <v>0.11186440677965881</v>
      </c>
      <c r="BF379" s="338">
        <f t="shared" si="592"/>
        <v>9.8101265822783335E-2</v>
      </c>
      <c r="BG379" s="338">
        <f t="shared" si="593"/>
        <v>1.8518518518520377E-2</v>
      </c>
      <c r="BH379" s="338">
        <f t="shared" si="594"/>
        <v>-0.15072463768115962</v>
      </c>
      <c r="BI379" s="736">
        <f t="shared" si="595"/>
        <v>1.4062499999999645E-2</v>
      </c>
      <c r="BJ379" s="338">
        <f t="shared" si="596"/>
        <v>1.2195121951221521E-2</v>
      </c>
      <c r="BK379" s="338">
        <f t="shared" si="597"/>
        <v>0.16714697406340195</v>
      </c>
      <c r="BL379" s="338">
        <f t="shared" si="598"/>
        <v>0.1545454545454521</v>
      </c>
      <c r="BM379" s="338">
        <f t="shared" si="599"/>
        <v>-0.1501706484641635</v>
      </c>
      <c r="BN379" s="736">
        <f t="shared" si="600"/>
        <v>5.3158705701078723E-2</v>
      </c>
      <c r="BO379" s="338">
        <f t="shared" si="601"/>
        <v>-0.15060240963855542</v>
      </c>
      <c r="BP379" s="338">
        <f t="shared" si="602"/>
        <v>-0.10864197530864372</v>
      </c>
      <c r="BQ379" s="1105">
        <f t="shared" si="603"/>
        <v>-3.9370078740157077E-2</v>
      </c>
      <c r="BR379" s="1105">
        <f t="shared" si="604"/>
        <v>0.24899598393574207</v>
      </c>
      <c r="BS379" s="736">
        <f t="shared" si="605"/>
        <v>-3.4381858083395E-2</v>
      </c>
      <c r="BT379" s="338">
        <f t="shared" si="606"/>
        <v>9.5744680851064912E-2</v>
      </c>
      <c r="BU379" s="338">
        <f>IF(ISERROR(BU149/BP149-1),"NM",(BU149/BP149-1))</f>
        <v>9.9722991689751517E-2</v>
      </c>
      <c r="BV379" s="338">
        <f>IF(ISERROR(BV149/BQ149-1),"NM",(BV149/BQ149-1))</f>
        <v>0.13934426229508001</v>
      </c>
      <c r="BW379" s="338">
        <f>IF(ISERROR(BW149/BR149-1),"NM",(BW149/BR149-1))</f>
        <v>0.24437299035369953</v>
      </c>
      <c r="BX379" s="736">
        <f t="shared" si="570"/>
        <v>0.14393939393939426</v>
      </c>
      <c r="BY379" s="338">
        <f t="shared" si="606"/>
        <v>0.1165048543689331</v>
      </c>
      <c r="BZ379" s="1105">
        <f>IF(ISERROR(BZ149/BU149-1),"NM",(BZ149/BU149-1))</f>
        <v>6.6498740554156166E-2</v>
      </c>
      <c r="CA379" s="1105">
        <f>IF(ISERROR(CA149/BV149-1),"NM",(CA149/BV149-1))</f>
        <v>7.0599520383693104E-2</v>
      </c>
      <c r="CB379" s="1105">
        <f>IF(ISERROR(CB149/BW149-1),"NM",(CB149/BW149-1))</f>
        <v>6.8837209302325508E-2</v>
      </c>
      <c r="CC379" s="736">
        <f t="shared" si="572"/>
        <v>7.8463576158940507E-2</v>
      </c>
      <c r="CD379" s="736">
        <f>IF(ISERROR(CD149/CC149-1),"NM",(CD149/CC149-1))</f>
        <v>4.4688298290430417E-2</v>
      </c>
      <c r="CE379" s="736">
        <f>IF(ISERROR(CE149/CD149-1),"NM",(CE149/CD149-1))</f>
        <v>2.6949309156657497E-2</v>
      </c>
      <c r="CF379" s="736">
        <f>IF(ISERROR(CF149/CE149-1),"NM",(CF149/CE149-1))</f>
        <v>1.8019577132553977E-2</v>
      </c>
      <c r="CG379" s="736">
        <f>IF(ISERROR(CG149/CF149-1),"NM",(CG149/CF149-1))</f>
        <v>0</v>
      </c>
      <c r="CH379" s="736">
        <f>IF(ISERROR(CH149/CG149-1),"NM",(CH149/CG149-1))</f>
        <v>0</v>
      </c>
    </row>
    <row r="380" spans="1:86">
      <c r="A380" s="9"/>
      <c r="B380" s="9"/>
      <c r="C380" s="9"/>
      <c r="D380" s="9"/>
      <c r="E380" s="9"/>
      <c r="F380" s="9"/>
      <c r="G380" s="9"/>
      <c r="H380" s="257" t="s">
        <v>231</v>
      </c>
      <c r="I380" s="257"/>
      <c r="L380" s="331"/>
      <c r="M380" s="331"/>
      <c r="N380" s="331"/>
      <c r="O380" s="331"/>
      <c r="P380" s="337"/>
      <c r="Q380" s="331"/>
      <c r="R380" s="331"/>
      <c r="S380" s="331"/>
      <c r="T380" s="331"/>
      <c r="U380" s="48"/>
      <c r="V380" s="331"/>
      <c r="W380" s="331"/>
      <c r="X380" s="331"/>
      <c r="Y380" s="331"/>
      <c r="Z380" s="48"/>
      <c r="AA380" s="331"/>
      <c r="AB380" s="331"/>
      <c r="AC380" s="331"/>
      <c r="AD380" s="331"/>
      <c r="AE380" s="337"/>
      <c r="AF380" s="331"/>
      <c r="AG380" s="331"/>
      <c r="AH380" s="331"/>
      <c r="AI380" s="331"/>
      <c r="AJ380" s="337"/>
      <c r="AK380" s="331"/>
      <c r="AL380" s="331"/>
      <c r="AM380" s="325">
        <f>IF(ISERROR(AM150/AH150-1),"NM",(AM150/AH150-1))</f>
        <v>6.3829787234042534E-2</v>
      </c>
      <c r="AN380" s="325">
        <f>IF(ISERROR(AN150/AI150-1),"NM",(AN150/AI150-1))</f>
        <v>6.8181818181818121E-2</v>
      </c>
      <c r="AO380" s="345">
        <f t="shared" si="607"/>
        <v>1.0434782608695654</v>
      </c>
      <c r="AP380" s="341">
        <f t="shared" si="578"/>
        <v>-2.2222222222222143E-2</v>
      </c>
      <c r="AQ380" s="341">
        <f t="shared" si="579"/>
        <v>2.1739130434782705E-2</v>
      </c>
      <c r="AR380" s="341">
        <f t="shared" si="580"/>
        <v>0</v>
      </c>
      <c r="AS380" s="341">
        <f t="shared" si="581"/>
        <v>0.1063829787234043</v>
      </c>
      <c r="AT380" s="345">
        <f t="shared" si="608"/>
        <v>2.659574468085113E-2</v>
      </c>
      <c r="AU380" s="341">
        <f t="shared" si="582"/>
        <v>2.068181818181821</v>
      </c>
      <c r="AV380" s="341">
        <f t="shared" si="583"/>
        <v>1.7872340425531901</v>
      </c>
      <c r="AW380" s="341">
        <f t="shared" si="584"/>
        <v>1.819999999999999</v>
      </c>
      <c r="AX380" s="341">
        <f t="shared" si="585"/>
        <v>2.2307692307692357</v>
      </c>
      <c r="AY380" s="345">
        <f t="shared" si="609"/>
        <v>1.979274611398965</v>
      </c>
      <c r="AZ380" s="341">
        <f t="shared" si="586"/>
        <v>0.24444444444444713</v>
      </c>
      <c r="BA380" s="341">
        <f t="shared" si="587"/>
        <v>0.32824427480916452</v>
      </c>
      <c r="BB380" s="341">
        <f t="shared" si="588"/>
        <v>0.24822695035461106</v>
      </c>
      <c r="BC380" s="341">
        <f t="shared" si="589"/>
        <v>0.17857142857142838</v>
      </c>
      <c r="BD380" s="345">
        <f t="shared" si="590"/>
        <v>0.24521739130434961</v>
      </c>
      <c r="BE380" s="341">
        <f t="shared" si="591"/>
        <v>-0.41071428571428814</v>
      </c>
      <c r="BF380" s="341">
        <f t="shared" si="592"/>
        <v>-0.34482758620689558</v>
      </c>
      <c r="BG380" s="341">
        <f t="shared" si="593"/>
        <v>-0.32954545454545259</v>
      </c>
      <c r="BH380" s="341">
        <f t="shared" si="594"/>
        <v>-0.46464646464646486</v>
      </c>
      <c r="BI380" s="345">
        <f t="shared" si="595"/>
        <v>-0.38966480446927365</v>
      </c>
      <c r="BJ380" s="341">
        <f t="shared" si="596"/>
        <v>2.0202020202023441E-2</v>
      </c>
      <c r="BK380" s="341">
        <f t="shared" si="597"/>
        <v>-0.13157894736842179</v>
      </c>
      <c r="BL380" s="341">
        <f t="shared" si="598"/>
        <v>3.3898305084742564E-2</v>
      </c>
      <c r="BM380" s="341">
        <f t="shared" si="599"/>
        <v>-3.7735849056602988E-2</v>
      </c>
      <c r="BN380" s="345">
        <f t="shared" si="600"/>
        <v>-2.9748283752860649E-2</v>
      </c>
      <c r="BO380" s="341">
        <f t="shared" si="601"/>
        <v>-0.51485148514851953</v>
      </c>
      <c r="BP380" s="341">
        <f t="shared" si="602"/>
        <v>-0.51515151515151425</v>
      </c>
      <c r="BQ380" s="341">
        <f t="shared" si="603"/>
        <v>-0.56557377049180246</v>
      </c>
      <c r="BR380" s="341">
        <f t="shared" si="604"/>
        <v>-0.4901960784313717</v>
      </c>
      <c r="BS380" s="345">
        <f t="shared" si="605"/>
        <v>-0.52358490566037785</v>
      </c>
      <c r="BT380" s="341">
        <f t="shared" si="606"/>
        <v>-2.0408163265296375E-2</v>
      </c>
      <c r="BU380" s="341">
        <f t="shared" si="606"/>
        <v>0.39583333333333526</v>
      </c>
      <c r="BV380" s="341">
        <f t="shared" si="606"/>
        <v>-7.5471698113216523E-2</v>
      </c>
      <c r="BW380" s="341">
        <f t="shared" si="606"/>
        <v>3.846153846154432E-2</v>
      </c>
      <c r="BX380" s="345">
        <f t="shared" si="570"/>
        <v>7.9207920792081721E-2</v>
      </c>
      <c r="BY380" s="341">
        <f t="shared" si="606"/>
        <v>-0.93749999999999079</v>
      </c>
      <c r="BZ380" s="1106">
        <v>0</v>
      </c>
      <c r="CA380" s="1106">
        <v>0</v>
      </c>
      <c r="CB380" s="1106">
        <v>0</v>
      </c>
      <c r="CC380" s="345">
        <f t="shared" si="572"/>
        <v>-0.20642201834862162</v>
      </c>
      <c r="CD380" s="909">
        <v>0</v>
      </c>
      <c r="CE380" s="909">
        <v>0</v>
      </c>
      <c r="CF380" s="909">
        <v>0</v>
      </c>
      <c r="CG380" s="909">
        <v>0</v>
      </c>
      <c r="CH380" s="909">
        <v>0</v>
      </c>
    </row>
    <row r="381" spans="1:86">
      <c r="A381" s="9"/>
      <c r="B381" s="9"/>
      <c r="C381" s="9"/>
      <c r="D381" s="9"/>
      <c r="E381" s="9"/>
      <c r="F381" s="9"/>
      <c r="G381" s="9"/>
      <c r="H381" s="257" t="s">
        <v>1086</v>
      </c>
      <c r="I381" s="257"/>
      <c r="L381" s="325">
        <v>-0.34782608695652173</v>
      </c>
      <c r="M381" s="325">
        <v>-0.53030303030303028</v>
      </c>
      <c r="N381" s="325">
        <v>-7.1428571428571286E-2</v>
      </c>
      <c r="O381" s="325">
        <v>-0.1</v>
      </c>
      <c r="P381" s="48">
        <v>-0.38251366120218588</v>
      </c>
      <c r="Q381" s="336">
        <f>Q151/L151-1</f>
        <v>5.2</v>
      </c>
      <c r="R381" s="336">
        <f>R151/M151-1</f>
        <v>1.193548387096774</v>
      </c>
      <c r="S381" s="336">
        <f>S151/N151-1</f>
        <v>2.115384615384615</v>
      </c>
      <c r="T381" s="336">
        <f>T151/O151-1</f>
        <v>2.1923076923076925</v>
      </c>
      <c r="U381" s="48">
        <f t="shared" ref="U381:AL381" si="612">IF(ISERROR(U151/P151-1),"NM",(U151/P151-1))</f>
        <v>2.6991150442477871</v>
      </c>
      <c r="V381" s="325">
        <f t="shared" si="612"/>
        <v>-0.60752688172043012</v>
      </c>
      <c r="W381" s="325">
        <f t="shared" si="612"/>
        <v>-5.8823529411764608E-2</v>
      </c>
      <c r="X381" s="325">
        <f t="shared" si="612"/>
        <v>-0.1728395061728395</v>
      </c>
      <c r="Y381" s="325">
        <f t="shared" si="612"/>
        <v>-0.19277108433734946</v>
      </c>
      <c r="Z381" s="48">
        <f t="shared" si="612"/>
        <v>-0.35167464114832536</v>
      </c>
      <c r="AA381" s="325">
        <f t="shared" si="612"/>
        <v>-0.31506849315068497</v>
      </c>
      <c r="AB381" s="325">
        <f t="shared" si="612"/>
        <v>-0.140625</v>
      </c>
      <c r="AC381" s="325">
        <f t="shared" si="612"/>
        <v>-8.9552238805970186E-2</v>
      </c>
      <c r="AD381" s="325">
        <f t="shared" si="612"/>
        <v>-0.35820895522388063</v>
      </c>
      <c r="AE381" s="276">
        <f t="shared" si="612"/>
        <v>-0.22878228782287813</v>
      </c>
      <c r="AF381" s="325">
        <f t="shared" si="612"/>
        <v>-0.15999999999999992</v>
      </c>
      <c r="AG381" s="325">
        <f t="shared" si="612"/>
        <v>-7.0909090909090811E-2</v>
      </c>
      <c r="AH381" s="325">
        <f t="shared" si="612"/>
        <v>-0.54098360655737698</v>
      </c>
      <c r="AI381" s="325">
        <f t="shared" si="612"/>
        <v>0.11627906976744184</v>
      </c>
      <c r="AJ381" s="276">
        <f t="shared" si="612"/>
        <v>-0.19090909090909103</v>
      </c>
      <c r="AK381" s="325">
        <f t="shared" si="612"/>
        <v>0.5</v>
      </c>
      <c r="AL381" s="325">
        <f t="shared" si="612"/>
        <v>0.19373776908023466</v>
      </c>
      <c r="AM381" s="325">
        <f>IF(ISERROR(AM151/AH151-1),"NM",(AM151/AH151-1))</f>
        <v>0.75000000000000022</v>
      </c>
      <c r="AN381" s="325">
        <f>IF(ISERROR(AN151/AI151-1),"NM",(AN151/AI151-1))</f>
        <v>0.25</v>
      </c>
      <c r="AO381" s="345">
        <f t="shared" si="607"/>
        <v>0.37788290952099324</v>
      </c>
      <c r="AP381" s="341">
        <f t="shared" si="578"/>
        <v>0.15873015873015883</v>
      </c>
      <c r="AQ381" s="341">
        <f t="shared" si="579"/>
        <v>0.50819672131147531</v>
      </c>
      <c r="AR381" s="341">
        <f t="shared" si="580"/>
        <v>0.63265306122448961</v>
      </c>
      <c r="AS381" s="341">
        <f t="shared" si="581"/>
        <v>0.88333333333333353</v>
      </c>
      <c r="AT381" s="345">
        <f t="shared" si="608"/>
        <v>0.53648068669527893</v>
      </c>
      <c r="AU381" s="341">
        <f t="shared" si="582"/>
        <v>0.2191780821917777</v>
      </c>
      <c r="AV381" s="341">
        <f t="shared" si="583"/>
        <v>0.40217391304347827</v>
      </c>
      <c r="AW381" s="341">
        <f t="shared" si="584"/>
        <v>0.62500000000000133</v>
      </c>
      <c r="AX381" s="341">
        <f t="shared" si="585"/>
        <v>0.15044247787610732</v>
      </c>
      <c r="AY381" s="345">
        <f t="shared" si="609"/>
        <v>0.33519553072625707</v>
      </c>
      <c r="AZ381" s="341">
        <f t="shared" si="586"/>
        <v>0.42696629213483228</v>
      </c>
      <c r="BA381" s="341">
        <f t="shared" si="587"/>
        <v>0.10077519379845046</v>
      </c>
      <c r="BB381" s="341">
        <f t="shared" si="588"/>
        <v>0.1384615384615373</v>
      </c>
      <c r="BC381" s="341">
        <f t="shared" si="589"/>
        <v>0.13076923076922986</v>
      </c>
      <c r="BD381" s="345">
        <f t="shared" si="590"/>
        <v>0.17991631799163144</v>
      </c>
      <c r="BE381" s="341">
        <f t="shared" si="591"/>
        <v>0.8031496062992145</v>
      </c>
      <c r="BF381" s="341">
        <f t="shared" si="592"/>
        <v>0.64084507042253191</v>
      </c>
      <c r="BG381" s="341">
        <f t="shared" si="593"/>
        <v>0.43243243243243423</v>
      </c>
      <c r="BH381" s="341">
        <f t="shared" si="594"/>
        <v>0.27210884353741549</v>
      </c>
      <c r="BI381" s="345">
        <f t="shared" si="595"/>
        <v>0.52659574468085135</v>
      </c>
      <c r="BJ381" s="341">
        <f t="shared" si="596"/>
        <v>8.7336244541500463E-3</v>
      </c>
      <c r="BK381" s="341">
        <f t="shared" si="597"/>
        <v>0.31330472103004614</v>
      </c>
      <c r="BL381" s="341">
        <f t="shared" si="598"/>
        <v>0.22169811320754529</v>
      </c>
      <c r="BM381" s="341">
        <f t="shared" si="599"/>
        <v>-0.2139037433155081</v>
      </c>
      <c r="BN381" s="345">
        <f t="shared" si="600"/>
        <v>9.5238095238095788E-2</v>
      </c>
      <c r="BO381" s="341">
        <f t="shared" si="601"/>
        <v>8.658008658009031E-3</v>
      </c>
      <c r="BP381" s="341">
        <f t="shared" si="602"/>
        <v>2.2875816993461751E-2</v>
      </c>
      <c r="BQ381" s="341">
        <f t="shared" si="603"/>
        <v>0.20849420849420919</v>
      </c>
      <c r="BR381" s="341">
        <f t="shared" si="604"/>
        <v>0.76190476190476031</v>
      </c>
      <c r="BS381" s="345">
        <f t="shared" si="605"/>
        <v>0.18557794273594852</v>
      </c>
      <c r="BT381" s="341">
        <f t="shared" si="606"/>
        <v>0.12017167381974159</v>
      </c>
      <c r="BU381" s="341">
        <f t="shared" si="606"/>
        <v>5.4313099041534141E-2</v>
      </c>
      <c r="BV381" s="341">
        <f t="shared" si="606"/>
        <v>0.17571884984025488</v>
      </c>
      <c r="BW381" s="341">
        <f t="shared" si="606"/>
        <v>0.2857142857142867</v>
      </c>
      <c r="BX381" s="345">
        <f t="shared" si="570"/>
        <v>0.1556350626118066</v>
      </c>
      <c r="BY381" s="341">
        <f t="shared" si="606"/>
        <v>0.31034482758620685</v>
      </c>
      <c r="BZ381" s="1106">
        <v>0.08</v>
      </c>
      <c r="CA381" s="1106">
        <v>0.08</v>
      </c>
      <c r="CB381" s="1106">
        <v>0.08</v>
      </c>
      <c r="CC381" s="345">
        <f t="shared" si="572"/>
        <v>0.12653250773993796</v>
      </c>
      <c r="CD381" s="909">
        <v>0.05</v>
      </c>
      <c r="CE381" s="909">
        <v>0.03</v>
      </c>
      <c r="CF381" s="909">
        <v>0.02</v>
      </c>
      <c r="CG381" s="909">
        <v>0</v>
      </c>
      <c r="CH381" s="909">
        <v>0</v>
      </c>
    </row>
    <row r="382" spans="1:86" hidden="1">
      <c r="A382" s="9"/>
      <c r="B382" s="9"/>
      <c r="C382" s="9"/>
      <c r="D382" s="9"/>
      <c r="E382" s="9"/>
      <c r="F382" s="9"/>
      <c r="G382" s="9"/>
      <c r="H382" s="977" t="s">
        <v>238</v>
      </c>
      <c r="I382" s="957"/>
      <c r="L382" s="325"/>
      <c r="M382" s="325"/>
      <c r="N382" s="325"/>
      <c r="O382" s="325"/>
      <c r="P382" s="48"/>
      <c r="Q382" s="325"/>
      <c r="R382" s="325"/>
      <c r="S382" s="325"/>
      <c r="T382" s="325"/>
      <c r="U382" s="48"/>
      <c r="V382" s="341"/>
      <c r="W382" s="341"/>
      <c r="X382" s="341"/>
      <c r="Y382" s="341"/>
      <c r="Z382" s="48"/>
      <c r="AA382" s="325"/>
      <c r="AB382" s="325"/>
      <c r="AC382" s="325"/>
      <c r="AD382" s="325"/>
      <c r="AE382" s="276"/>
      <c r="AF382" s="341"/>
      <c r="AG382" s="341"/>
      <c r="AH382" s="341"/>
      <c r="AI382" s="341"/>
      <c r="AJ382" s="345"/>
      <c r="AK382" s="341"/>
      <c r="AL382" s="341"/>
      <c r="AM382" s="341"/>
      <c r="AN382" s="341"/>
      <c r="AO382" s="345"/>
      <c r="AP382" s="341"/>
      <c r="AQ382" s="341"/>
      <c r="AR382" s="341"/>
      <c r="AS382" s="341"/>
      <c r="AT382" s="345"/>
      <c r="AU382" s="341"/>
      <c r="AV382" s="341"/>
      <c r="AW382" s="341"/>
      <c r="AX382" s="341"/>
      <c r="AY382" s="345"/>
      <c r="AZ382" s="354">
        <f t="shared" ref="AZ382:BI387" si="613">IF(ISERROR(AZ152/AU152-1),"NM",(AZ152/AU152-1))</f>
        <v>0.34615384615384603</v>
      </c>
      <c r="BA382" s="354">
        <f t="shared" si="613"/>
        <v>0.18749999999999978</v>
      </c>
      <c r="BB382" s="354">
        <f t="shared" si="613"/>
        <v>0.19117647058823506</v>
      </c>
      <c r="BC382" s="354">
        <f t="shared" si="613"/>
        <v>-1</v>
      </c>
      <c r="BD382" s="353">
        <f t="shared" si="613"/>
        <v>-8.2828282828282807E-2</v>
      </c>
      <c r="BE382" s="354">
        <f t="shared" si="613"/>
        <v>-1</v>
      </c>
      <c r="BF382" s="354">
        <f t="shared" si="613"/>
        <v>-1</v>
      </c>
      <c r="BG382" s="354">
        <f t="shared" si="613"/>
        <v>-1</v>
      </c>
      <c r="BH382" s="354" t="str">
        <f t="shared" si="613"/>
        <v>NM</v>
      </c>
      <c r="BI382" s="353">
        <f t="shared" si="613"/>
        <v>-1</v>
      </c>
      <c r="BJ382" s="354" t="str">
        <f t="shared" ref="BJ382:BS387" si="614">IF(ISERROR(BJ152/BE152-1),"NM",(BJ152/BE152-1))</f>
        <v>NM</v>
      </c>
      <c r="BK382" s="354" t="str">
        <f t="shared" si="614"/>
        <v>NM</v>
      </c>
      <c r="BL382" s="354" t="str">
        <f t="shared" si="614"/>
        <v>NM</v>
      </c>
      <c r="BM382" s="354" t="str">
        <f t="shared" si="614"/>
        <v>NM</v>
      </c>
      <c r="BN382" s="353" t="str">
        <f t="shared" si="614"/>
        <v>NM</v>
      </c>
      <c r="BO382" s="1115" t="str">
        <f t="shared" si="614"/>
        <v>NM</v>
      </c>
      <c r="BP382" s="1115" t="str">
        <f t="shared" si="614"/>
        <v>NM</v>
      </c>
      <c r="BQ382" s="1115" t="str">
        <f t="shared" si="614"/>
        <v>NM</v>
      </c>
      <c r="BR382" s="1115" t="str">
        <f t="shared" si="614"/>
        <v>NM</v>
      </c>
      <c r="BS382" s="353" t="str">
        <f t="shared" si="614"/>
        <v>NM</v>
      </c>
      <c r="BT382" s="354"/>
      <c r="BU382" s="354"/>
      <c r="BV382" s="354"/>
      <c r="BW382" s="354"/>
      <c r="BX382" s="353" t="str">
        <f t="shared" si="570"/>
        <v>NM</v>
      </c>
      <c r="BY382" s="354"/>
      <c r="BZ382" s="1115" t="str">
        <f t="shared" ref="BZ382:BZ387" si="615">IF(ISERROR(BZ152/BU152-1),"NM",(BZ152/BU152-1))</f>
        <v>NM</v>
      </c>
      <c r="CA382" s="1115" t="str">
        <f t="shared" ref="CA382:CA387" si="616">IF(ISERROR(CA152/BV152-1),"NM",(CA152/BV152-1))</f>
        <v>NM</v>
      </c>
      <c r="CB382" s="1115" t="str">
        <f t="shared" ref="CB382:CC387" si="617">IF(ISERROR(CB152/BW152-1),"NM",(CB152/BW152-1))</f>
        <v>NM</v>
      </c>
      <c r="CC382" s="353" t="str">
        <f t="shared" si="572"/>
        <v>NM</v>
      </c>
      <c r="CD382" s="353" t="str">
        <f t="shared" ref="CD382:CH387" si="618">IF(ISERROR(CD152/CC152-1),"NM",(CD152/CC152-1))</f>
        <v>NM</v>
      </c>
      <c r="CE382" s="353" t="str">
        <f t="shared" si="618"/>
        <v>NM</v>
      </c>
      <c r="CF382" s="353" t="str">
        <f t="shared" si="618"/>
        <v>NM</v>
      </c>
      <c r="CG382" s="353" t="str">
        <f t="shared" si="618"/>
        <v>NM</v>
      </c>
      <c r="CH382" s="353" t="str">
        <f t="shared" si="618"/>
        <v>NM</v>
      </c>
    </row>
    <row r="383" spans="1:86" hidden="1">
      <c r="A383" s="9"/>
      <c r="B383" s="9"/>
      <c r="C383" s="9"/>
      <c r="D383" s="9"/>
      <c r="E383" s="9"/>
      <c r="F383" s="9"/>
      <c r="G383" s="9"/>
      <c r="H383" s="939" t="s">
        <v>1165</v>
      </c>
      <c r="I383" s="957"/>
      <c r="L383" s="325"/>
      <c r="M383" s="325"/>
      <c r="N383" s="325"/>
      <c r="O383" s="325"/>
      <c r="P383" s="48"/>
      <c r="Q383" s="325"/>
      <c r="R383" s="325"/>
      <c r="S383" s="325"/>
      <c r="T383" s="325"/>
      <c r="U383" s="48"/>
      <c r="V383" s="341"/>
      <c r="W383" s="341"/>
      <c r="X383" s="341"/>
      <c r="Y383" s="341"/>
      <c r="Z383" s="48"/>
      <c r="AA383" s="325"/>
      <c r="AB383" s="325"/>
      <c r="AC383" s="325"/>
      <c r="AD383" s="325"/>
      <c r="AE383" s="276"/>
      <c r="AF383" s="341"/>
      <c r="AG383" s="341"/>
      <c r="AH383" s="341"/>
      <c r="AI383" s="341"/>
      <c r="AJ383" s="345"/>
      <c r="AK383" s="341"/>
      <c r="AL383" s="341"/>
      <c r="AM383" s="341"/>
      <c r="AN383" s="341"/>
      <c r="AO383" s="345"/>
      <c r="AP383" s="341"/>
      <c r="AQ383" s="341"/>
      <c r="AR383" s="341"/>
      <c r="AS383" s="341"/>
      <c r="AT383" s="345"/>
      <c r="AU383" s="341"/>
      <c r="AV383" s="341"/>
      <c r="AW383" s="341"/>
      <c r="AX383" s="341"/>
      <c r="AY383" s="345"/>
      <c r="AZ383" s="341">
        <f t="shared" si="613"/>
        <v>-2.0408163265306256E-2</v>
      </c>
      <c r="BA383" s="341">
        <f t="shared" si="613"/>
        <v>6.3829787234042534E-2</v>
      </c>
      <c r="BB383" s="341">
        <f t="shared" si="613"/>
        <v>6.25E-2</v>
      </c>
      <c r="BC383" s="341">
        <f t="shared" si="613"/>
        <v>-1</v>
      </c>
      <c r="BD383" s="345">
        <f t="shared" si="613"/>
        <v>-0.23589743589743584</v>
      </c>
      <c r="BE383" s="341">
        <f t="shared" si="613"/>
        <v>-1</v>
      </c>
      <c r="BF383" s="341">
        <f t="shared" si="613"/>
        <v>-1</v>
      </c>
      <c r="BG383" s="341">
        <f t="shared" si="613"/>
        <v>-1</v>
      </c>
      <c r="BH383" s="341" t="str">
        <f t="shared" si="613"/>
        <v>NM</v>
      </c>
      <c r="BI383" s="345">
        <f t="shared" si="613"/>
        <v>-1</v>
      </c>
      <c r="BJ383" s="342" t="str">
        <f t="shared" si="614"/>
        <v>NM</v>
      </c>
      <c r="BK383" s="342" t="str">
        <f t="shared" si="614"/>
        <v>NM</v>
      </c>
      <c r="BL383" s="342" t="str">
        <f t="shared" si="614"/>
        <v>NM</v>
      </c>
      <c r="BM383" s="342" t="str">
        <f t="shared" si="614"/>
        <v>NM</v>
      </c>
      <c r="BN383" s="345" t="str">
        <f t="shared" si="614"/>
        <v>NM</v>
      </c>
      <c r="BO383" s="1103" t="str">
        <f t="shared" si="614"/>
        <v>NM</v>
      </c>
      <c r="BP383" s="1103" t="str">
        <f t="shared" si="614"/>
        <v>NM</v>
      </c>
      <c r="BQ383" s="1103" t="str">
        <f t="shared" si="614"/>
        <v>NM</v>
      </c>
      <c r="BR383" s="1103" t="str">
        <f t="shared" si="614"/>
        <v>NM</v>
      </c>
      <c r="BS383" s="345" t="str">
        <f t="shared" si="614"/>
        <v>NM</v>
      </c>
      <c r="BT383" s="342"/>
      <c r="BU383" s="342"/>
      <c r="BV383" s="342"/>
      <c r="BW383" s="342"/>
      <c r="BX383" s="345" t="str">
        <f t="shared" si="570"/>
        <v>NM</v>
      </c>
      <c r="BY383" s="342"/>
      <c r="BZ383" s="1103" t="str">
        <f t="shared" si="615"/>
        <v>NM</v>
      </c>
      <c r="CA383" s="1103" t="str">
        <f t="shared" si="616"/>
        <v>NM</v>
      </c>
      <c r="CB383" s="1103" t="str">
        <f t="shared" si="617"/>
        <v>NM</v>
      </c>
      <c r="CC383" s="345" t="str">
        <f t="shared" si="617"/>
        <v>NM</v>
      </c>
      <c r="CD383" s="345" t="str">
        <f t="shared" si="618"/>
        <v>NM</v>
      </c>
      <c r="CE383" s="345" t="str">
        <f t="shared" si="618"/>
        <v>NM</v>
      </c>
      <c r="CF383" s="345" t="str">
        <f t="shared" si="618"/>
        <v>NM</v>
      </c>
      <c r="CG383" s="345" t="str">
        <f t="shared" si="618"/>
        <v>NM</v>
      </c>
      <c r="CH383" s="345" t="str">
        <f t="shared" si="618"/>
        <v>NM</v>
      </c>
    </row>
    <row r="384" spans="1:86" hidden="1">
      <c r="A384" s="9"/>
      <c r="B384" s="9"/>
      <c r="C384" s="9"/>
      <c r="D384" s="9"/>
      <c r="E384" s="9"/>
      <c r="F384" s="9"/>
      <c r="G384" s="9"/>
      <c r="H384" s="939" t="s">
        <v>1178</v>
      </c>
      <c r="I384" s="957"/>
      <c r="L384" s="325"/>
      <c r="M384" s="325"/>
      <c r="N384" s="325"/>
      <c r="O384" s="325"/>
      <c r="P384" s="48"/>
      <c r="Q384" s="325"/>
      <c r="R384" s="325"/>
      <c r="S384" s="325"/>
      <c r="T384" s="325"/>
      <c r="U384" s="48"/>
      <c r="V384" s="341"/>
      <c r="W384" s="341"/>
      <c r="X384" s="341"/>
      <c r="Y384" s="341"/>
      <c r="Z384" s="48"/>
      <c r="AA384" s="325"/>
      <c r="AB384" s="325"/>
      <c r="AC384" s="325"/>
      <c r="AD384" s="325"/>
      <c r="AE384" s="276"/>
      <c r="AF384" s="341"/>
      <c r="AG384" s="341"/>
      <c r="AH384" s="341"/>
      <c r="AI384" s="341"/>
      <c r="AJ384" s="345"/>
      <c r="AK384" s="341"/>
      <c r="AL384" s="341"/>
      <c r="AM384" s="341"/>
      <c r="AN384" s="341"/>
      <c r="AO384" s="345"/>
      <c r="AP384" s="341"/>
      <c r="AQ384" s="341"/>
      <c r="AR384" s="341"/>
      <c r="AS384" s="341"/>
      <c r="AT384" s="345"/>
      <c r="AU384" s="341"/>
      <c r="AV384" s="341"/>
      <c r="AW384" s="341"/>
      <c r="AX384" s="341"/>
      <c r="AY384" s="345"/>
      <c r="AZ384" s="341">
        <f t="shared" si="613"/>
        <v>0.67272727272727262</v>
      </c>
      <c r="BA384" s="341">
        <f t="shared" si="613"/>
        <v>0.2592592592592593</v>
      </c>
      <c r="BB384" s="341">
        <f t="shared" si="613"/>
        <v>0.26136363636363624</v>
      </c>
      <c r="BC384" s="341">
        <f t="shared" si="613"/>
        <v>-1</v>
      </c>
      <c r="BD384" s="345">
        <f t="shared" si="613"/>
        <v>1.6666666666666607E-2</v>
      </c>
      <c r="BE384" s="341">
        <f t="shared" si="613"/>
        <v>-1</v>
      </c>
      <c r="BF384" s="341">
        <f t="shared" si="613"/>
        <v>-1</v>
      </c>
      <c r="BG384" s="341">
        <f t="shared" si="613"/>
        <v>-1</v>
      </c>
      <c r="BH384" s="341" t="str">
        <f t="shared" si="613"/>
        <v>NM</v>
      </c>
      <c r="BI384" s="345">
        <f t="shared" si="613"/>
        <v>-1</v>
      </c>
      <c r="BJ384" s="342" t="str">
        <f t="shared" si="614"/>
        <v>NM</v>
      </c>
      <c r="BK384" s="342" t="str">
        <f t="shared" si="614"/>
        <v>NM</v>
      </c>
      <c r="BL384" s="342" t="str">
        <f t="shared" si="614"/>
        <v>NM</v>
      </c>
      <c r="BM384" s="342" t="str">
        <f t="shared" si="614"/>
        <v>NM</v>
      </c>
      <c r="BN384" s="345" t="str">
        <f t="shared" si="614"/>
        <v>NM</v>
      </c>
      <c r="BO384" s="1103" t="str">
        <f t="shared" si="614"/>
        <v>NM</v>
      </c>
      <c r="BP384" s="1103" t="str">
        <f t="shared" si="614"/>
        <v>NM</v>
      </c>
      <c r="BQ384" s="1103" t="str">
        <f t="shared" si="614"/>
        <v>NM</v>
      </c>
      <c r="BR384" s="1103" t="str">
        <f t="shared" si="614"/>
        <v>NM</v>
      </c>
      <c r="BS384" s="345" t="str">
        <f t="shared" si="614"/>
        <v>NM</v>
      </c>
      <c r="BT384" s="342"/>
      <c r="BU384" s="342"/>
      <c r="BV384" s="342"/>
      <c r="BW384" s="342"/>
      <c r="BX384" s="345" t="str">
        <f t="shared" si="570"/>
        <v>NM</v>
      </c>
      <c r="BY384" s="342"/>
      <c r="BZ384" s="1103" t="str">
        <f t="shared" si="615"/>
        <v>NM</v>
      </c>
      <c r="CA384" s="1103" t="str">
        <f t="shared" si="616"/>
        <v>NM</v>
      </c>
      <c r="CB384" s="1103" t="str">
        <f t="shared" si="617"/>
        <v>NM</v>
      </c>
      <c r="CC384" s="345" t="str">
        <f t="shared" si="617"/>
        <v>NM</v>
      </c>
      <c r="CD384" s="345" t="str">
        <f t="shared" si="618"/>
        <v>NM</v>
      </c>
      <c r="CE384" s="345" t="str">
        <f t="shared" si="618"/>
        <v>NM</v>
      </c>
      <c r="CF384" s="345" t="str">
        <f t="shared" si="618"/>
        <v>NM</v>
      </c>
      <c r="CG384" s="345" t="str">
        <f t="shared" si="618"/>
        <v>NM</v>
      </c>
      <c r="CH384" s="345" t="str">
        <f t="shared" si="618"/>
        <v>NM</v>
      </c>
    </row>
    <row r="385" spans="1:86" hidden="1">
      <c r="A385" s="9"/>
      <c r="B385" s="9"/>
      <c r="C385" s="9"/>
      <c r="D385" s="9"/>
      <c r="E385" s="9"/>
      <c r="F385" s="9"/>
      <c r="G385" s="9"/>
      <c r="H385" s="977" t="s">
        <v>636</v>
      </c>
      <c r="I385" s="957"/>
      <c r="L385" s="325"/>
      <c r="M385" s="325"/>
      <c r="N385" s="325"/>
      <c r="O385" s="325"/>
      <c r="P385" s="48"/>
      <c r="Q385" s="325"/>
      <c r="R385" s="325"/>
      <c r="S385" s="325"/>
      <c r="T385" s="325"/>
      <c r="U385" s="48"/>
      <c r="V385" s="341"/>
      <c r="W385" s="341"/>
      <c r="X385" s="341"/>
      <c r="Y385" s="341"/>
      <c r="Z385" s="48"/>
      <c r="AA385" s="325"/>
      <c r="AB385" s="325"/>
      <c r="AC385" s="325"/>
      <c r="AD385" s="325"/>
      <c r="AE385" s="276"/>
      <c r="AF385" s="341"/>
      <c r="AG385" s="341"/>
      <c r="AH385" s="341"/>
      <c r="AI385" s="341"/>
      <c r="AJ385" s="345"/>
      <c r="AK385" s="341"/>
      <c r="AL385" s="341"/>
      <c r="AM385" s="341"/>
      <c r="AN385" s="341"/>
      <c r="AO385" s="345"/>
      <c r="AP385" s="341"/>
      <c r="AQ385" s="341"/>
      <c r="AR385" s="341"/>
      <c r="AS385" s="341"/>
      <c r="AT385" s="345"/>
      <c r="AU385" s="341"/>
      <c r="AV385" s="341"/>
      <c r="AW385" s="341"/>
      <c r="AX385" s="341"/>
      <c r="AY385" s="345"/>
      <c r="AZ385" s="354" t="str">
        <f t="shared" si="613"/>
        <v>NM</v>
      </c>
      <c r="BA385" s="354" t="str">
        <f t="shared" si="613"/>
        <v>NM</v>
      </c>
      <c r="BB385" s="354" t="str">
        <f t="shared" si="613"/>
        <v>NM</v>
      </c>
      <c r="BC385" s="354" t="str">
        <f t="shared" si="613"/>
        <v>NM</v>
      </c>
      <c r="BD385" s="353" t="str">
        <f t="shared" si="613"/>
        <v>NM</v>
      </c>
      <c r="BE385" s="354">
        <f t="shared" si="613"/>
        <v>0</v>
      </c>
      <c r="BF385" s="354" t="str">
        <f t="shared" si="613"/>
        <v>NM</v>
      </c>
      <c r="BG385" s="354" t="str">
        <f t="shared" si="613"/>
        <v>NM</v>
      </c>
      <c r="BH385" s="354" t="str">
        <f t="shared" si="613"/>
        <v>NM</v>
      </c>
      <c r="BI385" s="353">
        <f t="shared" si="613"/>
        <v>14</v>
      </c>
      <c r="BJ385" s="354">
        <f t="shared" si="614"/>
        <v>28</v>
      </c>
      <c r="BK385" s="354">
        <f t="shared" si="614"/>
        <v>27</v>
      </c>
      <c r="BL385" s="354">
        <f t="shared" si="614"/>
        <v>26</v>
      </c>
      <c r="BM385" s="354">
        <f t="shared" si="614"/>
        <v>25</v>
      </c>
      <c r="BN385" s="353">
        <f t="shared" si="614"/>
        <v>25.733333333333334</v>
      </c>
      <c r="BO385" s="1115">
        <f t="shared" si="614"/>
        <v>-1</v>
      </c>
      <c r="BP385" s="1115">
        <f t="shared" si="614"/>
        <v>-1</v>
      </c>
      <c r="BQ385" s="1115">
        <f t="shared" si="614"/>
        <v>-1</v>
      </c>
      <c r="BR385" s="1115">
        <f t="shared" si="614"/>
        <v>-1</v>
      </c>
      <c r="BS385" s="353">
        <f t="shared" si="614"/>
        <v>-1</v>
      </c>
      <c r="BT385" s="354"/>
      <c r="BU385" s="354"/>
      <c r="BV385" s="354"/>
      <c r="BW385" s="354"/>
      <c r="BX385" s="353" t="str">
        <f t="shared" si="570"/>
        <v>NM</v>
      </c>
      <c r="BY385" s="354"/>
      <c r="BZ385" s="1115" t="str">
        <f t="shared" si="615"/>
        <v>NM</v>
      </c>
      <c r="CA385" s="1115" t="str">
        <f t="shared" si="616"/>
        <v>NM</v>
      </c>
      <c r="CB385" s="1115" t="str">
        <f t="shared" si="617"/>
        <v>NM</v>
      </c>
      <c r="CC385" s="353" t="str">
        <f t="shared" si="617"/>
        <v>NM</v>
      </c>
      <c r="CD385" s="353" t="str">
        <f t="shared" si="618"/>
        <v>NM</v>
      </c>
      <c r="CE385" s="353" t="str">
        <f t="shared" si="618"/>
        <v>NM</v>
      </c>
      <c r="CF385" s="353" t="str">
        <f t="shared" si="618"/>
        <v>NM</v>
      </c>
      <c r="CG385" s="353" t="str">
        <f t="shared" si="618"/>
        <v>NM</v>
      </c>
      <c r="CH385" s="353" t="str">
        <f t="shared" si="618"/>
        <v>NM</v>
      </c>
    </row>
    <row r="386" spans="1:86" hidden="1">
      <c r="A386" s="9"/>
      <c r="B386" s="9"/>
      <c r="C386" s="9"/>
      <c r="D386" s="9"/>
      <c r="E386" s="9"/>
      <c r="F386" s="9"/>
      <c r="G386" s="9"/>
      <c r="H386" s="939" t="s">
        <v>1165</v>
      </c>
      <c r="I386" s="957"/>
      <c r="L386" s="325"/>
      <c r="M386" s="325"/>
      <c r="N386" s="325"/>
      <c r="O386" s="325"/>
      <c r="P386" s="48"/>
      <c r="Q386" s="325"/>
      <c r="R386" s="325"/>
      <c r="S386" s="325"/>
      <c r="T386" s="325"/>
      <c r="U386" s="48"/>
      <c r="V386" s="341"/>
      <c r="W386" s="341"/>
      <c r="X386" s="341"/>
      <c r="Y386" s="341"/>
      <c r="Z386" s="48"/>
      <c r="AA386" s="325"/>
      <c r="AB386" s="325"/>
      <c r="AC386" s="325"/>
      <c r="AD386" s="325"/>
      <c r="AE386" s="276"/>
      <c r="AF386" s="341"/>
      <c r="AG386" s="341"/>
      <c r="AH386" s="341"/>
      <c r="AI386" s="341"/>
      <c r="AJ386" s="345"/>
      <c r="AK386" s="341"/>
      <c r="AL386" s="341"/>
      <c r="AM386" s="341"/>
      <c r="AN386" s="341"/>
      <c r="AO386" s="345"/>
      <c r="AP386" s="341"/>
      <c r="AQ386" s="341"/>
      <c r="AR386" s="341"/>
      <c r="AS386" s="341"/>
      <c r="AT386" s="345"/>
      <c r="AU386" s="341"/>
      <c r="AV386" s="341"/>
      <c r="AW386" s="341"/>
      <c r="AX386" s="341"/>
      <c r="AY386" s="345"/>
      <c r="AZ386" s="341" t="str">
        <f t="shared" si="613"/>
        <v>NM</v>
      </c>
      <c r="BA386" s="341" t="str">
        <f t="shared" si="613"/>
        <v>NM</v>
      </c>
      <c r="BB386" s="341" t="str">
        <f t="shared" si="613"/>
        <v>NM</v>
      </c>
      <c r="BC386" s="341" t="str">
        <f t="shared" si="613"/>
        <v>NM</v>
      </c>
      <c r="BD386" s="345" t="str">
        <f t="shared" si="613"/>
        <v>NM</v>
      </c>
      <c r="BE386" s="341" t="str">
        <f t="shared" si="613"/>
        <v>NM</v>
      </c>
      <c r="BF386" s="341" t="str">
        <f t="shared" si="613"/>
        <v>NM</v>
      </c>
      <c r="BG386" s="341" t="str">
        <f t="shared" si="613"/>
        <v>NM</v>
      </c>
      <c r="BH386" s="341" t="str">
        <f t="shared" si="613"/>
        <v>NM</v>
      </c>
      <c r="BI386" s="345" t="str">
        <f t="shared" si="613"/>
        <v>NM</v>
      </c>
      <c r="BJ386" s="342" t="str">
        <f t="shared" si="614"/>
        <v>NM</v>
      </c>
      <c r="BK386" s="342" t="str">
        <f t="shared" si="614"/>
        <v>NM</v>
      </c>
      <c r="BL386" s="342" t="str">
        <f t="shared" si="614"/>
        <v>NM</v>
      </c>
      <c r="BM386" s="342" t="str">
        <f t="shared" si="614"/>
        <v>NM</v>
      </c>
      <c r="BN386" s="345" t="str">
        <f t="shared" si="614"/>
        <v>NM</v>
      </c>
      <c r="BO386" s="1103" t="str">
        <f t="shared" si="614"/>
        <v>NM</v>
      </c>
      <c r="BP386" s="1103" t="str">
        <f t="shared" si="614"/>
        <v>NM</v>
      </c>
      <c r="BQ386" s="1103" t="str">
        <f t="shared" si="614"/>
        <v>NM</v>
      </c>
      <c r="BR386" s="1103" t="str">
        <f t="shared" si="614"/>
        <v>NM</v>
      </c>
      <c r="BS386" s="345" t="str">
        <f t="shared" si="614"/>
        <v>NM</v>
      </c>
      <c r="BT386" s="342"/>
      <c r="BU386" s="342"/>
      <c r="BV386" s="342"/>
      <c r="BW386" s="342"/>
      <c r="BX386" s="345" t="str">
        <f t="shared" si="570"/>
        <v>NM</v>
      </c>
      <c r="BY386" s="342"/>
      <c r="BZ386" s="1103" t="str">
        <f t="shared" si="615"/>
        <v>NM</v>
      </c>
      <c r="CA386" s="1103" t="str">
        <f t="shared" si="616"/>
        <v>NM</v>
      </c>
      <c r="CB386" s="1103" t="str">
        <f t="shared" si="617"/>
        <v>NM</v>
      </c>
      <c r="CC386" s="345" t="str">
        <f t="shared" si="617"/>
        <v>NM</v>
      </c>
      <c r="CD386" s="345" t="str">
        <f t="shared" si="618"/>
        <v>NM</v>
      </c>
      <c r="CE386" s="345" t="str">
        <f t="shared" si="618"/>
        <v>NM</v>
      </c>
      <c r="CF386" s="345" t="str">
        <f t="shared" si="618"/>
        <v>NM</v>
      </c>
      <c r="CG386" s="345" t="str">
        <f t="shared" si="618"/>
        <v>NM</v>
      </c>
      <c r="CH386" s="345" t="str">
        <f t="shared" si="618"/>
        <v>NM</v>
      </c>
    </row>
    <row r="387" spans="1:86" hidden="1">
      <c r="A387" s="9"/>
      <c r="B387" s="9"/>
      <c r="C387" s="9"/>
      <c r="D387" s="9"/>
      <c r="E387" s="9"/>
      <c r="F387" s="9"/>
      <c r="G387" s="9"/>
      <c r="H387" s="939" t="s">
        <v>1177</v>
      </c>
      <c r="I387" s="957"/>
      <c r="L387" s="325"/>
      <c r="M387" s="325"/>
      <c r="N387" s="325"/>
      <c r="O387" s="325"/>
      <c r="P387" s="48"/>
      <c r="Q387" s="325"/>
      <c r="R387" s="325"/>
      <c r="S387" s="325"/>
      <c r="T387" s="325"/>
      <c r="U387" s="48"/>
      <c r="V387" s="341"/>
      <c r="W387" s="341"/>
      <c r="X387" s="341"/>
      <c r="Y387" s="341"/>
      <c r="Z387" s="48"/>
      <c r="AA387" s="325"/>
      <c r="AB387" s="325"/>
      <c r="AC387" s="325"/>
      <c r="AD387" s="325"/>
      <c r="AE387" s="276"/>
      <c r="AF387" s="341"/>
      <c r="AG387" s="341"/>
      <c r="AH387" s="341"/>
      <c r="AI387" s="341"/>
      <c r="AJ387" s="345"/>
      <c r="AK387" s="341"/>
      <c r="AL387" s="341"/>
      <c r="AM387" s="341"/>
      <c r="AN387" s="341"/>
      <c r="AO387" s="345"/>
      <c r="AP387" s="341"/>
      <c r="AQ387" s="341"/>
      <c r="AR387" s="341"/>
      <c r="AS387" s="341"/>
      <c r="AT387" s="345"/>
      <c r="AU387" s="341"/>
      <c r="AV387" s="341"/>
      <c r="AW387" s="341"/>
      <c r="AX387" s="341"/>
      <c r="AY387" s="345"/>
      <c r="AZ387" s="341" t="str">
        <f t="shared" si="613"/>
        <v>NM</v>
      </c>
      <c r="BA387" s="341" t="str">
        <f t="shared" si="613"/>
        <v>NM</v>
      </c>
      <c r="BB387" s="341" t="str">
        <f t="shared" si="613"/>
        <v>NM</v>
      </c>
      <c r="BC387" s="341" t="str">
        <f t="shared" si="613"/>
        <v>NM</v>
      </c>
      <c r="BD387" s="345" t="str">
        <f t="shared" si="613"/>
        <v>NM</v>
      </c>
      <c r="BE387" s="341">
        <f t="shared" si="613"/>
        <v>0</v>
      </c>
      <c r="BF387" s="341" t="str">
        <f t="shared" si="613"/>
        <v>NM</v>
      </c>
      <c r="BG387" s="341" t="str">
        <f t="shared" si="613"/>
        <v>NM</v>
      </c>
      <c r="BH387" s="341" t="str">
        <f t="shared" si="613"/>
        <v>NM</v>
      </c>
      <c r="BI387" s="345">
        <f t="shared" si="613"/>
        <v>14</v>
      </c>
      <c r="BJ387" s="342">
        <f t="shared" si="614"/>
        <v>28</v>
      </c>
      <c r="BK387" s="342">
        <f t="shared" si="614"/>
        <v>27</v>
      </c>
      <c r="BL387" s="342">
        <f t="shared" si="614"/>
        <v>26</v>
      </c>
      <c r="BM387" s="342">
        <f t="shared" si="614"/>
        <v>25</v>
      </c>
      <c r="BN387" s="345">
        <f t="shared" si="614"/>
        <v>25.733333333333334</v>
      </c>
      <c r="BO387" s="1103">
        <f t="shared" si="614"/>
        <v>-1</v>
      </c>
      <c r="BP387" s="1103">
        <f t="shared" si="614"/>
        <v>-1</v>
      </c>
      <c r="BQ387" s="1103">
        <f t="shared" si="614"/>
        <v>-1</v>
      </c>
      <c r="BR387" s="1103">
        <f t="shared" si="614"/>
        <v>-1</v>
      </c>
      <c r="BS387" s="345">
        <f t="shared" si="614"/>
        <v>-1</v>
      </c>
      <c r="BT387" s="342"/>
      <c r="BU387" s="342"/>
      <c r="BV387" s="342"/>
      <c r="BW387" s="342"/>
      <c r="BX387" s="345" t="str">
        <f t="shared" si="570"/>
        <v>NM</v>
      </c>
      <c r="BY387" s="342"/>
      <c r="BZ387" s="1103" t="str">
        <f t="shared" si="615"/>
        <v>NM</v>
      </c>
      <c r="CA387" s="1103" t="str">
        <f t="shared" si="616"/>
        <v>NM</v>
      </c>
      <c r="CB387" s="1103" t="str">
        <f t="shared" si="617"/>
        <v>NM</v>
      </c>
      <c r="CC387" s="345" t="str">
        <f t="shared" si="617"/>
        <v>NM</v>
      </c>
      <c r="CD387" s="345" t="str">
        <f t="shared" si="618"/>
        <v>NM</v>
      </c>
      <c r="CE387" s="345" t="str">
        <f t="shared" si="618"/>
        <v>NM</v>
      </c>
      <c r="CF387" s="345" t="str">
        <f t="shared" si="618"/>
        <v>NM</v>
      </c>
      <c r="CG387" s="345" t="str">
        <f t="shared" si="618"/>
        <v>NM</v>
      </c>
      <c r="CH387" s="345" t="str">
        <f t="shared" si="618"/>
        <v>NM</v>
      </c>
    </row>
    <row r="388" spans="1:86" hidden="1">
      <c r="A388" s="9"/>
      <c r="B388" s="9"/>
      <c r="C388" s="9"/>
      <c r="D388" s="9"/>
      <c r="E388" s="9"/>
      <c r="F388" s="9"/>
      <c r="G388" s="9"/>
      <c r="H388" s="304" t="s">
        <v>254</v>
      </c>
      <c r="I388" s="304"/>
      <c r="L388" s="328">
        <v>0.22176591375770038</v>
      </c>
      <c r="M388" s="328">
        <v>0.18969072164948453</v>
      </c>
      <c r="N388" s="328">
        <v>-7.7079107505070965E-2</v>
      </c>
      <c r="O388" s="328">
        <v>-6.3291139240506333E-2</v>
      </c>
      <c r="P388" s="330">
        <v>6.2933597621407378E-2</v>
      </c>
      <c r="Q388" s="328">
        <f t="shared" ref="Q388:T390" si="619">Q158/L158-1</f>
        <v>-0.1546218487394958</v>
      </c>
      <c r="R388" s="328">
        <f t="shared" si="619"/>
        <v>-0.16117850953206236</v>
      </c>
      <c r="S388" s="328">
        <f t="shared" si="619"/>
        <v>-7.4725274725274904E-2</v>
      </c>
      <c r="T388" s="328">
        <f t="shared" si="619"/>
        <v>-9.6525096525096332E-3</v>
      </c>
      <c r="U388" s="330">
        <f t="shared" ref="U388:AT388" si="620">IF(ISERROR(U158/P158-1),"NM",(U158/P158-1))</f>
        <v>-0.1044289044289044</v>
      </c>
      <c r="V388" s="328">
        <f t="shared" si="620"/>
        <v>2.1868787276341894E-2</v>
      </c>
      <c r="W388" s="328">
        <f t="shared" si="620"/>
        <v>-5.3719008264462964E-2</v>
      </c>
      <c r="X388" s="328">
        <f t="shared" si="620"/>
        <v>-3.5629453681709999E-2</v>
      </c>
      <c r="Y388" s="328">
        <f t="shared" si="620"/>
        <v>-0.12280701754385959</v>
      </c>
      <c r="Z388" s="330">
        <f t="shared" si="620"/>
        <v>-4.8412285268089494E-2</v>
      </c>
      <c r="AA388" s="328">
        <f t="shared" si="620"/>
        <v>-5.8365758754863606E-3</v>
      </c>
      <c r="AB388" s="328">
        <f t="shared" si="620"/>
        <v>-9.606986899563319E-2</v>
      </c>
      <c r="AC388" s="328">
        <f t="shared" si="620"/>
        <v>-0.15517241379310354</v>
      </c>
      <c r="AD388" s="328">
        <f t="shared" si="620"/>
        <v>-0.24444444444444446</v>
      </c>
      <c r="AE388" s="330">
        <f t="shared" si="620"/>
        <v>-0.12035010940919033</v>
      </c>
      <c r="AF388" s="328">
        <f t="shared" si="620"/>
        <v>-0.3405088062622309</v>
      </c>
      <c r="AG388" s="328">
        <f t="shared" si="620"/>
        <v>-0.336231884057971</v>
      </c>
      <c r="AH388" s="328">
        <f t="shared" si="620"/>
        <v>-0.16034985422740511</v>
      </c>
      <c r="AI388" s="328">
        <f t="shared" si="620"/>
        <v>9.4117647058823639E-2</v>
      </c>
      <c r="AJ388" s="330">
        <f t="shared" si="620"/>
        <v>-0.20907960199004971</v>
      </c>
      <c r="AK388" s="328">
        <f t="shared" si="620"/>
        <v>-4.1543026706231667E-2</v>
      </c>
      <c r="AL388" s="328">
        <f t="shared" si="620"/>
        <v>8.0058224163028768E-3</v>
      </c>
      <c r="AM388" s="328">
        <f t="shared" si="620"/>
        <v>-0.33333333333333337</v>
      </c>
      <c r="AN388" s="328">
        <f t="shared" si="620"/>
        <v>-0.33333333333333337</v>
      </c>
      <c r="AO388" s="352">
        <f t="shared" si="620"/>
        <v>-0.18226136184934738</v>
      </c>
      <c r="AP388" s="338">
        <f t="shared" si="620"/>
        <v>-0.13003095975232182</v>
      </c>
      <c r="AQ388" s="338">
        <f t="shared" si="620"/>
        <v>-8.3032490974729423E-2</v>
      </c>
      <c r="AR388" s="338">
        <f t="shared" si="620"/>
        <v>6.25E-2</v>
      </c>
      <c r="AS388" s="338">
        <f t="shared" si="620"/>
        <v>-0.76209677419354838</v>
      </c>
      <c r="AT388" s="736">
        <f t="shared" si="620"/>
        <v>-0.23269230769230753</v>
      </c>
      <c r="AU388" s="910"/>
      <c r="AV388" s="910"/>
      <c r="AW388" s="910"/>
      <c r="AX388" s="910"/>
      <c r="AY388" s="782"/>
      <c r="AZ388" s="910"/>
      <c r="BA388" s="910"/>
      <c r="BB388" s="910"/>
      <c r="BC388" s="910"/>
      <c r="BD388" s="782"/>
      <c r="BE388" s="338"/>
      <c r="BF388" s="338"/>
      <c r="BG388" s="338"/>
      <c r="BH388" s="338"/>
      <c r="BI388" s="782"/>
      <c r="BJ388" s="910"/>
      <c r="BK388" s="910"/>
      <c r="BL388" s="910"/>
      <c r="BM388" s="910"/>
      <c r="BN388" s="782"/>
      <c r="BO388" s="1112"/>
      <c r="BP388" s="1112"/>
      <c r="BQ388" s="1112"/>
      <c r="BR388" s="1112"/>
      <c r="BS388" s="782"/>
      <c r="BT388" s="910"/>
      <c r="BU388" s="910"/>
      <c r="BV388" s="910"/>
      <c r="BW388" s="910"/>
      <c r="BX388" s="782"/>
      <c r="BY388" s="910"/>
      <c r="BZ388" s="1112"/>
      <c r="CA388" s="1112"/>
      <c r="CB388" s="1112"/>
      <c r="CC388" s="782"/>
      <c r="CD388" s="782"/>
      <c r="CE388" s="782"/>
      <c r="CF388" s="782"/>
      <c r="CG388" s="782"/>
      <c r="CH388" s="782"/>
    </row>
    <row r="389" spans="1:86" hidden="1">
      <c r="A389" s="9"/>
      <c r="B389" s="9"/>
      <c r="C389" s="9"/>
      <c r="D389" s="9"/>
      <c r="E389" s="9"/>
      <c r="F389" s="9"/>
      <c r="G389" s="9"/>
      <c r="H389" s="279" t="s">
        <v>1179</v>
      </c>
      <c r="I389" s="279"/>
      <c r="L389" s="325">
        <v>7.7399380804953566E-2</v>
      </c>
      <c r="M389" s="325">
        <v>0.12881355932203387</v>
      </c>
      <c r="N389" s="325">
        <v>-0.21404682274247488</v>
      </c>
      <c r="O389" s="325">
        <v>-0.1</v>
      </c>
      <c r="P389" s="48">
        <v>-3.5685320356853123E-2</v>
      </c>
      <c r="Q389" s="336">
        <f t="shared" si="619"/>
        <v>-0.19827586206896552</v>
      </c>
      <c r="R389" s="336">
        <f t="shared" si="619"/>
        <v>-0.24624624624624614</v>
      </c>
      <c r="S389" s="336">
        <f t="shared" si="619"/>
        <v>-3.4042553191489411E-2</v>
      </c>
      <c r="T389" s="336">
        <f t="shared" si="619"/>
        <v>1.46520146520146E-2</v>
      </c>
      <c r="U389" s="48">
        <f t="shared" ref="U389:AI390" si="621">IF(ISERROR(U159/P159-1),"NM",(U159/P159-1))</f>
        <v>-0.13036164844407061</v>
      </c>
      <c r="V389" s="325">
        <f t="shared" si="621"/>
        <v>1.7921146953405076E-2</v>
      </c>
      <c r="W389" s="325">
        <f t="shared" si="621"/>
        <v>-1.5936254980079778E-2</v>
      </c>
      <c r="X389" s="325">
        <f t="shared" si="621"/>
        <v>-0.11894273127753296</v>
      </c>
      <c r="Y389" s="325">
        <f t="shared" si="621"/>
        <v>-0.19855595667870041</v>
      </c>
      <c r="Z389" s="48">
        <f t="shared" si="621"/>
        <v>-7.8336557059961343E-2</v>
      </c>
      <c r="AA389" s="325">
        <f t="shared" si="621"/>
        <v>7.7464788732394485E-2</v>
      </c>
      <c r="AB389" s="325">
        <f t="shared" si="621"/>
        <v>-0.22267206477732793</v>
      </c>
      <c r="AC389" s="325">
        <f t="shared" si="621"/>
        <v>-0.20499999999999996</v>
      </c>
      <c r="AD389" s="325">
        <f t="shared" si="621"/>
        <v>-0.17567567567567566</v>
      </c>
      <c r="AE389" s="276">
        <f t="shared" si="621"/>
        <v>-0.11857292759706184</v>
      </c>
      <c r="AF389" s="325">
        <f t="shared" si="621"/>
        <v>-0.37581699346405228</v>
      </c>
      <c r="AG389" s="325">
        <f t="shared" si="621"/>
        <v>-0.27083333333333326</v>
      </c>
      <c r="AH389" s="325">
        <f t="shared" si="621"/>
        <v>-6.2893081761006275E-2</v>
      </c>
      <c r="AI389" s="325">
        <f t="shared" si="621"/>
        <v>0.22404371584699434</v>
      </c>
      <c r="AJ389" s="276">
        <f>(AJ159/AE159)-1</f>
        <v>-0.16190476190476188</v>
      </c>
      <c r="AK389" s="325">
        <f t="shared" ref="AK389:AN390" si="622">IF(ISERROR(AK159/AF159-1),"NM",(AK159/AF159-1))</f>
        <v>4.7120418848167533E-2</v>
      </c>
      <c r="AL389" s="325">
        <f t="shared" si="622"/>
        <v>2.8571428571428692E-2</v>
      </c>
      <c r="AM389" s="325">
        <f t="shared" si="622"/>
        <v>-0.42281879194630878</v>
      </c>
      <c r="AN389" s="325">
        <f t="shared" si="622"/>
        <v>-0.3571428571428571</v>
      </c>
      <c r="AO389" s="345">
        <f>(AO159/AJ159)-1</f>
        <v>-0.18465909090909105</v>
      </c>
      <c r="AP389" s="341">
        <f t="shared" ref="AP389:AS390" si="623">IF(ISERROR(AP159/AK159-1),"NM",(AP159/AK159-1))</f>
        <v>-0.24</v>
      </c>
      <c r="AQ389" s="341">
        <f t="shared" si="623"/>
        <v>-3.472222222222221E-2</v>
      </c>
      <c r="AR389" s="341">
        <f t="shared" si="623"/>
        <v>0.19767441860465129</v>
      </c>
      <c r="AS389" s="341">
        <f t="shared" si="623"/>
        <v>-0.78472222222222221</v>
      </c>
      <c r="AT389" s="339">
        <f>(AT159/AO159)-1</f>
        <v>-0.25958188153310091</v>
      </c>
      <c r="AU389" s="912"/>
      <c r="AV389" s="912"/>
      <c r="AW389" s="912"/>
      <c r="AX389" s="912"/>
      <c r="AY389" s="773"/>
      <c r="AZ389" s="912"/>
      <c r="BA389" s="912"/>
      <c r="BB389" s="912"/>
      <c r="BC389" s="912"/>
      <c r="BD389" s="913"/>
      <c r="BE389" s="342"/>
      <c r="BF389" s="342"/>
      <c r="BG389" s="342"/>
      <c r="BH389" s="342"/>
      <c r="BI389" s="913"/>
      <c r="BJ389" s="912"/>
      <c r="BK389" s="912"/>
      <c r="BL389" s="912"/>
      <c r="BM389" s="912"/>
      <c r="BN389" s="913"/>
      <c r="BO389" s="1111"/>
      <c r="BP389" s="1111"/>
      <c r="BQ389" s="1111"/>
      <c r="BR389" s="1111"/>
      <c r="BS389" s="773"/>
      <c r="BT389" s="912"/>
      <c r="BU389" s="912"/>
      <c r="BV389" s="912"/>
      <c r="BW389" s="912"/>
      <c r="BX389" s="773"/>
      <c r="BY389" s="912"/>
      <c r="BZ389" s="1111"/>
      <c r="CA389" s="1111"/>
      <c r="CB389" s="1111"/>
      <c r="CC389" s="773"/>
      <c r="CD389" s="913"/>
      <c r="CE389" s="913"/>
      <c r="CF389" s="913"/>
      <c r="CG389" s="913"/>
      <c r="CH389" s="913"/>
    </row>
    <row r="390" spans="1:86" hidden="1">
      <c r="A390" s="9"/>
      <c r="B390" s="9"/>
      <c r="C390" s="9"/>
      <c r="D390" s="9"/>
      <c r="E390" s="9"/>
      <c r="F390" s="9"/>
      <c r="G390" s="9"/>
      <c r="H390" s="279" t="s">
        <v>232</v>
      </c>
      <c r="I390" s="279"/>
      <c r="L390" s="325">
        <v>0.50609756097560976</v>
      </c>
      <c r="M390" s="325">
        <v>0.28421052631578947</v>
      </c>
      <c r="N390" s="325">
        <v>0.13402061855670122</v>
      </c>
      <c r="O390" s="325">
        <v>0.12</v>
      </c>
      <c r="P390" s="48">
        <v>0.21783439490445855</v>
      </c>
      <c r="Q390" s="336">
        <f t="shared" si="619"/>
        <v>-9.3117408906882582E-2</v>
      </c>
      <c r="R390" s="336">
        <f t="shared" si="619"/>
        <v>-4.5081967213114638E-2</v>
      </c>
      <c r="S390" s="336">
        <f t="shared" si="619"/>
        <v>-0.11818181818181828</v>
      </c>
      <c r="T390" s="336">
        <f t="shared" si="619"/>
        <v>-3.6734693877551017E-2</v>
      </c>
      <c r="U390" s="48">
        <f t="shared" si="621"/>
        <v>-7.2175732217573341E-2</v>
      </c>
      <c r="V390" s="325">
        <f t="shared" si="621"/>
        <v>2.6785714285714413E-2</v>
      </c>
      <c r="W390" s="325">
        <f t="shared" si="621"/>
        <v>-9.4420600858369119E-2</v>
      </c>
      <c r="X390" s="325">
        <f t="shared" si="621"/>
        <v>6.1855670103093008E-2</v>
      </c>
      <c r="Y390" s="325">
        <f t="shared" si="621"/>
        <v>-3.3898305084745783E-2</v>
      </c>
      <c r="Z390" s="48">
        <f t="shared" si="621"/>
        <v>-1.3528748590755257E-2</v>
      </c>
      <c r="AA390" s="325">
        <f t="shared" si="621"/>
        <v>-0.10869565217391308</v>
      </c>
      <c r="AB390" s="325">
        <f t="shared" si="621"/>
        <v>5.2132701421800931E-2</v>
      </c>
      <c r="AC390" s="325">
        <f t="shared" si="621"/>
        <v>-0.10679611650485454</v>
      </c>
      <c r="AD390" s="325">
        <f t="shared" si="621"/>
        <v>-0.3114035087719299</v>
      </c>
      <c r="AE390" s="276">
        <f t="shared" si="621"/>
        <v>-0.12228571428571433</v>
      </c>
      <c r="AF390" s="325">
        <f t="shared" si="621"/>
        <v>-0.28780487804878052</v>
      </c>
      <c r="AG390" s="325">
        <f t="shared" si="621"/>
        <v>-0.39279279279279278</v>
      </c>
      <c r="AH390" s="325">
        <f t="shared" si="621"/>
        <v>-0.24456521739130432</v>
      </c>
      <c r="AI390" s="325">
        <f t="shared" si="621"/>
        <v>-5.7324840764331086E-2</v>
      </c>
      <c r="AJ390" s="276">
        <f>(AJ160/AE160)-1</f>
        <v>-0.26067708333333328</v>
      </c>
      <c r="AK390" s="325">
        <f t="shared" si="622"/>
        <v>-0.15753424657534243</v>
      </c>
      <c r="AL390" s="325">
        <f t="shared" si="622"/>
        <v>-1.3353115727002929E-2</v>
      </c>
      <c r="AM390" s="325">
        <f t="shared" si="622"/>
        <v>-0.23741007194244612</v>
      </c>
      <c r="AN390" s="325">
        <f t="shared" si="622"/>
        <v>-0.29729729729729726</v>
      </c>
      <c r="AO390" s="345">
        <f>(AO160/AJ160)-1</f>
        <v>-0.17928848185980983</v>
      </c>
      <c r="AP390" s="341">
        <f t="shared" si="623"/>
        <v>4.8780487804878092E-2</v>
      </c>
      <c r="AQ390" s="341">
        <f t="shared" si="623"/>
        <v>-0.13533834586466165</v>
      </c>
      <c r="AR390" s="341">
        <f t="shared" si="623"/>
        <v>-4.7169811320754707E-2</v>
      </c>
      <c r="AS390" s="341">
        <f t="shared" si="623"/>
        <v>-0.73076923076923084</v>
      </c>
      <c r="AT390" s="345">
        <f>(AT160/AO160)-1</f>
        <v>-0.19957081545064381</v>
      </c>
      <c r="AU390" s="912"/>
      <c r="AV390" s="912"/>
      <c r="AW390" s="912"/>
      <c r="AX390" s="912"/>
      <c r="AY390" s="773"/>
      <c r="AZ390" s="912"/>
      <c r="BA390" s="912"/>
      <c r="BB390" s="912"/>
      <c r="BC390" s="912"/>
      <c r="BD390" s="913"/>
      <c r="BE390" s="342"/>
      <c r="BF390" s="342"/>
      <c r="BG390" s="342"/>
      <c r="BH390" s="342"/>
      <c r="BI390" s="913"/>
      <c r="BJ390" s="912"/>
      <c r="BK390" s="912"/>
      <c r="BL390" s="912"/>
      <c r="BM390" s="912"/>
      <c r="BN390" s="913"/>
      <c r="BO390" s="1111"/>
      <c r="BP390" s="1111"/>
      <c r="BQ390" s="1111"/>
      <c r="BR390" s="1111"/>
      <c r="BS390" s="773"/>
      <c r="BT390" s="912"/>
      <c r="BU390" s="912"/>
      <c r="BV390" s="912"/>
      <c r="BW390" s="912"/>
      <c r="BX390" s="773"/>
      <c r="BY390" s="912"/>
      <c r="BZ390" s="1111"/>
      <c r="CA390" s="1111"/>
      <c r="CB390" s="1111"/>
      <c r="CC390" s="773"/>
      <c r="CD390" s="913"/>
      <c r="CE390" s="913"/>
      <c r="CF390" s="913"/>
      <c r="CG390" s="913"/>
      <c r="CH390" s="913"/>
    </row>
    <row r="391" spans="1:86" hidden="1">
      <c r="A391" s="9"/>
      <c r="B391" s="9"/>
      <c r="C391" s="9"/>
      <c r="D391" s="9"/>
      <c r="E391" s="9"/>
      <c r="F391" s="9"/>
      <c r="G391" s="9"/>
      <c r="H391" s="304" t="s">
        <v>604</v>
      </c>
      <c r="I391" s="304"/>
      <c r="L391" s="328">
        <v>1.1931818181818179</v>
      </c>
      <c r="M391" s="328">
        <v>-5.1546391752577359E-2</v>
      </c>
      <c r="N391" s="328">
        <v>0.10294117647058831</v>
      </c>
      <c r="O391" s="328">
        <v>0.96385542168674698</v>
      </c>
      <c r="P391" s="330">
        <v>0.55654761904761885</v>
      </c>
      <c r="Q391" s="328"/>
      <c r="R391" s="328"/>
      <c r="S391" s="328"/>
      <c r="T391" s="328"/>
      <c r="U391" s="330"/>
      <c r="V391" s="328"/>
      <c r="W391" s="328"/>
      <c r="X391" s="328"/>
      <c r="Y391" s="328"/>
      <c r="Z391" s="330"/>
      <c r="AA391" s="328"/>
      <c r="AB391" s="328"/>
      <c r="AC391" s="328"/>
      <c r="AD391" s="328"/>
      <c r="AE391" s="330"/>
      <c r="AF391" s="328"/>
      <c r="AG391" s="328"/>
      <c r="AH391" s="328"/>
      <c r="AI391" s="328"/>
      <c r="AJ391" s="330"/>
      <c r="AK391" s="328"/>
      <c r="AL391" s="328"/>
      <c r="AM391" s="328"/>
      <c r="AN391" s="328"/>
      <c r="AO391" s="782"/>
      <c r="AP391" s="338"/>
      <c r="AQ391" s="338"/>
      <c r="AR391" s="338"/>
      <c r="AS391" s="338"/>
      <c r="AT391" s="782"/>
      <c r="AU391" s="338"/>
      <c r="AV391" s="338"/>
      <c r="AW391" s="338"/>
      <c r="AX391" s="338"/>
      <c r="AY391" s="782"/>
      <c r="AZ391" s="910"/>
      <c r="BA391" s="910"/>
      <c r="BB391" s="910"/>
      <c r="BC391" s="910"/>
      <c r="BD391" s="782"/>
      <c r="BE391" s="338"/>
      <c r="BF391" s="338"/>
      <c r="BG391" s="338"/>
      <c r="BH391" s="338"/>
      <c r="BI391" s="782"/>
      <c r="BJ391" s="910"/>
      <c r="BK391" s="910"/>
      <c r="BL391" s="910"/>
      <c r="BM391" s="910"/>
      <c r="BN391" s="782"/>
      <c r="BO391" s="1112"/>
      <c r="BP391" s="1112"/>
      <c r="BQ391" s="1112"/>
      <c r="BR391" s="1112"/>
      <c r="BS391" s="782"/>
      <c r="BT391" s="910"/>
      <c r="BU391" s="910"/>
      <c r="BV391" s="910"/>
      <c r="BW391" s="910"/>
      <c r="BX391" s="782"/>
      <c r="BY391" s="910"/>
      <c r="BZ391" s="1112"/>
      <c r="CA391" s="1112"/>
      <c r="CB391" s="1112"/>
      <c r="CC391" s="782"/>
      <c r="CD391" s="782"/>
      <c r="CE391" s="782"/>
      <c r="CF391" s="782"/>
      <c r="CG391" s="782"/>
      <c r="CH391" s="782"/>
    </row>
    <row r="392" spans="1:86" hidden="1">
      <c r="A392" s="9"/>
      <c r="B392" s="9"/>
      <c r="C392" s="9"/>
      <c r="D392" s="9"/>
      <c r="E392" s="9"/>
      <c r="F392" s="9"/>
      <c r="G392" s="9"/>
      <c r="H392" s="305" t="s">
        <v>81</v>
      </c>
      <c r="I392" s="305"/>
      <c r="L392" s="331"/>
      <c r="M392" s="331"/>
      <c r="N392" s="331"/>
      <c r="O392" s="331"/>
      <c r="P392" s="337"/>
      <c r="Q392" s="331"/>
      <c r="R392" s="331"/>
      <c r="S392" s="331"/>
      <c r="T392" s="331"/>
      <c r="U392" s="48"/>
      <c r="V392" s="331"/>
      <c r="W392" s="331"/>
      <c r="X392" s="331"/>
      <c r="Y392" s="331"/>
      <c r="Z392" s="48"/>
      <c r="AA392" s="331"/>
      <c r="AB392" s="331"/>
      <c r="AC392" s="331"/>
      <c r="AD392" s="331"/>
      <c r="AE392" s="337"/>
      <c r="AF392" s="331"/>
      <c r="AG392" s="331"/>
      <c r="AH392" s="331"/>
      <c r="AI392" s="331"/>
      <c r="AJ392" s="337"/>
      <c r="AK392" s="331"/>
      <c r="AL392" s="331"/>
      <c r="AM392" s="331"/>
      <c r="AN392" s="331"/>
      <c r="AO392" s="773"/>
      <c r="AP392" s="342"/>
      <c r="AQ392" s="342"/>
      <c r="AR392" s="342"/>
      <c r="AS392" s="342"/>
      <c r="AT392" s="773"/>
      <c r="AU392" s="342"/>
      <c r="AV392" s="342"/>
      <c r="AW392" s="342"/>
      <c r="AX392" s="342"/>
      <c r="AY392" s="773"/>
      <c r="AZ392" s="912"/>
      <c r="BA392" s="912"/>
      <c r="BB392" s="912"/>
      <c r="BC392" s="912"/>
      <c r="BD392" s="913"/>
      <c r="BE392" s="342"/>
      <c r="BF392" s="342"/>
      <c r="BG392" s="342"/>
      <c r="BH392" s="342"/>
      <c r="BI392" s="913"/>
      <c r="BJ392" s="912"/>
      <c r="BK392" s="912"/>
      <c r="BL392" s="912"/>
      <c r="BM392" s="912"/>
      <c r="BN392" s="913"/>
      <c r="BO392" s="1111"/>
      <c r="BP392" s="1111"/>
      <c r="BQ392" s="1111"/>
      <c r="BR392" s="1111"/>
      <c r="BS392" s="773"/>
      <c r="BT392" s="912"/>
      <c r="BU392" s="912"/>
      <c r="BV392" s="912"/>
      <c r="BW392" s="912"/>
      <c r="BX392" s="773"/>
      <c r="BY392" s="912"/>
      <c r="BZ392" s="1111"/>
      <c r="CA392" s="1111"/>
      <c r="CB392" s="1111"/>
      <c r="CC392" s="773"/>
      <c r="CD392" s="913"/>
      <c r="CE392" s="913"/>
      <c r="CF392" s="913"/>
      <c r="CG392" s="913"/>
      <c r="CH392" s="913"/>
    </row>
    <row r="393" spans="1:86" hidden="1">
      <c r="A393" s="9"/>
      <c r="B393" s="9"/>
      <c r="C393" s="9"/>
      <c r="D393" s="9"/>
      <c r="E393" s="9"/>
      <c r="F393" s="9"/>
      <c r="G393" s="9"/>
      <c r="H393" s="305" t="s">
        <v>501</v>
      </c>
      <c r="I393" s="305"/>
      <c r="L393" s="325">
        <v>1.1931818181818179</v>
      </c>
      <c r="M393" s="325">
        <v>-5.1546391752577359E-2</v>
      </c>
      <c r="N393" s="325">
        <v>0.10294117647058831</v>
      </c>
      <c r="O393" s="325">
        <v>0</v>
      </c>
      <c r="P393" s="48">
        <v>0.55654761904761885</v>
      </c>
      <c r="Q393" s="336"/>
      <c r="R393" s="331"/>
      <c r="S393" s="331"/>
      <c r="T393" s="331"/>
      <c r="U393" s="48"/>
      <c r="V393" s="336"/>
      <c r="W393" s="336"/>
      <c r="X393" s="336"/>
      <c r="Y393" s="331"/>
      <c r="Z393" s="48"/>
      <c r="AA393" s="336"/>
      <c r="AB393" s="336"/>
      <c r="AC393" s="336"/>
      <c r="AD393" s="331"/>
      <c r="AE393" s="337"/>
      <c r="AF393" s="331"/>
      <c r="AG393" s="331"/>
      <c r="AH393" s="336"/>
      <c r="AI393" s="336"/>
      <c r="AJ393" s="337"/>
      <c r="AK393" s="336"/>
      <c r="AL393" s="336"/>
      <c r="AM393" s="336"/>
      <c r="AN393" s="336"/>
      <c r="AO393" s="773"/>
      <c r="AP393" s="342"/>
      <c r="AQ393" s="342"/>
      <c r="AR393" s="342"/>
      <c r="AS393" s="342"/>
      <c r="AT393" s="773"/>
      <c r="AU393" s="342"/>
      <c r="AV393" s="342"/>
      <c r="AW393" s="342"/>
      <c r="AX393" s="342"/>
      <c r="AY393" s="773"/>
      <c r="AZ393" s="912"/>
      <c r="BA393" s="912"/>
      <c r="BB393" s="912"/>
      <c r="BC393" s="912"/>
      <c r="BD393" s="913"/>
      <c r="BE393" s="342"/>
      <c r="BF393" s="342"/>
      <c r="BG393" s="342"/>
      <c r="BH393" s="342"/>
      <c r="BI393" s="913"/>
      <c r="BJ393" s="912"/>
      <c r="BK393" s="912"/>
      <c r="BL393" s="912"/>
      <c r="BM393" s="912"/>
      <c r="BN393" s="913"/>
      <c r="BO393" s="1111"/>
      <c r="BP393" s="1111"/>
      <c r="BQ393" s="1111"/>
      <c r="BR393" s="1111"/>
      <c r="BS393" s="773"/>
      <c r="BT393" s="912"/>
      <c r="BU393" s="912"/>
      <c r="BV393" s="912"/>
      <c r="BW393" s="912"/>
      <c r="BX393" s="773"/>
      <c r="BY393" s="912"/>
      <c r="BZ393" s="1111"/>
      <c r="CA393" s="1111"/>
      <c r="CB393" s="1111"/>
      <c r="CC393" s="773"/>
      <c r="CD393" s="913"/>
      <c r="CE393" s="913"/>
      <c r="CF393" s="913"/>
      <c r="CG393" s="913"/>
      <c r="CH393" s="913"/>
    </row>
    <row r="394" spans="1:86" hidden="1">
      <c r="A394" s="9"/>
      <c r="B394" s="9"/>
      <c r="C394" s="9"/>
      <c r="D394" s="9"/>
      <c r="E394" s="9"/>
      <c r="F394" s="9"/>
      <c r="G394" s="9"/>
      <c r="H394" s="304" t="s">
        <v>502</v>
      </c>
      <c r="I394" s="304"/>
      <c r="L394" s="328">
        <v>-0.04</v>
      </c>
      <c r="M394" s="328">
        <v>-0.39230769230769225</v>
      </c>
      <c r="N394" s="328">
        <v>5.7471264367816133E-2</v>
      </c>
      <c r="O394" s="328">
        <v>-0.31067961165048552</v>
      </c>
      <c r="P394" s="330">
        <v>-0.19523809523809532</v>
      </c>
      <c r="Q394" s="328"/>
      <c r="R394" s="328"/>
      <c r="S394" s="328"/>
      <c r="T394" s="328"/>
      <c r="U394" s="330"/>
      <c r="V394" s="328"/>
      <c r="W394" s="328"/>
      <c r="X394" s="328"/>
      <c r="Y394" s="328"/>
      <c r="Z394" s="330"/>
      <c r="AA394" s="328"/>
      <c r="AB394" s="328"/>
      <c r="AC394" s="328"/>
      <c r="AD394" s="328"/>
      <c r="AE394" s="330"/>
      <c r="AF394" s="328"/>
      <c r="AG394" s="328"/>
      <c r="AH394" s="328"/>
      <c r="AI394" s="328"/>
      <c r="AJ394" s="330"/>
      <c r="AK394" s="328"/>
      <c r="AL394" s="328"/>
      <c r="AM394" s="328"/>
      <c r="AN394" s="328"/>
      <c r="AO394" s="782"/>
      <c r="AP394" s="338"/>
      <c r="AQ394" s="338"/>
      <c r="AR394" s="338"/>
      <c r="AS394" s="338"/>
      <c r="AT394" s="782"/>
      <c r="AU394" s="338"/>
      <c r="AV394" s="338"/>
      <c r="AW394" s="338"/>
      <c r="AX394" s="338"/>
      <c r="AY394" s="782"/>
      <c r="AZ394" s="910"/>
      <c r="BA394" s="910"/>
      <c r="BB394" s="910"/>
      <c r="BC394" s="910"/>
      <c r="BD394" s="782"/>
      <c r="BE394" s="338"/>
      <c r="BF394" s="338"/>
      <c r="BG394" s="338"/>
      <c r="BH394" s="338"/>
      <c r="BI394" s="782"/>
      <c r="BJ394" s="910"/>
      <c r="BK394" s="910"/>
      <c r="BL394" s="910"/>
      <c r="BM394" s="910"/>
      <c r="BN394" s="782"/>
      <c r="BO394" s="1112"/>
      <c r="BP394" s="1112"/>
      <c r="BQ394" s="1112"/>
      <c r="BR394" s="1112"/>
      <c r="BS394" s="782"/>
      <c r="BT394" s="910"/>
      <c r="BU394" s="910"/>
      <c r="BV394" s="910"/>
      <c r="BW394" s="910"/>
      <c r="BX394" s="782"/>
      <c r="BY394" s="910"/>
      <c r="BZ394" s="1112"/>
      <c r="CA394" s="1112"/>
      <c r="CB394" s="1112"/>
      <c r="CC394" s="782"/>
      <c r="CD394" s="782"/>
      <c r="CE394" s="782"/>
      <c r="CF394" s="782"/>
      <c r="CG394" s="782"/>
      <c r="CH394" s="782"/>
    </row>
    <row r="395" spans="1:86" hidden="1">
      <c r="A395" s="9"/>
      <c r="B395" s="9"/>
      <c r="C395" s="9"/>
      <c r="D395" s="9"/>
      <c r="E395" s="9"/>
      <c r="F395" s="9"/>
      <c r="G395" s="9"/>
      <c r="H395" s="305" t="s">
        <v>81</v>
      </c>
      <c r="I395" s="305"/>
      <c r="L395" s="325"/>
      <c r="M395" s="325"/>
      <c r="N395" s="325"/>
      <c r="O395" s="325"/>
      <c r="P395" s="48"/>
      <c r="Q395" s="331"/>
      <c r="R395" s="331"/>
      <c r="S395" s="331"/>
      <c r="T395" s="331"/>
      <c r="U395" s="48"/>
      <c r="V395" s="331"/>
      <c r="W395" s="331"/>
      <c r="X395" s="331"/>
      <c r="Y395" s="331"/>
      <c r="Z395" s="48"/>
      <c r="AA395" s="331"/>
      <c r="AB395" s="331"/>
      <c r="AC395" s="331"/>
      <c r="AD395" s="331"/>
      <c r="AE395" s="48"/>
      <c r="AF395" s="331"/>
      <c r="AG395" s="331"/>
      <c r="AH395" s="331"/>
      <c r="AI395" s="331"/>
      <c r="AJ395" s="48"/>
      <c r="AK395" s="331"/>
      <c r="AL395" s="331"/>
      <c r="AM395" s="331"/>
      <c r="AN395" s="331"/>
      <c r="AO395" s="773"/>
      <c r="AP395" s="341"/>
      <c r="AQ395" s="341"/>
      <c r="AR395" s="341"/>
      <c r="AS395" s="341"/>
      <c r="AT395" s="773"/>
      <c r="AU395" s="341"/>
      <c r="AV395" s="341"/>
      <c r="AW395" s="341"/>
      <c r="AX395" s="341"/>
      <c r="AY395" s="773"/>
      <c r="AZ395" s="912"/>
      <c r="BA395" s="912"/>
      <c r="BB395" s="912"/>
      <c r="BC395" s="912"/>
      <c r="BD395" s="913"/>
      <c r="BE395" s="342"/>
      <c r="BF395" s="342"/>
      <c r="BG395" s="342"/>
      <c r="BH395" s="342"/>
      <c r="BI395" s="913"/>
      <c r="BJ395" s="912"/>
      <c r="BK395" s="912"/>
      <c r="BL395" s="912"/>
      <c r="BM395" s="912"/>
      <c r="BN395" s="913"/>
      <c r="BO395" s="1111"/>
      <c r="BP395" s="1111"/>
      <c r="BQ395" s="1111"/>
      <c r="BR395" s="1111"/>
      <c r="BS395" s="773"/>
      <c r="BT395" s="912"/>
      <c r="BU395" s="912"/>
      <c r="BV395" s="912"/>
      <c r="BW395" s="912"/>
      <c r="BX395" s="773"/>
      <c r="BY395" s="912"/>
      <c r="BZ395" s="1111"/>
      <c r="CA395" s="1111"/>
      <c r="CB395" s="1111"/>
      <c r="CC395" s="773"/>
      <c r="CD395" s="913"/>
      <c r="CE395" s="913"/>
      <c r="CF395" s="913"/>
      <c r="CG395" s="913"/>
      <c r="CH395" s="913"/>
    </row>
    <row r="396" spans="1:86" hidden="1">
      <c r="A396" s="9"/>
      <c r="B396" s="9"/>
      <c r="C396" s="9"/>
      <c r="D396" s="9"/>
      <c r="E396" s="9"/>
      <c r="F396" s="9"/>
      <c r="G396" s="9"/>
      <c r="H396" s="305" t="s">
        <v>501</v>
      </c>
      <c r="I396" s="305"/>
      <c r="L396" s="325">
        <v>-0.04</v>
      </c>
      <c r="M396" s="325">
        <v>-0.39230769230769225</v>
      </c>
      <c r="N396" s="325">
        <v>5.7471264367816133E-2</v>
      </c>
      <c r="O396" s="325">
        <v>-0.1</v>
      </c>
      <c r="P396" s="48">
        <v>-0.19523809523809532</v>
      </c>
      <c r="Q396" s="336"/>
      <c r="R396" s="331"/>
      <c r="S396" s="331"/>
      <c r="T396" s="331"/>
      <c r="U396" s="48"/>
      <c r="V396" s="336"/>
      <c r="W396" s="336"/>
      <c r="X396" s="336"/>
      <c r="Y396" s="331"/>
      <c r="Z396" s="48"/>
      <c r="AA396" s="336"/>
      <c r="AB396" s="336"/>
      <c r="AC396" s="336"/>
      <c r="AD396" s="331"/>
      <c r="AE396" s="337"/>
      <c r="AF396" s="331"/>
      <c r="AG396" s="331"/>
      <c r="AH396" s="336"/>
      <c r="AI396" s="336"/>
      <c r="AJ396" s="337"/>
      <c r="AK396" s="336"/>
      <c r="AL396" s="336"/>
      <c r="AM396" s="336"/>
      <c r="AN396" s="336"/>
      <c r="AO396" s="773"/>
      <c r="AP396" s="342"/>
      <c r="AQ396" s="342"/>
      <c r="AR396" s="342"/>
      <c r="AS396" s="342"/>
      <c r="AT396" s="773"/>
      <c r="AU396" s="342"/>
      <c r="AV396" s="342"/>
      <c r="AW396" s="342"/>
      <c r="AX396" s="342"/>
      <c r="AY396" s="773"/>
      <c r="AZ396" s="912"/>
      <c r="BA396" s="912"/>
      <c r="BB396" s="912"/>
      <c r="BC396" s="912"/>
      <c r="BD396" s="913"/>
      <c r="BE396" s="342"/>
      <c r="BF396" s="342"/>
      <c r="BG396" s="342"/>
      <c r="BH396" s="342"/>
      <c r="BI396" s="913"/>
      <c r="BJ396" s="912"/>
      <c r="BK396" s="912"/>
      <c r="BL396" s="912"/>
      <c r="BM396" s="912"/>
      <c r="BN396" s="913"/>
      <c r="BO396" s="1111"/>
      <c r="BP396" s="1111"/>
      <c r="BQ396" s="1111"/>
      <c r="BR396" s="1111"/>
      <c r="BS396" s="773"/>
      <c r="BT396" s="912"/>
      <c r="BU396" s="912"/>
      <c r="BV396" s="912"/>
      <c r="BW396" s="912"/>
      <c r="BX396" s="773"/>
      <c r="BY396" s="912"/>
      <c r="BZ396" s="1111"/>
      <c r="CA396" s="1111"/>
      <c r="CB396" s="1111"/>
      <c r="CC396" s="773"/>
      <c r="CD396" s="913"/>
      <c r="CE396" s="913"/>
      <c r="CF396" s="913"/>
      <c r="CG396" s="913"/>
      <c r="CH396" s="913"/>
    </row>
    <row r="397" spans="1:86" ht="7.5" customHeight="1">
      <c r="A397" s="9"/>
      <c r="B397" s="9"/>
      <c r="C397" s="9"/>
      <c r="D397" s="9"/>
      <c r="E397" s="9"/>
      <c r="F397" s="9"/>
      <c r="G397" s="9"/>
      <c r="H397" s="259"/>
      <c r="I397" s="259"/>
      <c r="L397" s="66"/>
      <c r="M397" s="66"/>
      <c r="N397" s="66"/>
      <c r="O397" s="66"/>
      <c r="Q397" s="66"/>
      <c r="R397" s="66"/>
      <c r="S397" s="66"/>
      <c r="T397" s="66"/>
      <c r="V397" s="66"/>
      <c r="W397" s="66"/>
      <c r="X397" s="66"/>
      <c r="Y397" s="66"/>
      <c r="AA397" s="66"/>
      <c r="AB397" s="66"/>
      <c r="AC397" s="66"/>
      <c r="AD397" s="66"/>
      <c r="AF397" s="66"/>
      <c r="AG397" s="66"/>
      <c r="AH397" s="66"/>
      <c r="AI397" s="66"/>
      <c r="AK397" s="66"/>
      <c r="AL397" s="66"/>
      <c r="AM397" s="66"/>
      <c r="AN397" s="66"/>
      <c r="AO397" s="33"/>
      <c r="AP397" s="855"/>
      <c r="AQ397" s="855"/>
      <c r="AR397" s="855"/>
      <c r="AS397" s="855"/>
      <c r="AU397" s="855"/>
      <c r="AV397" s="855"/>
      <c r="AW397" s="855"/>
      <c r="AX397" s="855"/>
      <c r="AZ397" s="855"/>
      <c r="BA397" s="855"/>
      <c r="BB397" s="855"/>
      <c r="BC397" s="855"/>
      <c r="BE397" s="855"/>
      <c r="BF397" s="855"/>
      <c r="BG397" s="855"/>
      <c r="BH397" s="855"/>
      <c r="BJ397" s="855"/>
      <c r="BK397" s="855"/>
      <c r="BL397" s="855"/>
      <c r="BM397" s="855"/>
      <c r="BO397" s="1113"/>
      <c r="BP397" s="1113"/>
      <c r="BQ397" s="1113"/>
      <c r="BR397" s="1113"/>
      <c r="BT397" s="855"/>
      <c r="BU397" s="855"/>
      <c r="BV397" s="855"/>
      <c r="BW397" s="855"/>
      <c r="BY397" s="855"/>
      <c r="BZ397" s="1113"/>
      <c r="CA397" s="1113"/>
      <c r="CB397" s="1113"/>
    </row>
    <row r="398" spans="1:86">
      <c r="A398" s="9"/>
      <c r="B398" s="9"/>
      <c r="C398" s="9"/>
      <c r="D398" s="9"/>
      <c r="E398" s="9"/>
      <c r="F398" s="9"/>
      <c r="G398" s="9"/>
      <c r="H398" s="260" t="s">
        <v>950</v>
      </c>
      <c r="I398" s="260"/>
      <c r="J398" s="59"/>
      <c r="K398" s="59"/>
      <c r="L398" s="326"/>
      <c r="M398" s="326"/>
      <c r="N398" s="326"/>
      <c r="O398" s="326"/>
      <c r="P398" s="327"/>
      <c r="Q398" s="326"/>
      <c r="R398" s="326"/>
      <c r="S398" s="326"/>
      <c r="T398" s="326"/>
      <c r="U398" s="327"/>
      <c r="V398" s="326"/>
      <c r="W398" s="326"/>
      <c r="X398" s="326"/>
      <c r="Y398" s="326"/>
      <c r="Z398" s="327"/>
      <c r="AA398" s="326"/>
      <c r="AB398" s="326"/>
      <c r="AC398" s="326"/>
      <c r="AD398" s="326"/>
      <c r="AE398" s="327"/>
      <c r="AF398" s="326"/>
      <c r="AG398" s="326"/>
      <c r="AH398" s="326"/>
      <c r="AI398" s="326"/>
      <c r="AJ398" s="327"/>
      <c r="AK398" s="326"/>
      <c r="AL398" s="326"/>
      <c r="AM398" s="326"/>
      <c r="AN398" s="326"/>
      <c r="AO398" s="1190"/>
      <c r="AP398" s="1191"/>
      <c r="AQ398" s="1191"/>
      <c r="AR398" s="1191"/>
      <c r="AS398" s="1191"/>
      <c r="AT398" s="1190"/>
      <c r="AU398" s="1191"/>
      <c r="AV398" s="1191"/>
      <c r="AW398" s="1191"/>
      <c r="AX398" s="1191"/>
      <c r="AY398" s="1190"/>
      <c r="AZ398" s="1191"/>
      <c r="BA398" s="1191"/>
      <c r="BB398" s="1191"/>
      <c r="BC398" s="1191"/>
      <c r="BD398" s="1190"/>
      <c r="BE398" s="1191"/>
      <c r="BF398" s="1191"/>
      <c r="BG398" s="1191"/>
      <c r="BH398" s="1191"/>
      <c r="BI398" s="1190"/>
      <c r="BJ398" s="1191"/>
      <c r="BK398" s="1191"/>
      <c r="BL398" s="1191"/>
      <c r="BM398" s="1191"/>
      <c r="BN398" s="1190"/>
      <c r="BO398" s="1192"/>
      <c r="BP398" s="1104" t="str">
        <f t="shared" ref="BP398:CC398" si="624">IF(ISERROR(BP168/BK168-1),"NM",(BP168/BK168-1))</f>
        <v>NM</v>
      </c>
      <c r="BQ398" s="1104" t="str">
        <f t="shared" si="624"/>
        <v>NM</v>
      </c>
      <c r="BR398" s="1104" t="str">
        <f t="shared" si="624"/>
        <v>NM</v>
      </c>
      <c r="BS398" s="737" t="str">
        <f t="shared" si="624"/>
        <v>NM</v>
      </c>
      <c r="BT398" s="735" t="str">
        <f t="shared" si="624"/>
        <v>NM</v>
      </c>
      <c r="BU398" s="735">
        <f t="shared" si="624"/>
        <v>6.4352331606217614</v>
      </c>
      <c r="BV398" s="735">
        <f t="shared" si="624"/>
        <v>4.1569230769230776</v>
      </c>
      <c r="BW398" s="735">
        <f t="shared" si="624"/>
        <v>2.1892332789559545</v>
      </c>
      <c r="BX398" s="737">
        <f t="shared" si="624"/>
        <v>4.3492484526967292</v>
      </c>
      <c r="BY398" s="735">
        <f t="shared" si="624"/>
        <v>0.81605691056910579</v>
      </c>
      <c r="BZ398" s="1104">
        <f t="shared" si="624"/>
        <v>0.7</v>
      </c>
      <c r="CA398" s="1104">
        <f t="shared" si="624"/>
        <v>0.54113365155131232</v>
      </c>
      <c r="CB398" s="1104">
        <f t="shared" si="624"/>
        <v>0.41176470588235303</v>
      </c>
      <c r="CC398" s="737">
        <f t="shared" si="624"/>
        <v>0.58172561983471072</v>
      </c>
      <c r="CD398" s="737">
        <f t="shared" ref="CD398:CH401" si="625">IF(ISERROR(CD168/CC168-1),"NM",(CD168/CC168-1))</f>
        <v>0.36983000050159665</v>
      </c>
      <c r="CE398" s="737">
        <f t="shared" si="625"/>
        <v>0.23329519168698565</v>
      </c>
      <c r="CF398" s="737">
        <f t="shared" si="625"/>
        <v>0.16011026081976576</v>
      </c>
      <c r="CG398" s="737">
        <f t="shared" si="625"/>
        <v>9.5150950325361361E-2</v>
      </c>
      <c r="CH398" s="737">
        <f t="shared" si="625"/>
        <v>4.17741327633121E-2</v>
      </c>
    </row>
    <row r="399" spans="1:86">
      <c r="A399" s="9"/>
      <c r="B399" s="9"/>
      <c r="C399" s="9"/>
      <c r="D399" s="9"/>
      <c r="E399" s="9"/>
      <c r="F399" s="9"/>
      <c r="G399" s="9"/>
      <c r="H399" s="257" t="s">
        <v>231</v>
      </c>
      <c r="I399" s="257"/>
      <c r="L399" s="325"/>
      <c r="M399" s="325"/>
      <c r="N399" s="325"/>
      <c r="O399" s="325"/>
      <c r="P399" s="48"/>
      <c r="Q399" s="325"/>
      <c r="R399" s="325"/>
      <c r="S399" s="325"/>
      <c r="T399" s="325"/>
      <c r="U399" s="48"/>
      <c r="V399" s="325"/>
      <c r="W399" s="325"/>
      <c r="X399" s="325"/>
      <c r="Y399" s="325"/>
      <c r="Z399" s="48"/>
      <c r="AA399" s="325"/>
      <c r="AB399" s="325"/>
      <c r="AC399" s="325"/>
      <c r="AD399" s="325"/>
      <c r="AE399" s="48"/>
      <c r="AF399" s="325"/>
      <c r="AG399" s="325"/>
      <c r="AH399" s="325"/>
      <c r="AI399" s="325"/>
      <c r="AJ399" s="48"/>
      <c r="AK399" s="325"/>
      <c r="AL399" s="325"/>
      <c r="AM399" s="325"/>
      <c r="AN399" s="341"/>
      <c r="AO399" s="773"/>
      <c r="AP399" s="772"/>
      <c r="AQ399" s="772"/>
      <c r="AR399" s="772"/>
      <c r="AS399" s="772"/>
      <c r="AT399" s="773"/>
      <c r="AU399" s="772"/>
      <c r="AV399" s="772"/>
      <c r="AW399" s="772"/>
      <c r="AX399" s="772"/>
      <c r="AY399" s="773"/>
      <c r="AZ399" s="772"/>
      <c r="BA399" s="772"/>
      <c r="BB399" s="772"/>
      <c r="BC399" s="772"/>
      <c r="BD399" s="773"/>
      <c r="BE399" s="772"/>
      <c r="BF399" s="772"/>
      <c r="BG399" s="772"/>
      <c r="BH399" s="772"/>
      <c r="BI399" s="773"/>
      <c r="BJ399" s="772"/>
      <c r="BK399" s="772"/>
      <c r="BL399" s="772"/>
      <c r="BM399" s="772"/>
      <c r="BN399" s="773"/>
      <c r="BO399" s="1193"/>
      <c r="BP399" s="1103" t="str">
        <f t="shared" ref="BP399:BY402" si="626">IF(ISERROR(BP169/BK169-1),"NM",(BP169/BK169-1))</f>
        <v>NM</v>
      </c>
      <c r="BQ399" s="1103" t="str">
        <f t="shared" si="626"/>
        <v>NM</v>
      </c>
      <c r="BR399" s="1103" t="str">
        <f t="shared" si="626"/>
        <v>NM</v>
      </c>
      <c r="BS399" s="345" t="str">
        <f t="shared" si="626"/>
        <v>NM</v>
      </c>
      <c r="BT399" s="341" t="str">
        <f t="shared" si="626"/>
        <v>NM</v>
      </c>
      <c r="BU399" s="341">
        <f t="shared" ref="BU399:BW401" si="627">IF(ISERROR(BU169/BP169-1),"NM",(BU169/BP169-1))</f>
        <v>5.4455958549222796</v>
      </c>
      <c r="BV399" s="341">
        <f t="shared" si="627"/>
        <v>3.1031250000000004</v>
      </c>
      <c r="BW399" s="341">
        <f t="shared" si="627"/>
        <v>1.3949579831932772</v>
      </c>
      <c r="BX399" s="345">
        <f>IF(ISERROR(BX169/BS169-1),"NM",(BX169/BS169-1))</f>
        <v>3.3862815884476536</v>
      </c>
      <c r="BY399" s="341">
        <f t="shared" si="626"/>
        <v>0.26651480637813219</v>
      </c>
      <c r="BZ399" s="1103">
        <f t="shared" ref="BZ399:CB401" si="628">IF(ISERROR(BZ169/BU169-1),"NM",(BZ169/BU169-1))</f>
        <v>0.25</v>
      </c>
      <c r="CA399" s="1103">
        <f t="shared" si="628"/>
        <v>0.17999999999999994</v>
      </c>
      <c r="CB399" s="1103">
        <f t="shared" si="628"/>
        <v>0.10000000000000009</v>
      </c>
      <c r="CC399" s="345">
        <f t="shared" ref="CC399:CC406" si="629">IF(ISERROR(CC169/BX169-1),"NM",(CC169/BX169-1))</f>
        <v>0.19009053497942396</v>
      </c>
      <c r="CD399" s="345">
        <f t="shared" si="625"/>
        <v>0.14999999999999991</v>
      </c>
      <c r="CE399" s="345">
        <f t="shared" si="625"/>
        <v>0.12000000000000011</v>
      </c>
      <c r="CF399" s="345">
        <f t="shared" si="625"/>
        <v>8.0000000000000071E-2</v>
      </c>
      <c r="CG399" s="345">
        <f t="shared" si="625"/>
        <v>5.0000000000000044E-2</v>
      </c>
      <c r="CH399" s="345">
        <f t="shared" si="625"/>
        <v>3.0000000000000027E-2</v>
      </c>
    </row>
    <row r="400" spans="1:86">
      <c r="A400" s="9"/>
      <c r="B400" s="9"/>
      <c r="C400" s="9"/>
      <c r="D400" s="9"/>
      <c r="E400" s="9"/>
      <c r="F400" s="9"/>
      <c r="G400" s="9"/>
      <c r="H400" s="257" t="s">
        <v>232</v>
      </c>
      <c r="I400" s="257"/>
      <c r="L400" s="325"/>
      <c r="M400" s="325"/>
      <c r="N400" s="325"/>
      <c r="O400" s="325"/>
      <c r="P400" s="48"/>
      <c r="Q400" s="325"/>
      <c r="R400" s="325"/>
      <c r="S400" s="325"/>
      <c r="T400" s="325"/>
      <c r="U400" s="48"/>
      <c r="V400" s="325"/>
      <c r="W400" s="325"/>
      <c r="X400" s="325"/>
      <c r="Y400" s="325"/>
      <c r="Z400" s="48"/>
      <c r="AA400" s="325"/>
      <c r="AB400" s="325"/>
      <c r="AC400" s="325"/>
      <c r="AD400" s="325"/>
      <c r="AE400" s="48"/>
      <c r="AF400" s="325"/>
      <c r="AG400" s="325"/>
      <c r="AH400" s="325"/>
      <c r="AI400" s="325"/>
      <c r="AJ400" s="48"/>
      <c r="AK400" s="325"/>
      <c r="AL400" s="325"/>
      <c r="AM400" s="325"/>
      <c r="AN400" s="325"/>
      <c r="AO400" s="773"/>
      <c r="AP400" s="772"/>
      <c r="AQ400" s="772"/>
      <c r="AR400" s="772"/>
      <c r="AS400" s="772"/>
      <c r="AT400" s="773"/>
      <c r="AU400" s="772"/>
      <c r="AV400" s="772"/>
      <c r="AW400" s="772"/>
      <c r="AX400" s="772"/>
      <c r="AY400" s="773"/>
      <c r="AZ400" s="772"/>
      <c r="BA400" s="772"/>
      <c r="BB400" s="772"/>
      <c r="BC400" s="772"/>
      <c r="BD400" s="773"/>
      <c r="BE400" s="772"/>
      <c r="BF400" s="772"/>
      <c r="BG400" s="772"/>
      <c r="BH400" s="772"/>
      <c r="BI400" s="773"/>
      <c r="BJ400" s="772"/>
      <c r="BK400" s="772"/>
      <c r="BL400" s="772"/>
      <c r="BM400" s="772"/>
      <c r="BN400" s="773"/>
      <c r="BO400" s="1193"/>
      <c r="BP400" s="1103" t="str">
        <f t="shared" si="626"/>
        <v>NM</v>
      </c>
      <c r="BQ400" s="1103" t="str">
        <f t="shared" si="626"/>
        <v>NM</v>
      </c>
      <c r="BR400" s="1103" t="str">
        <f t="shared" si="626"/>
        <v>NM</v>
      </c>
      <c r="BS400" s="345" t="str">
        <f t="shared" si="626"/>
        <v>NM</v>
      </c>
      <c r="BT400" s="341" t="str">
        <f t="shared" si="626"/>
        <v>NM</v>
      </c>
      <c r="BU400" s="341" t="str">
        <f t="shared" si="627"/>
        <v>NM</v>
      </c>
      <c r="BV400" s="341">
        <f t="shared" si="627"/>
        <v>71.599999999999994</v>
      </c>
      <c r="BW400" s="341">
        <f t="shared" si="627"/>
        <v>28.444444444444443</v>
      </c>
      <c r="BX400" s="345">
        <f>IF(ISERROR(BX170/BS170-1),"NM",(BX170/BS170-1))</f>
        <v>50.739130434782609</v>
      </c>
      <c r="BY400" s="341">
        <f t="shared" si="626"/>
        <v>5.367924528301887</v>
      </c>
      <c r="BZ400" s="1103">
        <f t="shared" si="628"/>
        <v>3.6308900523560208</v>
      </c>
      <c r="CA400" s="1103">
        <f t="shared" si="628"/>
        <v>1.8473829201101926</v>
      </c>
      <c r="CB400" s="1103">
        <f t="shared" si="628"/>
        <v>1.25</v>
      </c>
      <c r="CC400" s="345">
        <f t="shared" si="629"/>
        <v>2.1811764705882348</v>
      </c>
      <c r="CD400" s="345">
        <f t="shared" si="625"/>
        <v>0.70569790786136943</v>
      </c>
      <c r="CE400" s="345">
        <f t="shared" si="625"/>
        <v>0.35000000000000009</v>
      </c>
      <c r="CF400" s="345">
        <f t="shared" si="625"/>
        <v>0.22857227481729403</v>
      </c>
      <c r="CG400" s="345">
        <f t="shared" si="625"/>
        <v>0.12907060842385421</v>
      </c>
      <c r="CH400" s="345">
        <f t="shared" si="625"/>
        <v>4.9999999999999822E-2</v>
      </c>
    </row>
    <row r="401" spans="1:86">
      <c r="A401" s="9"/>
      <c r="B401" s="9"/>
      <c r="C401" s="9"/>
      <c r="D401" s="9"/>
      <c r="E401" s="9"/>
      <c r="F401" s="9"/>
      <c r="G401" s="9"/>
      <c r="H401" s="264" t="s">
        <v>946</v>
      </c>
      <c r="I401" s="264"/>
      <c r="L401" s="328"/>
      <c r="M401" s="328"/>
      <c r="N401" s="328"/>
      <c r="O401" s="328"/>
      <c r="P401" s="329"/>
      <c r="Q401" s="328"/>
      <c r="R401" s="328"/>
      <c r="S401" s="328"/>
      <c r="T401" s="328"/>
      <c r="U401" s="329"/>
      <c r="V401" s="328"/>
      <c r="W401" s="328"/>
      <c r="X401" s="328"/>
      <c r="Y401" s="328"/>
      <c r="Z401" s="329"/>
      <c r="AA401" s="328"/>
      <c r="AB401" s="328"/>
      <c r="AC401" s="328"/>
      <c r="AD401" s="328"/>
      <c r="AE401" s="329"/>
      <c r="AF401" s="328"/>
      <c r="AG401" s="328"/>
      <c r="AH401" s="328"/>
      <c r="AI401" s="328"/>
      <c r="AJ401" s="329"/>
      <c r="AK401" s="328"/>
      <c r="AL401" s="328"/>
      <c r="AM401" s="328"/>
      <c r="AN401" s="328"/>
      <c r="AO401" s="782"/>
      <c r="AP401" s="910"/>
      <c r="AQ401" s="910"/>
      <c r="AR401" s="910"/>
      <c r="AS401" s="910"/>
      <c r="AT401" s="782"/>
      <c r="AU401" s="910"/>
      <c r="AV401" s="910"/>
      <c r="AW401" s="910"/>
      <c r="AX401" s="910"/>
      <c r="AY401" s="782"/>
      <c r="AZ401" s="910"/>
      <c r="BA401" s="910"/>
      <c r="BB401" s="910"/>
      <c r="BC401" s="910"/>
      <c r="BD401" s="782"/>
      <c r="BE401" s="910"/>
      <c r="BF401" s="910"/>
      <c r="BG401" s="910"/>
      <c r="BH401" s="910"/>
      <c r="BI401" s="782"/>
      <c r="BJ401" s="910"/>
      <c r="BK401" s="910"/>
      <c r="BL401" s="910"/>
      <c r="BM401" s="910"/>
      <c r="BN401" s="782"/>
      <c r="BO401" s="1112"/>
      <c r="BP401" s="1105" t="str">
        <f t="shared" si="626"/>
        <v>NM</v>
      </c>
      <c r="BQ401" s="1105" t="str">
        <f t="shared" si="626"/>
        <v>NM</v>
      </c>
      <c r="BR401" s="1105" t="str">
        <f t="shared" si="626"/>
        <v>NM</v>
      </c>
      <c r="BS401" s="736" t="str">
        <f t="shared" si="626"/>
        <v>NM</v>
      </c>
      <c r="BT401" s="338" t="str">
        <f t="shared" si="626"/>
        <v>NM</v>
      </c>
      <c r="BU401" s="338">
        <f t="shared" si="627"/>
        <v>6.1865284974093271</v>
      </c>
      <c r="BV401" s="338">
        <f t="shared" si="627"/>
        <v>3.6553846153846159</v>
      </c>
      <c r="BW401" s="338">
        <f t="shared" si="627"/>
        <v>1.8140293637846656</v>
      </c>
      <c r="BX401" s="736">
        <f>IF(ISERROR(BX171/BS171-1),"NM",(BX171/BS171-1))</f>
        <v>3.9434129089301511</v>
      </c>
      <c r="BY401" s="338">
        <f t="shared" si="626"/>
        <v>0.51656314699792971</v>
      </c>
      <c r="BZ401" s="1105">
        <f t="shared" si="628"/>
        <v>0.48197548666185996</v>
      </c>
      <c r="CA401" s="1105">
        <f t="shared" si="628"/>
        <v>0.40736285525446125</v>
      </c>
      <c r="CB401" s="1105">
        <f t="shared" si="628"/>
        <v>0.30000000000000004</v>
      </c>
      <c r="CC401" s="736">
        <f t="shared" si="629"/>
        <v>0.41161509568950105</v>
      </c>
      <c r="CD401" s="736">
        <f t="shared" si="625"/>
        <v>0.31029466546043349</v>
      </c>
      <c r="CE401" s="736">
        <f t="shared" si="625"/>
        <v>0.20206627683139389</v>
      </c>
      <c r="CF401" s="736">
        <f t="shared" si="625"/>
        <v>0.14812259312158238</v>
      </c>
      <c r="CG401" s="736">
        <f t="shared" si="625"/>
        <v>9.3627868923801261E-2</v>
      </c>
      <c r="CH401" s="736">
        <f t="shared" si="625"/>
        <v>3.9175342122863999E-2</v>
      </c>
    </row>
    <row r="402" spans="1:86">
      <c r="A402" s="9"/>
      <c r="B402" s="9"/>
      <c r="C402" s="9"/>
      <c r="D402" s="9"/>
      <c r="E402" s="9"/>
      <c r="F402" s="9"/>
      <c r="G402" s="9"/>
      <c r="H402" s="257" t="s">
        <v>1162</v>
      </c>
      <c r="I402" s="257"/>
      <c r="L402" s="325"/>
      <c r="M402" s="325"/>
      <c r="N402" s="325"/>
      <c r="O402" s="325"/>
      <c r="P402" s="329"/>
      <c r="Q402" s="325"/>
      <c r="R402" s="325"/>
      <c r="S402" s="325"/>
      <c r="T402" s="325"/>
      <c r="U402" s="329"/>
      <c r="V402" s="325"/>
      <c r="W402" s="325"/>
      <c r="X402" s="325"/>
      <c r="Y402" s="325"/>
      <c r="Z402" s="329"/>
      <c r="AA402" s="325"/>
      <c r="AB402" s="325"/>
      <c r="AC402" s="341"/>
      <c r="AD402" s="341"/>
      <c r="AE402" s="712"/>
      <c r="AF402" s="711"/>
      <c r="AG402" s="341"/>
      <c r="AH402" s="341"/>
      <c r="AI402" s="341"/>
      <c r="AJ402" s="345"/>
      <c r="AK402" s="871"/>
      <c r="AL402" s="871"/>
      <c r="AM402" s="871"/>
      <c r="AN402" s="871"/>
      <c r="AO402" s="870"/>
      <c r="AP402" s="871"/>
      <c r="AQ402" s="871"/>
      <c r="AR402" s="871"/>
      <c r="AS402" s="871"/>
      <c r="AT402" s="870"/>
      <c r="AU402" s="871"/>
      <c r="AV402" s="871"/>
      <c r="AW402" s="871"/>
      <c r="AX402" s="871"/>
      <c r="AY402" s="870"/>
      <c r="AZ402" s="912"/>
      <c r="BA402" s="912"/>
      <c r="BB402" s="912"/>
      <c r="BC402" s="912"/>
      <c r="BD402" s="913"/>
      <c r="BE402" s="912"/>
      <c r="BF402" s="912"/>
      <c r="BG402" s="912"/>
      <c r="BH402" s="912"/>
      <c r="BI402" s="913"/>
      <c r="BJ402" s="912"/>
      <c r="BK402" s="912"/>
      <c r="BL402" s="912"/>
      <c r="BM402" s="912"/>
      <c r="BN402" s="913"/>
      <c r="BO402" s="1111"/>
      <c r="BP402" s="341" t="str">
        <f t="shared" si="626"/>
        <v>NM</v>
      </c>
      <c r="BQ402" s="341" t="str">
        <f t="shared" si="626"/>
        <v>NM</v>
      </c>
      <c r="BR402" s="341" t="str">
        <f t="shared" si="626"/>
        <v>NM</v>
      </c>
      <c r="BS402" s="345" t="str">
        <f t="shared" si="626"/>
        <v>NM</v>
      </c>
      <c r="BT402" s="341" t="str">
        <f t="shared" si="626"/>
        <v>NM</v>
      </c>
      <c r="BU402" s="341">
        <f t="shared" si="626"/>
        <v>5.4455958549222796</v>
      </c>
      <c r="BV402" s="341">
        <f t="shared" si="626"/>
        <v>3.1031250000000004</v>
      </c>
      <c r="BW402" s="341">
        <f t="shared" si="626"/>
        <v>1.3949579831932772</v>
      </c>
      <c r="BX402" s="345">
        <f>IF(ISERROR(BX172/BS172-1),"NM",(BX172/BS172-1))</f>
        <v>3.3862815884476536</v>
      </c>
      <c r="BY402" s="341">
        <f t="shared" si="626"/>
        <v>0.26651480637813219</v>
      </c>
      <c r="BZ402" s="1099">
        <v>0.25</v>
      </c>
      <c r="CA402" s="1099">
        <v>0.18</v>
      </c>
      <c r="CB402" s="1099">
        <v>0.1</v>
      </c>
      <c r="CC402" s="345">
        <f t="shared" si="629"/>
        <v>0.19009053497942396</v>
      </c>
      <c r="CD402" s="332">
        <v>0.15</v>
      </c>
      <c r="CE402" s="332">
        <v>0.12</v>
      </c>
      <c r="CF402" s="332">
        <v>0.08</v>
      </c>
      <c r="CG402" s="332">
        <v>0.05</v>
      </c>
      <c r="CH402" s="332">
        <v>0.03</v>
      </c>
    </row>
    <row r="403" spans="1:86">
      <c r="A403" s="9"/>
      <c r="B403" s="9"/>
      <c r="C403" s="9"/>
      <c r="D403" s="9"/>
      <c r="E403" s="9"/>
      <c r="F403" s="9"/>
      <c r="G403" s="9"/>
      <c r="H403" s="257" t="s">
        <v>1180</v>
      </c>
      <c r="I403" s="257"/>
      <c r="L403" s="325"/>
      <c r="M403" s="325"/>
      <c r="N403" s="325"/>
      <c r="O403" s="325"/>
      <c r="P403" s="48"/>
      <c r="Q403" s="325"/>
      <c r="R403" s="325"/>
      <c r="S403" s="325"/>
      <c r="T403" s="325"/>
      <c r="U403" s="276"/>
      <c r="V403" s="325"/>
      <c r="W403" s="325"/>
      <c r="X403" s="325"/>
      <c r="Y403" s="325"/>
      <c r="Z403" s="276"/>
      <c r="AA403" s="325"/>
      <c r="AB403" s="325"/>
      <c r="AC403" s="325"/>
      <c r="AD403" s="325"/>
      <c r="AE403" s="276"/>
      <c r="AF403" s="325"/>
      <c r="AG403" s="325"/>
      <c r="AH403" s="325"/>
      <c r="AI403" s="325"/>
      <c r="AJ403" s="276"/>
      <c r="AK403" s="325"/>
      <c r="AL403" s="325"/>
      <c r="AM403" s="325"/>
      <c r="AN403" s="325"/>
      <c r="AO403" s="773"/>
      <c r="AP403" s="772"/>
      <c r="AQ403" s="772"/>
      <c r="AR403" s="772"/>
      <c r="AS403" s="772"/>
      <c r="AT403" s="773"/>
      <c r="AU403" s="772"/>
      <c r="AV403" s="772"/>
      <c r="AW403" s="772"/>
      <c r="AX403" s="772"/>
      <c r="AY403" s="773"/>
      <c r="AZ403" s="772"/>
      <c r="BA403" s="772"/>
      <c r="BB403" s="772"/>
      <c r="BC403" s="772"/>
      <c r="BD403" s="773"/>
      <c r="BE403" s="772"/>
      <c r="BF403" s="772"/>
      <c r="BG403" s="772"/>
      <c r="BH403" s="772"/>
      <c r="BI403" s="773"/>
      <c r="BJ403" s="772"/>
      <c r="BK403" s="772"/>
      <c r="BL403" s="772"/>
      <c r="BM403" s="772"/>
      <c r="BN403" s="773"/>
      <c r="BO403" s="772"/>
      <c r="BP403" s="341" t="str">
        <f t="shared" ref="BP403:BY403" si="630">IF(ISERROR(BP173/BK173-1),"NM",(BP173/BK173-1))</f>
        <v>NM</v>
      </c>
      <c r="BQ403" s="341" t="str">
        <f t="shared" si="630"/>
        <v>NM</v>
      </c>
      <c r="BR403" s="341" t="str">
        <f t="shared" si="630"/>
        <v>NM</v>
      </c>
      <c r="BS403" s="345" t="str">
        <f>IF(ISERROR(BS173/BN173-1),"NM",(BS173/BN173-1))</f>
        <v>NM</v>
      </c>
      <c r="BT403" s="341" t="str">
        <f t="shared" si="630"/>
        <v>NM</v>
      </c>
      <c r="BU403" s="341" t="str">
        <f t="shared" si="630"/>
        <v>NM</v>
      </c>
      <c r="BV403" s="341">
        <f t="shared" si="630"/>
        <v>39</v>
      </c>
      <c r="BW403" s="341">
        <f t="shared" si="630"/>
        <v>15.666666666666668</v>
      </c>
      <c r="BX403" s="345">
        <f>IF(ISERROR(BX173/BS173-1),"NM",(BX173/BS173-1))</f>
        <v>30.782608695652176</v>
      </c>
      <c r="BY403" s="341">
        <f t="shared" si="630"/>
        <v>3.0113636363636358</v>
      </c>
      <c r="BZ403" s="1099">
        <v>2.5</v>
      </c>
      <c r="CA403" s="1099">
        <v>1.9</v>
      </c>
      <c r="CB403" s="1099">
        <v>1.25</v>
      </c>
      <c r="CC403" s="345">
        <f t="shared" si="629"/>
        <v>1.8844049247606018</v>
      </c>
      <c r="CD403" s="332">
        <v>0.75</v>
      </c>
      <c r="CE403" s="332">
        <v>0.35</v>
      </c>
      <c r="CF403" s="332">
        <v>0.25</v>
      </c>
      <c r="CG403" s="332">
        <v>0.15</v>
      </c>
      <c r="CH403" s="332">
        <v>0.05</v>
      </c>
    </row>
    <row r="404" spans="1:86">
      <c r="A404" s="9"/>
      <c r="B404" s="9"/>
      <c r="C404" s="9"/>
      <c r="D404" s="9"/>
      <c r="E404" s="9"/>
      <c r="F404" s="9"/>
      <c r="G404" s="9"/>
      <c r="H404" s="264" t="s">
        <v>1052</v>
      </c>
      <c r="I404" s="257"/>
      <c r="L404" s="325"/>
      <c r="M404" s="325"/>
      <c r="N404" s="325"/>
      <c r="O404" s="325"/>
      <c r="P404" s="48"/>
      <c r="Q404" s="325"/>
      <c r="R404" s="325"/>
      <c r="S404" s="325"/>
      <c r="T404" s="325"/>
      <c r="U404" s="276"/>
      <c r="V404" s="325"/>
      <c r="W404" s="325"/>
      <c r="X404" s="325"/>
      <c r="Y404" s="325"/>
      <c r="Z404" s="276"/>
      <c r="AA404" s="325"/>
      <c r="AB404" s="325"/>
      <c r="AC404" s="325"/>
      <c r="AD404" s="325"/>
      <c r="AE404" s="276"/>
      <c r="AF404" s="325"/>
      <c r="AG404" s="325"/>
      <c r="AH404" s="325"/>
      <c r="AI404" s="325"/>
      <c r="AJ404" s="276"/>
      <c r="AK404" s="325"/>
      <c r="AL404" s="325"/>
      <c r="AM404" s="325"/>
      <c r="AN404" s="325"/>
      <c r="AO404" s="773"/>
      <c r="AP404" s="772"/>
      <c r="AQ404" s="772"/>
      <c r="AR404" s="772"/>
      <c r="AS404" s="772"/>
      <c r="AT404" s="773"/>
      <c r="AU404" s="772"/>
      <c r="AV404" s="772"/>
      <c r="AW404" s="772"/>
      <c r="AX404" s="772"/>
      <c r="AY404" s="773"/>
      <c r="AZ404" s="772"/>
      <c r="BA404" s="772"/>
      <c r="BB404" s="772"/>
      <c r="BC404" s="772"/>
      <c r="BD404" s="773"/>
      <c r="BE404" s="772"/>
      <c r="BF404" s="772"/>
      <c r="BG404" s="772"/>
      <c r="BH404" s="772"/>
      <c r="BI404" s="773"/>
      <c r="BJ404" s="772"/>
      <c r="BK404" s="772"/>
      <c r="BL404" s="772"/>
      <c r="BM404" s="772"/>
      <c r="BN404" s="773"/>
      <c r="BO404" s="772"/>
      <c r="BP404" s="341"/>
      <c r="BQ404" s="341"/>
      <c r="BR404" s="341"/>
      <c r="BS404" s="773"/>
      <c r="BT404" s="338"/>
      <c r="BU404" s="338"/>
      <c r="BV404" s="338"/>
      <c r="BW404" s="338"/>
      <c r="BX404" s="736"/>
      <c r="BY404" s="338">
        <f>IF(ISERROR(BY174/BT174-1),"NM",(BY174/BT174-1))</f>
        <v>15.947368421052634</v>
      </c>
      <c r="BZ404" s="1105">
        <f>IF(ISERROR(BZ174/BU174-1),"NM",(BZ174/BU174-1))</f>
        <v>7</v>
      </c>
      <c r="CA404" s="1105">
        <f>IF(ISERROR(CA174/BV174-1),"NM",(CA174/BV174-1))</f>
        <v>1.7999999999999998</v>
      </c>
      <c r="CB404" s="1105">
        <f>IF(ISERROR(CB174/BW174-1),"NM",(CB174/BW174-1))</f>
        <v>1.25</v>
      </c>
      <c r="CC404" s="736">
        <f t="shared" si="629"/>
        <v>2.6538126361655769</v>
      </c>
      <c r="CD404" s="736">
        <f>IF(ISERROR(CD174/CC174-1),"NM",(CD174/CC174-1))</f>
        <v>0.64999999999999991</v>
      </c>
      <c r="CE404" s="736">
        <f>IF(ISERROR(CE174/CD174-1),"NM",(CE174/CD174-1))</f>
        <v>0.35000000000000009</v>
      </c>
      <c r="CF404" s="736">
        <f>IF(ISERROR(CF174/CE174-1),"NM",(CF174/CE174-1))</f>
        <v>0.19999999999999996</v>
      </c>
      <c r="CG404" s="736">
        <f>IF(ISERROR(CG174/CF174-1),"NM",(CG174/CF174-1))</f>
        <v>0.10000000000000009</v>
      </c>
      <c r="CH404" s="736">
        <f>IF(ISERROR(CH174/CG174-1),"NM",(CH174/CG174-1))</f>
        <v>5.0000000000000044E-2</v>
      </c>
    </row>
    <row r="405" spans="1:86">
      <c r="A405" s="9"/>
      <c r="B405" s="9"/>
      <c r="C405" s="9"/>
      <c r="D405" s="9"/>
      <c r="E405" s="9"/>
      <c r="F405" s="9"/>
      <c r="G405" s="9"/>
      <c r="H405" s="257" t="s">
        <v>1181</v>
      </c>
      <c r="I405" s="257"/>
      <c r="L405" s="325"/>
      <c r="M405" s="325"/>
      <c r="N405" s="325"/>
      <c r="O405" s="325"/>
      <c r="P405" s="48"/>
      <c r="Q405" s="325"/>
      <c r="R405" s="325"/>
      <c r="S405" s="325"/>
      <c r="T405" s="325"/>
      <c r="U405" s="276"/>
      <c r="V405" s="325"/>
      <c r="W405" s="325"/>
      <c r="X405" s="325"/>
      <c r="Y405" s="325"/>
      <c r="Z405" s="276"/>
      <c r="AA405" s="325"/>
      <c r="AB405" s="325"/>
      <c r="AC405" s="325"/>
      <c r="AD405" s="325"/>
      <c r="AE405" s="276"/>
      <c r="AF405" s="325"/>
      <c r="AG405" s="325"/>
      <c r="AH405" s="325"/>
      <c r="AI405" s="325"/>
      <c r="AJ405" s="276"/>
      <c r="AK405" s="325"/>
      <c r="AL405" s="325"/>
      <c r="AM405" s="325"/>
      <c r="AN405" s="325"/>
      <c r="AO405" s="773"/>
      <c r="AP405" s="772"/>
      <c r="AQ405" s="772"/>
      <c r="AR405" s="772"/>
      <c r="AS405" s="772"/>
      <c r="AT405" s="773"/>
      <c r="AU405" s="772"/>
      <c r="AV405" s="772"/>
      <c r="AW405" s="772"/>
      <c r="AX405" s="772"/>
      <c r="AY405" s="773"/>
      <c r="AZ405" s="772"/>
      <c r="BA405" s="772"/>
      <c r="BB405" s="772"/>
      <c r="BC405" s="772"/>
      <c r="BD405" s="773"/>
      <c r="BE405" s="772"/>
      <c r="BF405" s="772"/>
      <c r="BG405" s="772"/>
      <c r="BH405" s="772"/>
      <c r="BI405" s="773"/>
      <c r="BJ405" s="772"/>
      <c r="BK405" s="772"/>
      <c r="BL405" s="772"/>
      <c r="BM405" s="772"/>
      <c r="BN405" s="773"/>
      <c r="BO405" s="772"/>
      <c r="BP405" s="341"/>
      <c r="BQ405" s="341"/>
      <c r="BR405" s="341"/>
      <c r="BS405" s="773"/>
      <c r="BT405" s="341"/>
      <c r="BU405" s="341"/>
      <c r="BV405" s="341"/>
      <c r="BW405" s="341"/>
      <c r="BX405" s="345"/>
      <c r="BY405" s="341"/>
      <c r="BZ405" s="1103"/>
      <c r="CA405" s="1103"/>
      <c r="CB405" s="1103"/>
      <c r="CC405" s="345"/>
      <c r="CD405" s="345"/>
      <c r="CE405" s="345"/>
      <c r="CF405" s="345"/>
      <c r="CG405" s="345"/>
      <c r="CH405" s="345"/>
    </row>
    <row r="406" spans="1:86">
      <c r="A406" s="9"/>
      <c r="B406" s="9"/>
      <c r="C406" s="9"/>
      <c r="D406" s="9"/>
      <c r="E406" s="9"/>
      <c r="F406" s="9"/>
      <c r="G406" s="9"/>
      <c r="H406" s="257" t="s">
        <v>1182</v>
      </c>
      <c r="I406" s="257"/>
      <c r="L406" s="325"/>
      <c r="M406" s="325"/>
      <c r="N406" s="325"/>
      <c r="O406" s="325"/>
      <c r="P406" s="48"/>
      <c r="Q406" s="325"/>
      <c r="R406" s="325"/>
      <c r="S406" s="325"/>
      <c r="T406" s="325"/>
      <c r="U406" s="276"/>
      <c r="V406" s="325"/>
      <c r="W406" s="325"/>
      <c r="X406" s="325"/>
      <c r="Y406" s="325"/>
      <c r="Z406" s="276"/>
      <c r="AA406" s="325"/>
      <c r="AB406" s="325"/>
      <c r="AC406" s="325"/>
      <c r="AD406" s="325"/>
      <c r="AE406" s="276"/>
      <c r="AF406" s="325"/>
      <c r="AG406" s="325"/>
      <c r="AH406" s="325"/>
      <c r="AI406" s="325"/>
      <c r="AJ406" s="276"/>
      <c r="AK406" s="325"/>
      <c r="AL406" s="325"/>
      <c r="AM406" s="325"/>
      <c r="AN406" s="325"/>
      <c r="AO406" s="773"/>
      <c r="AP406" s="772"/>
      <c r="AQ406" s="772"/>
      <c r="AR406" s="772"/>
      <c r="AS406" s="772"/>
      <c r="AT406" s="773"/>
      <c r="AU406" s="772"/>
      <c r="AV406" s="772"/>
      <c r="AW406" s="772"/>
      <c r="AX406" s="772"/>
      <c r="AY406" s="773"/>
      <c r="AZ406" s="772"/>
      <c r="BA406" s="772"/>
      <c r="BB406" s="772"/>
      <c r="BC406" s="772"/>
      <c r="BD406" s="773"/>
      <c r="BE406" s="772"/>
      <c r="BF406" s="772"/>
      <c r="BG406" s="772"/>
      <c r="BH406" s="772"/>
      <c r="BI406" s="773"/>
      <c r="BJ406" s="772"/>
      <c r="BK406" s="772"/>
      <c r="BL406" s="772"/>
      <c r="BM406" s="772"/>
      <c r="BN406" s="773"/>
      <c r="BO406" s="772"/>
      <c r="BP406" s="341"/>
      <c r="BQ406" s="341"/>
      <c r="BR406" s="341"/>
      <c r="BS406" s="773"/>
      <c r="BT406" s="341"/>
      <c r="BU406" s="341"/>
      <c r="BV406" s="341"/>
      <c r="BW406" s="341"/>
      <c r="BX406" s="345"/>
      <c r="BY406" s="341">
        <f>IF(ISERROR(BY176/BT176-1),"NM",(BY176/BT176-1))</f>
        <v>15.947368421052634</v>
      </c>
      <c r="BZ406" s="1099">
        <v>7</v>
      </c>
      <c r="CA406" s="1099">
        <v>1.8</v>
      </c>
      <c r="CB406" s="1099">
        <v>1.25</v>
      </c>
      <c r="CC406" s="345">
        <f t="shared" si="629"/>
        <v>2.6538126361655769</v>
      </c>
      <c r="CD406" s="332">
        <v>0.65</v>
      </c>
      <c r="CE406" s="332">
        <v>0.35</v>
      </c>
      <c r="CF406" s="332">
        <v>0.2</v>
      </c>
      <c r="CG406" s="332">
        <v>0.1</v>
      </c>
      <c r="CH406" s="332">
        <v>0.05</v>
      </c>
    </row>
    <row r="407" spans="1:86" ht="7.5" customHeight="1">
      <c r="A407" s="9"/>
      <c r="B407" s="9"/>
      <c r="C407" s="9"/>
      <c r="D407" s="9"/>
      <c r="E407" s="9"/>
      <c r="F407" s="9"/>
      <c r="G407" s="9"/>
      <c r="H407" s="259"/>
      <c r="I407" s="259"/>
      <c r="L407" s="66"/>
      <c r="M407" s="66"/>
      <c r="N407" s="66"/>
      <c r="O407" s="66"/>
      <c r="Q407" s="66"/>
      <c r="R407" s="66"/>
      <c r="S407" s="66"/>
      <c r="T407" s="66"/>
      <c r="V407" s="66"/>
      <c r="W407" s="66"/>
      <c r="X407" s="66"/>
      <c r="Y407" s="66"/>
      <c r="AA407" s="66"/>
      <c r="AB407" s="66"/>
      <c r="AC407" s="66"/>
      <c r="AD407" s="66"/>
      <c r="AF407" s="66"/>
      <c r="AG407" s="66"/>
      <c r="AH407" s="66"/>
      <c r="AI407" s="66"/>
      <c r="AK407" s="66"/>
      <c r="AL407" s="66"/>
      <c r="AM407" s="66"/>
      <c r="AN407" s="66"/>
      <c r="AO407" s="33"/>
      <c r="AP407" s="855"/>
      <c r="AQ407" s="855"/>
      <c r="AR407" s="855"/>
      <c r="AS407" s="855"/>
      <c r="AU407" s="855"/>
      <c r="AV407" s="855"/>
      <c r="AW407" s="855"/>
      <c r="AX407" s="855"/>
      <c r="AZ407" s="855"/>
      <c r="BA407" s="855"/>
      <c r="BB407" s="855"/>
      <c r="BC407" s="855"/>
      <c r="BE407" s="855"/>
      <c r="BF407" s="855"/>
      <c r="BG407" s="855"/>
      <c r="BH407" s="855"/>
      <c r="BJ407" s="855"/>
      <c r="BK407" s="855"/>
      <c r="BL407" s="855"/>
      <c r="BM407" s="855"/>
      <c r="BO407" s="1113"/>
      <c r="BP407" s="1113"/>
      <c r="BQ407" s="1113"/>
      <c r="BR407" s="1113"/>
      <c r="BT407" s="855"/>
      <c r="BU407" s="855"/>
      <c r="BV407" s="855"/>
      <c r="BW407" s="855"/>
      <c r="BY407" s="855"/>
      <c r="BZ407" s="1113"/>
      <c r="CA407" s="1113"/>
      <c r="CB407" s="1113"/>
    </row>
    <row r="408" spans="1:86">
      <c r="A408" s="9"/>
      <c r="B408" s="9"/>
      <c r="C408" s="9"/>
      <c r="D408" s="9"/>
      <c r="E408" s="9"/>
      <c r="F408" s="9"/>
      <c r="G408" s="9"/>
      <c r="H408" s="260" t="s">
        <v>285</v>
      </c>
      <c r="I408" s="260"/>
      <c r="J408" s="59"/>
      <c r="K408" s="59"/>
      <c r="L408" s="326">
        <v>-0.12769353551476481</v>
      </c>
      <c r="M408" s="326">
        <v>-4.641350210970463E-2</v>
      </c>
      <c r="N408" s="326">
        <v>-2.7829313543599299E-2</v>
      </c>
      <c r="O408" s="326">
        <v>-7.4249605055292212E-2</v>
      </c>
      <c r="P408" s="327">
        <v>-7.0307595731324501E-2</v>
      </c>
      <c r="Q408" s="326">
        <f t="shared" ref="Q408:T411" si="631">Q178/L178-1</f>
        <v>-0.19579139981701732</v>
      </c>
      <c r="R408" s="326">
        <f t="shared" si="631"/>
        <v>-0.38318584070796458</v>
      </c>
      <c r="S408" s="326">
        <f t="shared" si="631"/>
        <v>-0.44179389312977102</v>
      </c>
      <c r="T408" s="326">
        <f t="shared" si="631"/>
        <v>-0.5</v>
      </c>
      <c r="U408" s="327">
        <f t="shared" ref="U408:AD410" si="632">IF(ISERROR(U178/P178-1),"NM",(U178/P178-1))</f>
        <v>-0.38172406031960393</v>
      </c>
      <c r="V408" s="326">
        <f t="shared" si="632"/>
        <v>-0.34015927189988626</v>
      </c>
      <c r="W408" s="326">
        <f t="shared" si="632"/>
        <v>-0.22955523672883782</v>
      </c>
      <c r="X408" s="326">
        <f t="shared" si="632"/>
        <v>-8.7179487179487314E-2</v>
      </c>
      <c r="Y408" s="326">
        <f t="shared" si="632"/>
        <v>-2.9010238907849928E-2</v>
      </c>
      <c r="Z408" s="327">
        <f t="shared" si="632"/>
        <v>-0.19111758281761926</v>
      </c>
      <c r="AA408" s="326">
        <f t="shared" si="632"/>
        <v>-0.10862068965517235</v>
      </c>
      <c r="AB408" s="326">
        <f t="shared" si="632"/>
        <v>-9.3109869646182952E-3</v>
      </c>
      <c r="AC408" s="326">
        <f t="shared" si="632"/>
        <v>3.9325842696629421E-2</v>
      </c>
      <c r="AD408" s="326">
        <f t="shared" si="632"/>
        <v>-0.18629173989455183</v>
      </c>
      <c r="AE408" s="327">
        <f t="shared" ref="AE408:AN410" si="633">IF(ISERROR(AE178/Z178-1),"NM",(AE178/Z178-1))</f>
        <v>-6.975697569756989E-2</v>
      </c>
      <c r="AF408" s="326">
        <f t="shared" si="633"/>
        <v>-0.17021276595744683</v>
      </c>
      <c r="AG408" s="326">
        <f t="shared" si="633"/>
        <v>-0.15845864661654152</v>
      </c>
      <c r="AH408" s="326">
        <f t="shared" si="633"/>
        <v>-0.20000000000000029</v>
      </c>
      <c r="AI408" s="326">
        <f t="shared" si="633"/>
        <v>-5.8315334773218042E-2</v>
      </c>
      <c r="AJ408" s="327">
        <f t="shared" si="633"/>
        <v>-0.15012094823415556</v>
      </c>
      <c r="AK408" s="326">
        <f t="shared" si="633"/>
        <v>-3.2634032634032639E-2</v>
      </c>
      <c r="AL408" s="326">
        <f t="shared" si="633"/>
        <v>-5.9638150547241309E-2</v>
      </c>
      <c r="AM408" s="326">
        <f t="shared" si="633"/>
        <v>-9.9099099099098975E-2</v>
      </c>
      <c r="AN408" s="326">
        <f t="shared" si="633"/>
        <v>-3.2110091743119407E-2</v>
      </c>
      <c r="AO408" s="356">
        <f t="shared" ref="AO408:AX410" si="634">IF(ISERROR(AO178/AJ178-1),"NM",(AO178/AJ178-1))</f>
        <v>-5.6184892127284169E-2</v>
      </c>
      <c r="AP408" s="735">
        <f t="shared" si="634"/>
        <v>7.2289156626506035E-2</v>
      </c>
      <c r="AQ408" s="735">
        <f t="shared" si="634"/>
        <v>7.3634204275534243E-2</v>
      </c>
      <c r="AR408" s="735">
        <f t="shared" si="634"/>
        <v>7.5000000000000622E-3</v>
      </c>
      <c r="AS408" s="735">
        <f t="shared" si="634"/>
        <v>-0.2654028436018957</v>
      </c>
      <c r="AT408" s="737">
        <f t="shared" si="634"/>
        <v>-2.8950542822677949E-2</v>
      </c>
      <c r="AU408" s="735">
        <f t="shared" si="634"/>
        <v>0.66516853932584263</v>
      </c>
      <c r="AV408" s="735">
        <f t="shared" si="634"/>
        <v>0.46017699115044253</v>
      </c>
      <c r="AW408" s="735">
        <f t="shared" si="634"/>
        <v>0.45409429280397018</v>
      </c>
      <c r="AX408" s="735">
        <f t="shared" si="634"/>
        <v>1.0225806451612902</v>
      </c>
      <c r="AY408" s="737">
        <f t="shared" ref="AY408:BJ410" si="635">IF(ISERROR(AY178/AT178-1),"NM",(AY178/AT178-1))</f>
        <v>0.62360248447204958</v>
      </c>
      <c r="AZ408" s="735">
        <f t="shared" si="635"/>
        <v>-4.183535762483126E-2</v>
      </c>
      <c r="BA408" s="735">
        <f t="shared" si="635"/>
        <v>-0.12121212121212122</v>
      </c>
      <c r="BB408" s="735">
        <f t="shared" si="635"/>
        <v>5.9726962457337773E-2</v>
      </c>
      <c r="BC408" s="735">
        <f t="shared" si="635"/>
        <v>-7.0175438596491335E-2</v>
      </c>
      <c r="BD408" s="737">
        <f t="shared" si="635"/>
        <v>-4.5906656465187434E-2</v>
      </c>
      <c r="BE408" s="735">
        <f t="shared" si="635"/>
        <v>5.6338028169014009E-2</v>
      </c>
      <c r="BF408" s="735">
        <f t="shared" si="635"/>
        <v>0.33448275862068977</v>
      </c>
      <c r="BG408" s="735">
        <f t="shared" si="635"/>
        <v>0.17713365539452508</v>
      </c>
      <c r="BH408" s="735">
        <f t="shared" si="635"/>
        <v>5.1457975986278104E-2</v>
      </c>
      <c r="BI408" s="737">
        <f t="shared" ref="BI408:BN410" si="636">IF(ISERROR(BI178/BD178-1),"NM",(BI178/BD178-1))</f>
        <v>0.14995990376904578</v>
      </c>
      <c r="BJ408" s="735">
        <f t="shared" si="635"/>
        <v>-7.8666666666666774E-2</v>
      </c>
      <c r="BK408" s="735">
        <f t="shared" si="636"/>
        <v>-0.35012919896640826</v>
      </c>
      <c r="BL408" s="735">
        <f t="shared" si="636"/>
        <v>-0.33242134062927498</v>
      </c>
      <c r="BM408" s="735">
        <f t="shared" si="636"/>
        <v>-3.2626427406199143E-2</v>
      </c>
      <c r="BN408" s="737">
        <f t="shared" si="636"/>
        <v>-0.20676429567642962</v>
      </c>
      <c r="BO408" s="1104">
        <f t="shared" ref="BO408:BT408" si="637">IF(ISERROR(BO178/BJ178-1),"NM",(BO178/BJ178-1))</f>
        <v>-0.11143270622286539</v>
      </c>
      <c r="BP408" s="1104">
        <f t="shared" si="637"/>
        <v>2.9821073558647937E-2</v>
      </c>
      <c r="BQ408" s="1104">
        <f t="shared" si="637"/>
        <v>-1.8442622950819665E-2</v>
      </c>
      <c r="BR408" s="1104">
        <f t="shared" si="637"/>
        <v>-0.33558178752107926</v>
      </c>
      <c r="BS408" s="737">
        <f t="shared" si="637"/>
        <v>-0.1186813186813187</v>
      </c>
      <c r="BT408" s="1104">
        <f t="shared" si="637"/>
        <v>0.2019543973941369</v>
      </c>
      <c r="BU408" s="735">
        <f t="shared" ref="BU408:BY411" si="638">IF(ISERROR(BU178/BP178-1),"NM",(BU178/BP178-1))</f>
        <v>-4.054054054054046E-2</v>
      </c>
      <c r="BV408" s="735">
        <f t="shared" si="638"/>
        <v>0.27348643006263051</v>
      </c>
      <c r="BW408" s="735">
        <f t="shared" si="638"/>
        <v>0.44162436548223338</v>
      </c>
      <c r="BX408" s="737">
        <f t="shared" si="638"/>
        <v>0.2034912718204489</v>
      </c>
      <c r="BY408" s="1104">
        <f t="shared" si="638"/>
        <v>-4.471544715447151E-2</v>
      </c>
      <c r="BZ408" s="1104">
        <f t="shared" ref="BZ408:CC410" si="639">IF(ISERROR(BZ178/BU178-1),"NM",(BZ178/BU178-1))</f>
        <v>0.19617706237424537</v>
      </c>
      <c r="CA408" s="1104">
        <f t="shared" si="639"/>
        <v>-2.3934426229508032E-2</v>
      </c>
      <c r="CB408" s="1104">
        <f t="shared" si="639"/>
        <v>-7.0422535211266402E-3</v>
      </c>
      <c r="CC408" s="737">
        <f t="shared" si="639"/>
        <v>1.9021964359718035E-2</v>
      </c>
      <c r="CD408" s="737">
        <f t="shared" ref="CD408:CH410" si="640">IF(ISERROR(CD178/CC178-1),"NM",(CD178/CC178-1))</f>
        <v>-5.0000000000000044E-2</v>
      </c>
      <c r="CE408" s="737">
        <f t="shared" si="640"/>
        <v>-5.0000000000000044E-2</v>
      </c>
      <c r="CF408" s="737">
        <f t="shared" si="640"/>
        <v>-5.0000000000000155E-2</v>
      </c>
      <c r="CG408" s="737">
        <f t="shared" si="640"/>
        <v>-4.9999999999999933E-2</v>
      </c>
      <c r="CH408" s="737">
        <f t="shared" si="640"/>
        <v>-5.0000000000000044E-2</v>
      </c>
    </row>
    <row r="409" spans="1:86">
      <c r="A409" s="9"/>
      <c r="B409" s="9"/>
      <c r="C409" s="9"/>
      <c r="D409" s="9"/>
      <c r="E409" s="9"/>
      <c r="F409" s="9"/>
      <c r="G409" s="9"/>
      <c r="H409" s="257" t="s">
        <v>231</v>
      </c>
      <c r="I409" s="257"/>
      <c r="L409" s="325">
        <v>0.23928571428571432</v>
      </c>
      <c r="M409" s="325">
        <v>0.19191919191919182</v>
      </c>
      <c r="N409" s="325">
        <v>0.28063241106719361</v>
      </c>
      <c r="O409" s="325">
        <v>0.1151079136690647</v>
      </c>
      <c r="P409" s="48">
        <v>0.21033544877606536</v>
      </c>
      <c r="Q409" s="325">
        <f t="shared" si="631"/>
        <v>-0.40057636887608072</v>
      </c>
      <c r="R409" s="325">
        <f t="shared" si="631"/>
        <v>-0.90112994350282483</v>
      </c>
      <c r="S409" s="325">
        <f t="shared" si="631"/>
        <v>-0.96759259259259256</v>
      </c>
      <c r="T409" s="325">
        <f t="shared" si="631"/>
        <v>-1.0064516129032257</v>
      </c>
      <c r="U409" s="48">
        <f t="shared" si="632"/>
        <v>-0.81161048689138582</v>
      </c>
      <c r="V409" s="325">
        <f t="shared" si="632"/>
        <v>-1.0144230769230769</v>
      </c>
      <c r="W409" s="325">
        <f t="shared" si="632"/>
        <v>-0.91428571428571426</v>
      </c>
      <c r="X409" s="325">
        <f t="shared" si="632"/>
        <v>-0.90476190476190477</v>
      </c>
      <c r="Y409" s="325">
        <f t="shared" si="632"/>
        <v>-10.499999999999998</v>
      </c>
      <c r="Z409" s="48">
        <f t="shared" si="632"/>
        <v>-0.9125248508946322</v>
      </c>
      <c r="AA409" s="325">
        <f t="shared" si="632"/>
        <v>-2.6666666666666665</v>
      </c>
      <c r="AB409" s="325">
        <f t="shared" si="632"/>
        <v>-0.66666666666666663</v>
      </c>
      <c r="AC409" s="325">
        <f t="shared" si="632"/>
        <v>7.9999999999999982</v>
      </c>
      <c r="AD409" s="325">
        <f t="shared" si="632"/>
        <v>-0.78947368421052633</v>
      </c>
      <c r="AE409" s="48">
        <f t="shared" si="633"/>
        <v>-0.13636363636363635</v>
      </c>
      <c r="AF409" s="325">
        <f t="shared" si="633"/>
        <v>-0.8</v>
      </c>
      <c r="AG409" s="325">
        <f t="shared" si="633"/>
        <v>0</v>
      </c>
      <c r="AH409" s="325">
        <f t="shared" si="633"/>
        <v>-0.44444444444444442</v>
      </c>
      <c r="AI409" s="325">
        <f t="shared" si="633"/>
        <v>-1</v>
      </c>
      <c r="AJ409" s="48">
        <f t="shared" si="633"/>
        <v>-0.63157894736842113</v>
      </c>
      <c r="AK409" s="325">
        <f t="shared" si="633"/>
        <v>-1</v>
      </c>
      <c r="AL409" s="325">
        <f t="shared" si="633"/>
        <v>-2</v>
      </c>
      <c r="AM409" s="325">
        <f t="shared" si="633"/>
        <v>-0.6</v>
      </c>
      <c r="AN409" s="341" t="str">
        <f t="shared" si="633"/>
        <v>NM</v>
      </c>
      <c r="AO409" s="339">
        <f t="shared" si="634"/>
        <v>-0.8571428571428571</v>
      </c>
      <c r="AP409" s="341" t="str">
        <f t="shared" si="634"/>
        <v>NM</v>
      </c>
      <c r="AQ409" s="341">
        <f t="shared" si="634"/>
        <v>-1</v>
      </c>
      <c r="AR409" s="341">
        <f t="shared" si="634"/>
        <v>-1</v>
      </c>
      <c r="AS409" s="341" t="str">
        <f t="shared" si="634"/>
        <v>NM</v>
      </c>
      <c r="AT409" s="345">
        <f t="shared" si="634"/>
        <v>-1</v>
      </c>
      <c r="AU409" s="341" t="str">
        <f t="shared" si="634"/>
        <v>NM</v>
      </c>
      <c r="AV409" s="341" t="str">
        <f t="shared" si="634"/>
        <v>NM</v>
      </c>
      <c r="AW409" s="341" t="str">
        <f t="shared" si="634"/>
        <v>NM</v>
      </c>
      <c r="AX409" s="341" t="str">
        <f t="shared" si="634"/>
        <v>NM</v>
      </c>
      <c r="AY409" s="345" t="str">
        <f t="shared" si="635"/>
        <v>NM</v>
      </c>
      <c r="AZ409" s="341">
        <f t="shared" si="635"/>
        <v>-0.20221606648199442</v>
      </c>
      <c r="BA409" s="341">
        <f t="shared" si="635"/>
        <v>-0.1901408450704225</v>
      </c>
      <c r="BB409" s="341">
        <f t="shared" si="635"/>
        <v>-1.176470588235301E-2</v>
      </c>
      <c r="BC409" s="341">
        <f t="shared" si="635"/>
        <v>-0.37440758293838872</v>
      </c>
      <c r="BD409" s="345">
        <f t="shared" si="635"/>
        <v>-0.18811881188118806</v>
      </c>
      <c r="BE409" s="341">
        <f t="shared" si="635"/>
        <v>-0.27777777777777779</v>
      </c>
      <c r="BF409" s="341">
        <f t="shared" si="635"/>
        <v>0.34347826086956523</v>
      </c>
      <c r="BG409" s="341">
        <f t="shared" si="635"/>
        <v>0.17460317460317465</v>
      </c>
      <c r="BH409" s="341">
        <f t="shared" si="635"/>
        <v>6.8181818181818121E-2</v>
      </c>
      <c r="BI409" s="345">
        <f t="shared" si="636"/>
        <v>5.7649667405764937E-2</v>
      </c>
      <c r="BJ409" s="341">
        <f t="shared" si="635"/>
        <v>-0.35096153846153844</v>
      </c>
      <c r="BK409" s="341">
        <f t="shared" si="636"/>
        <v>-0.55987055016181231</v>
      </c>
      <c r="BL409" s="341">
        <f t="shared" si="636"/>
        <v>-0.60472972972972983</v>
      </c>
      <c r="BM409" s="341">
        <f t="shared" si="636"/>
        <v>0.19148936170212782</v>
      </c>
      <c r="BN409" s="345">
        <f t="shared" si="636"/>
        <v>-0.41719077568134177</v>
      </c>
      <c r="BO409" s="1103">
        <f t="shared" ref="BO409:BT409" si="641">IF(ISERROR(BO179/BJ179-1),"NM",(BO179/BJ179-1))</f>
        <v>-2.9629629629629672E-2</v>
      </c>
      <c r="BP409" s="1103">
        <f t="shared" si="641"/>
        <v>-0.16911764705882348</v>
      </c>
      <c r="BQ409" s="1103">
        <f t="shared" si="641"/>
        <v>-5.9829059829059728E-2</v>
      </c>
      <c r="BR409" s="1103">
        <f t="shared" si="641"/>
        <v>-0.55952380952380953</v>
      </c>
      <c r="BS409" s="345">
        <f>IF(ISERROR(BS179/BN179-1),"NM",(BS179/BN179-1))</f>
        <v>-0.23021582733812951</v>
      </c>
      <c r="BT409" s="1103">
        <f t="shared" si="641"/>
        <v>4.5801526717557328E-2</v>
      </c>
      <c r="BU409" s="341">
        <f t="shared" ref="BU409:BW411" si="642">IF(ISERROR(BU179/BP179-1),"NM",(BU179/BP179-1))</f>
        <v>-8.8495575221238965E-2</v>
      </c>
      <c r="BV409" s="341">
        <f t="shared" si="642"/>
        <v>-1.8181818181818077E-2</v>
      </c>
      <c r="BW409" s="341">
        <f t="shared" si="642"/>
        <v>1.189189189189189</v>
      </c>
      <c r="BX409" s="345">
        <f t="shared" si="638"/>
        <v>0.19158878504672905</v>
      </c>
      <c r="BY409" s="1103">
        <f t="shared" si="638"/>
        <v>0.52554744525547448</v>
      </c>
      <c r="BZ409" s="1103">
        <f t="shared" ref="BZ409:CB410" si="643">IF(ISERROR(BZ179/BU179-1),"NM",(BZ179/BU179-1))</f>
        <v>0.5</v>
      </c>
      <c r="CA409" s="1103">
        <f t="shared" si="643"/>
        <v>0.50000000000000022</v>
      </c>
      <c r="CB409" s="1103">
        <f t="shared" si="643"/>
        <v>0</v>
      </c>
      <c r="CC409" s="345">
        <f t="shared" si="639"/>
        <v>0.34803921568627461</v>
      </c>
      <c r="CD409" s="345">
        <f t="shared" si="640"/>
        <v>-5.0000000000000044E-2</v>
      </c>
      <c r="CE409" s="345">
        <f t="shared" si="640"/>
        <v>-5.0000000000000044E-2</v>
      </c>
      <c r="CF409" s="345">
        <f t="shared" si="640"/>
        <v>-5.0000000000000044E-2</v>
      </c>
      <c r="CG409" s="345">
        <f t="shared" si="640"/>
        <v>-4.9999999999999933E-2</v>
      </c>
      <c r="CH409" s="345">
        <f t="shared" si="640"/>
        <v>-5.0000000000000044E-2</v>
      </c>
    </row>
    <row r="410" spans="1:86">
      <c r="A410" s="9"/>
      <c r="B410" s="9"/>
      <c r="C410" s="9"/>
      <c r="D410" s="9"/>
      <c r="E410" s="9"/>
      <c r="F410" s="9"/>
      <c r="G410" s="9"/>
      <c r="H410" s="257" t="s">
        <v>232</v>
      </c>
      <c r="I410" s="257"/>
      <c r="L410" s="325">
        <v>-0.2332990750256938</v>
      </c>
      <c r="M410" s="325">
        <v>-0.12612612612612617</v>
      </c>
      <c r="N410" s="325">
        <v>-0.12242424242424232</v>
      </c>
      <c r="O410" s="325">
        <v>-0.12753036437246967</v>
      </c>
      <c r="P410" s="48">
        <v>-0.15405552531301014</v>
      </c>
      <c r="Q410" s="325">
        <f t="shared" si="631"/>
        <v>-0.10053619302949057</v>
      </c>
      <c r="R410" s="325">
        <f t="shared" si="631"/>
        <v>-0.14690721649484539</v>
      </c>
      <c r="S410" s="325">
        <f t="shared" si="631"/>
        <v>-0.20649171270718247</v>
      </c>
      <c r="T410" s="325">
        <f t="shared" si="631"/>
        <v>-0.3178654292343388</v>
      </c>
      <c r="U410" s="48">
        <f t="shared" si="632"/>
        <v>-0.19707207207207211</v>
      </c>
      <c r="V410" s="325">
        <f t="shared" si="632"/>
        <v>-0.13114754098360648</v>
      </c>
      <c r="W410" s="325">
        <f t="shared" si="632"/>
        <v>-0.19335347432024153</v>
      </c>
      <c r="X410" s="325">
        <f t="shared" si="632"/>
        <v>-7.223672758920785E-2</v>
      </c>
      <c r="Y410" s="325">
        <f t="shared" si="632"/>
        <v>-6.4625850340136015E-2</v>
      </c>
      <c r="Z410" s="48">
        <f t="shared" si="632"/>
        <v>-0.11841314365858546</v>
      </c>
      <c r="AA410" s="325">
        <f t="shared" si="632"/>
        <v>-0.12178387650085754</v>
      </c>
      <c r="AB410" s="325">
        <f t="shared" si="632"/>
        <v>-5.6179775280897903E-3</v>
      </c>
      <c r="AC410" s="325">
        <f t="shared" si="632"/>
        <v>2.4390243902438824E-2</v>
      </c>
      <c r="AD410" s="325">
        <f t="shared" si="632"/>
        <v>-0.16545454545454552</v>
      </c>
      <c r="AE410" s="48">
        <f t="shared" si="633"/>
        <v>-6.9090909090909203E-2</v>
      </c>
      <c r="AF410" s="325">
        <f t="shared" si="633"/>
        <v>-0.16406250000000011</v>
      </c>
      <c r="AG410" s="325">
        <f t="shared" si="633"/>
        <v>-0.15875706214689267</v>
      </c>
      <c r="AH410" s="325">
        <f t="shared" si="633"/>
        <v>-0.19597069597069605</v>
      </c>
      <c r="AI410" s="325">
        <f t="shared" si="633"/>
        <v>-5.0108932461873534E-2</v>
      </c>
      <c r="AJ410" s="48">
        <f t="shared" si="633"/>
        <v>-0.14565429687499998</v>
      </c>
      <c r="AK410" s="325">
        <f t="shared" si="633"/>
        <v>-3.0373831775700855E-2</v>
      </c>
      <c r="AL410" s="325">
        <f t="shared" si="633"/>
        <v>-5.5294381016341987E-2</v>
      </c>
      <c r="AM410" s="325">
        <f t="shared" si="633"/>
        <v>-9.3394077448747059E-2</v>
      </c>
      <c r="AN410" s="325">
        <f t="shared" si="633"/>
        <v>-3.2110091743119407E-2</v>
      </c>
      <c r="AO410" s="339">
        <f t="shared" si="634"/>
        <v>-5.2980510944733439E-2</v>
      </c>
      <c r="AP410" s="341">
        <f t="shared" si="634"/>
        <v>7.2289156626506035E-2</v>
      </c>
      <c r="AQ410" s="341">
        <f t="shared" si="634"/>
        <v>7.1090047393364664E-2</v>
      </c>
      <c r="AR410" s="341">
        <f t="shared" si="634"/>
        <v>1.256281407035198E-2</v>
      </c>
      <c r="AS410" s="341">
        <f t="shared" si="634"/>
        <v>-0.2654028436018957</v>
      </c>
      <c r="AT410" s="345">
        <f t="shared" si="634"/>
        <v>-2.836451418225705E-2</v>
      </c>
      <c r="AU410" s="341">
        <f t="shared" si="634"/>
        <v>-0.1460674157303371</v>
      </c>
      <c r="AV410" s="341">
        <f t="shared" si="634"/>
        <v>-0.16814159292035391</v>
      </c>
      <c r="AW410" s="341">
        <f t="shared" si="634"/>
        <v>-0.17866004962779158</v>
      </c>
      <c r="AX410" s="341">
        <f t="shared" si="634"/>
        <v>0.34193548387096784</v>
      </c>
      <c r="AY410" s="345">
        <f t="shared" si="635"/>
        <v>-6.6459627329192639E-2</v>
      </c>
      <c r="AZ410" s="341">
        <f t="shared" si="635"/>
        <v>0.11052631578947381</v>
      </c>
      <c r="BA410" s="341">
        <f t="shared" si="635"/>
        <v>-6.9148936170212782E-2</v>
      </c>
      <c r="BB410" s="341">
        <f t="shared" si="635"/>
        <v>0.11480362537764344</v>
      </c>
      <c r="BC410" s="341">
        <f t="shared" si="635"/>
        <v>8.4134615384615419E-2</v>
      </c>
      <c r="BD410" s="345">
        <f t="shared" si="635"/>
        <v>5.9214903526280782E-2</v>
      </c>
      <c r="BE410" s="341">
        <f t="shared" si="635"/>
        <v>0.28436018957345977</v>
      </c>
      <c r="BF410" s="341">
        <f t="shared" si="635"/>
        <v>0.32857142857142851</v>
      </c>
      <c r="BG410" s="341">
        <f t="shared" si="635"/>
        <v>0.17886178861788626</v>
      </c>
      <c r="BH410" s="341">
        <f t="shared" si="635"/>
        <v>4.6563192904656381E-2</v>
      </c>
      <c r="BI410" s="345">
        <f t="shared" si="636"/>
        <v>0.2022613065326635</v>
      </c>
      <c r="BJ410" s="341">
        <f t="shared" si="635"/>
        <v>2.5830258302582898E-2</v>
      </c>
      <c r="BK410" s="341">
        <f t="shared" si="636"/>
        <v>-0.21075268817204296</v>
      </c>
      <c r="BL410" s="341">
        <f t="shared" si="636"/>
        <v>-0.14712643678160919</v>
      </c>
      <c r="BM410" s="341">
        <f t="shared" si="636"/>
        <v>-9.9576271186440746E-2</v>
      </c>
      <c r="BN410" s="345">
        <f t="shared" si="636"/>
        <v>-0.10188087774294674</v>
      </c>
      <c r="BO410" s="1103">
        <f t="shared" ref="BO410:BT410" si="644">IF(ISERROR(BO180/BJ180-1),"NM",(BO180/BJ180-1))</f>
        <v>-0.13129496402877705</v>
      </c>
      <c r="BP410" s="1103">
        <f t="shared" si="644"/>
        <v>0.10354223433242504</v>
      </c>
      <c r="BQ410" s="1103">
        <f t="shared" si="644"/>
        <v>-5.3908355795149188E-3</v>
      </c>
      <c r="BR410" s="1103">
        <f t="shared" si="644"/>
        <v>-0.24705882352941178</v>
      </c>
      <c r="BS410" s="345">
        <f>IF(ISERROR(BS180/BN180-1),"NM",(BS180/BN180-1))</f>
        <v>-8.2606166375799983E-2</v>
      </c>
      <c r="BT410" s="1103">
        <f t="shared" si="644"/>
        <v>0.24430641821946186</v>
      </c>
      <c r="BU410" s="341">
        <f t="shared" si="642"/>
        <v>-2.716049382716057E-2</v>
      </c>
      <c r="BV410" s="341">
        <f t="shared" si="642"/>
        <v>0.36043360433604343</v>
      </c>
      <c r="BW410" s="341">
        <f t="shared" si="642"/>
        <v>0.26875000000000004</v>
      </c>
      <c r="BX410" s="345">
        <f t="shared" si="638"/>
        <v>0.20672162333544719</v>
      </c>
      <c r="BY410" s="1103">
        <f t="shared" si="638"/>
        <v>-0.17470881863560728</v>
      </c>
      <c r="BZ410" s="1103">
        <f t="shared" si="643"/>
        <v>0.11675126903553301</v>
      </c>
      <c r="CA410" s="1103">
        <f t="shared" si="643"/>
        <v>-0.13665338645418312</v>
      </c>
      <c r="CB410" s="1103">
        <f t="shared" si="643"/>
        <v>-9.8522167487684609E-3</v>
      </c>
      <c r="CC410" s="345">
        <f t="shared" si="639"/>
        <v>-6.915396741986346E-2</v>
      </c>
      <c r="CD410" s="345">
        <f t="shared" si="640"/>
        <v>-5.0000000000000044E-2</v>
      </c>
      <c r="CE410" s="345">
        <f t="shared" si="640"/>
        <v>-5.0000000000000044E-2</v>
      </c>
      <c r="CF410" s="345">
        <f t="shared" si="640"/>
        <v>-5.0000000000000044E-2</v>
      </c>
      <c r="CG410" s="345">
        <f t="shared" si="640"/>
        <v>-4.9999999999999933E-2</v>
      </c>
      <c r="CH410" s="345">
        <f t="shared" si="640"/>
        <v>-5.0000000000000044E-2</v>
      </c>
    </row>
    <row r="411" spans="1:86">
      <c r="A411" s="9"/>
      <c r="B411" s="9"/>
      <c r="C411" s="9"/>
      <c r="D411" s="9"/>
      <c r="E411" s="9"/>
      <c r="F411" s="9"/>
      <c r="G411" s="9"/>
      <c r="H411" s="264" t="s">
        <v>504</v>
      </c>
      <c r="I411" s="264"/>
      <c r="L411" s="328">
        <v>0.22171945701357454</v>
      </c>
      <c r="M411" s="328">
        <v>0.14017094017094012</v>
      </c>
      <c r="N411" s="328">
        <v>0.26205450733752622</v>
      </c>
      <c r="O411" s="328">
        <v>0.21325051759834368</v>
      </c>
      <c r="P411" s="329">
        <v>0.20533467539003536</v>
      </c>
      <c r="Q411" s="328">
        <f t="shared" si="631"/>
        <v>-0.14814814814814814</v>
      </c>
      <c r="R411" s="328">
        <f t="shared" si="631"/>
        <v>-0.42278860569715149</v>
      </c>
      <c r="S411" s="328">
        <f t="shared" si="631"/>
        <v>-0.5830564784053156</v>
      </c>
      <c r="T411" s="328">
        <f t="shared" si="631"/>
        <v>-0.58361774744027306</v>
      </c>
      <c r="U411" s="329">
        <f t="shared" ref="U411:AW411" si="645">IF(ISERROR(U181/P181-1),"NM",(U181/P181-1))</f>
        <v>-0.44050104384133615</v>
      </c>
      <c r="V411" s="328">
        <f t="shared" si="645"/>
        <v>-0.46521739130434792</v>
      </c>
      <c r="W411" s="328">
        <f t="shared" si="645"/>
        <v>-0.31428571428571428</v>
      </c>
      <c r="X411" s="328">
        <f t="shared" si="645"/>
        <v>-0.2310756972111554</v>
      </c>
      <c r="Y411" s="328">
        <f t="shared" si="645"/>
        <v>-0.12704918032786894</v>
      </c>
      <c r="Z411" s="329">
        <f t="shared" si="645"/>
        <v>-0.31641791044776124</v>
      </c>
      <c r="AA411" s="328">
        <f t="shared" si="645"/>
        <v>-7.3170731707316916E-2</v>
      </c>
      <c r="AB411" s="328">
        <f t="shared" si="645"/>
        <v>-7.1969696969697017E-2</v>
      </c>
      <c r="AC411" s="328">
        <f t="shared" si="645"/>
        <v>0.17098445595854916</v>
      </c>
      <c r="AD411" s="328">
        <f t="shared" si="645"/>
        <v>-0.20657276995305174</v>
      </c>
      <c r="AE411" s="329">
        <f t="shared" si="645"/>
        <v>-5.2401746724890952E-2</v>
      </c>
      <c r="AF411" s="328">
        <f t="shared" si="645"/>
        <v>-0.1228070175438597</v>
      </c>
      <c r="AG411" s="328">
        <f t="shared" si="645"/>
        <v>-1.2653061224489726E-2</v>
      </c>
      <c r="AH411" s="328">
        <f t="shared" si="645"/>
        <v>-5.3097345132743445E-2</v>
      </c>
      <c r="AI411" s="328">
        <f t="shared" si="645"/>
        <v>0.19526627218934922</v>
      </c>
      <c r="AJ411" s="329">
        <f t="shared" si="645"/>
        <v>-1.1635944700460588E-2</v>
      </c>
      <c r="AK411" s="328">
        <f t="shared" si="645"/>
        <v>4.4999999999999929E-2</v>
      </c>
      <c r="AL411" s="328">
        <f t="shared" si="645"/>
        <v>-5.7461761058288596E-2</v>
      </c>
      <c r="AM411" s="328">
        <f t="shared" si="645"/>
        <v>7.4766355140186924E-2</v>
      </c>
      <c r="AN411" s="328">
        <f t="shared" si="645"/>
        <v>9.9009900990099098E-3</v>
      </c>
      <c r="AO411" s="736">
        <f t="shared" si="645"/>
        <v>1.526984497027617E-2</v>
      </c>
      <c r="AP411" s="338">
        <f t="shared" si="645"/>
        <v>0.18660287081339733</v>
      </c>
      <c r="AQ411" s="338">
        <f t="shared" si="645"/>
        <v>7.4561403508771829E-2</v>
      </c>
      <c r="AR411" s="338">
        <f t="shared" si="645"/>
        <v>0.10000000000000009</v>
      </c>
      <c r="AS411" s="338">
        <f t="shared" si="645"/>
        <v>-0.33823529411764697</v>
      </c>
      <c r="AT411" s="736">
        <f t="shared" si="645"/>
        <v>1.1481056257175659E-2</v>
      </c>
      <c r="AU411" s="338">
        <f t="shared" si="645"/>
        <v>-0.21370967741935487</v>
      </c>
      <c r="AV411" s="338">
        <f t="shared" si="645"/>
        <v>-0.3510204081632653</v>
      </c>
      <c r="AW411" s="338">
        <f t="shared" si="645"/>
        <v>-0.35177865612648229</v>
      </c>
      <c r="AX411" s="338">
        <f t="shared" ref="AX411:BC411" si="646">IF(ISERROR(AX181/AS181-1),"NM",(AX181/AS181-1))</f>
        <v>6.6666666666666652E-2</v>
      </c>
      <c r="AY411" s="736">
        <f t="shared" si="646"/>
        <v>-0.24858115777525536</v>
      </c>
      <c r="AZ411" s="338">
        <f t="shared" si="646"/>
        <v>-7.1794871794871762E-2</v>
      </c>
      <c r="BA411" s="338">
        <f t="shared" si="646"/>
        <v>0.14465408805031443</v>
      </c>
      <c r="BB411" s="338">
        <f t="shared" si="646"/>
        <v>0.18292682926829262</v>
      </c>
      <c r="BC411" s="338">
        <f t="shared" si="646"/>
        <v>0.35416666666666674</v>
      </c>
      <c r="BD411" s="736">
        <f t="shared" ref="BD411:BT411" si="647">IF(ISERROR(BD181/AY181-1),"NM",(BD181/AY181-1))</f>
        <v>0.13595166163141981</v>
      </c>
      <c r="BE411" s="338">
        <f t="shared" si="647"/>
        <v>0.55248618784530379</v>
      </c>
      <c r="BF411" s="338">
        <f t="shared" si="647"/>
        <v>0.40109890109890123</v>
      </c>
      <c r="BG411" s="338">
        <f t="shared" si="647"/>
        <v>0.30927835051546393</v>
      </c>
      <c r="BH411" s="338">
        <f t="shared" si="647"/>
        <v>2.564102564102555E-2</v>
      </c>
      <c r="BI411" s="736">
        <f t="shared" si="647"/>
        <v>0.31648936170212782</v>
      </c>
      <c r="BJ411" s="338">
        <f t="shared" si="647"/>
        <v>1.0676156583629748E-2</v>
      </c>
      <c r="BK411" s="338">
        <f t="shared" si="647"/>
        <v>-0.20392156862745092</v>
      </c>
      <c r="BL411" s="338">
        <f t="shared" si="647"/>
        <v>-0.12204724409448808</v>
      </c>
      <c r="BM411" s="338">
        <f t="shared" si="647"/>
        <v>-3.499999999999992E-2</v>
      </c>
      <c r="BN411" s="736">
        <f t="shared" si="647"/>
        <v>-8.787878787878789E-2</v>
      </c>
      <c r="BO411" s="1105">
        <f t="shared" si="647"/>
        <v>-0.20070422535211263</v>
      </c>
      <c r="BP411" s="1105">
        <f t="shared" si="647"/>
        <v>0.19704433497536944</v>
      </c>
      <c r="BQ411" s="1105">
        <f t="shared" si="647"/>
        <v>5.3811659192825045E-2</v>
      </c>
      <c r="BR411" s="1105">
        <f t="shared" si="647"/>
        <v>-0.25388601036269431</v>
      </c>
      <c r="BS411" s="736">
        <f t="shared" si="647"/>
        <v>-5.980066445182719E-2</v>
      </c>
      <c r="BT411" s="1105">
        <f t="shared" si="647"/>
        <v>0.52863436123348029</v>
      </c>
      <c r="BU411" s="338">
        <f t="shared" si="642"/>
        <v>-0.28395061728395066</v>
      </c>
      <c r="BV411" s="338">
        <f t="shared" si="642"/>
        <v>-0.54042553191489362</v>
      </c>
      <c r="BW411" s="338">
        <f t="shared" si="642"/>
        <v>-4.166666666666663E-2</v>
      </c>
      <c r="BX411" s="736">
        <f t="shared" si="638"/>
        <v>-9.6584216725559502E-2</v>
      </c>
      <c r="BY411" s="1105"/>
      <c r="BZ411" s="1105"/>
      <c r="CA411" s="1105"/>
      <c r="CB411" s="1105"/>
      <c r="CC411" s="736"/>
      <c r="CD411" s="736"/>
      <c r="CE411" s="736"/>
      <c r="CF411" s="736"/>
      <c r="CG411" s="736"/>
      <c r="CH411" s="736"/>
    </row>
    <row r="412" spans="1:86">
      <c r="A412" s="9"/>
      <c r="B412" s="9"/>
      <c r="C412" s="9"/>
      <c r="D412" s="9"/>
      <c r="E412" s="9"/>
      <c r="F412" s="9"/>
      <c r="G412" s="9"/>
      <c r="H412" s="257" t="s">
        <v>231</v>
      </c>
      <c r="I412" s="257"/>
      <c r="L412" s="325">
        <v>1.1840000000000002</v>
      </c>
      <c r="M412" s="325">
        <v>0.46601941747572795</v>
      </c>
      <c r="N412" s="325">
        <v>0.79054054054054035</v>
      </c>
      <c r="O412" s="325">
        <v>0.52238805970149249</v>
      </c>
      <c r="P412" s="329">
        <v>0.68529411764705883</v>
      </c>
      <c r="Q412" s="325">
        <f t="shared" ref="Q412:T413" si="648">(Q182/L182)-1</f>
        <v>-0.23809523809523814</v>
      </c>
      <c r="R412" s="325">
        <f t="shared" si="648"/>
        <v>-0.89403973509933776</v>
      </c>
      <c r="S412" s="325">
        <f t="shared" si="648"/>
        <v>-0.96981132075471699</v>
      </c>
      <c r="T412" s="325">
        <f t="shared" si="648"/>
        <v>-1.0130718954248366</v>
      </c>
      <c r="U412" s="329">
        <f t="shared" ref="U412:AJ412" si="649">IF(ISERROR(U182/P182-1),"NM",(U182/P182-1))</f>
        <v>-0.78708551483420597</v>
      </c>
      <c r="V412" s="325">
        <f t="shared" si="649"/>
        <v>-1.0144230769230769</v>
      </c>
      <c r="W412" s="325">
        <f t="shared" si="649"/>
        <v>-1.0625</v>
      </c>
      <c r="X412" s="325">
        <f t="shared" si="649"/>
        <v>-1</v>
      </c>
      <c r="Y412" s="325">
        <f t="shared" si="649"/>
        <v>-1</v>
      </c>
      <c r="Z412" s="329">
        <f t="shared" si="649"/>
        <v>-1.0204918032786885</v>
      </c>
      <c r="AA412" s="325">
        <f t="shared" si="649"/>
        <v>-2.666666666666667</v>
      </c>
      <c r="AB412" s="325">
        <f t="shared" si="649"/>
        <v>-1</v>
      </c>
      <c r="AC412" s="341" t="str">
        <f t="shared" si="649"/>
        <v>NM</v>
      </c>
      <c r="AD412" s="341" t="str">
        <f t="shared" si="649"/>
        <v>NM</v>
      </c>
      <c r="AE412" s="712">
        <f t="shared" si="649"/>
        <v>-3.2</v>
      </c>
      <c r="AF412" s="711">
        <f t="shared" si="649"/>
        <v>-1</v>
      </c>
      <c r="AG412" s="341" t="str">
        <f t="shared" si="649"/>
        <v>NM</v>
      </c>
      <c r="AH412" s="341">
        <f t="shared" si="649"/>
        <v>-1</v>
      </c>
      <c r="AI412" s="341" t="str">
        <f t="shared" si="649"/>
        <v>NM</v>
      </c>
      <c r="AJ412" s="345">
        <f t="shared" si="649"/>
        <v>-1</v>
      </c>
      <c r="AK412" s="871"/>
      <c r="AL412" s="871"/>
      <c r="AM412" s="871"/>
      <c r="AN412" s="871"/>
      <c r="AO412" s="870"/>
      <c r="AP412" s="871"/>
      <c r="AQ412" s="871"/>
      <c r="AR412" s="871"/>
      <c r="AS412" s="871"/>
      <c r="AT412" s="870"/>
      <c r="AU412" s="871"/>
      <c r="AV412" s="871"/>
      <c r="AW412" s="871"/>
      <c r="AX412" s="871"/>
      <c r="AY412" s="870"/>
      <c r="AZ412" s="912"/>
      <c r="BA412" s="912"/>
      <c r="BB412" s="912"/>
      <c r="BC412" s="912"/>
      <c r="BD412" s="913"/>
      <c r="BE412" s="912"/>
      <c r="BF412" s="912"/>
      <c r="BG412" s="912"/>
      <c r="BH412" s="912"/>
      <c r="BI412" s="913"/>
      <c r="BJ412" s="912"/>
      <c r="BK412" s="912"/>
      <c r="BL412" s="912"/>
      <c r="BM412" s="912"/>
      <c r="BN412" s="913"/>
      <c r="BO412" s="1111"/>
      <c r="BP412" s="1111"/>
      <c r="BQ412" s="1111"/>
      <c r="BR412" s="1111"/>
      <c r="BS412" s="773"/>
      <c r="BT412" s="1111"/>
      <c r="BU412" s="912"/>
      <c r="BV412" s="912"/>
      <c r="BW412" s="912"/>
      <c r="BX412" s="773"/>
      <c r="BY412" s="1111"/>
      <c r="BZ412" s="1111"/>
      <c r="CA412" s="1111"/>
      <c r="CB412" s="1111"/>
      <c r="CC412" s="773"/>
      <c r="CD412" s="913"/>
      <c r="CE412" s="913"/>
      <c r="CF412" s="913"/>
      <c r="CG412" s="913"/>
      <c r="CH412" s="913"/>
    </row>
    <row r="413" spans="1:86">
      <c r="A413" s="9"/>
      <c r="B413" s="9"/>
      <c r="C413" s="9"/>
      <c r="D413" s="9"/>
      <c r="E413" s="9"/>
      <c r="F413" s="9"/>
      <c r="G413" s="9"/>
      <c r="H413" s="257" t="s">
        <v>232</v>
      </c>
      <c r="I413" s="257"/>
      <c r="L413" s="325">
        <v>-0.1577287066246057</v>
      </c>
      <c r="M413" s="325">
        <v>-3.6939313984168831E-2</v>
      </c>
      <c r="N413" s="325">
        <v>2.4316109422492627E-2</v>
      </c>
      <c r="O413" s="325">
        <v>0.03</v>
      </c>
      <c r="P413" s="48">
        <v>-4.4376434583014435E-2</v>
      </c>
      <c r="Q413" s="325">
        <f t="shared" si="648"/>
        <v>-5.6179775280898903E-2</v>
      </c>
      <c r="R413" s="325">
        <f t="shared" si="648"/>
        <v>-3.287671232876721E-2</v>
      </c>
      <c r="S413" s="325">
        <f t="shared" si="648"/>
        <v>-0.27893175074183985</v>
      </c>
      <c r="T413" s="325">
        <f t="shared" si="648"/>
        <v>-0.11428571428571421</v>
      </c>
      <c r="U413" s="276">
        <f t="shared" ref="U413:AG414" si="650">IF(ISERROR(U183/P183-1),"NM",(U183/P183-1))</f>
        <v>-0.12249799839871911</v>
      </c>
      <c r="V413" s="325">
        <f t="shared" si="650"/>
        <v>-1.1904761904761973E-2</v>
      </c>
      <c r="W413" s="325">
        <f t="shared" si="650"/>
        <v>-0.24645892351274779</v>
      </c>
      <c r="X413" s="325">
        <f t="shared" si="650"/>
        <v>-0.20576131687242794</v>
      </c>
      <c r="Y413" s="325">
        <f t="shared" si="650"/>
        <v>-0.1411290322580645</v>
      </c>
      <c r="Z413" s="276">
        <f t="shared" si="650"/>
        <v>-0.15967153284671531</v>
      </c>
      <c r="AA413" s="325">
        <f t="shared" si="650"/>
        <v>-0.10441767068273089</v>
      </c>
      <c r="AB413" s="325">
        <f t="shared" si="650"/>
        <v>-7.8947368421052655E-2</v>
      </c>
      <c r="AC413" s="325">
        <f t="shared" si="650"/>
        <v>0.13989637305699487</v>
      </c>
      <c r="AD413" s="325">
        <f t="shared" si="650"/>
        <v>-0.20657276995305174</v>
      </c>
      <c r="AE413" s="276">
        <f t="shared" si="650"/>
        <v>-6.9489685124864309E-2</v>
      </c>
      <c r="AF413" s="325">
        <f t="shared" si="650"/>
        <v>-0.10313901345291487</v>
      </c>
      <c r="AG413" s="325">
        <f t="shared" si="650"/>
        <v>-1.2653061224489726E-2</v>
      </c>
      <c r="AH413" s="325">
        <f t="shared" ref="AH413:BW413" si="651">IF(ISERROR(AH183/AC183-1),"NM",(AH183/AC183-1))</f>
        <v>-2.7272727272727337E-2</v>
      </c>
      <c r="AI413" s="325">
        <f t="shared" si="651"/>
        <v>0.19526627218934922</v>
      </c>
      <c r="AJ413" s="276">
        <f t="shared" si="651"/>
        <v>1.0501750291718182E-3</v>
      </c>
      <c r="AK413" s="325">
        <f t="shared" si="651"/>
        <v>4.4999999999999929E-2</v>
      </c>
      <c r="AL413" s="325">
        <f t="shared" si="651"/>
        <v>-5.7461761058288596E-2</v>
      </c>
      <c r="AM413" s="325">
        <f t="shared" si="651"/>
        <v>7.4766355140186924E-2</v>
      </c>
      <c r="AN413" s="325">
        <f t="shared" si="651"/>
        <v>9.9009900990099098E-3</v>
      </c>
      <c r="AO413" s="345">
        <f t="shared" si="651"/>
        <v>1.526984497027617E-2</v>
      </c>
      <c r="AP413" s="341">
        <f t="shared" si="651"/>
        <v>0.18660287081339733</v>
      </c>
      <c r="AQ413" s="341">
        <f t="shared" si="651"/>
        <v>7.4561403508771829E-2</v>
      </c>
      <c r="AR413" s="341">
        <f t="shared" si="651"/>
        <v>0.10000000000000009</v>
      </c>
      <c r="AS413" s="341">
        <f t="shared" si="651"/>
        <v>-0.33823529411764697</v>
      </c>
      <c r="AT413" s="345">
        <f t="shared" si="651"/>
        <v>1.1481056257175659E-2</v>
      </c>
      <c r="AU413" s="341">
        <f t="shared" si="651"/>
        <v>-0.21370967741935487</v>
      </c>
      <c r="AV413" s="341">
        <f t="shared" si="651"/>
        <v>-0.3510204081632653</v>
      </c>
      <c r="AW413" s="341">
        <f t="shared" si="651"/>
        <v>-0.35177865612648229</v>
      </c>
      <c r="AX413" s="341">
        <f t="shared" si="651"/>
        <v>6.6666666666666652E-2</v>
      </c>
      <c r="AY413" s="345">
        <f t="shared" si="651"/>
        <v>-0.24858115777525536</v>
      </c>
      <c r="AZ413" s="341">
        <f t="shared" si="651"/>
        <v>-7.1794871794871762E-2</v>
      </c>
      <c r="BA413" s="341">
        <f t="shared" si="651"/>
        <v>0.14465408805031443</v>
      </c>
      <c r="BB413" s="341">
        <f t="shared" si="651"/>
        <v>0.18292682926829262</v>
      </c>
      <c r="BC413" s="341">
        <f t="shared" si="651"/>
        <v>0.35416666666666674</v>
      </c>
      <c r="BD413" s="345">
        <f t="shared" si="651"/>
        <v>0.13595166163141981</v>
      </c>
      <c r="BE413" s="341">
        <f t="shared" si="651"/>
        <v>0.55248618784530379</v>
      </c>
      <c r="BF413" s="341">
        <f t="shared" si="651"/>
        <v>0.40109890109890123</v>
      </c>
      <c r="BG413" s="341">
        <f t="shared" si="651"/>
        <v>0.30927835051546393</v>
      </c>
      <c r="BH413" s="341">
        <f t="shared" si="651"/>
        <v>2.564102564102555E-2</v>
      </c>
      <c r="BI413" s="345">
        <f>IF(ISERROR(BI183/BD183-1),"NM",(BI183/BD183-1))</f>
        <v>0.31648936170212782</v>
      </c>
      <c r="BJ413" s="341">
        <f t="shared" si="651"/>
        <v>1.0676156583629748E-2</v>
      </c>
      <c r="BK413" s="341">
        <f t="shared" si="651"/>
        <v>-0.20392156862745092</v>
      </c>
      <c r="BL413" s="341">
        <f t="shared" si="651"/>
        <v>-0.12204724409448808</v>
      </c>
      <c r="BM413" s="341">
        <f t="shared" si="651"/>
        <v>-3.499999999999992E-2</v>
      </c>
      <c r="BN413" s="345">
        <f>IF(ISERROR(BN183/BI183-1),"NM",(BN183/BI183-1))</f>
        <v>-8.787878787878789E-2</v>
      </c>
      <c r="BO413" s="341">
        <f t="shared" si="651"/>
        <v>-0.20070422535211263</v>
      </c>
      <c r="BP413" s="341">
        <f t="shared" si="651"/>
        <v>0.19704433497536944</v>
      </c>
      <c r="BQ413" s="341">
        <f t="shared" si="651"/>
        <v>5.3811659192825045E-2</v>
      </c>
      <c r="BR413" s="341">
        <f t="shared" si="651"/>
        <v>-0.25388601036269431</v>
      </c>
      <c r="BS413" s="345">
        <f>IF(ISERROR(BS183/BN183-1),"NM",(BS183/BN183-1))</f>
        <v>-5.980066445182719E-2</v>
      </c>
      <c r="BT413" s="341">
        <f t="shared" si="651"/>
        <v>0.52863436123348029</v>
      </c>
      <c r="BU413" s="341">
        <f t="shared" si="651"/>
        <v>-0.28395061728395066</v>
      </c>
      <c r="BV413" s="341">
        <f t="shared" si="651"/>
        <v>-0.54042553191489362</v>
      </c>
      <c r="BW413" s="341">
        <f t="shared" si="651"/>
        <v>-4.166666666666663E-2</v>
      </c>
      <c r="BX413" s="345">
        <f>IF(ISERROR(BX183/BS183-1),"NM",(BX183/BS183-1))</f>
        <v>-9.6584216725559502E-2</v>
      </c>
      <c r="BY413" s="341"/>
      <c r="BZ413" s="1106"/>
      <c r="CA413" s="1106"/>
      <c r="CB413" s="1106"/>
      <c r="CC413" s="345"/>
      <c r="CD413" s="909"/>
      <c r="CE413" s="909"/>
      <c r="CF413" s="909"/>
      <c r="CG413" s="909"/>
      <c r="CH413" s="909"/>
    </row>
    <row r="414" spans="1:86">
      <c r="A414" s="9"/>
      <c r="B414" s="9"/>
      <c r="C414" s="9"/>
      <c r="D414" s="9"/>
      <c r="E414" s="9"/>
      <c r="F414" s="9"/>
      <c r="G414" s="9"/>
      <c r="H414" s="266" t="s">
        <v>298</v>
      </c>
      <c r="I414" s="266"/>
      <c r="L414" s="328">
        <v>-0.48031496062992129</v>
      </c>
      <c r="M414" s="328">
        <v>-0.5617977528089888</v>
      </c>
      <c r="N414" s="328">
        <v>-0.40697674418604646</v>
      </c>
      <c r="O414" s="328">
        <v>-6.7307692307692069E-2</v>
      </c>
      <c r="P414" s="330">
        <v>-0.37684729064039413</v>
      </c>
      <c r="Q414" s="328">
        <f>Q184/L184-1</f>
        <v>2.0303030303030303</v>
      </c>
      <c r="R414" s="328">
        <f>R184/M184-1</f>
        <v>2.5641025641025643</v>
      </c>
      <c r="S414" s="328">
        <f>S184/N184-1</f>
        <v>1.6274509803921573</v>
      </c>
      <c r="T414" s="328">
        <f>T184/O184-1</f>
        <v>0.94845360824742264</v>
      </c>
      <c r="U414" s="330">
        <f t="shared" si="650"/>
        <v>1.616600790513834</v>
      </c>
      <c r="V414" s="328">
        <f t="shared" si="650"/>
        <v>-0.15999999999999992</v>
      </c>
      <c r="W414" s="328">
        <f t="shared" si="650"/>
        <v>8.6330935251798468E-2</v>
      </c>
      <c r="X414" s="328">
        <f t="shared" si="650"/>
        <v>0.27611940298507442</v>
      </c>
      <c r="Y414" s="328">
        <f t="shared" si="650"/>
        <v>2.6455026455026509E-2</v>
      </c>
      <c r="Z414" s="330">
        <f t="shared" si="650"/>
        <v>3.3232628398791375E-2</v>
      </c>
      <c r="AA414" s="328">
        <f t="shared" si="650"/>
        <v>-0.14880952380952384</v>
      </c>
      <c r="AB414" s="328">
        <f t="shared" si="650"/>
        <v>-0.13907284768211914</v>
      </c>
      <c r="AC414" s="328">
        <f t="shared" si="650"/>
        <v>-8.7719298245613864E-2</v>
      </c>
      <c r="AD414" s="328">
        <f t="shared" si="650"/>
        <v>-0.28865979381443285</v>
      </c>
      <c r="AE414" s="330">
        <f t="shared" si="650"/>
        <v>-0.17105263157894735</v>
      </c>
      <c r="AF414" s="328">
        <f t="shared" si="650"/>
        <v>-0.3776223776223776</v>
      </c>
      <c r="AG414" s="328">
        <f t="shared" si="650"/>
        <v>-0.40846153846153854</v>
      </c>
      <c r="AH414" s="328">
        <f t="shared" ref="AH414:AT414" si="652">IF(ISERROR(AH184/AC184-1),"NM",(AH184/AC184-1))</f>
        <v>-0.46794871794871795</v>
      </c>
      <c r="AI414" s="328">
        <f t="shared" si="652"/>
        <v>-0.37681159420289856</v>
      </c>
      <c r="AJ414" s="330">
        <f t="shared" si="652"/>
        <v>-0.40934744268077594</v>
      </c>
      <c r="AK414" s="328">
        <f t="shared" si="652"/>
        <v>-0.17977528089887651</v>
      </c>
      <c r="AL414" s="328">
        <f t="shared" si="652"/>
        <v>-0.4018205461638491</v>
      </c>
      <c r="AM414" s="328">
        <f t="shared" si="652"/>
        <v>-0.26506024096385539</v>
      </c>
      <c r="AN414" s="328">
        <f t="shared" si="652"/>
        <v>-0.15116279069767435</v>
      </c>
      <c r="AO414" s="352">
        <f t="shared" si="652"/>
        <v>-0.24455061212302187</v>
      </c>
      <c r="AP414" s="338">
        <f t="shared" si="652"/>
        <v>-8.2191780821917804E-2</v>
      </c>
      <c r="AQ414" s="338">
        <f t="shared" si="652"/>
        <v>0.17391304347826075</v>
      </c>
      <c r="AR414" s="338">
        <f t="shared" si="652"/>
        <v>-0.31147540983606559</v>
      </c>
      <c r="AS414" s="338">
        <f t="shared" si="652"/>
        <v>-0.45205479452054798</v>
      </c>
      <c r="AT414" s="736">
        <f t="shared" si="652"/>
        <v>-0.19762845849802368</v>
      </c>
      <c r="AU414" s="338">
        <f t="shared" ref="AU414:BY415" si="653">IF(ISERROR(AU184/AP184-1),"NM",(AU184/AP184-1))</f>
        <v>7.1492537313432845</v>
      </c>
      <c r="AV414" s="338">
        <f t="shared" si="653"/>
        <v>8.2777777777777768</v>
      </c>
      <c r="AW414" s="338">
        <f t="shared" si="653"/>
        <v>9.0476190476190474</v>
      </c>
      <c r="AX414" s="338">
        <f t="shared" si="653"/>
        <v>11.075000000000001</v>
      </c>
      <c r="AY414" s="736">
        <f t="shared" si="653"/>
        <v>8.6157635467980285</v>
      </c>
      <c r="AZ414" s="338">
        <f t="shared" si="653"/>
        <v>-3.1135531135531025E-2</v>
      </c>
      <c r="BA414" s="338">
        <f t="shared" si="653"/>
        <v>-0.20558882235528952</v>
      </c>
      <c r="BB414" s="338">
        <f t="shared" si="653"/>
        <v>1.1848341232227444E-2</v>
      </c>
      <c r="BC414" s="338">
        <f t="shared" si="653"/>
        <v>-0.19668737060041419</v>
      </c>
      <c r="BD414" s="736">
        <f t="shared" si="653"/>
        <v>-0.10758196721311475</v>
      </c>
      <c r="BE414" s="338">
        <f t="shared" si="653"/>
        <v>-0.11342155009451793</v>
      </c>
      <c r="BF414" s="338">
        <f t="shared" si="653"/>
        <v>0.30402010050251271</v>
      </c>
      <c r="BG414" s="338">
        <f t="shared" si="653"/>
        <v>0.11709601873536291</v>
      </c>
      <c r="BH414" s="338">
        <f t="shared" si="653"/>
        <v>6.4432989690721865E-2</v>
      </c>
      <c r="BI414" s="736">
        <f>IF(ISERROR(BI184/BD184-1),"NM",(BI184/BD184-1))</f>
        <v>7.8071182548794527E-2</v>
      </c>
      <c r="BJ414" s="338">
        <f t="shared" si="653"/>
        <v>-0.13219616204690832</v>
      </c>
      <c r="BK414" s="338">
        <f t="shared" si="653"/>
        <v>-0.4219653179190751</v>
      </c>
      <c r="BL414" s="338">
        <f t="shared" si="653"/>
        <v>-0.44444444444444453</v>
      </c>
      <c r="BM414" s="338">
        <f t="shared" si="653"/>
        <v>-3.14769975786926E-2</v>
      </c>
      <c r="BN414" s="736">
        <f>IF(ISERROR(BN184/BI184-1),"NM",(BN184/BI184-1))</f>
        <v>-0.26943556975505867</v>
      </c>
      <c r="BO414" s="338">
        <f t="shared" si="653"/>
        <v>-4.9140049140049324E-2</v>
      </c>
      <c r="BP414" s="338">
        <f t="shared" si="653"/>
        <v>-8.333333333333337E-2</v>
      </c>
      <c r="BQ414" s="1105">
        <f>IF(ISERROR(BQ184/BL184-1),"NM",(BQ184/BL184-1))</f>
        <v>-7.9245283018868018E-2</v>
      </c>
      <c r="BR414" s="1105">
        <f>IF(ISERROR(BR184/BM184-1),"NM",(BR184/BM184-1))</f>
        <v>-0.375</v>
      </c>
      <c r="BS414" s="736">
        <f>IF(ISERROR(BS184/BN184-1),"NM",(BS184/BN184-1))</f>
        <v>-0.1574344023323615</v>
      </c>
      <c r="BT414" s="338">
        <f t="shared" si="653"/>
        <v>1.0335917312661369E-2</v>
      </c>
      <c r="BU414" s="338">
        <f>IF(ISERROR(BU184/BP184-1),"NM",(BU184/BP184-1))</f>
        <v>0.17454545454545434</v>
      </c>
      <c r="BV414" s="338">
        <f>IF(ISERROR(BV184/BQ184-1),"NM",(BV184/BQ184-1))</f>
        <v>1.057377049180328</v>
      </c>
      <c r="BW414" s="338">
        <f>IF(ISERROR(BW184/BR184-1),"NM",(BW184/BR184-1))</f>
        <v>0.72</v>
      </c>
      <c r="BX414" s="736">
        <f>IF(ISERROR(BX184/BS184-1),"NM",(BX184/BS184-1))</f>
        <v>0.42387543252595172</v>
      </c>
      <c r="BY414" s="338">
        <f t="shared" si="653"/>
        <v>0.80306905370844017</v>
      </c>
      <c r="BZ414" s="1105">
        <f>IF(ISERROR(BZ184/BU184-1),"NM",(BZ184/BU184-1))</f>
        <v>0.84055727554179582</v>
      </c>
      <c r="CA414" s="1105">
        <f>IF(ISERROR(CA184/BV184-1),"NM",(CA184/BV184-1))</f>
        <v>0.18605577689243047</v>
      </c>
      <c r="CB414" s="1105">
        <f>IF(ISERROR(CB184/BW184-1),"NM",(CB184/BW184-1))</f>
        <v>0.31162790697674425</v>
      </c>
      <c r="CC414" s="736">
        <f>IF(ISERROR(CC184/BX184-1),"NM",(CC184/BX184-1))</f>
        <v>0.49386391251518802</v>
      </c>
      <c r="CD414" s="736">
        <f>IF(ISERROR(CD184/CC184-1),"NM",(CD184/CC184-1))</f>
        <v>-5.0000000000000044E-2</v>
      </c>
      <c r="CE414" s="736">
        <f>IF(ISERROR(CE184/CD184-1),"NM",(CE184/CD184-1))</f>
        <v>-5.0000000000000044E-2</v>
      </c>
      <c r="CF414" s="736">
        <f>IF(ISERROR(CF184/CE184-1),"NM",(CF184/CE184-1))</f>
        <v>-5.0000000000000155E-2</v>
      </c>
      <c r="CG414" s="736">
        <f>IF(ISERROR(CG184/CF184-1),"NM",(CG184/CF184-1))</f>
        <v>-4.9999999999999933E-2</v>
      </c>
      <c r="CH414" s="736">
        <f>IF(ISERROR(CH184/CG184-1),"NM",(CH184/CG184-1))</f>
        <v>-5.0000000000000044E-2</v>
      </c>
    </row>
    <row r="415" spans="1:86">
      <c r="A415" s="9"/>
      <c r="B415" s="9"/>
      <c r="C415" s="9"/>
      <c r="D415" s="9"/>
      <c r="E415" s="9"/>
      <c r="F415" s="9"/>
      <c r="G415" s="9"/>
      <c r="H415" s="257" t="s">
        <v>231</v>
      </c>
      <c r="I415" s="257"/>
      <c r="L415" s="325"/>
      <c r="M415" s="325"/>
      <c r="N415" s="325"/>
      <c r="O415" s="325"/>
      <c r="P415" s="48"/>
      <c r="Q415" s="325"/>
      <c r="R415" s="325"/>
      <c r="S415" s="325"/>
      <c r="T415" s="325"/>
      <c r="U415" s="330"/>
      <c r="V415" s="325"/>
      <c r="W415" s="325"/>
      <c r="X415" s="325"/>
      <c r="Y415" s="325">
        <f>Y185/T185-1</f>
        <v>8.4999999999999982</v>
      </c>
      <c r="Z415" s="330"/>
      <c r="AA415" s="325"/>
      <c r="AB415" s="325"/>
      <c r="AC415" s="325"/>
      <c r="AD415" s="325"/>
      <c r="AE415" s="330"/>
      <c r="AF415" s="325"/>
      <c r="AG415" s="325"/>
      <c r="AH415" s="325"/>
      <c r="AI415" s="325"/>
      <c r="AJ415" s="330"/>
      <c r="AK415" s="325"/>
      <c r="AL415" s="325"/>
      <c r="AM415" s="325"/>
      <c r="AN415" s="325"/>
      <c r="AO415" s="352"/>
      <c r="AP415" s="341"/>
      <c r="AQ415" s="341"/>
      <c r="AR415" s="338"/>
      <c r="AS415" s="338"/>
      <c r="AT415" s="736"/>
      <c r="AU415" s="341" t="str">
        <f t="shared" si="653"/>
        <v>NM</v>
      </c>
      <c r="AV415" s="341" t="str">
        <f t="shared" si="653"/>
        <v>NM</v>
      </c>
      <c r="AW415" s="341" t="str">
        <f t="shared" si="653"/>
        <v>NM</v>
      </c>
      <c r="AX415" s="341" t="str">
        <f t="shared" si="653"/>
        <v>NM</v>
      </c>
      <c r="AY415" s="345" t="str">
        <f t="shared" si="653"/>
        <v>NM</v>
      </c>
      <c r="AZ415" s="341">
        <f t="shared" si="653"/>
        <v>-0.20221606648199442</v>
      </c>
      <c r="BA415" s="341">
        <f t="shared" si="653"/>
        <v>-0.1901408450704225</v>
      </c>
      <c r="BB415" s="341">
        <f t="shared" si="653"/>
        <v>-1.176470588235301E-2</v>
      </c>
      <c r="BC415" s="341">
        <f t="shared" si="653"/>
        <v>-0.37440758293838872</v>
      </c>
      <c r="BD415" s="345">
        <f t="shared" si="653"/>
        <v>-0.18811881188118806</v>
      </c>
      <c r="BE415" s="341">
        <f t="shared" si="653"/>
        <v>-0.27777777777777779</v>
      </c>
      <c r="BF415" s="341">
        <f t="shared" si="653"/>
        <v>0.34347826086956523</v>
      </c>
      <c r="BG415" s="341">
        <f t="shared" si="653"/>
        <v>0.17460317460317465</v>
      </c>
      <c r="BH415" s="341">
        <f t="shared" si="653"/>
        <v>6.8181818181818121E-2</v>
      </c>
      <c r="BI415" s="345">
        <f>IF(ISERROR(BI185/BD185-1),"NM",(BI185/BD185-1))</f>
        <v>5.7649667405764937E-2</v>
      </c>
      <c r="BJ415" s="341">
        <f t="shared" si="653"/>
        <v>-0.35096153846153844</v>
      </c>
      <c r="BK415" s="341">
        <f t="shared" si="653"/>
        <v>-0.55987055016181231</v>
      </c>
      <c r="BL415" s="341">
        <f t="shared" si="653"/>
        <v>-0.60472972972972983</v>
      </c>
      <c r="BM415" s="341">
        <f t="shared" si="653"/>
        <v>0.19148936170212782</v>
      </c>
      <c r="BN415" s="345">
        <f>IF(ISERROR(BN185/BI185-1),"NM",(BN185/BI185-1))</f>
        <v>-0.41719077568134177</v>
      </c>
      <c r="BO415" s="341">
        <f t="shared" si="653"/>
        <v>-2.9629629629629672E-2</v>
      </c>
      <c r="BP415" s="341">
        <f t="shared" si="653"/>
        <v>-0.16911764705882348</v>
      </c>
      <c r="BQ415" s="341">
        <f t="shared" si="653"/>
        <v>-5.9829059829059728E-2</v>
      </c>
      <c r="BR415" s="341">
        <f t="shared" si="653"/>
        <v>-0.55952380952380953</v>
      </c>
      <c r="BS415" s="345">
        <f>IF(ISERROR(BS185/BN185-1),"NM",(BS185/BN185-1))</f>
        <v>-0.23021582733812951</v>
      </c>
      <c r="BT415" s="341">
        <f t="shared" si="653"/>
        <v>4.5801526717557328E-2</v>
      </c>
      <c r="BU415" s="341">
        <f t="shared" si="653"/>
        <v>-8.8495575221238965E-2</v>
      </c>
      <c r="BV415" s="341">
        <f t="shared" si="653"/>
        <v>-1.8181818181818077E-2</v>
      </c>
      <c r="BW415" s="341">
        <f t="shared" si="653"/>
        <v>1.189189189189189</v>
      </c>
      <c r="BX415" s="345">
        <f>IF(ISERROR(BX185/BS185-1),"NM",(BX185/BS185-1))</f>
        <v>0.19158878504672905</v>
      </c>
      <c r="BY415" s="341">
        <f t="shared" si="653"/>
        <v>0.52554744525547448</v>
      </c>
      <c r="BZ415" s="1106">
        <v>0.5</v>
      </c>
      <c r="CA415" s="1106">
        <v>0.5</v>
      </c>
      <c r="CB415" s="1106">
        <v>0</v>
      </c>
      <c r="CC415" s="345">
        <f>IF(ISERROR(CC185/BX185-1),"NM",(CC185/BX185-1))</f>
        <v>0.34803921568627461</v>
      </c>
      <c r="CD415" s="909">
        <v>-0.05</v>
      </c>
      <c r="CE415" s="909">
        <v>-0.05</v>
      </c>
      <c r="CF415" s="909">
        <v>-0.05</v>
      </c>
      <c r="CG415" s="909">
        <v>-0.05</v>
      </c>
      <c r="CH415" s="909">
        <v>-0.05</v>
      </c>
    </row>
    <row r="416" spans="1:86">
      <c r="A416" s="9"/>
      <c r="B416" s="9"/>
      <c r="C416" s="9"/>
      <c r="D416" s="9"/>
      <c r="E416" s="9"/>
      <c r="F416" s="9"/>
      <c r="G416" s="9"/>
      <c r="H416" s="257" t="s">
        <v>232</v>
      </c>
      <c r="I416" s="257"/>
      <c r="L416" s="325">
        <v>-0.5078125</v>
      </c>
      <c r="M416" s="325">
        <v>-0.6</v>
      </c>
      <c r="N416" s="325">
        <v>-0.45348837209302317</v>
      </c>
      <c r="O416" s="325">
        <v>-0.45</v>
      </c>
      <c r="P416" s="48">
        <v>-0.40886699507389157</v>
      </c>
      <c r="Q416" s="325">
        <f t="shared" ref="Q416:T417" si="654">Q186/L186-1</f>
        <v>2.1746031746031749</v>
      </c>
      <c r="R416" s="325">
        <f t="shared" si="654"/>
        <v>2.7777777777777777</v>
      </c>
      <c r="S416" s="325">
        <f t="shared" si="654"/>
        <v>1.7978723404255317</v>
      </c>
      <c r="T416" s="325">
        <f t="shared" si="654"/>
        <v>0.9893617021276595</v>
      </c>
      <c r="U416" s="48">
        <f t="shared" ref="U416:BY416" si="655">IF(ISERROR(U186/P186-1),"NM",(U186/P186-1))</f>
        <v>1.7270833333333333</v>
      </c>
      <c r="V416" s="325">
        <f t="shared" si="655"/>
        <v>-0.16500000000000004</v>
      </c>
      <c r="W416" s="325">
        <f t="shared" si="655"/>
        <v>7.3529411764705843E-2</v>
      </c>
      <c r="X416" s="325">
        <f t="shared" si="655"/>
        <v>0.28517110266159684</v>
      </c>
      <c r="Y416" s="325">
        <f t="shared" si="655"/>
        <v>-6.417112299465233E-2</v>
      </c>
      <c r="Z416" s="48">
        <f t="shared" si="655"/>
        <v>3.8197097020624682E-3</v>
      </c>
      <c r="AA416" s="325">
        <f t="shared" si="655"/>
        <v>-0.14371257485029931</v>
      </c>
      <c r="AB416" s="325">
        <f t="shared" si="655"/>
        <v>-0.11643835616438347</v>
      </c>
      <c r="AC416" s="325">
        <f t="shared" si="655"/>
        <v>-9.467455621301768E-2</v>
      </c>
      <c r="AD416" s="325">
        <f t="shared" si="655"/>
        <v>-0.23428571428571432</v>
      </c>
      <c r="AE416" s="276">
        <f t="shared" si="655"/>
        <v>-0.1491628614916285</v>
      </c>
      <c r="AF416" s="325">
        <f t="shared" si="655"/>
        <v>-0.38461538461538458</v>
      </c>
      <c r="AG416" s="325">
        <f t="shared" si="655"/>
        <v>-0.41162790697674423</v>
      </c>
      <c r="AH416" s="325">
        <f t="shared" si="655"/>
        <v>-0.49019607843137258</v>
      </c>
      <c r="AI416" s="325">
        <f t="shared" si="655"/>
        <v>-0.35820895522388063</v>
      </c>
      <c r="AJ416" s="276">
        <f>IF(ISERROR(AJ186/AE186-1),"NM",(AJ186/AE186-1))</f>
        <v>-0.41341681574239719</v>
      </c>
      <c r="AK416" s="325">
        <f t="shared" si="655"/>
        <v>-0.17045454545454553</v>
      </c>
      <c r="AL416" s="325">
        <f t="shared" si="655"/>
        <v>-0.38076416337285901</v>
      </c>
      <c r="AM416" s="325">
        <f t="shared" si="655"/>
        <v>-0.2435897435897435</v>
      </c>
      <c r="AN416" s="325">
        <f t="shared" si="655"/>
        <v>-0.15116279069767435</v>
      </c>
      <c r="AO416" s="345">
        <f>IF(ISERROR(AO186/AJ186-1),"NM",(AO186/AJ186-1))</f>
        <v>-0.23147301006404397</v>
      </c>
      <c r="AP416" s="341">
        <f t="shared" si="655"/>
        <v>-8.2191780821917804E-2</v>
      </c>
      <c r="AQ416" s="341">
        <f t="shared" si="655"/>
        <v>0.14893617021276606</v>
      </c>
      <c r="AR416" s="341">
        <f t="shared" si="655"/>
        <v>-0.28813559322033899</v>
      </c>
      <c r="AS416" s="341">
        <f t="shared" si="655"/>
        <v>-0.45205479452054798</v>
      </c>
      <c r="AT416" s="345">
        <f>IF(ISERROR(AT186/AO186-1),"NM",(AT186/AO186-1))</f>
        <v>-0.19444444444444442</v>
      </c>
      <c r="AU416" s="341">
        <f t="shared" si="655"/>
        <v>1.761194029850746</v>
      </c>
      <c r="AV416" s="341">
        <f t="shared" si="655"/>
        <v>3.018518518518519</v>
      </c>
      <c r="AW416" s="341">
        <f t="shared" si="655"/>
        <v>2.9761904761904767</v>
      </c>
      <c r="AX416" s="341">
        <f t="shared" si="655"/>
        <v>5.8000000000000007</v>
      </c>
      <c r="AY416" s="345">
        <f>IF(ISERROR(AY186/AT186-1),"NM",(AY186/AT186-1))</f>
        <v>3.1428571428571432</v>
      </c>
      <c r="AZ416" s="341">
        <f t="shared" si="655"/>
        <v>0.30270270270270272</v>
      </c>
      <c r="BA416" s="341">
        <f t="shared" si="655"/>
        <v>-0.22580645161290325</v>
      </c>
      <c r="BB416" s="341">
        <f t="shared" si="655"/>
        <v>4.7904191616766179E-2</v>
      </c>
      <c r="BC416" s="341">
        <f t="shared" si="655"/>
        <v>-5.8823529411764719E-2</v>
      </c>
      <c r="BD416" s="345">
        <f>IF(ISERROR(BD186/AY186-1),"NM",(BD186/AY186-1))</f>
        <v>-1.1890606420928984E-3</v>
      </c>
      <c r="BE416" s="341">
        <f t="shared" si="655"/>
        <v>8.2987551867219844E-2</v>
      </c>
      <c r="BF416" s="341">
        <f t="shared" si="655"/>
        <v>0.25</v>
      </c>
      <c r="BG416" s="341">
        <f t="shared" si="655"/>
        <v>3.4285714285714475E-2</v>
      </c>
      <c r="BH416" s="341">
        <f t="shared" si="655"/>
        <v>6.25E-2</v>
      </c>
      <c r="BI416" s="345">
        <f>IF(ISERROR(BI186/BD186-1),"NM",(BI186/BD186-1))</f>
        <v>0.10000000000000009</v>
      </c>
      <c r="BJ416" s="341">
        <f t="shared" si="655"/>
        <v>4.2145593869731934E-2</v>
      </c>
      <c r="BK416" s="341">
        <f t="shared" si="655"/>
        <v>-0.21904761904761894</v>
      </c>
      <c r="BL416" s="341">
        <f t="shared" si="655"/>
        <v>-0.18232044198895025</v>
      </c>
      <c r="BM416" s="341">
        <f t="shared" si="655"/>
        <v>-0.14705882352941191</v>
      </c>
      <c r="BN416" s="345">
        <f>IF(ISERROR(BN186/BI186-1),"NM",(BN186/BI186-1))</f>
        <v>-0.11688311688311681</v>
      </c>
      <c r="BO416" s="341">
        <f t="shared" si="655"/>
        <v>-5.882352941176483E-2</v>
      </c>
      <c r="BP416" s="341">
        <f t="shared" si="655"/>
        <v>-1.2195121951219634E-2</v>
      </c>
      <c r="BQ416" s="341">
        <f t="shared" si="655"/>
        <v>-9.4594594594594739E-2</v>
      </c>
      <c r="BR416" s="341">
        <f t="shared" si="655"/>
        <v>-0.24137931034482751</v>
      </c>
      <c r="BS416" s="345">
        <f>IF(ISERROR(BS186/BN186-1),"NM",(BS186/BN186-1))</f>
        <v>-0.10784313725490213</v>
      </c>
      <c r="BT416" s="341">
        <f t="shared" si="655"/>
        <v>-7.8125E-3</v>
      </c>
      <c r="BU416" s="341">
        <f t="shared" si="655"/>
        <v>0.35802469135802473</v>
      </c>
      <c r="BV416" s="341">
        <f t="shared" si="655"/>
        <v>1.9402985074626873</v>
      </c>
      <c r="BW416" s="341">
        <f t="shared" si="655"/>
        <v>0.52272727272727271</v>
      </c>
      <c r="BX416" s="345">
        <f>IF(ISERROR(BX186/BS186-1),"NM",(BX186/BS186-1))</f>
        <v>0.56043956043956067</v>
      </c>
      <c r="BY416" s="341">
        <f t="shared" si="655"/>
        <v>0.95275590551181111</v>
      </c>
      <c r="BZ416" s="1106">
        <v>1</v>
      </c>
      <c r="CA416" s="1106">
        <v>0.1</v>
      </c>
      <c r="CB416" s="1106">
        <v>0.5</v>
      </c>
      <c r="CC416" s="345">
        <f>IF(ISERROR(CC186/BX186-1),"NM",(CC186/BX186-1))</f>
        <v>0.55933098591549268</v>
      </c>
      <c r="CD416" s="909">
        <v>-0.05</v>
      </c>
      <c r="CE416" s="909">
        <v>-0.05</v>
      </c>
      <c r="CF416" s="909">
        <v>-0.05</v>
      </c>
      <c r="CG416" s="909">
        <v>-0.05</v>
      </c>
      <c r="CH416" s="909">
        <v>-0.05</v>
      </c>
    </row>
    <row r="417" spans="1:86" hidden="1">
      <c r="A417" s="9"/>
      <c r="B417" s="9"/>
      <c r="C417" s="9"/>
      <c r="D417" s="9"/>
      <c r="E417" s="9"/>
      <c r="F417" s="9"/>
      <c r="G417" s="9"/>
      <c r="H417" s="304" t="s">
        <v>503</v>
      </c>
      <c r="I417" s="304"/>
      <c r="L417" s="328">
        <v>-9.8092643051771122E-2</v>
      </c>
      <c r="M417" s="328">
        <v>-2.9411764705882359E-2</v>
      </c>
      <c r="N417" s="328">
        <v>-0.13504823151125411</v>
      </c>
      <c r="O417" s="328">
        <v>-0.26806526806526809</v>
      </c>
      <c r="P417" s="330">
        <v>-0.14389534883720922</v>
      </c>
      <c r="Q417" s="328">
        <f t="shared" si="654"/>
        <v>-0.33836858006042303</v>
      </c>
      <c r="R417" s="328">
        <f t="shared" si="654"/>
        <v>-0.34469696969696961</v>
      </c>
      <c r="S417" s="328">
        <f t="shared" si="654"/>
        <v>-0.25650557620817838</v>
      </c>
      <c r="T417" s="328">
        <f t="shared" si="654"/>
        <v>-0.51273885350318471</v>
      </c>
      <c r="U417" s="330">
        <f t="shared" ref="U417:AI417" si="656">IF(ISERROR(U187/P187-1),"NM",(U187/P187-1))</f>
        <v>-0.36757215619694394</v>
      </c>
      <c r="V417" s="328">
        <f t="shared" si="656"/>
        <v>-0.24200913242009137</v>
      </c>
      <c r="W417" s="328">
        <f t="shared" si="656"/>
        <v>-0.2947976878612717</v>
      </c>
      <c r="X417" s="328">
        <f t="shared" si="656"/>
        <v>-0.15000000000000002</v>
      </c>
      <c r="Y417" s="328">
        <f t="shared" si="656"/>
        <v>5.8823529411764719E-2</v>
      </c>
      <c r="Z417" s="330">
        <f t="shared" si="656"/>
        <v>-0.16510067114093951</v>
      </c>
      <c r="AA417" s="328">
        <f t="shared" si="656"/>
        <v>-0.12048192771084332</v>
      </c>
      <c r="AB417" s="328">
        <f t="shared" si="656"/>
        <v>0.28688524590163933</v>
      </c>
      <c r="AC417" s="328">
        <f t="shared" si="656"/>
        <v>1.7647058823529349E-2</v>
      </c>
      <c r="AD417" s="328">
        <f t="shared" si="656"/>
        <v>-3.7037037037036979E-2</v>
      </c>
      <c r="AE417" s="330">
        <f t="shared" si="656"/>
        <v>1.607717041800627E-2</v>
      </c>
      <c r="AF417" s="328">
        <f t="shared" si="656"/>
        <v>-4.1095890410958846E-2</v>
      </c>
      <c r="AG417" s="328">
        <f t="shared" si="656"/>
        <v>-0.17898089171974518</v>
      </c>
      <c r="AH417" s="328">
        <f t="shared" si="656"/>
        <v>-0.1502890173410405</v>
      </c>
      <c r="AI417" s="328">
        <f t="shared" si="656"/>
        <v>-5.1282051282051211E-2</v>
      </c>
      <c r="AJ417" s="330">
        <f>IF(ISERROR(AJ187/AE187-1),"NM",(AJ187/AE187-1))</f>
        <v>-0.10775316455696193</v>
      </c>
      <c r="AK417" s="328">
        <f>IF(ISERROR(AK187/AF187-1),"NM",(AK187/AF187-1))</f>
        <v>-4.9999999999999933E-2</v>
      </c>
      <c r="AL417" s="328">
        <f>IF(ISERROR(AL187/AG187-1),"NM",(AL187/AG187-1))</f>
        <v>0.14041892940263767</v>
      </c>
      <c r="AM417" s="328">
        <f>IF(ISERROR(AM187/AH187-1),"NM",(AM187/AH187-1))</f>
        <v>-0.25850340136054417</v>
      </c>
      <c r="AN417" s="328">
        <f>IF(ISERROR(AN187/AI187-1),"NM",(AN187/AI187-1))</f>
        <v>-2.0270270270270285E-2</v>
      </c>
      <c r="AO417" s="352">
        <f>IF(ISERROR(AO187/AJ187-1),"NM",(AO187/AJ187-1))</f>
        <v>-5.3023585742152934E-2</v>
      </c>
      <c r="AP417" s="338">
        <f>IF(ISERROR(AP187/AK187-1),"NM",(AP187/AK187-1))</f>
        <v>-2.2556390977443663E-2</v>
      </c>
      <c r="AQ417" s="338">
        <f>IF(ISERROR(AQ187/AL187-1),"NM",(AQ187/AL187-1))</f>
        <v>4.081632653061229E-2</v>
      </c>
      <c r="AR417" s="338">
        <f>IF(ISERROR(AR187/AM187-1),"NM",(AR187/AM187-1))</f>
        <v>-9.1743119266054496E-3</v>
      </c>
      <c r="AS417" s="338">
        <f>IF(ISERROR(AS187/AN187-1),"NM",(AS187/AN187-1))</f>
        <v>-6.8965517241379337E-2</v>
      </c>
      <c r="AT417" s="736">
        <f>IF(ISERROR(AT187/AO187-1),"NM",(AT187/AO187-1))</f>
        <v>-1.4981273408239626E-2</v>
      </c>
      <c r="AU417" s="338">
        <f>IF(ISERROR(AU187/AP187-1),"NM",(AU187/AP187-1))</f>
        <v>0.48461538461538467</v>
      </c>
      <c r="AV417" s="338">
        <f>IF(ISERROR(AV187/AQ187-1),"NM",(AV187/AQ187-1))</f>
        <v>-0.24836601307189543</v>
      </c>
      <c r="AW417" s="338">
        <f>IF(ISERROR(AW187/AR187-1),"NM",(AW187/AR187-1))</f>
        <v>-1.8518518518518601E-2</v>
      </c>
      <c r="AX417" s="338">
        <f>IF(ISERROR(AX187/AS187-1),"NM",(AX187/AS187-1))</f>
        <v>3.7037037037036979E-2</v>
      </c>
      <c r="AY417" s="736">
        <f>IF(ISERROR(AY187/AT187-1),"NM",(AY187/AT187-1))</f>
        <v>5.323193916349811E-2</v>
      </c>
      <c r="AZ417" s="910"/>
      <c r="BA417" s="910"/>
      <c r="BB417" s="910"/>
      <c r="BC417" s="910"/>
      <c r="BD417" s="782"/>
      <c r="BE417" s="338"/>
      <c r="BF417" s="338"/>
      <c r="BG417" s="338"/>
      <c r="BH417" s="338"/>
      <c r="BI417" s="782"/>
      <c r="BJ417" s="910"/>
      <c r="BK417" s="910"/>
      <c r="BL417" s="910"/>
      <c r="BM417" s="910"/>
      <c r="BN417" s="782"/>
      <c r="BO417" s="1112"/>
      <c r="BP417" s="1112"/>
      <c r="BQ417" s="1112"/>
      <c r="BR417" s="1112"/>
      <c r="BS417" s="782"/>
      <c r="BT417" s="910"/>
      <c r="BU417" s="910"/>
      <c r="BV417" s="910"/>
      <c r="BW417" s="910"/>
      <c r="BX417" s="782"/>
      <c r="BY417" s="910"/>
      <c r="BZ417" s="1112"/>
      <c r="CA417" s="1112"/>
      <c r="CB417" s="1112"/>
      <c r="CC417" s="782"/>
      <c r="CD417" s="782"/>
      <c r="CE417" s="782"/>
      <c r="CF417" s="782"/>
      <c r="CG417" s="782"/>
      <c r="CH417" s="782"/>
    </row>
    <row r="418" spans="1:86" hidden="1">
      <c r="A418" s="9"/>
      <c r="B418" s="9"/>
      <c r="C418" s="9"/>
      <c r="D418" s="9"/>
      <c r="E418" s="9"/>
      <c r="F418" s="9"/>
      <c r="G418" s="9"/>
      <c r="H418" s="279" t="s">
        <v>231</v>
      </c>
      <c r="I418" s="279"/>
      <c r="L418" s="331"/>
      <c r="M418" s="331"/>
      <c r="N418" s="331"/>
      <c r="O418" s="331"/>
      <c r="P418" s="337"/>
      <c r="Q418" s="331"/>
      <c r="R418" s="331"/>
      <c r="S418" s="331"/>
      <c r="T418" s="331"/>
      <c r="U418" s="48"/>
      <c r="V418" s="331"/>
      <c r="W418" s="331"/>
      <c r="X418" s="331"/>
      <c r="Y418" s="331"/>
      <c r="Z418" s="48"/>
      <c r="AA418" s="331"/>
      <c r="AB418" s="331"/>
      <c r="AC418" s="331"/>
      <c r="AD418" s="331"/>
      <c r="AE418" s="337"/>
      <c r="AF418" s="331"/>
      <c r="AG418" s="331"/>
      <c r="AH418" s="331"/>
      <c r="AI418" s="331"/>
      <c r="AJ418" s="337"/>
      <c r="AK418" s="871"/>
      <c r="AL418" s="871"/>
      <c r="AM418" s="871"/>
      <c r="AN418" s="871"/>
      <c r="AO418" s="870"/>
      <c r="AP418" s="871"/>
      <c r="AQ418" s="871"/>
      <c r="AR418" s="871"/>
      <c r="AS418" s="871"/>
      <c r="AT418" s="870"/>
      <c r="AU418" s="871"/>
      <c r="AV418" s="871"/>
      <c r="AW418" s="871"/>
      <c r="AX418" s="871"/>
      <c r="AY418" s="870"/>
      <c r="AZ418" s="912"/>
      <c r="BA418" s="912"/>
      <c r="BB418" s="912"/>
      <c r="BC418" s="912"/>
      <c r="BD418" s="913"/>
      <c r="BE418" s="342"/>
      <c r="BF418" s="342"/>
      <c r="BG418" s="342"/>
      <c r="BH418" s="342"/>
      <c r="BI418" s="913"/>
      <c r="BJ418" s="912"/>
      <c r="BK418" s="912"/>
      <c r="BL418" s="912"/>
      <c r="BM418" s="912"/>
      <c r="BN418" s="913"/>
      <c r="BO418" s="1111"/>
      <c r="BP418" s="1111"/>
      <c r="BQ418" s="1111"/>
      <c r="BR418" s="1111"/>
      <c r="BS418" s="773"/>
      <c r="BT418" s="912"/>
      <c r="BU418" s="912"/>
      <c r="BV418" s="912"/>
      <c r="BW418" s="912"/>
      <c r="BX418" s="913"/>
      <c r="BY418" s="912"/>
      <c r="BZ418" s="1111"/>
      <c r="CA418" s="1111"/>
      <c r="CB418" s="1111"/>
      <c r="CC418" s="913"/>
      <c r="CD418" s="913"/>
      <c r="CE418" s="913"/>
      <c r="CF418" s="913"/>
      <c r="CG418" s="913"/>
      <c r="CH418" s="913"/>
    </row>
    <row r="419" spans="1:86" hidden="1">
      <c r="A419" s="9"/>
      <c r="B419" s="9"/>
      <c r="C419" s="9"/>
      <c r="D419" s="9"/>
      <c r="E419" s="9"/>
      <c r="F419" s="9"/>
      <c r="G419" s="9"/>
      <c r="H419" s="279" t="s">
        <v>232</v>
      </c>
      <c r="I419" s="279"/>
      <c r="L419" s="325">
        <v>-9.5628415300546443E-2</v>
      </c>
      <c r="M419" s="325">
        <v>-2.9411764705882359E-2</v>
      </c>
      <c r="N419" s="325">
        <v>-0.13225806451612909</v>
      </c>
      <c r="O419" s="325">
        <v>-0.15</v>
      </c>
      <c r="P419" s="48">
        <v>-0.14389534883720922</v>
      </c>
      <c r="Q419" s="325">
        <f>Q189/L189-1</f>
        <v>-0.33836858006042303</v>
      </c>
      <c r="R419" s="325">
        <f>R189/M189-1</f>
        <v>-0.34469696969696961</v>
      </c>
      <c r="S419" s="325">
        <f>S189/N189-1</f>
        <v>-0.25650557620817838</v>
      </c>
      <c r="T419" s="325">
        <f>T189/O189-1</f>
        <v>-0.51273885350318471</v>
      </c>
      <c r="U419" s="48">
        <f t="shared" ref="U419:AI419" si="657">IF(ISERROR(U189/P189-1),"NM",(U189/P189-1))</f>
        <v>-0.36757215619694394</v>
      </c>
      <c r="V419" s="325">
        <f t="shared" si="657"/>
        <v>-0.23744292237442921</v>
      </c>
      <c r="W419" s="325">
        <f t="shared" si="657"/>
        <v>-0.2947976878612717</v>
      </c>
      <c r="X419" s="325">
        <f t="shared" si="657"/>
        <v>-0.14499999999999991</v>
      </c>
      <c r="Y419" s="325">
        <f t="shared" si="657"/>
        <v>5.8823529411764719E-2</v>
      </c>
      <c r="Z419" s="48">
        <f t="shared" si="657"/>
        <v>-0.16510067114093951</v>
      </c>
      <c r="AA419" s="325">
        <f t="shared" si="657"/>
        <v>-0.12574850299401197</v>
      </c>
      <c r="AB419" s="325">
        <f t="shared" si="657"/>
        <v>0.28688524590163933</v>
      </c>
      <c r="AC419" s="325">
        <f t="shared" si="657"/>
        <v>1.1695906432748426E-2</v>
      </c>
      <c r="AD419" s="325">
        <f t="shared" si="657"/>
        <v>-3.7037037037036979E-2</v>
      </c>
      <c r="AE419" s="276">
        <f t="shared" si="657"/>
        <v>1.607717041800627E-2</v>
      </c>
      <c r="AF419" s="325">
        <f t="shared" si="657"/>
        <v>-4.1095890410958846E-2</v>
      </c>
      <c r="AG419" s="325">
        <f t="shared" si="657"/>
        <v>-0.17898089171974518</v>
      </c>
      <c r="AH419" s="325">
        <f t="shared" si="657"/>
        <v>-0.1502890173410405</v>
      </c>
      <c r="AI419" s="325">
        <f t="shared" si="657"/>
        <v>-5.1282051282051211E-2</v>
      </c>
      <c r="AJ419" s="276">
        <f>(AJ189/AE189)-1</f>
        <v>-0.10775316455696193</v>
      </c>
      <c r="AK419" s="325">
        <f>IF(ISERROR(AK189/AF189-1),"NM",(AK189/AF189-1))</f>
        <v>-4.9999999999999933E-2</v>
      </c>
      <c r="AL419" s="325">
        <f>IF(ISERROR(AL189/AG189-1),"NM",(AL189/AG189-1))</f>
        <v>0.14041892940263767</v>
      </c>
      <c r="AM419" s="325">
        <f>IF(ISERROR(AM189/AH189-1),"NM",(AM189/AH189-1))</f>
        <v>-0.25850340136054417</v>
      </c>
      <c r="AN419" s="325">
        <f>IF(ISERROR(AN189/AI189-1),"NM",(AN189/AI189-1))</f>
        <v>-2.0270270270270285E-2</v>
      </c>
      <c r="AO419" s="345">
        <f>(AO189/AJ189)-1</f>
        <v>-5.3023585742152934E-2</v>
      </c>
      <c r="AP419" s="341">
        <f>IF(ISERROR(AP189/AK189-1),"NM",(AP189/AK189-1))</f>
        <v>-2.2556390977443663E-2</v>
      </c>
      <c r="AQ419" s="341">
        <f>IF(ISERROR(AQ189/AL189-1),"NM",(AQ189/AL189-1))</f>
        <v>4.081632653061229E-2</v>
      </c>
      <c r="AR419" s="341">
        <f>IF(ISERROR(AR189/AM189-1),"NM",(AR189/AM189-1))</f>
        <v>-9.1743119266054496E-3</v>
      </c>
      <c r="AS419" s="341">
        <f>IF(ISERROR(AS189/AN189-1),"NM",(AS189/AN189-1))</f>
        <v>-6.8965517241379337E-2</v>
      </c>
      <c r="AT419" s="339">
        <f>(AT189/AO189)-1</f>
        <v>-1.4981273408239626E-2</v>
      </c>
      <c r="AU419" s="341">
        <f>IF(ISERROR(AU189/AP189-1),"NM",(AU189/AP189-1))</f>
        <v>0.48461538461538467</v>
      </c>
      <c r="AV419" s="341">
        <f>IF(ISERROR(AV189/AQ189-1),"NM",(AV189/AQ189-1))</f>
        <v>-0.24836601307189543</v>
      </c>
      <c r="AW419" s="341">
        <f>IF(ISERROR(AW189/AR189-1),"NM",(AW189/AR189-1))</f>
        <v>-1.8518518518518601E-2</v>
      </c>
      <c r="AX419" s="341">
        <f>IF(ISERROR(AX189/AS189-1),"NM",(AX189/AS189-1))</f>
        <v>3.7037037037036979E-2</v>
      </c>
      <c r="AY419" s="339">
        <f>(AY189/AT189)-1</f>
        <v>5.323193916349811E-2</v>
      </c>
      <c r="AZ419" s="912"/>
      <c r="BA419" s="912"/>
      <c r="BB419" s="912"/>
      <c r="BC419" s="912"/>
      <c r="BD419" s="913"/>
      <c r="BE419" s="342"/>
      <c r="BF419" s="342"/>
      <c r="BG419" s="342"/>
      <c r="BH419" s="342"/>
      <c r="BI419" s="913"/>
      <c r="BJ419" s="912"/>
      <c r="BK419" s="912"/>
      <c r="BL419" s="912"/>
      <c r="BM419" s="912"/>
      <c r="BN419" s="913"/>
      <c r="BO419" s="1111"/>
      <c r="BP419" s="1111"/>
      <c r="BQ419" s="1111"/>
      <c r="BR419" s="1111"/>
      <c r="BS419" s="773"/>
      <c r="BT419" s="912"/>
      <c r="BU419" s="912"/>
      <c r="BV419" s="912"/>
      <c r="BW419" s="912"/>
      <c r="BX419" s="913"/>
      <c r="BY419" s="912"/>
      <c r="BZ419" s="1111"/>
      <c r="CA419" s="1111"/>
      <c r="CB419" s="1111"/>
      <c r="CC419" s="913"/>
      <c r="CD419" s="913"/>
      <c r="CE419" s="913"/>
      <c r="CF419" s="913"/>
      <c r="CG419" s="913"/>
      <c r="CH419" s="913"/>
    </row>
    <row r="420" spans="1:86" hidden="1">
      <c r="A420" s="9"/>
      <c r="B420" s="9"/>
      <c r="C420" s="9"/>
      <c r="D420" s="9"/>
      <c r="E420" s="9"/>
      <c r="F420" s="9"/>
      <c r="G420" s="9"/>
      <c r="H420" s="304" t="s">
        <v>411</v>
      </c>
      <c r="I420" s="304"/>
      <c r="L420" s="328">
        <v>-0.51256281407035176</v>
      </c>
      <c r="M420" s="328">
        <v>-0.38842975206611574</v>
      </c>
      <c r="N420" s="328">
        <v>-0.34482758620689657</v>
      </c>
      <c r="O420" s="328">
        <v>-0.70588235294117641</v>
      </c>
      <c r="P420" s="330">
        <v>-0.49189189189189186</v>
      </c>
      <c r="Q420" s="328"/>
      <c r="R420" s="328"/>
      <c r="S420" s="328"/>
      <c r="T420" s="328"/>
      <c r="U420" s="330"/>
      <c r="V420" s="328"/>
      <c r="W420" s="328"/>
      <c r="X420" s="328"/>
      <c r="Y420" s="328"/>
      <c r="Z420" s="330"/>
      <c r="AA420" s="328"/>
      <c r="AB420" s="328"/>
      <c r="AC420" s="328"/>
      <c r="AD420" s="328"/>
      <c r="AE420" s="330"/>
      <c r="AF420" s="328"/>
      <c r="AG420" s="328"/>
      <c r="AH420" s="328"/>
      <c r="AI420" s="328"/>
      <c r="AJ420" s="330"/>
      <c r="AK420" s="328"/>
      <c r="AL420" s="328"/>
      <c r="AM420" s="328"/>
      <c r="AN420" s="328"/>
      <c r="AO420" s="352"/>
      <c r="AP420" s="338"/>
      <c r="AQ420" s="338"/>
      <c r="AR420" s="338"/>
      <c r="AS420" s="338"/>
      <c r="AT420" s="736"/>
      <c r="AU420" s="338"/>
      <c r="AV420" s="338"/>
      <c r="AW420" s="338"/>
      <c r="AX420" s="338"/>
      <c r="AY420" s="736"/>
      <c r="AZ420" s="338"/>
      <c r="BA420" s="338"/>
      <c r="BB420" s="338"/>
      <c r="BC420" s="338"/>
      <c r="BD420" s="736"/>
      <c r="BE420" s="338"/>
      <c r="BF420" s="338"/>
      <c r="BG420" s="338"/>
      <c r="BH420" s="338"/>
      <c r="BI420" s="736"/>
      <c r="BJ420" s="338"/>
      <c r="BK420" s="338"/>
      <c r="BL420" s="338"/>
      <c r="BM420" s="338"/>
      <c r="BN420" s="736"/>
      <c r="BO420" s="1105"/>
      <c r="BP420" s="1105"/>
      <c r="BQ420" s="1105"/>
      <c r="BR420" s="1105"/>
      <c r="BS420" s="736"/>
      <c r="BT420" s="338"/>
      <c r="BU420" s="338"/>
      <c r="BV420" s="338"/>
      <c r="BW420" s="338"/>
      <c r="BX420" s="736"/>
      <c r="BY420" s="338"/>
      <c r="BZ420" s="1105"/>
      <c r="CA420" s="1105"/>
      <c r="CB420" s="1105"/>
      <c r="CC420" s="736"/>
      <c r="CD420" s="736"/>
      <c r="CE420" s="736"/>
      <c r="CF420" s="736"/>
      <c r="CG420" s="736"/>
      <c r="CH420" s="736"/>
    </row>
    <row r="421" spans="1:86" hidden="1">
      <c r="A421" s="9"/>
      <c r="B421" s="9"/>
      <c r="C421" s="9"/>
      <c r="D421" s="9"/>
      <c r="E421" s="9"/>
      <c r="F421" s="9"/>
      <c r="G421" s="9"/>
      <c r="H421" s="305" t="s">
        <v>81</v>
      </c>
      <c r="I421" s="305"/>
      <c r="L421" s="325">
        <v>-0.52083333333333326</v>
      </c>
      <c r="M421" s="325">
        <v>-0.40963855421686746</v>
      </c>
      <c r="N421" s="325">
        <v>-0.42105263157894735</v>
      </c>
      <c r="O421" s="325">
        <v>-0.3</v>
      </c>
      <c r="P421" s="48">
        <v>-0.56313131313131315</v>
      </c>
      <c r="Q421" s="325"/>
      <c r="R421" s="331"/>
      <c r="S421" s="331"/>
      <c r="T421" s="331"/>
      <c r="U421" s="48"/>
      <c r="V421" s="325"/>
      <c r="W421" s="325"/>
      <c r="X421" s="325"/>
      <c r="Y421" s="331"/>
      <c r="Z421" s="48"/>
      <c r="AA421" s="325"/>
      <c r="AB421" s="325"/>
      <c r="AC421" s="325"/>
      <c r="AD421" s="331"/>
      <c r="AE421" s="337"/>
      <c r="AF421" s="331"/>
      <c r="AG421" s="331"/>
      <c r="AH421" s="325"/>
      <c r="AI421" s="325"/>
      <c r="AJ421" s="337"/>
      <c r="AK421" s="325"/>
      <c r="AL421" s="325"/>
      <c r="AM421" s="325"/>
      <c r="AN421" s="325"/>
      <c r="AO421" s="340"/>
      <c r="AP421" s="341"/>
      <c r="AQ421" s="342"/>
      <c r="AR421" s="342"/>
      <c r="AS421" s="342"/>
      <c r="AT421" s="345"/>
      <c r="AU421" s="342"/>
      <c r="AV421" s="342"/>
      <c r="AW421" s="342"/>
      <c r="AX421" s="342"/>
      <c r="AY421" s="345"/>
      <c r="AZ421" s="341"/>
      <c r="BA421" s="341"/>
      <c r="BB421" s="341"/>
      <c r="BC421" s="342"/>
      <c r="BD421" s="345"/>
      <c r="BE421" s="341"/>
      <c r="BF421" s="341"/>
      <c r="BG421" s="341"/>
      <c r="BH421" s="341"/>
      <c r="BI421" s="345"/>
      <c r="BJ421" s="341"/>
      <c r="BK421" s="341"/>
      <c r="BL421" s="341"/>
      <c r="BM421" s="341"/>
      <c r="BN421" s="345"/>
      <c r="BO421" s="1103"/>
      <c r="BP421" s="1103"/>
      <c r="BQ421" s="1103"/>
      <c r="BR421" s="1103"/>
      <c r="BS421" s="345"/>
      <c r="BT421" s="341"/>
      <c r="BU421" s="341"/>
      <c r="BV421" s="341"/>
      <c r="BW421" s="341"/>
      <c r="BX421" s="345"/>
      <c r="BY421" s="341"/>
      <c r="BZ421" s="1103"/>
      <c r="CA421" s="1103"/>
      <c r="CB421" s="1103"/>
      <c r="CC421" s="345"/>
      <c r="CD421" s="345"/>
      <c r="CE421" s="345"/>
      <c r="CF421" s="345"/>
      <c r="CG421" s="345"/>
      <c r="CH421" s="345"/>
    </row>
    <row r="422" spans="1:86" hidden="1">
      <c r="A422" s="9"/>
      <c r="B422" s="9"/>
      <c r="C422" s="9"/>
      <c r="D422" s="9"/>
      <c r="E422" s="9"/>
      <c r="F422" s="9"/>
      <c r="G422" s="9"/>
      <c r="H422" s="305" t="s">
        <v>501</v>
      </c>
      <c r="I422" s="305"/>
      <c r="L422" s="325">
        <v>-0.49090909090909096</v>
      </c>
      <c r="M422" s="325">
        <v>-0.34210526315789469</v>
      </c>
      <c r="N422" s="325">
        <v>0</v>
      </c>
      <c r="O422" s="325">
        <v>-0.4</v>
      </c>
      <c r="P422" s="48">
        <v>-0.31446540880503149</v>
      </c>
      <c r="Q422" s="325"/>
      <c r="R422" s="331"/>
      <c r="S422" s="331"/>
      <c r="T422" s="331"/>
      <c r="U422" s="48"/>
      <c r="V422" s="325"/>
      <c r="W422" s="325"/>
      <c r="X422" s="325"/>
      <c r="Y422" s="331"/>
      <c r="Z422" s="48"/>
      <c r="AA422" s="325"/>
      <c r="AB422" s="325"/>
      <c r="AC422" s="325"/>
      <c r="AD422" s="331"/>
      <c r="AE422" s="337"/>
      <c r="AF422" s="331"/>
      <c r="AG422" s="331"/>
      <c r="AH422" s="325"/>
      <c r="AI422" s="325"/>
      <c r="AJ422" s="337"/>
      <c r="AK422" s="325"/>
      <c r="AL422" s="325"/>
      <c r="AM422" s="325"/>
      <c r="AN422" s="325"/>
      <c r="AO422" s="340"/>
      <c r="AP422" s="341"/>
      <c r="AQ422" s="342"/>
      <c r="AR422" s="342"/>
      <c r="AS422" s="342"/>
      <c r="AT422" s="345"/>
      <c r="AU422" s="342"/>
      <c r="AV422" s="342"/>
      <c r="AW422" s="342"/>
      <c r="AX422" s="342"/>
      <c r="AY422" s="345"/>
      <c r="AZ422" s="341"/>
      <c r="BA422" s="341"/>
      <c r="BB422" s="341"/>
      <c r="BC422" s="342"/>
      <c r="BD422" s="345"/>
      <c r="BE422" s="341"/>
      <c r="BF422" s="341"/>
      <c r="BG422" s="341"/>
      <c r="BH422" s="341"/>
      <c r="BI422" s="345"/>
      <c r="BJ422" s="341"/>
      <c r="BK422" s="341"/>
      <c r="BL422" s="341"/>
      <c r="BM422" s="341"/>
      <c r="BN422" s="345"/>
      <c r="BO422" s="1103"/>
      <c r="BP422" s="1103"/>
      <c r="BQ422" s="1103"/>
      <c r="BR422" s="1103"/>
      <c r="BS422" s="345"/>
      <c r="BT422" s="341"/>
      <c r="BU422" s="341"/>
      <c r="BV422" s="341"/>
      <c r="BW422" s="341"/>
      <c r="BX422" s="345"/>
      <c r="BY422" s="341"/>
      <c r="BZ422" s="1103"/>
      <c r="CA422" s="1103"/>
      <c r="CB422" s="1103"/>
      <c r="CC422" s="345"/>
      <c r="CD422" s="345"/>
      <c r="CE422" s="345"/>
      <c r="CF422" s="345"/>
      <c r="CG422" s="345"/>
      <c r="CH422" s="345"/>
    </row>
    <row r="423" spans="1:86" hidden="1">
      <c r="A423" s="9"/>
      <c r="B423" s="9"/>
      <c r="C423" s="9"/>
      <c r="D423" s="9"/>
      <c r="E423" s="9"/>
      <c r="F423" s="9"/>
      <c r="G423" s="9"/>
      <c r="H423" s="304" t="s">
        <v>367</v>
      </c>
      <c r="I423" s="304"/>
      <c r="L423" s="328">
        <v>-0.5</v>
      </c>
      <c r="M423" s="328">
        <v>-0.27118644067796616</v>
      </c>
      <c r="N423" s="328">
        <v>-0.43181818181818188</v>
      </c>
      <c r="O423" s="328">
        <v>6.8702290076335881E-2</v>
      </c>
      <c r="P423" s="330">
        <v>-0.26373626373626369</v>
      </c>
      <c r="Q423" s="328"/>
      <c r="R423" s="328"/>
      <c r="S423" s="328"/>
      <c r="T423" s="328"/>
      <c r="U423" s="330"/>
      <c r="V423" s="328"/>
      <c r="W423" s="328"/>
      <c r="X423" s="328"/>
      <c r="Y423" s="328"/>
      <c r="Z423" s="330"/>
      <c r="AA423" s="328"/>
      <c r="AB423" s="328"/>
      <c r="AC423" s="328"/>
      <c r="AD423" s="328"/>
      <c r="AE423" s="330"/>
      <c r="AF423" s="328"/>
      <c r="AG423" s="328"/>
      <c r="AH423" s="328"/>
      <c r="AI423" s="328"/>
      <c r="AJ423" s="330"/>
      <c r="AK423" s="328"/>
      <c r="AL423" s="328"/>
      <c r="AM423" s="328"/>
      <c r="AN423" s="328"/>
      <c r="AO423" s="352"/>
      <c r="AP423" s="338"/>
      <c r="AQ423" s="338"/>
      <c r="AR423" s="338"/>
      <c r="AS423" s="338"/>
      <c r="AT423" s="736"/>
      <c r="AU423" s="338"/>
      <c r="AV423" s="338"/>
      <c r="AW423" s="338"/>
      <c r="AX423" s="338"/>
      <c r="AY423" s="736"/>
      <c r="AZ423" s="338"/>
      <c r="BA423" s="338"/>
      <c r="BB423" s="338"/>
      <c r="BC423" s="338"/>
      <c r="BD423" s="736"/>
      <c r="BE423" s="338"/>
      <c r="BF423" s="338"/>
      <c r="BG423" s="338"/>
      <c r="BH423" s="338"/>
      <c r="BI423" s="736"/>
      <c r="BJ423" s="338"/>
      <c r="BK423" s="338"/>
      <c r="BL423" s="338"/>
      <c r="BM423" s="338"/>
      <c r="BN423" s="736"/>
      <c r="BO423" s="1105"/>
      <c r="BP423" s="1105"/>
      <c r="BQ423" s="1105"/>
      <c r="BR423" s="1105"/>
      <c r="BS423" s="736"/>
      <c r="BT423" s="338"/>
      <c r="BU423" s="338"/>
      <c r="BV423" s="338"/>
      <c r="BW423" s="338"/>
      <c r="BX423" s="736"/>
      <c r="BY423" s="338"/>
      <c r="BZ423" s="1105"/>
      <c r="CA423" s="1105"/>
      <c r="CB423" s="1105"/>
      <c r="CC423" s="736"/>
      <c r="CD423" s="736"/>
      <c r="CE423" s="736"/>
      <c r="CF423" s="736"/>
      <c r="CG423" s="736"/>
      <c r="CH423" s="736"/>
    </row>
    <row r="424" spans="1:86" hidden="1">
      <c r="A424" s="9"/>
      <c r="B424" s="9"/>
      <c r="C424" s="9"/>
      <c r="D424" s="9"/>
      <c r="E424" s="9"/>
      <c r="F424" s="9"/>
      <c r="G424" s="9"/>
      <c r="H424" s="305" t="s">
        <v>81</v>
      </c>
      <c r="I424" s="305"/>
      <c r="L424" s="325">
        <v>-0.81818181818181812</v>
      </c>
      <c r="M424" s="325">
        <v>-1</v>
      </c>
      <c r="N424" s="325">
        <v>-1</v>
      </c>
      <c r="O424" s="325">
        <v>-0.5</v>
      </c>
      <c r="P424" s="48">
        <v>-0.89655172413793105</v>
      </c>
      <c r="Q424" s="325"/>
      <c r="R424" s="331"/>
      <c r="S424" s="331"/>
      <c r="T424" s="331"/>
      <c r="U424" s="48"/>
      <c r="V424" s="325"/>
      <c r="W424" s="325"/>
      <c r="X424" s="325"/>
      <c r="Y424" s="331"/>
      <c r="Z424" s="48"/>
      <c r="AA424" s="325"/>
      <c r="AB424" s="325"/>
      <c r="AC424" s="325"/>
      <c r="AD424" s="331"/>
      <c r="AE424" s="337"/>
      <c r="AF424" s="331"/>
      <c r="AG424" s="331"/>
      <c r="AH424" s="325"/>
      <c r="AI424" s="325"/>
      <c r="AJ424" s="337"/>
      <c r="AK424" s="325"/>
      <c r="AL424" s="325"/>
      <c r="AM424" s="325"/>
      <c r="AN424" s="325"/>
      <c r="AO424" s="340"/>
      <c r="AP424" s="341"/>
      <c r="AQ424" s="342"/>
      <c r="AR424" s="342"/>
      <c r="AS424" s="342"/>
      <c r="AT424" s="345"/>
      <c r="AU424" s="342"/>
      <c r="AV424" s="342"/>
      <c r="AW424" s="342"/>
      <c r="AX424" s="342"/>
      <c r="AY424" s="345"/>
      <c r="AZ424" s="341"/>
      <c r="BA424" s="341"/>
      <c r="BB424" s="341"/>
      <c r="BC424" s="342"/>
      <c r="BD424" s="345"/>
      <c r="BE424" s="341"/>
      <c r="BF424" s="341"/>
      <c r="BG424" s="341"/>
      <c r="BH424" s="341"/>
      <c r="BI424" s="345"/>
      <c r="BJ424" s="341"/>
      <c r="BK424" s="341"/>
      <c r="BL424" s="341"/>
      <c r="BM424" s="341"/>
      <c r="BN424" s="345"/>
      <c r="BO424" s="1103"/>
      <c r="BP424" s="1103"/>
      <c r="BQ424" s="1103"/>
      <c r="BR424" s="1103"/>
      <c r="BS424" s="345"/>
      <c r="BT424" s="341"/>
      <c r="BU424" s="341"/>
      <c r="BV424" s="341"/>
      <c r="BW424" s="341"/>
      <c r="BX424" s="345"/>
      <c r="BY424" s="341"/>
      <c r="BZ424" s="1103"/>
      <c r="CA424" s="1103"/>
      <c r="CB424" s="1103"/>
      <c r="CC424" s="345"/>
      <c r="CD424" s="345"/>
      <c r="CE424" s="345"/>
      <c r="CF424" s="345"/>
      <c r="CG424" s="345"/>
      <c r="CH424" s="345"/>
    </row>
    <row r="425" spans="1:86" hidden="1">
      <c r="A425" s="9"/>
      <c r="B425" s="9"/>
      <c r="C425" s="9"/>
      <c r="D425" s="9"/>
      <c r="E425" s="9"/>
      <c r="F425" s="9"/>
      <c r="G425" s="9"/>
      <c r="H425" s="305" t="s">
        <v>501</v>
      </c>
      <c r="I425" s="305"/>
      <c r="L425" s="325">
        <v>-0.46728971962616817</v>
      </c>
      <c r="M425" s="325">
        <v>-0.21100917431192667</v>
      </c>
      <c r="N425" s="325">
        <v>-0.36708860759493678</v>
      </c>
      <c r="O425" s="325">
        <v>-0.4</v>
      </c>
      <c r="P425" s="48">
        <v>-0.22065727699530513</v>
      </c>
      <c r="Q425" s="325"/>
      <c r="R425" s="331"/>
      <c r="S425" s="331"/>
      <c r="T425" s="331"/>
      <c r="U425" s="48"/>
      <c r="V425" s="325"/>
      <c r="W425" s="325"/>
      <c r="X425" s="325"/>
      <c r="Y425" s="331"/>
      <c r="Z425" s="48"/>
      <c r="AA425" s="325"/>
      <c r="AB425" s="325"/>
      <c r="AC425" s="325"/>
      <c r="AD425" s="331"/>
      <c r="AE425" s="337"/>
      <c r="AF425" s="331"/>
      <c r="AG425" s="331"/>
      <c r="AH425" s="325"/>
      <c r="AI425" s="325"/>
      <c r="AJ425" s="337"/>
      <c r="AK425" s="325"/>
      <c r="AL425" s="325"/>
      <c r="AM425" s="325"/>
      <c r="AN425" s="325"/>
      <c r="AO425" s="340"/>
      <c r="AP425" s="341"/>
      <c r="AQ425" s="342"/>
      <c r="AR425" s="342"/>
      <c r="AS425" s="342"/>
      <c r="AT425" s="345"/>
      <c r="AU425" s="342"/>
      <c r="AV425" s="342"/>
      <c r="AW425" s="342"/>
      <c r="AX425" s="342"/>
      <c r="AY425" s="345"/>
      <c r="AZ425" s="341"/>
      <c r="BA425" s="341"/>
      <c r="BB425" s="341"/>
      <c r="BC425" s="342"/>
      <c r="BD425" s="345"/>
      <c r="BE425" s="341"/>
      <c r="BF425" s="341"/>
      <c r="BG425" s="341"/>
      <c r="BH425" s="341"/>
      <c r="BI425" s="345"/>
      <c r="BJ425" s="341"/>
      <c r="BK425" s="341"/>
      <c r="BL425" s="341"/>
      <c r="BM425" s="341"/>
      <c r="BN425" s="345"/>
      <c r="BO425" s="1103"/>
      <c r="BP425" s="1103"/>
      <c r="BQ425" s="1103"/>
      <c r="BR425" s="1103"/>
      <c r="BS425" s="345"/>
      <c r="BT425" s="341"/>
      <c r="BU425" s="341"/>
      <c r="BV425" s="341"/>
      <c r="BW425" s="341"/>
      <c r="BX425" s="345"/>
      <c r="BY425" s="341"/>
      <c r="BZ425" s="1103"/>
      <c r="CA425" s="1103"/>
      <c r="CB425" s="1103"/>
      <c r="CC425" s="345"/>
      <c r="CD425" s="345"/>
      <c r="CE425" s="345"/>
      <c r="CF425" s="345"/>
      <c r="CG425" s="345"/>
      <c r="CH425" s="345"/>
    </row>
    <row r="426" spans="1:86" ht="7.5" hidden="1" customHeight="1">
      <c r="A426" s="9"/>
      <c r="B426" s="9"/>
      <c r="C426" s="9"/>
      <c r="D426" s="9"/>
      <c r="E426" s="9"/>
      <c r="F426" s="9"/>
      <c r="G426" s="9"/>
      <c r="H426" s="259"/>
      <c r="I426" s="259"/>
      <c r="L426" s="325"/>
      <c r="M426" s="325"/>
      <c r="N426" s="325"/>
      <c r="O426" s="325"/>
      <c r="P426" s="48"/>
      <c r="Q426" s="325"/>
      <c r="R426" s="325"/>
      <c r="S426" s="325"/>
      <c r="T426" s="325"/>
      <c r="U426" s="48"/>
      <c r="V426" s="325"/>
      <c r="W426" s="325"/>
      <c r="X426" s="325"/>
      <c r="Y426" s="325"/>
      <c r="Z426" s="48"/>
      <c r="AA426" s="325"/>
      <c r="AB426" s="325"/>
      <c r="AC426" s="325"/>
      <c r="AD426" s="325"/>
      <c r="AE426" s="48"/>
      <c r="AF426" s="325"/>
      <c r="AG426" s="325"/>
      <c r="AH426" s="325"/>
      <c r="AI426" s="325"/>
      <c r="AJ426" s="48"/>
      <c r="AK426" s="325"/>
      <c r="AL426" s="325"/>
      <c r="AM426" s="325"/>
      <c r="AN426" s="325"/>
      <c r="AO426" s="339"/>
      <c r="AP426" s="341"/>
      <c r="AQ426" s="855"/>
      <c r="AR426" s="855"/>
      <c r="AS426" s="855"/>
      <c r="AU426" s="855"/>
      <c r="AV426" s="855"/>
      <c r="AW426" s="855"/>
      <c r="AX426" s="855"/>
      <c r="AZ426" s="341"/>
      <c r="BA426" s="341"/>
      <c r="BB426" s="341"/>
      <c r="BC426" s="341"/>
      <c r="BD426" s="345"/>
      <c r="BE426" s="341"/>
      <c r="BF426" s="341"/>
      <c r="BG426" s="341"/>
      <c r="BH426" s="341"/>
      <c r="BI426" s="345"/>
      <c r="BJ426" s="341"/>
      <c r="BK426" s="341"/>
      <c r="BL426" s="341"/>
      <c r="BM426" s="341"/>
      <c r="BN426" s="345"/>
      <c r="BO426" s="1103"/>
      <c r="BP426" s="1103"/>
      <c r="BQ426" s="1103"/>
      <c r="BR426" s="1103"/>
      <c r="BS426" s="345"/>
      <c r="BT426" s="341"/>
      <c r="BU426" s="341"/>
      <c r="BV426" s="341"/>
      <c r="BW426" s="341"/>
      <c r="BX426" s="345"/>
      <c r="BY426" s="341"/>
      <c r="BZ426" s="1103"/>
      <c r="CA426" s="1103"/>
      <c r="CB426" s="1103"/>
      <c r="CC426" s="345"/>
      <c r="CD426" s="345"/>
      <c r="CE426" s="345"/>
      <c r="CF426" s="345"/>
      <c r="CG426" s="345"/>
      <c r="CH426" s="345"/>
    </row>
    <row r="427" spans="1:86" hidden="1">
      <c r="A427" s="9"/>
      <c r="B427" s="9"/>
      <c r="C427" s="9"/>
      <c r="D427" s="9"/>
      <c r="E427" s="9"/>
      <c r="F427" s="9"/>
      <c r="G427" s="9"/>
      <c r="H427" s="985" t="s">
        <v>368</v>
      </c>
      <c r="I427" s="985"/>
      <c r="J427" s="59"/>
      <c r="K427" s="59"/>
      <c r="L427" s="326">
        <v>-5.0185873605948061E-2</v>
      </c>
      <c r="M427" s="326">
        <v>3.201506591337111E-2</v>
      </c>
      <c r="N427" s="326">
        <v>1.6042780748663166E-2</v>
      </c>
      <c r="O427" s="326">
        <v>-3.7999999999999923E-2</v>
      </c>
      <c r="P427" s="327">
        <v>-9.3896713615022609E-3</v>
      </c>
      <c r="Q427" s="326">
        <f t="shared" ref="Q427:T429" si="658">Q197/L197-1</f>
        <v>0.57534246575342451</v>
      </c>
      <c r="R427" s="326">
        <f t="shared" si="658"/>
        <v>0</v>
      </c>
      <c r="S427" s="326">
        <f t="shared" si="658"/>
        <v>0.11052631578947358</v>
      </c>
      <c r="T427" s="326">
        <f t="shared" si="658"/>
        <v>0.34303534303534278</v>
      </c>
      <c r="U427" s="327">
        <f t="shared" ref="U427:AP427" si="659">IF(ISERROR(U197/P197-1),"NM",(U197/P197-1))</f>
        <v>0.24739336492891018</v>
      </c>
      <c r="V427" s="326">
        <f t="shared" si="659"/>
        <v>-0.95279503105590058</v>
      </c>
      <c r="W427" s="326">
        <f t="shared" si="659"/>
        <v>-0.93613138686131392</v>
      </c>
      <c r="X427" s="326">
        <f t="shared" si="659"/>
        <v>-0.98262243285939965</v>
      </c>
      <c r="Y427" s="326">
        <f t="shared" si="659"/>
        <v>-0.90402476780185759</v>
      </c>
      <c r="Z427" s="327">
        <f t="shared" si="659"/>
        <v>-0.94452887537993924</v>
      </c>
      <c r="AA427" s="326">
        <f t="shared" si="659"/>
        <v>-0.97368421052631582</v>
      </c>
      <c r="AB427" s="326">
        <f t="shared" si="659"/>
        <v>-2.0857142857142854</v>
      </c>
      <c r="AC427" s="326">
        <f t="shared" si="659"/>
        <v>-4.0909090909090917</v>
      </c>
      <c r="AD427" s="326">
        <f t="shared" si="659"/>
        <v>0.38709677419354827</v>
      </c>
      <c r="AE427" s="327">
        <f t="shared" si="659"/>
        <v>-0.89726027397260277</v>
      </c>
      <c r="AF427" s="326">
        <f t="shared" si="659"/>
        <v>-35</v>
      </c>
      <c r="AG427" s="326">
        <f t="shared" si="659"/>
        <v>-1.4210526315789473</v>
      </c>
      <c r="AH427" s="326">
        <f t="shared" si="659"/>
        <v>-0.91176470588235292</v>
      </c>
      <c r="AI427" s="326">
        <f t="shared" si="659"/>
        <v>-0.53488372093023262</v>
      </c>
      <c r="AJ427" s="327">
        <f t="shared" si="659"/>
        <v>0.26666666666666683</v>
      </c>
      <c r="AK427" s="326">
        <f t="shared" si="659"/>
        <v>-1.0294117647058822</v>
      </c>
      <c r="AL427" s="326">
        <f t="shared" si="659"/>
        <v>3.25</v>
      </c>
      <c r="AM427" s="326">
        <f t="shared" si="659"/>
        <v>0.33333333333333348</v>
      </c>
      <c r="AN427" s="326">
        <f t="shared" si="659"/>
        <v>2.0950000000000002</v>
      </c>
      <c r="AO427" s="356">
        <f>IF(ISERROR(AO197/AJ197-1),"NM",(AO197/AJ197-1))</f>
        <v>8.936842105263155</v>
      </c>
      <c r="AP427" s="735">
        <f t="shared" si="659"/>
        <v>14</v>
      </c>
      <c r="AQ427" s="735">
        <f t="shared" ref="AQ427:AT429" si="660">IF(ISERROR(AQ197/AL197-1),"NM",(AQ197/AL197-1))</f>
        <v>-1.1029411764705883</v>
      </c>
      <c r="AR427" s="735">
        <f t="shared" si="660"/>
        <v>-3.75</v>
      </c>
      <c r="AS427" s="735">
        <f t="shared" si="660"/>
        <v>-0.67689822294022617</v>
      </c>
      <c r="AT427" s="737">
        <f t="shared" si="660"/>
        <v>-0.6875</v>
      </c>
      <c r="AU427" s="735"/>
      <c r="AV427" s="735"/>
      <c r="AW427" s="735"/>
      <c r="AX427" s="735"/>
      <c r="AY427" s="737"/>
      <c r="AZ427" s="735"/>
      <c r="BA427" s="735"/>
      <c r="BB427" s="735"/>
      <c r="BC427" s="735"/>
      <c r="BD427" s="737"/>
      <c r="BE427" s="735"/>
      <c r="BF427" s="735"/>
      <c r="BG427" s="735"/>
      <c r="BH427" s="735"/>
      <c r="BI427" s="737"/>
      <c r="BJ427" s="735"/>
      <c r="BK427" s="735"/>
      <c r="BL427" s="735"/>
      <c r="BM427" s="735"/>
      <c r="BN427" s="737"/>
      <c r="BO427" s="1104"/>
      <c r="BP427" s="1104"/>
      <c r="BQ427" s="1104"/>
      <c r="BR427" s="1104"/>
      <c r="BS427" s="737"/>
      <c r="BT427" s="735"/>
      <c r="BU427" s="735"/>
      <c r="BV427" s="735"/>
      <c r="BW427" s="735"/>
      <c r="BX427" s="737"/>
      <c r="BY427" s="735"/>
      <c r="BZ427" s="1104"/>
      <c r="CA427" s="1104"/>
      <c r="CB427" s="1104"/>
      <c r="CC427" s="737"/>
      <c r="CD427" s="737"/>
      <c r="CE427" s="737"/>
      <c r="CF427" s="737"/>
      <c r="CG427" s="737"/>
      <c r="CH427" s="737"/>
    </row>
    <row r="428" spans="1:86" hidden="1">
      <c r="A428" s="9"/>
      <c r="B428" s="9"/>
      <c r="C428" s="9"/>
      <c r="D428" s="9"/>
      <c r="E428" s="9"/>
      <c r="F428" s="9"/>
      <c r="G428" s="9"/>
      <c r="H428" s="279" t="s">
        <v>231</v>
      </c>
      <c r="I428" s="279"/>
      <c r="L428" s="325">
        <v>-0.83333333333333337</v>
      </c>
      <c r="M428" s="325">
        <v>-1.4883720930232558</v>
      </c>
      <c r="N428" s="325">
        <v>-0.67289719626168221</v>
      </c>
      <c r="O428" s="325">
        <v>-0.5</v>
      </c>
      <c r="P428" s="48">
        <v>-0.88177339901477836</v>
      </c>
      <c r="Q428" s="325">
        <f t="shared" si="658"/>
        <v>0.30000000000000004</v>
      </c>
      <c r="R428" s="325">
        <f t="shared" si="658"/>
        <v>-1.7999999999999998</v>
      </c>
      <c r="S428" s="325">
        <f t="shared" si="658"/>
        <v>-0.69512195121951215</v>
      </c>
      <c r="T428" s="325">
        <f t="shared" si="658"/>
        <v>0.5</v>
      </c>
      <c r="U428" s="280">
        <f t="shared" ref="U428:AD429" si="661">IF(ISERROR(U198/P198-1),"NM",(U198/P198-1))</f>
        <v>1.1875</v>
      </c>
      <c r="V428" s="325">
        <f t="shared" si="661"/>
        <v>-0.76923076923076927</v>
      </c>
      <c r="W428" s="325">
        <f t="shared" si="661"/>
        <v>-1.1666666666666667</v>
      </c>
      <c r="X428" s="325">
        <f t="shared" si="661"/>
        <v>-1.08</v>
      </c>
      <c r="Y428" s="325">
        <f t="shared" si="661"/>
        <v>-1</v>
      </c>
      <c r="Z428" s="280">
        <f t="shared" si="661"/>
        <v>-1</v>
      </c>
      <c r="AA428" s="325">
        <f t="shared" si="661"/>
        <v>-1</v>
      </c>
      <c r="AB428" s="325">
        <f t="shared" si="661"/>
        <v>3</v>
      </c>
      <c r="AC428" s="325">
        <f t="shared" si="661"/>
        <v>14</v>
      </c>
      <c r="AD428" s="341" t="str">
        <f t="shared" si="661"/>
        <v>NM</v>
      </c>
      <c r="AE428" s="355" t="s">
        <v>335</v>
      </c>
      <c r="AF428" s="341" t="str">
        <f t="shared" ref="AF428:AN429" si="662">IF(ISERROR(AF198/AA198-1),"NM",(AF198/AA198-1))</f>
        <v>NM</v>
      </c>
      <c r="AG428" s="341">
        <f t="shared" si="662"/>
        <v>-1.375</v>
      </c>
      <c r="AH428" s="341">
        <f t="shared" si="662"/>
        <v>-1</v>
      </c>
      <c r="AI428" s="341">
        <f t="shared" si="662"/>
        <v>-0.97142857142857142</v>
      </c>
      <c r="AJ428" s="280">
        <f t="shared" si="662"/>
        <v>-0.66666666666666674</v>
      </c>
      <c r="AK428" s="341" t="str">
        <f t="shared" si="662"/>
        <v>NM</v>
      </c>
      <c r="AL428" s="341">
        <f t="shared" si="662"/>
        <v>-2.3333333333333335</v>
      </c>
      <c r="AM428" s="341" t="str">
        <f t="shared" si="662"/>
        <v>NM</v>
      </c>
      <c r="AN428" s="341">
        <f t="shared" si="662"/>
        <v>-1.2</v>
      </c>
      <c r="AO428" s="344">
        <f>IF(ISERROR(AO198/AJ198-1),"NM",(AO198/AJ198-1))</f>
        <v>-2.5499999999999998</v>
      </c>
      <c r="AP428" s="341">
        <f>IF(ISERROR(AP198/AK198-1),"NM",(AP198/AK198-1))</f>
        <v>-1</v>
      </c>
      <c r="AQ428" s="341">
        <f t="shared" si="660"/>
        <v>-0.75</v>
      </c>
      <c r="AR428" s="341">
        <f t="shared" si="660"/>
        <v>4</v>
      </c>
      <c r="AS428" s="341">
        <f t="shared" si="660"/>
        <v>-1</v>
      </c>
      <c r="AT428" s="344">
        <f t="shared" si="660"/>
        <v>-3.2258064516129115E-2</v>
      </c>
      <c r="AU428" s="341"/>
      <c r="AV428" s="341"/>
      <c r="AW428" s="341"/>
      <c r="AX428" s="341"/>
      <c r="AY428" s="344"/>
      <c r="AZ428" s="341"/>
      <c r="BA428" s="341"/>
      <c r="BB428" s="342"/>
      <c r="BC428" s="342"/>
      <c r="BD428" s="928"/>
      <c r="BE428" s="342"/>
      <c r="BF428" s="342"/>
      <c r="BG428" s="342"/>
      <c r="BH428" s="342"/>
      <c r="BI428" s="909"/>
      <c r="BJ428" s="749"/>
      <c r="BK428" s="749"/>
      <c r="BL428" s="749"/>
      <c r="BM428" s="749"/>
      <c r="BN428" s="909"/>
      <c r="BO428" s="1106"/>
      <c r="BP428" s="1106"/>
      <c r="BQ428" s="1106"/>
      <c r="BR428" s="1106"/>
      <c r="BS428" s="345"/>
      <c r="BT428" s="749"/>
      <c r="BU428" s="749"/>
      <c r="BV428" s="749"/>
      <c r="BW428" s="749"/>
      <c r="BX428" s="909"/>
      <c r="BY428" s="749"/>
      <c r="BZ428" s="1106"/>
      <c r="CA428" s="1106"/>
      <c r="CB428" s="1106"/>
      <c r="CC428" s="909"/>
      <c r="CD428" s="909"/>
      <c r="CE428" s="909"/>
      <c r="CF428" s="909"/>
      <c r="CG428" s="909"/>
      <c r="CH428" s="909"/>
    </row>
    <row r="429" spans="1:86" hidden="1">
      <c r="A429" s="9"/>
      <c r="B429" s="9"/>
      <c r="C429" s="9"/>
      <c r="D429" s="9"/>
      <c r="E429" s="9"/>
      <c r="F429" s="9"/>
      <c r="G429" s="9"/>
      <c r="H429" s="279" t="s">
        <v>232</v>
      </c>
      <c r="I429" s="279"/>
      <c r="L429" s="325">
        <v>-0.32947976878612717</v>
      </c>
      <c r="M429" s="325">
        <v>-0.27878787878787881</v>
      </c>
      <c r="N429" s="325">
        <v>-0.11888111888111896</v>
      </c>
      <c r="O429" s="325">
        <v>-0.1</v>
      </c>
      <c r="P429" s="48">
        <v>-0.3756019261637239</v>
      </c>
      <c r="Q429" s="325">
        <f t="shared" si="658"/>
        <v>0.58083832335329344</v>
      </c>
      <c r="R429" s="325">
        <f t="shared" si="658"/>
        <v>-4.7957371225577194E-2</v>
      </c>
      <c r="S429" s="325">
        <f t="shared" si="658"/>
        <v>0.17296786389413987</v>
      </c>
      <c r="T429" s="325">
        <f t="shared" si="658"/>
        <v>0.33970276008492561</v>
      </c>
      <c r="U429" s="280">
        <f t="shared" si="661"/>
        <v>5.631105398457585</v>
      </c>
      <c r="V429" s="325">
        <f t="shared" si="661"/>
        <v>-0.95580808080808077</v>
      </c>
      <c r="W429" s="325">
        <f t="shared" si="661"/>
        <v>-0.93097014925373134</v>
      </c>
      <c r="X429" s="325">
        <f t="shared" si="661"/>
        <v>-0.98066075745366643</v>
      </c>
      <c r="Y429" s="325">
        <f t="shared" si="661"/>
        <v>-0.90174326465927102</v>
      </c>
      <c r="Z429" s="280">
        <f t="shared" si="661"/>
        <v>-0.94339988369839112</v>
      </c>
      <c r="AA429" s="325">
        <f t="shared" si="661"/>
        <v>-0.97142857142857142</v>
      </c>
      <c r="AB429" s="325">
        <f t="shared" si="661"/>
        <v>-1.8108108108108107</v>
      </c>
      <c r="AC429" s="325">
        <f t="shared" si="661"/>
        <v>-2.583333333333333</v>
      </c>
      <c r="AD429" s="325">
        <f t="shared" si="661"/>
        <v>-0.17741935483870974</v>
      </c>
      <c r="AE429" s="276">
        <f>IF(ISERROR(AE199/Z199-1),"NM",(AE199/Z199-1))</f>
        <v>-0.97945205479452058</v>
      </c>
      <c r="AF429" s="341">
        <f t="shared" si="662"/>
        <v>-35</v>
      </c>
      <c r="AG429" s="341">
        <f t="shared" si="662"/>
        <v>-1.4333333333333333</v>
      </c>
      <c r="AH429" s="341">
        <f t="shared" si="662"/>
        <v>-0.84210526315789469</v>
      </c>
      <c r="AI429" s="341">
        <f t="shared" si="662"/>
        <v>-0.23529411764705876</v>
      </c>
      <c r="AJ429" s="276">
        <f t="shared" si="662"/>
        <v>4.0000000000000044</v>
      </c>
      <c r="AK429" s="341">
        <f t="shared" si="662"/>
        <v>-1.0588235294117647</v>
      </c>
      <c r="AL429" s="341">
        <f t="shared" si="662"/>
        <v>4.5384615384615383</v>
      </c>
      <c r="AM429" s="341">
        <f t="shared" si="662"/>
        <v>0</v>
      </c>
      <c r="AN429" s="341">
        <f t="shared" si="662"/>
        <v>2.1794871794871797</v>
      </c>
      <c r="AO429" s="345">
        <f>IF(ISERROR(AO199/AJ199-1),"NM",(AO199/AJ199-1))</f>
        <v>11.999999999999996</v>
      </c>
      <c r="AP429" s="341">
        <f>IF(ISERROR(AP199/AK199-1),"NM",(AP199/AK199-1))</f>
        <v>6.5</v>
      </c>
      <c r="AQ429" s="341">
        <f t="shared" si="660"/>
        <v>-1.0833333333333333</v>
      </c>
      <c r="AR429" s="341">
        <f t="shared" si="660"/>
        <v>-6.3333333333333339</v>
      </c>
      <c r="AS429" s="341">
        <f t="shared" si="660"/>
        <v>-0.67741935483870974</v>
      </c>
      <c r="AT429" s="344">
        <f t="shared" si="660"/>
        <v>-0.66666666666666674</v>
      </c>
      <c r="AU429" s="341"/>
      <c r="AV429" s="341"/>
      <c r="AW429" s="341"/>
      <c r="AX429" s="341"/>
      <c r="AY429" s="344"/>
      <c r="AZ429" s="341"/>
      <c r="BA429" s="341"/>
      <c r="BB429" s="342"/>
      <c r="BC429" s="342"/>
      <c r="BD429" s="928"/>
      <c r="BE429" s="342"/>
      <c r="BF429" s="342"/>
      <c r="BG429" s="342"/>
      <c r="BH429" s="342"/>
      <c r="BI429" s="909"/>
      <c r="BJ429" s="749"/>
      <c r="BK429" s="749"/>
      <c r="BL429" s="749"/>
      <c r="BM429" s="749"/>
      <c r="BN429" s="909"/>
      <c r="BO429" s="1106"/>
      <c r="BP429" s="1106"/>
      <c r="BQ429" s="1106"/>
      <c r="BR429" s="1106"/>
      <c r="BS429" s="345"/>
      <c r="BT429" s="749"/>
      <c r="BU429" s="749"/>
      <c r="BV429" s="749"/>
      <c r="BW429" s="749"/>
      <c r="BX429" s="909"/>
      <c r="BY429" s="749"/>
      <c r="BZ429" s="1106"/>
      <c r="CA429" s="1106"/>
      <c r="CB429" s="1106"/>
      <c r="CC429" s="909"/>
      <c r="CD429" s="909"/>
      <c r="CE429" s="909"/>
      <c r="CF429" s="909"/>
      <c r="CG429" s="909"/>
      <c r="CH429" s="909"/>
    </row>
    <row r="430" spans="1:86">
      <c r="A430" s="9"/>
      <c r="B430" s="9"/>
      <c r="C430" s="9"/>
      <c r="D430" s="9"/>
      <c r="E430" s="9"/>
      <c r="F430" s="9"/>
      <c r="G430" s="9"/>
      <c r="H430" s="259"/>
      <c r="I430" s="259"/>
      <c r="L430" s="325"/>
      <c r="M430" s="325"/>
      <c r="N430" s="325"/>
      <c r="O430" s="325"/>
      <c r="P430" s="48"/>
      <c r="Q430" s="325"/>
      <c r="R430" s="325"/>
      <c r="S430" s="325"/>
      <c r="T430" s="325"/>
      <c r="U430" s="48"/>
      <c r="V430" s="325"/>
      <c r="W430" s="325"/>
      <c r="X430" s="325"/>
      <c r="Y430" s="325"/>
      <c r="Z430" s="48"/>
      <c r="AA430" s="325"/>
      <c r="AB430" s="325"/>
      <c r="AC430" s="325"/>
      <c r="AD430" s="325"/>
      <c r="AE430" s="48"/>
      <c r="AF430" s="325"/>
      <c r="AG430" s="325"/>
      <c r="AH430" s="325"/>
      <c r="AI430" s="325"/>
      <c r="AJ430" s="48"/>
      <c r="AK430" s="325"/>
      <c r="AL430" s="325"/>
      <c r="AM430" s="325"/>
      <c r="AN430" s="325"/>
      <c r="AO430" s="339"/>
      <c r="AP430" s="341"/>
      <c r="AQ430" s="855"/>
      <c r="AR430" s="855"/>
      <c r="AS430" s="855"/>
      <c r="AU430" s="855"/>
      <c r="AV430" s="855"/>
      <c r="AW430" s="855"/>
      <c r="AX430" s="855"/>
      <c r="AZ430" s="341"/>
      <c r="BA430" s="341"/>
      <c r="BB430" s="341"/>
      <c r="BC430" s="341"/>
      <c r="BD430" s="345"/>
      <c r="BE430" s="341"/>
      <c r="BF430" s="341"/>
      <c r="BG430" s="341"/>
      <c r="BH430" s="341"/>
      <c r="BI430" s="345"/>
      <c r="BJ430" s="341"/>
      <c r="BK430" s="341"/>
      <c r="BL430" s="341"/>
      <c r="BM430" s="341"/>
      <c r="BN430" s="345"/>
      <c r="BO430" s="1103"/>
      <c r="BP430" s="1103"/>
      <c r="BQ430" s="1103"/>
      <c r="BR430" s="1103"/>
      <c r="BS430" s="345"/>
      <c r="BT430" s="341"/>
      <c r="BU430" s="341"/>
      <c r="BV430" s="341"/>
      <c r="BW430" s="341"/>
      <c r="BX430" s="345"/>
      <c r="BY430" s="341"/>
      <c r="BZ430" s="1103"/>
      <c r="CA430" s="1103"/>
      <c r="CB430" s="1103"/>
      <c r="CC430" s="345"/>
      <c r="CD430" s="345"/>
      <c r="CE430" s="345"/>
      <c r="CF430" s="345"/>
      <c r="CG430" s="345"/>
      <c r="CH430" s="345"/>
    </row>
    <row r="431" spans="1:86">
      <c r="A431" s="9"/>
      <c r="B431" s="9"/>
      <c r="C431" s="9"/>
      <c r="D431" s="9"/>
      <c r="E431" s="9"/>
      <c r="F431" s="9"/>
      <c r="G431" s="9"/>
      <c r="H431" s="260" t="s">
        <v>144</v>
      </c>
      <c r="I431" s="260"/>
      <c r="J431" s="59"/>
      <c r="K431" s="59"/>
      <c r="L431" s="326"/>
      <c r="M431" s="326"/>
      <c r="N431" s="326"/>
      <c r="O431" s="326"/>
      <c r="P431" s="327"/>
      <c r="Q431" s="326"/>
      <c r="R431" s="326"/>
      <c r="S431" s="326"/>
      <c r="T431" s="326"/>
      <c r="U431" s="327"/>
      <c r="V431" s="326"/>
      <c r="W431" s="326"/>
      <c r="X431" s="326"/>
      <c r="Y431" s="326"/>
      <c r="Z431" s="327"/>
      <c r="AA431" s="326"/>
      <c r="AB431" s="326"/>
      <c r="AC431" s="326"/>
      <c r="AD431" s="326"/>
      <c r="AE431" s="327"/>
      <c r="AF431" s="326"/>
      <c r="AG431" s="326"/>
      <c r="AH431" s="326"/>
      <c r="AI431" s="326"/>
      <c r="AJ431" s="356"/>
      <c r="AK431" s="326"/>
      <c r="AL431" s="326"/>
      <c r="AM431" s="326"/>
      <c r="AN431" s="326"/>
      <c r="AO431" s="356"/>
      <c r="AP431" s="735"/>
      <c r="AQ431" s="735"/>
      <c r="AR431" s="735"/>
      <c r="AS431" s="735"/>
      <c r="AT431" s="737"/>
      <c r="AU431" s="735"/>
      <c r="AV431" s="735"/>
      <c r="AW431" s="735"/>
      <c r="AX431" s="735"/>
      <c r="AY431" s="737"/>
      <c r="AZ431" s="735"/>
      <c r="BA431" s="735"/>
      <c r="BB431" s="735"/>
      <c r="BC431" s="735"/>
      <c r="BD431" s="737"/>
      <c r="BE431" s="735"/>
      <c r="BF431" s="735"/>
      <c r="BG431" s="735"/>
      <c r="BH431" s="735"/>
      <c r="BI431" s="737"/>
      <c r="BJ431" s="735"/>
      <c r="BK431" s="735"/>
      <c r="BL431" s="735"/>
      <c r="BM431" s="735"/>
      <c r="BN431" s="737"/>
      <c r="BO431" s="1104"/>
      <c r="BP431" s="1104"/>
      <c r="BQ431" s="1104"/>
      <c r="BR431" s="1104"/>
      <c r="BS431" s="737"/>
      <c r="BT431" s="735" t="str">
        <f t="shared" ref="BT431:BY433" si="663">IF(ISERROR(BT201/BO201-1),"NM",(BT201/BO201-1))</f>
        <v>NM</v>
      </c>
      <c r="BU431" s="735" t="str">
        <f t="shared" si="663"/>
        <v>NM</v>
      </c>
      <c r="BV431" s="735" t="str">
        <f t="shared" si="663"/>
        <v>NM</v>
      </c>
      <c r="BW431" s="735" t="str">
        <f t="shared" si="663"/>
        <v>NM</v>
      </c>
      <c r="BX431" s="737" t="str">
        <f t="shared" si="663"/>
        <v>NM</v>
      </c>
      <c r="BY431" s="735" t="str">
        <f t="shared" si="663"/>
        <v>NM</v>
      </c>
      <c r="BZ431" s="1104" t="str">
        <f t="shared" ref="BZ431:CC433" si="664">IF(ISERROR(BZ201/BU201-1),"NM",(BZ201/BU201-1))</f>
        <v>NM</v>
      </c>
      <c r="CA431" s="1104" t="str">
        <f t="shared" si="664"/>
        <v>NM</v>
      </c>
      <c r="CB431" s="1104" t="str">
        <f t="shared" si="664"/>
        <v>NM</v>
      </c>
      <c r="CC431" s="737" t="str">
        <f t="shared" si="664"/>
        <v>NM</v>
      </c>
      <c r="CD431" s="737">
        <f t="shared" ref="CD431:CH433" si="665">IF(ISERROR(CD201/CC201-1),"NM",(CD201/CC201-1))</f>
        <v>5.5401315789473689</v>
      </c>
      <c r="CE431" s="737">
        <f t="shared" si="665"/>
        <v>1.9050397344331556</v>
      </c>
      <c r="CF431" s="737">
        <f t="shared" si="665"/>
        <v>1.1557727068111778</v>
      </c>
      <c r="CG431" s="737">
        <f t="shared" si="665"/>
        <v>0.74028086357485834</v>
      </c>
      <c r="CH431" s="737">
        <f t="shared" si="665"/>
        <v>0.51366052911146842</v>
      </c>
    </row>
    <row r="432" spans="1:86">
      <c r="A432" s="9"/>
      <c r="B432" s="9"/>
      <c r="C432" s="9"/>
      <c r="D432" s="9"/>
      <c r="E432" s="9"/>
      <c r="F432" s="9"/>
      <c r="G432" s="9"/>
      <c r="H432" s="257" t="s">
        <v>231</v>
      </c>
      <c r="I432" s="257"/>
      <c r="L432" s="325"/>
      <c r="M432" s="325"/>
      <c r="N432" s="325"/>
      <c r="O432" s="325"/>
      <c r="P432" s="48"/>
      <c r="Q432" s="325"/>
      <c r="R432" s="325"/>
      <c r="S432" s="325"/>
      <c r="T432" s="325"/>
      <c r="U432" s="343"/>
      <c r="V432" s="325"/>
      <c r="W432" s="325"/>
      <c r="X432" s="325"/>
      <c r="Y432" s="325"/>
      <c r="Z432" s="343"/>
      <c r="AA432" s="325"/>
      <c r="AB432" s="325"/>
      <c r="AC432" s="325"/>
      <c r="AD432" s="325"/>
      <c r="AE432" s="343"/>
      <c r="AF432" s="325"/>
      <c r="AG432" s="325"/>
      <c r="AH432" s="325"/>
      <c r="AI432" s="325"/>
      <c r="AJ432" s="357"/>
      <c r="AK432" s="325"/>
      <c r="AL432" s="325"/>
      <c r="AM432" s="325"/>
      <c r="AN432" s="325"/>
      <c r="AO432" s="357"/>
      <c r="AP432" s="341"/>
      <c r="AQ432" s="369"/>
      <c r="AR432" s="369"/>
      <c r="AS432" s="369"/>
      <c r="AT432" s="344"/>
      <c r="AU432" s="369"/>
      <c r="AV432" s="369"/>
      <c r="AW432" s="369"/>
      <c r="AX432" s="369"/>
      <c r="AY432" s="344"/>
      <c r="AZ432" s="341"/>
      <c r="BA432" s="341"/>
      <c r="BB432" s="341"/>
      <c r="BC432" s="341"/>
      <c r="BD432" s="345"/>
      <c r="BE432" s="341"/>
      <c r="BF432" s="341"/>
      <c r="BG432" s="341"/>
      <c r="BH432" s="341"/>
      <c r="BI432" s="345"/>
      <c r="BJ432" s="341"/>
      <c r="BK432" s="341"/>
      <c r="BL432" s="341"/>
      <c r="BM432" s="341"/>
      <c r="BN432" s="345"/>
      <c r="BO432" s="1103"/>
      <c r="BP432" s="1103"/>
      <c r="BQ432" s="1103"/>
      <c r="BR432" s="1103"/>
      <c r="BS432" s="345"/>
      <c r="BT432" s="341" t="str">
        <f t="shared" si="663"/>
        <v>NM</v>
      </c>
      <c r="BU432" s="341" t="str">
        <f t="shared" si="663"/>
        <v>NM</v>
      </c>
      <c r="BV432" s="341" t="str">
        <f t="shared" si="663"/>
        <v>NM</v>
      </c>
      <c r="BW432" s="341" t="str">
        <f t="shared" si="663"/>
        <v>NM</v>
      </c>
      <c r="BX432" s="345" t="str">
        <f t="shared" si="663"/>
        <v>NM</v>
      </c>
      <c r="BY432" s="341" t="str">
        <f t="shared" si="663"/>
        <v>NM</v>
      </c>
      <c r="BZ432" s="1103" t="str">
        <f t="shared" si="664"/>
        <v>NM</v>
      </c>
      <c r="CA432" s="1103" t="str">
        <f t="shared" si="664"/>
        <v>NM</v>
      </c>
      <c r="CB432" s="1103" t="str">
        <f t="shared" si="664"/>
        <v>NM</v>
      </c>
      <c r="CC432" s="345" t="str">
        <f t="shared" si="664"/>
        <v>NM</v>
      </c>
      <c r="CD432" s="345">
        <f t="shared" si="665"/>
        <v>4.6694444444444443</v>
      </c>
      <c r="CE432" s="345">
        <f t="shared" si="665"/>
        <v>1.8324350808427243</v>
      </c>
      <c r="CF432" s="345">
        <f t="shared" si="665"/>
        <v>1.0329610793980284</v>
      </c>
      <c r="CG432" s="345">
        <f t="shared" si="665"/>
        <v>0.64990051519040781</v>
      </c>
      <c r="CH432" s="345">
        <f t="shared" si="665"/>
        <v>0.47119276234513396</v>
      </c>
    </row>
    <row r="433" spans="1:86">
      <c r="A433" s="9"/>
      <c r="B433" s="9"/>
      <c r="C433" s="9"/>
      <c r="D433" s="9"/>
      <c r="E433" s="9"/>
      <c r="F433" s="9"/>
      <c r="G433" s="9"/>
      <c r="H433" s="257" t="s">
        <v>232</v>
      </c>
      <c r="I433" s="257"/>
      <c r="L433" s="325"/>
      <c r="M433" s="325"/>
      <c r="N433" s="325"/>
      <c r="O433" s="325"/>
      <c r="P433" s="48"/>
      <c r="Q433" s="325"/>
      <c r="R433" s="325"/>
      <c r="S433" s="325"/>
      <c r="T433" s="325"/>
      <c r="U433" s="343"/>
      <c r="V433" s="325"/>
      <c r="W433" s="325"/>
      <c r="X433" s="325"/>
      <c r="Y433" s="325"/>
      <c r="Z433" s="343"/>
      <c r="AA433" s="325"/>
      <c r="AB433" s="325"/>
      <c r="AC433" s="325"/>
      <c r="AD433" s="325"/>
      <c r="AE433" s="343"/>
      <c r="AF433" s="325"/>
      <c r="AG433" s="325"/>
      <c r="AH433" s="325"/>
      <c r="AI433" s="325"/>
      <c r="AJ433" s="357"/>
      <c r="AK433" s="325"/>
      <c r="AL433" s="325"/>
      <c r="AM433" s="325"/>
      <c r="AN433" s="325"/>
      <c r="AO433" s="357"/>
      <c r="AP433" s="341"/>
      <c r="AQ433" s="369"/>
      <c r="AR433" s="369"/>
      <c r="AS433" s="369"/>
      <c r="AT433" s="344"/>
      <c r="AU433" s="369"/>
      <c r="AV433" s="369"/>
      <c r="AW433" s="369"/>
      <c r="AX433" s="369"/>
      <c r="AY433" s="344"/>
      <c r="AZ433" s="341"/>
      <c r="BA433" s="341"/>
      <c r="BB433" s="341"/>
      <c r="BC433" s="341"/>
      <c r="BD433" s="345"/>
      <c r="BE433" s="341"/>
      <c r="BF433" s="341"/>
      <c r="BG433" s="341"/>
      <c r="BH433" s="341"/>
      <c r="BI433" s="345"/>
      <c r="BJ433" s="341"/>
      <c r="BK433" s="341"/>
      <c r="BL433" s="341"/>
      <c r="BM433" s="341"/>
      <c r="BN433" s="345"/>
      <c r="BO433" s="1103"/>
      <c r="BP433" s="1103"/>
      <c r="BQ433" s="1103"/>
      <c r="BR433" s="1103"/>
      <c r="BS433" s="345"/>
      <c r="BT433" s="341" t="str">
        <f t="shared" si="663"/>
        <v>NM</v>
      </c>
      <c r="BU433" s="341" t="str">
        <f t="shared" si="663"/>
        <v>NM</v>
      </c>
      <c r="BV433" s="341" t="str">
        <f t="shared" si="663"/>
        <v>NM</v>
      </c>
      <c r="BW433" s="341" t="str">
        <f t="shared" si="663"/>
        <v>NM</v>
      </c>
      <c r="BX433" s="345" t="str">
        <f t="shared" si="663"/>
        <v>NM</v>
      </c>
      <c r="BY433" s="341" t="str">
        <f t="shared" si="663"/>
        <v>NM</v>
      </c>
      <c r="BZ433" s="1103" t="str">
        <f t="shared" si="664"/>
        <v>NM</v>
      </c>
      <c r="CA433" s="1103" t="str">
        <f t="shared" si="664"/>
        <v>NM</v>
      </c>
      <c r="CB433" s="1103" t="str">
        <f t="shared" si="664"/>
        <v>NM</v>
      </c>
      <c r="CC433" s="345" t="str">
        <f t="shared" si="664"/>
        <v>NM</v>
      </c>
      <c r="CD433" s="345">
        <f t="shared" si="665"/>
        <v>21.212499999999999</v>
      </c>
      <c r="CE433" s="345">
        <f t="shared" si="665"/>
        <v>2.2386043894203715</v>
      </c>
      <c r="CF433" s="345">
        <f t="shared" si="665"/>
        <v>1.6492385751520415</v>
      </c>
      <c r="CG433" s="345">
        <f t="shared" si="665"/>
        <v>1.0189569082944874</v>
      </c>
      <c r="CH433" s="345">
        <f t="shared" si="665"/>
        <v>0.62066840882392693</v>
      </c>
    </row>
    <row r="434" spans="1:86">
      <c r="A434" s="9"/>
      <c r="B434" s="9"/>
      <c r="C434" s="9"/>
      <c r="D434" s="9"/>
      <c r="E434" s="9"/>
      <c r="F434" s="9"/>
      <c r="G434" s="9"/>
      <c r="H434" s="259"/>
      <c r="I434" s="259"/>
      <c r="L434" s="325"/>
      <c r="M434" s="325"/>
      <c r="N434" s="325"/>
      <c r="O434" s="325"/>
      <c r="P434" s="48"/>
      <c r="Q434" s="325"/>
      <c r="R434" s="325"/>
      <c r="S434" s="325"/>
      <c r="T434" s="325"/>
      <c r="U434" s="343"/>
      <c r="V434" s="325"/>
      <c r="W434" s="325"/>
      <c r="X434" s="325"/>
      <c r="Y434" s="325"/>
      <c r="Z434" s="343"/>
      <c r="AA434" s="325"/>
      <c r="AB434" s="325"/>
      <c r="AC434" s="325"/>
      <c r="AD434" s="325"/>
      <c r="AE434" s="343"/>
      <c r="AF434" s="325"/>
      <c r="AG434" s="325"/>
      <c r="AH434" s="325"/>
      <c r="AI434" s="325"/>
      <c r="AJ434" s="343"/>
      <c r="AK434" s="325"/>
      <c r="AL434" s="325"/>
      <c r="AM434" s="325"/>
      <c r="AN434" s="325"/>
      <c r="AO434" s="357"/>
      <c r="AP434" s="341"/>
      <c r="AQ434" s="369"/>
      <c r="AR434" s="369"/>
      <c r="AS434" s="369"/>
      <c r="AT434" s="344"/>
      <c r="AU434" s="369"/>
      <c r="AV434" s="369"/>
      <c r="AW434" s="369"/>
      <c r="AX434" s="369"/>
      <c r="AY434" s="344"/>
      <c r="AZ434" s="341"/>
      <c r="BA434" s="341"/>
      <c r="BB434" s="341"/>
      <c r="BC434" s="341"/>
      <c r="BD434" s="345"/>
      <c r="BE434" s="341"/>
      <c r="BF434" s="341"/>
      <c r="BG434" s="341"/>
      <c r="BH434" s="341"/>
      <c r="BI434" s="345"/>
      <c r="BJ434" s="341"/>
      <c r="BK434" s="341"/>
      <c r="BL434" s="341"/>
      <c r="BM434" s="341"/>
      <c r="BN434" s="345"/>
      <c r="BO434" s="341"/>
      <c r="BP434" s="341"/>
      <c r="BQ434" s="341"/>
      <c r="BR434" s="341"/>
      <c r="BS434" s="345"/>
      <c r="BT434" s="341"/>
      <c r="BU434" s="341"/>
      <c r="BV434" s="341"/>
      <c r="BW434" s="341"/>
      <c r="BX434" s="345"/>
      <c r="BY434" s="341"/>
      <c r="BZ434" s="341"/>
      <c r="CA434" s="341"/>
      <c r="CB434" s="341"/>
      <c r="CC434" s="345"/>
      <c r="CD434" s="345"/>
      <c r="CE434" s="345"/>
      <c r="CF434" s="345"/>
      <c r="CG434" s="345"/>
      <c r="CH434" s="345"/>
    </row>
    <row r="435" spans="1:86" ht="13.5" thickBot="1">
      <c r="A435" s="9"/>
      <c r="B435" s="9"/>
      <c r="C435" s="9"/>
      <c r="D435" s="9"/>
      <c r="E435" s="9"/>
      <c r="F435" s="9"/>
      <c r="G435" s="9"/>
      <c r="H435" s="318" t="s">
        <v>583</v>
      </c>
      <c r="I435" s="319"/>
      <c r="J435" s="319"/>
      <c r="K435" s="41"/>
      <c r="L435" s="43" t="str">
        <f>"1Q:" &amp; RIGHT(YEAR(L$4),2) &amp; IF(L$4&lt;=LatestRpQ, "A", "E")</f>
        <v>1Q:05A</v>
      </c>
      <c r="M435" s="43" t="str">
        <f>"2Q:" &amp; RIGHT(YEAR(M$4),2) &amp; IF(M$4&lt;=LatestRpQ, "A", "E")</f>
        <v>2Q:05A</v>
      </c>
      <c r="N435" s="43" t="str">
        <f>"3Q:" &amp; RIGHT(YEAR(N$4),2) &amp; IF(N$4&lt;=LatestRpQ, "A", "E")</f>
        <v>3Q:05A</v>
      </c>
      <c r="O435" s="43" t="str">
        <f>"4Q:" &amp; RIGHT(YEAR(O$4),2) &amp; IF(O$4&lt;=LatestRpQ, "A", "E")</f>
        <v>4Q:05A</v>
      </c>
      <c r="P435" s="44" t="str">
        <f>YEAR(P$4) &amp; IF(P$4&lt;=LatestRpQ, "A", "E")</f>
        <v>2005A</v>
      </c>
      <c r="Q435" s="43" t="str">
        <f>"1Q:" &amp; RIGHT(YEAR(Q$4),2) &amp; IF(Q$4&lt;=LatestRpQ, "A", "E")</f>
        <v>1Q:06A</v>
      </c>
      <c r="R435" s="43" t="str">
        <f>"2Q:" &amp; RIGHT(YEAR(R$4),2) &amp; IF(R$4&lt;=LatestRpQ, "A", "E")</f>
        <v>2Q:06A</v>
      </c>
      <c r="S435" s="43" t="str">
        <f>"3Q:" &amp; RIGHT(YEAR(S$4),2) &amp; IF(S$4&lt;=LatestRpQ, "A", "E")</f>
        <v>3Q:06A</v>
      </c>
      <c r="T435" s="43" t="str">
        <f>"4Q:" &amp; RIGHT(YEAR(T$4),2) &amp; IF(T$4&lt;=LatestRpQ, "A", "E")</f>
        <v>4Q:06A</v>
      </c>
      <c r="U435" s="44" t="str">
        <f>YEAR(U$4) &amp; IF(U$4&lt;=LatestRpQ, "A", "E")</f>
        <v>2006A</v>
      </c>
      <c r="V435" s="43" t="str">
        <f>"1Q:" &amp; RIGHT(YEAR(V$4),2) &amp; IF(V$4&lt;=LatestRpQ, "A", "E")</f>
        <v>1Q:07A</v>
      </c>
      <c r="W435" s="43" t="str">
        <f>"2Q:" &amp; RIGHT(YEAR(W$4),2) &amp; IF(W$4&lt;=LatestRpQ, "A", "E")</f>
        <v>2Q:07A</v>
      </c>
      <c r="X435" s="43" t="str">
        <f>"3Q:" &amp; RIGHT(YEAR(X$4),2) &amp; IF(X$4&lt;=LatestRpQ, "A", "E")</f>
        <v>3Q:07A</v>
      </c>
      <c r="Y435" s="43" t="str">
        <f>"4Q:" &amp; RIGHT(YEAR(Y$4),2) &amp; IF(Y$4&lt;=LatestRpQ, "A", "E")</f>
        <v>4Q:07A</v>
      </c>
      <c r="Z435" s="44" t="str">
        <f>YEAR(Z$4) &amp; IF(Z$4&lt;=LatestRpQ, "A", "E")</f>
        <v>2007A</v>
      </c>
      <c r="AA435" s="43" t="str">
        <f>"1Q:" &amp; RIGHT(YEAR(AA$4),2) &amp; IF(AA$4&lt;=LatestRpQ, "A", "E")</f>
        <v>1Q:08A</v>
      </c>
      <c r="AB435" s="43" t="str">
        <f>"2Q:" &amp; RIGHT(YEAR(AB$4),2) &amp; IF(AB$4&lt;=LatestRpQ, "A", "E")</f>
        <v>2Q:08A</v>
      </c>
      <c r="AC435" s="43" t="str">
        <f>"3Q:" &amp; RIGHT(YEAR(AC$4),2) &amp; IF(AC$4&lt;=LatestRpQ, "A", "E")</f>
        <v>3Q:08A</v>
      </c>
      <c r="AD435" s="43" t="str">
        <f>"4Q:" &amp; RIGHT(YEAR(AD$4),2) &amp; IF(AD$4&lt;=LatestRpQ, "A", "E")</f>
        <v>4Q:08A</v>
      </c>
      <c r="AE435" s="44" t="str">
        <f>YEAR(AE$4) &amp; IF(AE$4&lt;=LatestRpQ, "A", "E")</f>
        <v>2008A</v>
      </c>
      <c r="AF435" s="43" t="str">
        <f>"1Q:" &amp; RIGHT(YEAR(AF$4),2) &amp; IF(AF$4&lt;=LatestRpQ, "A", "E")</f>
        <v>1Q:09A</v>
      </c>
      <c r="AG435" s="43" t="str">
        <f>"2Q:" &amp; RIGHT(YEAR(AG$4),2) &amp; IF(AG$4&lt;=LatestRpQ, "A", "E")</f>
        <v>2Q:09A</v>
      </c>
      <c r="AH435" s="43" t="str">
        <f>"3Q:" &amp; RIGHT(YEAR(AH$4),2) &amp; IF(AH$4&lt;=LatestRpQ, "A", "E")</f>
        <v>3Q:09A</v>
      </c>
      <c r="AI435" s="43" t="str">
        <f>"4Q:" &amp; RIGHT(YEAR(AI$4),2) &amp; IF(AI$4&lt;=LatestRpQ, "A", "E")</f>
        <v>4Q:09A</v>
      </c>
      <c r="AJ435" s="44" t="str">
        <f>YEAR(AJ$4) &amp; IF(AJ$4&lt;=LatestRpQ, "A", "E")</f>
        <v>2009A</v>
      </c>
      <c r="AK435" s="43" t="str">
        <f>"1Q:" &amp; RIGHT(YEAR(AK$4),2) &amp; IF(AK$4&lt;=LatestRpQ, "A", "E")</f>
        <v>1Q:10A</v>
      </c>
      <c r="AL435" s="43" t="str">
        <f>"2Q:" &amp; RIGHT(YEAR(AL$4),2) &amp; IF(AL$4&lt;=LatestRpQ, "A", "E")</f>
        <v>2Q:10A</v>
      </c>
      <c r="AM435" s="43" t="str">
        <f>"3Q:" &amp; RIGHT(YEAR(AM$4),2) &amp; IF(AM$4&lt;=LatestRpQ, "A", "E")</f>
        <v>3Q:10A</v>
      </c>
      <c r="AN435" s="43" t="str">
        <f>"4Q:" &amp; RIGHT(YEAR(AN$4),2) &amp; IF(AN$4&lt;=LatestRpQ, "A", "E")</f>
        <v>4Q:10A</v>
      </c>
      <c r="AO435" s="44" t="str">
        <f>YEAR(AO$4) &amp; IF(AO$4&lt;=LatestRpQ, "A", "E")</f>
        <v>2010A</v>
      </c>
      <c r="AP435" s="43" t="str">
        <f>"1Q:" &amp; RIGHT(YEAR(AP$4),2) &amp; IF(AP$4&lt;=LatestRpQ, "A", "E")</f>
        <v>1Q:11A</v>
      </c>
      <c r="AQ435" s="43" t="str">
        <f>"2Q:" &amp; RIGHT(YEAR(AQ$4),2) &amp; IF(AQ$4&lt;=LatestRpQ, "A", "E")</f>
        <v>2Q:11A</v>
      </c>
      <c r="AR435" s="43" t="str">
        <f>"3Q:" &amp; RIGHT(YEAR(AR$4),2) &amp; IF(AR$4&lt;=LatestRpQ, "A", "E")</f>
        <v>3Q:11A</v>
      </c>
      <c r="AS435" s="43" t="str">
        <f>"4Q:" &amp; RIGHT(YEAR(AS$4),2) &amp; IF(AS$4&lt;=LatestRpQ, "A", "E")</f>
        <v>4Q:11A</v>
      </c>
      <c r="AT435" s="44" t="str">
        <f>YEAR(AT$4) &amp; IF(AT$4&lt;=LatestRpQ, "A", "E")</f>
        <v>2011A</v>
      </c>
      <c r="AU435" s="43" t="str">
        <f>"1Q:" &amp; RIGHT(YEAR(AU$4),2) &amp; IF(AU$4&lt;=LatestRpQ, "A", "E")</f>
        <v>1Q:12A</v>
      </c>
      <c r="AV435" s="43" t="str">
        <f>"2Q:" &amp; RIGHT(YEAR(AV$4),2) &amp; IF(AV$4&lt;=LatestRpQ, "A", "E")</f>
        <v>2Q:12A</v>
      </c>
      <c r="AW435" s="43" t="str">
        <f>"3Q:" &amp; RIGHT(YEAR(AW$4),2) &amp; IF(AW$4&lt;=LatestRpQ, "A", "E")</f>
        <v>3Q:12A</v>
      </c>
      <c r="AX435" s="43" t="str">
        <f>"4Q:" &amp; RIGHT(YEAR(AX$4),2) &amp; IF(AX$4&lt;=LatestRpQ, "A", "E")</f>
        <v>4Q:12A</v>
      </c>
      <c r="AY435" s="44" t="str">
        <f>YEAR(AY$4) &amp; IF(AY$4&lt;=LatestRpQ, "A", "E")</f>
        <v>2012A</v>
      </c>
      <c r="AZ435" s="43" t="str">
        <f>"1Q:" &amp; RIGHT(YEAR(AZ$4),2) &amp; IF(AZ$4&lt;=LatestRpQ, "A", "E")</f>
        <v>1Q:13A</v>
      </c>
      <c r="BA435" s="43" t="str">
        <f>"2Q:" &amp; RIGHT(YEAR(BA$4),2) &amp; IF(BA$4&lt;=LatestRpQ, "A", "E")</f>
        <v>2Q:13A</v>
      </c>
      <c r="BB435" s="43" t="str">
        <f>"3Q:" &amp; RIGHT(YEAR(BB$4),2) &amp; IF(BB$4&lt;=LatestRpQ, "A", "E")</f>
        <v>3Q:13A</v>
      </c>
      <c r="BC435" s="43" t="str">
        <f>"4Q:" &amp; RIGHT(YEAR(BC$4),2) &amp; IF(BC$4&lt;=LatestRpQ, "A", "E")</f>
        <v>4Q:13A</v>
      </c>
      <c r="BD435" s="44" t="str">
        <f>YEAR(BD$4) &amp; IF(BD$4&lt;=LatestRpQ, "A", "E")</f>
        <v>2013A</v>
      </c>
      <c r="BE435" s="43" t="str">
        <f>"1Q:" &amp; RIGHT(YEAR(BE$4),2) &amp; IF(BE$4&lt;=LatestRpQ, "A", "E")</f>
        <v>1Q:14A</v>
      </c>
      <c r="BF435" s="43" t="str">
        <f>"2Q:" &amp; RIGHT(YEAR(BF$4),2) &amp; IF(BF$4&lt;=LatestRpQ, "A", "E")</f>
        <v>2Q:14A</v>
      </c>
      <c r="BG435" s="43" t="str">
        <f>"3Q:" &amp; RIGHT(YEAR(BG$4),2) &amp; IF(BG$4&lt;=LatestRpQ, "A", "E")</f>
        <v>3Q:14A</v>
      </c>
      <c r="BH435" s="43" t="str">
        <f>"4Q:" &amp; RIGHT(YEAR(BH$4),2) &amp; IF(BH$4&lt;=LatestRpQ, "A", "E")</f>
        <v>4Q:14A</v>
      </c>
      <c r="BI435" s="44" t="str">
        <f>YEAR(BI$4) &amp; IF(BI$4&lt;=LatestRpQ, "A", "E")</f>
        <v>2014A</v>
      </c>
      <c r="BJ435" s="43" t="str">
        <f>"1Q:" &amp; RIGHT(YEAR(BJ$4),2) &amp; IF(BJ$4&lt;=LatestRpQ, "A", "E")</f>
        <v>1Q:15A</v>
      </c>
      <c r="BK435" s="43" t="str">
        <f>"2Q:" &amp; RIGHT(YEAR(BK$4),2) &amp; IF(BK$4&lt;=LatestRpQ, "A", "E")</f>
        <v>2Q:15A</v>
      </c>
      <c r="BL435" s="43" t="str">
        <f>"3Q:" &amp; RIGHT(YEAR(BL$4),2) &amp; IF(BL$4&lt;=LatestRpQ, "A", "E")</f>
        <v>3Q:15A</v>
      </c>
      <c r="BM435" s="43" t="str">
        <f>"4Q:" &amp; RIGHT(YEAR(BM$4),2) &amp; IF(BM$4&lt;=LatestRpQ, "A", "E")</f>
        <v>4Q:15A</v>
      </c>
      <c r="BN435" s="44" t="str">
        <f>YEAR(BN$4) &amp; IF(BN$4&lt;=LatestRpQ, "A", "E")</f>
        <v>2015A</v>
      </c>
      <c r="BO435" s="43" t="str">
        <f>"1Q:" &amp; RIGHT(YEAR(BO$4),2) &amp; IF(BO$4&lt;=LatestRpQ, "A", "E")</f>
        <v>1Q:16A</v>
      </c>
      <c r="BP435" s="43" t="str">
        <f>"2Q:" &amp; RIGHT(YEAR(BP$4),2) &amp; IF(BP$4&lt;=LatestRpQ, "A", "E")</f>
        <v>2Q:16A</v>
      </c>
      <c r="BQ435" s="43" t="str">
        <f>"3Q:" &amp; RIGHT(YEAR(BQ$4),2) &amp; IF(BQ$4&lt;=LatestRpQ, "A", "E")</f>
        <v>3Q:16A</v>
      </c>
      <c r="BR435" s="43" t="str">
        <f>"4Q:" &amp; RIGHT(YEAR(BR$4),2) &amp; IF(BR$4&lt;=LatestRpQ, "A", "E")</f>
        <v>4Q:16A</v>
      </c>
      <c r="BS435" s="44" t="str">
        <f>YEAR(BS$4) &amp; IF(BS$4&lt;=LatestRpQ, "A", "E")</f>
        <v>2016A</v>
      </c>
      <c r="BT435" s="43" t="str">
        <f>"1Q:" &amp; RIGHT(YEAR(BT$4),2) &amp; IF(BT$4&lt;=LatestRpQ, "A", "E")</f>
        <v>1Q:17A</v>
      </c>
      <c r="BU435" s="43" t="str">
        <f>"2Q:" &amp; RIGHT(YEAR(BU$4),2) &amp; IF(BU$4&lt;=LatestRpQ, "A", "E")</f>
        <v>2Q:17A</v>
      </c>
      <c r="BV435" s="43" t="str">
        <f>"3Q:" &amp; RIGHT(YEAR(BV$4),2) &amp; IF(BV$4&lt;=LatestRpQ, "A", "E")</f>
        <v>3Q:17A</v>
      </c>
      <c r="BW435" s="43" t="str">
        <f>"4Q:" &amp; RIGHT(YEAR(BW$4),2) &amp; IF(BW$4&lt;=LatestRpQ, "A", "E")</f>
        <v>4Q:17A</v>
      </c>
      <c r="BX435" s="44" t="str">
        <f>YEAR(BX$4) &amp; IF(BX$4&lt;=LatestRpQ, "A", "E")</f>
        <v>2017A</v>
      </c>
      <c r="BY435" s="43" t="str">
        <f>"1Q:" &amp; RIGHT(YEAR(BY$4),2) &amp; IF(BY$4&lt;=LatestRpQ, "A", "E")</f>
        <v>1Q:18A</v>
      </c>
      <c r="BZ435" s="43" t="str">
        <f>"2Q:" &amp; RIGHT(YEAR(BZ$4),2) &amp; IF(BZ$4&lt;=LatestRpQ, "A", "E")</f>
        <v>2Q:18E</v>
      </c>
      <c r="CA435" s="43" t="str">
        <f>"3Q:" &amp; RIGHT(YEAR(CA$4),2) &amp; IF(CA$4&lt;=LatestRpQ, "A", "E")</f>
        <v>3Q:18E</v>
      </c>
      <c r="CB435" s="43" t="str">
        <f>"4Q:" &amp; RIGHT(YEAR(CB$4),2) &amp; IF(CB$4&lt;=LatestRpQ, "A", "E")</f>
        <v>4Q:18E</v>
      </c>
      <c r="CC435" s="44" t="str">
        <f t="shared" ref="CC435:CH435" si="666">YEAR(CC$4) &amp; IF(CC$4&lt;=LatestRpQ, "A", "E")</f>
        <v>2018E</v>
      </c>
      <c r="CD435" s="44" t="str">
        <f t="shared" si="666"/>
        <v>2019E</v>
      </c>
      <c r="CE435" s="44" t="str">
        <f t="shared" si="666"/>
        <v>2020E</v>
      </c>
      <c r="CF435" s="44" t="str">
        <f t="shared" si="666"/>
        <v>2021E</v>
      </c>
      <c r="CG435" s="44" t="str">
        <f t="shared" si="666"/>
        <v>2022E</v>
      </c>
      <c r="CH435" s="44" t="str">
        <f t="shared" si="666"/>
        <v>2023E</v>
      </c>
    </row>
    <row r="436" spans="1:86">
      <c r="A436" s="9"/>
      <c r="B436" s="9"/>
      <c r="C436" s="9"/>
      <c r="D436" s="9"/>
      <c r="E436" s="9"/>
      <c r="F436" s="9"/>
      <c r="G436" s="9"/>
      <c r="H436" s="255" t="s">
        <v>706</v>
      </c>
      <c r="I436" s="255"/>
      <c r="J436" s="322"/>
      <c r="K436" s="322"/>
      <c r="L436" s="323">
        <v>7.1820175438596534E-2</v>
      </c>
      <c r="M436" s="323">
        <v>0.11853088480801333</v>
      </c>
      <c r="N436" s="323">
        <v>0.16396979503775633</v>
      </c>
      <c r="O436" s="323">
        <v>1.1942675159235527E-3</v>
      </c>
      <c r="P436" s="324">
        <v>8.1507449605608961E-2</v>
      </c>
      <c r="Q436" s="323">
        <f t="shared" ref="Q436:T438" si="667">Q206/L206-1</f>
        <v>1.4833759590792805E-2</v>
      </c>
      <c r="R436" s="323">
        <f t="shared" si="667"/>
        <v>0</v>
      </c>
      <c r="S436" s="323">
        <f t="shared" si="667"/>
        <v>1.853568118628246E-3</v>
      </c>
      <c r="T436" s="323">
        <f t="shared" si="667"/>
        <v>3.3399602385685734E-2</v>
      </c>
      <c r="U436" s="324">
        <f t="shared" ref="U436:AR436" si="668">IF(ISERROR(U206/P206-1),"NM",(U206/P206-1))</f>
        <v>1.354480203750863E-2</v>
      </c>
      <c r="V436" s="323">
        <f t="shared" si="668"/>
        <v>8.4173387096774244E-2</v>
      </c>
      <c r="W436" s="323">
        <f t="shared" si="668"/>
        <v>6.8159203980099337E-2</v>
      </c>
      <c r="X436" s="323">
        <f t="shared" si="668"/>
        <v>9.4357076780758664E-2</v>
      </c>
      <c r="Y436" s="323">
        <f t="shared" si="668"/>
        <v>0.26741054251635243</v>
      </c>
      <c r="Z436" s="324">
        <f t="shared" si="668"/>
        <v>0.13740719588806383</v>
      </c>
      <c r="AA436" s="323">
        <f t="shared" si="668"/>
        <v>9.3909809390980925E-2</v>
      </c>
      <c r="AB436" s="323">
        <f t="shared" si="668"/>
        <v>0.18537494177922698</v>
      </c>
      <c r="AC436" s="323">
        <f t="shared" si="668"/>
        <v>0.1711749788672865</v>
      </c>
      <c r="AD436" s="323">
        <f t="shared" si="668"/>
        <v>-9.1074681238615396E-3</v>
      </c>
      <c r="AE436" s="324">
        <f t="shared" si="668"/>
        <v>9.7911227154046987E-2</v>
      </c>
      <c r="AF436" s="323">
        <f t="shared" si="668"/>
        <v>0.12239694007649815</v>
      </c>
      <c r="AG436" s="323">
        <f t="shared" si="668"/>
        <v>8.2121807465618701E-2</v>
      </c>
      <c r="AH436" s="323">
        <f t="shared" si="668"/>
        <v>0.13533020570191256</v>
      </c>
      <c r="AI436" s="323">
        <f t="shared" si="668"/>
        <v>8.2107843137254832E-2</v>
      </c>
      <c r="AJ436" s="324">
        <f t="shared" si="668"/>
        <v>0.10427147169121009</v>
      </c>
      <c r="AK436" s="323">
        <f t="shared" si="668"/>
        <v>9.6554335478985287E-2</v>
      </c>
      <c r="AL436" s="323">
        <f t="shared" si="668"/>
        <v>0.17683369644153979</v>
      </c>
      <c r="AM436" s="323">
        <f t="shared" si="668"/>
        <v>0.12301335028607752</v>
      </c>
      <c r="AN436" s="323">
        <f t="shared" si="668"/>
        <v>0.20130237825594577</v>
      </c>
      <c r="AO436" s="908">
        <f t="shared" ref="AO436:AY436" si="669">IF(ISERROR(AO206/AJ206-1),"NM",(AO206/AJ206-1))</f>
        <v>0.15240619564317082</v>
      </c>
      <c r="AP436" s="365">
        <f t="shared" si="668"/>
        <v>0.27693370165745845</v>
      </c>
      <c r="AQ436" s="365">
        <f t="shared" si="668"/>
        <v>0.2017895711200246</v>
      </c>
      <c r="AR436" s="365">
        <f t="shared" si="668"/>
        <v>0.27681856778941416</v>
      </c>
      <c r="AS436" s="365">
        <f t="shared" si="669"/>
        <v>0.10370021211406999</v>
      </c>
      <c r="AT436" s="758">
        <f t="shared" si="669"/>
        <v>0.20656939552936104</v>
      </c>
      <c r="AU436" s="365">
        <f t="shared" si="669"/>
        <v>0.32693347755543556</v>
      </c>
      <c r="AV436" s="365">
        <f t="shared" si="669"/>
        <v>0.31501925545571252</v>
      </c>
      <c r="AW436" s="365">
        <f t="shared" si="669"/>
        <v>6.2735535358013683E-2</v>
      </c>
      <c r="AX436" s="365">
        <f t="shared" si="669"/>
        <v>0.18321588725176152</v>
      </c>
      <c r="AY436" s="758">
        <f t="shared" si="669"/>
        <v>0.21308155120033367</v>
      </c>
      <c r="AZ436" s="365">
        <f t="shared" ref="AZ436:BN439" si="670">IF(ISERROR(AZ206/AU206-1),"NM",(AZ206/AU206-1))</f>
        <v>1.6507030772365816E-2</v>
      </c>
      <c r="BA436" s="365">
        <f t="shared" si="670"/>
        <v>6.1108941819601581E-2</v>
      </c>
      <c r="BB436" s="365">
        <f t="shared" si="670"/>
        <v>0.10617438464747586</v>
      </c>
      <c r="BC436" s="365">
        <f t="shared" si="670"/>
        <v>4.3854899837574512E-2</v>
      </c>
      <c r="BD436" s="758">
        <f t="shared" si="670"/>
        <v>5.6275780789628804E-2</v>
      </c>
      <c r="BE436" s="365">
        <f t="shared" si="670"/>
        <v>5.7337610264635464E-2</v>
      </c>
      <c r="BF436" s="365">
        <f t="shared" si="670"/>
        <v>0.10616375344986206</v>
      </c>
      <c r="BG436" s="365">
        <f t="shared" si="670"/>
        <v>0.10258344333396208</v>
      </c>
      <c r="BH436" s="365">
        <f t="shared" si="670"/>
        <v>9.4917012448132665E-2</v>
      </c>
      <c r="BI436" s="758">
        <f t="shared" si="670"/>
        <v>9.0934449093445169E-2</v>
      </c>
      <c r="BJ436" s="365">
        <f t="shared" si="670"/>
        <v>0.42169131588926767</v>
      </c>
      <c r="BK436" s="365">
        <f t="shared" si="670"/>
        <v>0.39853626081170979</v>
      </c>
      <c r="BL436" s="365">
        <f t="shared" si="670"/>
        <v>0.33196511031298082</v>
      </c>
      <c r="BM436" s="365">
        <f t="shared" si="670"/>
        <v>0.28169903679141028</v>
      </c>
      <c r="BN436" s="758">
        <f t="shared" si="670"/>
        <v>0.35562089832097499</v>
      </c>
      <c r="BO436" s="1102">
        <f t="shared" ref="BO436:BT439" si="671">IF(ISERROR(BO206/BJ206-1),"NM",(BO206/BJ206-1))</f>
        <v>6.4017071218991362E-3</v>
      </c>
      <c r="BP436" s="1102">
        <f t="shared" si="671"/>
        <v>2.2597526165556658E-2</v>
      </c>
      <c r="BQ436" s="1102">
        <f t="shared" si="671"/>
        <v>-9.322033898305071E-2</v>
      </c>
      <c r="BR436" s="1102">
        <f t="shared" si="671"/>
        <v>3.190834051989655E-2</v>
      </c>
      <c r="BS436" s="758">
        <f t="shared" si="671"/>
        <v>-7.1987677218573465E-3</v>
      </c>
      <c r="BT436" s="365">
        <f t="shared" si="671"/>
        <v>1.9613040021203565E-2</v>
      </c>
      <c r="BU436" s="365">
        <f t="shared" ref="BU436:BX439" si="672">IF(ISERROR(BU206/BP206-1),"NM",(BU206/BP206-1))</f>
        <v>-8.7229588276343306E-2</v>
      </c>
      <c r="BV436" s="365">
        <f t="shared" si="672"/>
        <v>4.8711413197394471E-2</v>
      </c>
      <c r="BW436" s="365">
        <f t="shared" si="672"/>
        <v>-5.5754536771728702E-2</v>
      </c>
      <c r="BX436" s="758">
        <f t="shared" si="672"/>
        <v>-2.2956114242289938E-2</v>
      </c>
      <c r="BY436" s="1102">
        <f t="shared" ref="BY436:CC438" si="673">IF(ISERROR(BY206/BT206-1),"NM",(BY206/BT206-1))</f>
        <v>-1.0527683909540064E-2</v>
      </c>
      <c r="BZ436" s="1102">
        <f t="shared" si="673"/>
        <v>1.5389908256880913E-2</v>
      </c>
      <c r="CA436" s="1102">
        <f t="shared" si="673"/>
        <v>2.984877126654073E-2</v>
      </c>
      <c r="CB436" s="1102">
        <f t="shared" si="673"/>
        <v>6.2987735491212504E-2</v>
      </c>
      <c r="CC436" s="758">
        <f t="shared" si="673"/>
        <v>2.4565252616910449E-2</v>
      </c>
      <c r="CD436" s="758">
        <f t="shared" ref="CD436:CH439" si="674">IF(ISERROR(CD206/CC206-1),"NM",(CD206/CC206-1))</f>
        <v>6.5858653848282822E-2</v>
      </c>
      <c r="CE436" s="758">
        <f t="shared" si="674"/>
        <v>6.9078736433712207E-2</v>
      </c>
      <c r="CF436" s="758">
        <f t="shared" si="674"/>
        <v>6.5950866199101288E-2</v>
      </c>
      <c r="CG436" s="758">
        <f t="shared" si="674"/>
        <v>6.6084863207658717E-2</v>
      </c>
      <c r="CH436" s="758">
        <f t="shared" si="674"/>
        <v>6.6219013038085528E-2</v>
      </c>
    </row>
    <row r="437" spans="1:86">
      <c r="A437" s="9"/>
      <c r="B437" s="9"/>
      <c r="C437" s="9"/>
      <c r="D437" s="9"/>
      <c r="E437" s="9"/>
      <c r="F437" s="9"/>
      <c r="G437" s="9"/>
      <c r="H437" s="257" t="s">
        <v>231</v>
      </c>
      <c r="I437" s="257"/>
      <c r="L437" s="325">
        <v>7.4927953890489674E-2</v>
      </c>
      <c r="M437" s="325">
        <v>7.0478723404255206E-2</v>
      </c>
      <c r="N437" s="325">
        <v>0.19720101781170496</v>
      </c>
      <c r="O437" s="325">
        <v>0.05</v>
      </c>
      <c r="P437" s="48">
        <v>9.2947772204189816E-2</v>
      </c>
      <c r="Q437" s="325">
        <f t="shared" si="667"/>
        <v>0.12600536193029499</v>
      </c>
      <c r="R437" s="325">
        <f t="shared" si="667"/>
        <v>0.15155279503105601</v>
      </c>
      <c r="S437" s="325">
        <f t="shared" si="667"/>
        <v>4.1445270988310412E-2</v>
      </c>
      <c r="T437" s="325">
        <f t="shared" si="667"/>
        <v>8.2508250825082285E-2</v>
      </c>
      <c r="U437" s="48">
        <f t="shared" ref="U437:AD438" si="675">IF(ISERROR(U207/P207-1),"NM",(U207/P207-1))</f>
        <v>9.5842332613391035E-2</v>
      </c>
      <c r="V437" s="325">
        <f t="shared" si="675"/>
        <v>0.10357142857142865</v>
      </c>
      <c r="W437" s="325">
        <f t="shared" si="675"/>
        <v>3.6677454153182243E-2</v>
      </c>
      <c r="X437" s="325">
        <f t="shared" si="675"/>
        <v>0.14693877551020407</v>
      </c>
      <c r="Y437" s="325">
        <f t="shared" si="675"/>
        <v>0.36966463414634143</v>
      </c>
      <c r="Z437" s="48">
        <f t="shared" si="675"/>
        <v>0.18477457501847772</v>
      </c>
      <c r="AA437" s="325">
        <f t="shared" si="675"/>
        <v>0.16073354908306348</v>
      </c>
      <c r="AB437" s="325">
        <f t="shared" si="675"/>
        <v>0.21540062434963581</v>
      </c>
      <c r="AC437" s="325">
        <f t="shared" si="675"/>
        <v>0.13790035587188609</v>
      </c>
      <c r="AD437" s="325">
        <f t="shared" si="675"/>
        <v>3.0050083472454192E-2</v>
      </c>
      <c r="AE437" s="276">
        <f t="shared" ref="AE437:AN438" si="676">IF(ISERROR(AE207/Z207-1),"NM",(AE207/Z207-1))</f>
        <v>0.11748804325223516</v>
      </c>
      <c r="AF437" s="325">
        <f t="shared" si="676"/>
        <v>0.42750929368029733</v>
      </c>
      <c r="AG437" s="325">
        <f t="shared" si="676"/>
        <v>0.3202054794520548</v>
      </c>
      <c r="AH437" s="325">
        <f t="shared" si="676"/>
        <v>0.38232994526974196</v>
      </c>
      <c r="AI437" s="325">
        <f t="shared" si="676"/>
        <v>1.4046461372231089E-2</v>
      </c>
      <c r="AJ437" s="276">
        <f t="shared" si="676"/>
        <v>0.2510234462225529</v>
      </c>
      <c r="AK437" s="325">
        <f t="shared" si="676"/>
        <v>2.6692708333333259E-2</v>
      </c>
      <c r="AL437" s="325">
        <f t="shared" si="676"/>
        <v>0.19974059662775634</v>
      </c>
      <c r="AM437" s="325">
        <f t="shared" si="676"/>
        <v>0.11877828054298645</v>
      </c>
      <c r="AN437" s="325">
        <f t="shared" si="676"/>
        <v>0.24933404368673417</v>
      </c>
      <c r="AO437" s="345">
        <f t="shared" ref="AO437:AX438" si="677">IF(ISERROR(AO207/AJ207-1),"NM",(AO207/AJ207-1))</f>
        <v>0.15275918488769902</v>
      </c>
      <c r="AP437" s="341">
        <f t="shared" si="677"/>
        <v>0.28344958782498431</v>
      </c>
      <c r="AQ437" s="341">
        <f t="shared" si="677"/>
        <v>0.18000000000000016</v>
      </c>
      <c r="AR437" s="341">
        <f t="shared" si="677"/>
        <v>0.20273003033367032</v>
      </c>
      <c r="AS437" s="341">
        <f t="shared" si="677"/>
        <v>1.5778251599147142E-2</v>
      </c>
      <c r="AT437" s="345">
        <f t="shared" si="677"/>
        <v>0.15716129032258053</v>
      </c>
      <c r="AU437" s="341">
        <f t="shared" si="677"/>
        <v>0.33201581027667992</v>
      </c>
      <c r="AV437" s="341">
        <f t="shared" si="677"/>
        <v>0.39532753092075135</v>
      </c>
      <c r="AW437" s="341">
        <f t="shared" si="677"/>
        <v>0.15720891130727166</v>
      </c>
      <c r="AX437" s="341">
        <f t="shared" si="677"/>
        <v>0.31066330814441656</v>
      </c>
      <c r="AY437" s="345">
        <f>IF(ISERROR(AY207/AT207-1),"NM",(AY207/AT207-1))</f>
        <v>0.29538358608385384</v>
      </c>
      <c r="AZ437" s="341">
        <f t="shared" si="670"/>
        <v>9.3842729970326166E-2</v>
      </c>
      <c r="BA437" s="341">
        <f t="shared" si="670"/>
        <v>5.4826001313197592E-2</v>
      </c>
      <c r="BB437" s="341">
        <f t="shared" si="670"/>
        <v>0.10788231020704697</v>
      </c>
      <c r="BC437" s="341">
        <f t="shared" si="670"/>
        <v>-2.1460602178090982E-2</v>
      </c>
      <c r="BD437" s="928">
        <f t="shared" si="670"/>
        <v>5.5952483429456912E-2</v>
      </c>
      <c r="BE437" s="341">
        <f t="shared" si="670"/>
        <v>4.3065445913869294E-2</v>
      </c>
      <c r="BF437" s="341">
        <f t="shared" si="670"/>
        <v>3.2679738562091609E-2</v>
      </c>
      <c r="BG437" s="341">
        <f t="shared" si="670"/>
        <v>2.5901639344262151E-2</v>
      </c>
      <c r="BH437" s="341">
        <f t="shared" si="670"/>
        <v>5.4337152209492645E-2</v>
      </c>
      <c r="BI437" s="345">
        <f t="shared" si="670"/>
        <v>3.8884812912692635E-2</v>
      </c>
      <c r="BJ437" s="341">
        <f t="shared" si="670"/>
        <v>0.15994798439531865</v>
      </c>
      <c r="BK437" s="341">
        <f t="shared" si="670"/>
        <v>0.23568414707655205</v>
      </c>
      <c r="BL437" s="341">
        <f t="shared" si="670"/>
        <v>0.25471396612336217</v>
      </c>
      <c r="BM437" s="341">
        <f t="shared" si="670"/>
        <v>0.18534616578702257</v>
      </c>
      <c r="BN437" s="345">
        <f t="shared" si="670"/>
        <v>0.20935342121782785</v>
      </c>
      <c r="BO437" s="1103">
        <f t="shared" si="671"/>
        <v>9.9775784753363128E-2</v>
      </c>
      <c r="BP437" s="1103">
        <f t="shared" si="671"/>
        <v>8.4146341463414709E-2</v>
      </c>
      <c r="BQ437" s="1103">
        <f t="shared" si="671"/>
        <v>-0.13754457463066738</v>
      </c>
      <c r="BR437" s="1103">
        <f t="shared" si="671"/>
        <v>1.8858040859088598E-2</v>
      </c>
      <c r="BS437" s="345">
        <f t="shared" si="671"/>
        <v>1.5118089800155499E-2</v>
      </c>
      <c r="BT437" s="1103">
        <f t="shared" si="671"/>
        <v>5.4536187563710481E-2</v>
      </c>
      <c r="BU437" s="1103">
        <f t="shared" si="672"/>
        <v>-8.548931383577052E-2</v>
      </c>
      <c r="BV437" s="1103">
        <f t="shared" si="672"/>
        <v>4.2528056704075556E-2</v>
      </c>
      <c r="BW437" s="1103">
        <f t="shared" si="672"/>
        <v>-0.13161953727506426</v>
      </c>
      <c r="BX437" s="345">
        <f t="shared" si="672"/>
        <v>-3.413231064237765E-2</v>
      </c>
      <c r="BY437" s="1103">
        <f t="shared" ref="BY437:CB439" si="678">IF(ISERROR(BY207/BT207-1),"NM",(BY207/BT207-1))</f>
        <v>-9.2073465442242708E-2</v>
      </c>
      <c r="BZ437" s="1103">
        <f t="shared" si="678"/>
        <v>-2.3938499384993817E-2</v>
      </c>
      <c r="CA437" s="1103">
        <f t="shared" si="678"/>
        <v>-3.2577903682718956E-3</v>
      </c>
      <c r="CB437" s="1103">
        <f t="shared" si="678"/>
        <v>7.7652457075192416E-2</v>
      </c>
      <c r="CC437" s="345">
        <f t="shared" si="673"/>
        <v>-1.5055257759248097E-2</v>
      </c>
      <c r="CD437" s="345">
        <f t="shared" si="674"/>
        <v>6.9955783249907588E-2</v>
      </c>
      <c r="CE437" s="345">
        <f t="shared" si="674"/>
        <v>7.4232753926232853E-2</v>
      </c>
      <c r="CF437" s="345">
        <f t="shared" si="674"/>
        <v>6.7526941522322081E-2</v>
      </c>
      <c r="CG437" s="345">
        <f t="shared" si="674"/>
        <v>6.7731727516978868E-2</v>
      </c>
      <c r="CH437" s="345">
        <f t="shared" si="674"/>
        <v>6.7935465646292492E-2</v>
      </c>
    </row>
    <row r="438" spans="1:86">
      <c r="A438" s="9"/>
      <c r="B438" s="9"/>
      <c r="C438" s="9"/>
      <c r="D438" s="9"/>
      <c r="E438" s="9"/>
      <c r="F438" s="9"/>
      <c r="G438" s="9"/>
      <c r="H438" s="257" t="s">
        <v>232</v>
      </c>
      <c r="I438" s="257"/>
      <c r="L438" s="325">
        <v>6.9911504424778892E-2</v>
      </c>
      <c r="M438" s="325">
        <v>0.15311004784688986</v>
      </c>
      <c r="N438" s="325">
        <v>0.13951310861423227</v>
      </c>
      <c r="O438" s="325">
        <v>7.0000000000000007E-2</v>
      </c>
      <c r="P438" s="48">
        <v>7.3075250108743051E-2</v>
      </c>
      <c r="Q438" s="325">
        <f t="shared" si="667"/>
        <v>-5.3763440860215006E-2</v>
      </c>
      <c r="R438" s="325">
        <f t="shared" si="667"/>
        <v>-0.10124481327800827</v>
      </c>
      <c r="S438" s="325">
        <f t="shared" si="667"/>
        <v>-2.8759244042728005E-2</v>
      </c>
      <c r="T438" s="325">
        <f t="shared" si="667"/>
        <v>-1.2279355333845166E-2</v>
      </c>
      <c r="U438" s="48">
        <f t="shared" si="675"/>
        <v>-4.8236724766923422E-2</v>
      </c>
      <c r="V438" s="325">
        <f t="shared" si="675"/>
        <v>6.9930069930070005E-2</v>
      </c>
      <c r="W438" s="325">
        <f t="shared" si="675"/>
        <v>9.5106186518928881E-2</v>
      </c>
      <c r="X438" s="325">
        <f t="shared" si="675"/>
        <v>5.0761421319796884E-2</v>
      </c>
      <c r="Y438" s="325">
        <f t="shared" si="675"/>
        <v>0.1631701631701632</v>
      </c>
      <c r="Z438" s="48">
        <f t="shared" si="675"/>
        <v>9.6465076660988025E-2</v>
      </c>
      <c r="AA438" s="325">
        <f t="shared" si="675"/>
        <v>4.330065359477131E-2</v>
      </c>
      <c r="AB438" s="325">
        <f t="shared" si="675"/>
        <v>0.16104553119730181</v>
      </c>
      <c r="AC438" s="325">
        <f t="shared" si="675"/>
        <v>0.20128824476650542</v>
      </c>
      <c r="AD438" s="325">
        <f t="shared" si="675"/>
        <v>-5.611222444889763E-2</v>
      </c>
      <c r="AE438" s="276">
        <f t="shared" si="676"/>
        <v>7.9627112060594252E-2</v>
      </c>
      <c r="AF438" s="325">
        <f t="shared" si="676"/>
        <v>-0.13469068128425998</v>
      </c>
      <c r="AG438" s="325">
        <f t="shared" si="676"/>
        <v>-0.11982570806100212</v>
      </c>
      <c r="AH438" s="325">
        <f t="shared" si="676"/>
        <v>-7.6407506702412697E-2</v>
      </c>
      <c r="AI438" s="325">
        <f t="shared" si="676"/>
        <v>0.17126680820948326</v>
      </c>
      <c r="AJ438" s="276">
        <f t="shared" si="676"/>
        <v>-3.7596690052167592E-2</v>
      </c>
      <c r="AK438" s="325">
        <f t="shared" si="676"/>
        <v>0.1936651583710407</v>
      </c>
      <c r="AL438" s="325">
        <f t="shared" si="676"/>
        <v>0.14768976897689767</v>
      </c>
      <c r="AM438" s="325">
        <f t="shared" si="676"/>
        <v>0.12844702467343971</v>
      </c>
      <c r="AN438" s="325">
        <f t="shared" si="676"/>
        <v>0.14682779456193362</v>
      </c>
      <c r="AO438" s="345">
        <f t="shared" si="677"/>
        <v>0.15196261682242973</v>
      </c>
      <c r="AP438" s="341">
        <f t="shared" si="677"/>
        <v>0.26914329037149365</v>
      </c>
      <c r="AQ438" s="341">
        <f t="shared" si="677"/>
        <v>0.23076923076923084</v>
      </c>
      <c r="AR438" s="341">
        <f t="shared" si="677"/>
        <v>0.3710610932475884</v>
      </c>
      <c r="AS438" s="341">
        <f t="shared" si="677"/>
        <v>0.21232876712328763</v>
      </c>
      <c r="AT438" s="345">
        <f t="shared" si="677"/>
        <v>0.26870030829141656</v>
      </c>
      <c r="AU438" s="341">
        <f t="shared" si="677"/>
        <v>0.32078853046594968</v>
      </c>
      <c r="AV438" s="341">
        <f t="shared" si="677"/>
        <v>0.21261682242990676</v>
      </c>
      <c r="AW438" s="341">
        <f t="shared" si="677"/>
        <v>-4.268292682926822E-2</v>
      </c>
      <c r="AX438" s="341">
        <f t="shared" si="677"/>
        <v>5.12820512820511E-2</v>
      </c>
      <c r="AY438" s="345">
        <f>IF(ISERROR(AY208/AT208-1),"NM",(AY208/AT208-1))</f>
        <v>0.11868525386878126</v>
      </c>
      <c r="AZ438" s="341">
        <f t="shared" si="670"/>
        <v>-7.7792853912256987E-2</v>
      </c>
      <c r="BA438" s="341">
        <f t="shared" si="670"/>
        <v>7.0327552986512387E-2</v>
      </c>
      <c r="BB438" s="341">
        <f t="shared" si="670"/>
        <v>0.10387065164135212</v>
      </c>
      <c r="BC438" s="341">
        <f t="shared" si="670"/>
        <v>0.12815212897891692</v>
      </c>
      <c r="BD438" s="928">
        <f t="shared" si="670"/>
        <v>5.6705156053503902E-2</v>
      </c>
      <c r="BE438" s="341">
        <f t="shared" si="670"/>
        <v>7.7979401667484183E-2</v>
      </c>
      <c r="BF438" s="341">
        <f t="shared" si="670"/>
        <v>0.21242124212421221</v>
      </c>
      <c r="BG438" s="341">
        <f t="shared" si="670"/>
        <v>0.20639147802929436</v>
      </c>
      <c r="BH438" s="341">
        <f t="shared" si="670"/>
        <v>0.14034444851593997</v>
      </c>
      <c r="BI438" s="345">
        <f t="shared" si="670"/>
        <v>0.16001298279779297</v>
      </c>
      <c r="BJ438" s="341">
        <f t="shared" si="670"/>
        <v>0.78798908098271148</v>
      </c>
      <c r="BK438" s="341">
        <f t="shared" si="670"/>
        <v>0.59910913140311828</v>
      </c>
      <c r="BL438" s="341">
        <f t="shared" si="670"/>
        <v>0.42089771891096395</v>
      </c>
      <c r="BM438" s="341">
        <f t="shared" si="670"/>
        <v>0.38142673521850901</v>
      </c>
      <c r="BN438" s="345">
        <f t="shared" si="670"/>
        <v>0.52947211341167688</v>
      </c>
      <c r="BO438" s="1103">
        <f t="shared" si="671"/>
        <v>-7.8371501272264665E-2</v>
      </c>
      <c r="BP438" s="1103">
        <f t="shared" si="671"/>
        <v>-3.5979572887650857E-2</v>
      </c>
      <c r="BQ438" s="1103">
        <f t="shared" si="671"/>
        <v>-4.8161574313826949E-2</v>
      </c>
      <c r="BR438" s="1103">
        <f t="shared" si="671"/>
        <v>4.3498488020470072E-2</v>
      </c>
      <c r="BS438" s="345">
        <f t="shared" si="671"/>
        <v>-2.817244953960607E-2</v>
      </c>
      <c r="BT438" s="1103">
        <f t="shared" si="671"/>
        <v>-1.8221976808393103E-2</v>
      </c>
      <c r="BU438" s="1103">
        <f t="shared" si="672"/>
        <v>-8.9092222489766448E-2</v>
      </c>
      <c r="BV438" s="1103">
        <f t="shared" si="672"/>
        <v>5.4406964091403776E-2</v>
      </c>
      <c r="BW438" s="1103">
        <f t="shared" si="672"/>
        <v>1.0031208203299169E-2</v>
      </c>
      <c r="BX438" s="345">
        <f t="shared" si="672"/>
        <v>-1.1984689715755725E-2</v>
      </c>
      <c r="BY438" s="1103">
        <f t="shared" si="678"/>
        <v>8.4364454443194514E-2</v>
      </c>
      <c r="BZ438" s="1103">
        <f t="shared" si="678"/>
        <v>5.7650013217023677E-2</v>
      </c>
      <c r="CA438" s="1103">
        <f t="shared" si="678"/>
        <v>6.0000000000000053E-2</v>
      </c>
      <c r="CB438" s="1103">
        <f t="shared" si="678"/>
        <v>5.2054734054292506E-2</v>
      </c>
      <c r="CC438" s="345">
        <f t="shared" si="673"/>
        <v>6.2587958846691105E-2</v>
      </c>
      <c r="CD438" s="345">
        <f t="shared" si="674"/>
        <v>6.2214055993750739E-2</v>
      </c>
      <c r="CE438" s="345">
        <f t="shared" si="674"/>
        <v>6.4460569693924885E-2</v>
      </c>
      <c r="CF438" s="345">
        <f t="shared" si="674"/>
        <v>6.4525686912784153E-2</v>
      </c>
      <c r="CG438" s="345">
        <f t="shared" si="674"/>
        <v>6.459147386098496E-2</v>
      </c>
      <c r="CH438" s="345">
        <f t="shared" si="674"/>
        <v>6.465792925419489E-2</v>
      </c>
    </row>
    <row r="439" spans="1:86">
      <c r="A439" s="9"/>
      <c r="B439" s="9"/>
      <c r="C439" s="9"/>
      <c r="D439" s="9"/>
      <c r="E439" s="9"/>
      <c r="F439" s="9"/>
      <c r="G439" s="9"/>
      <c r="H439" s="266" t="s">
        <v>286</v>
      </c>
      <c r="I439" s="257"/>
      <c r="L439" s="325"/>
      <c r="M439" s="325"/>
      <c r="N439" s="325"/>
      <c r="O439" s="325"/>
      <c r="P439" s="48"/>
      <c r="Q439" s="325"/>
      <c r="R439" s="325"/>
      <c r="S439" s="325"/>
      <c r="T439" s="325"/>
      <c r="U439" s="48"/>
      <c r="V439" s="325"/>
      <c r="W439" s="325"/>
      <c r="X439" s="325"/>
      <c r="Y439" s="325"/>
      <c r="Z439" s="48"/>
      <c r="AA439" s="325"/>
      <c r="AB439" s="325"/>
      <c r="AC439" s="325"/>
      <c r="AD439" s="325"/>
      <c r="AE439" s="276"/>
      <c r="AF439" s="325"/>
      <c r="AG439" s="325"/>
      <c r="AH439" s="325"/>
      <c r="AI439" s="325"/>
      <c r="AJ439" s="276"/>
      <c r="AK439" s="325"/>
      <c r="AL439" s="325"/>
      <c r="AM439" s="325"/>
      <c r="AN439" s="325"/>
      <c r="AO439" s="345"/>
      <c r="AP439" s="341"/>
      <c r="AQ439" s="341"/>
      <c r="AR439" s="341"/>
      <c r="AS439" s="341"/>
      <c r="AT439" s="345"/>
      <c r="AU439" s="354" t="str">
        <f t="shared" ref="AU439:AY444" si="679">IF(ISERROR(AU209/AP209-1),"NM",(AU209/AP209-1))</f>
        <v>NM</v>
      </c>
      <c r="AV439" s="354" t="str">
        <f t="shared" si="679"/>
        <v>NM</v>
      </c>
      <c r="AW439" s="354" t="str">
        <f t="shared" si="679"/>
        <v>NM</v>
      </c>
      <c r="AX439" s="354" t="str">
        <f t="shared" si="679"/>
        <v>NM</v>
      </c>
      <c r="AY439" s="353" t="str">
        <f t="shared" si="679"/>
        <v>NM</v>
      </c>
      <c r="AZ439" s="354">
        <f t="shared" si="670"/>
        <v>-7.8940534925993289E-2</v>
      </c>
      <c r="BA439" s="354">
        <f t="shared" si="670"/>
        <v>-5.3205639797804238E-4</v>
      </c>
      <c r="BB439" s="354">
        <f t="shared" si="670"/>
        <v>0.10122863247863245</v>
      </c>
      <c r="BC439" s="354">
        <f t="shared" si="670"/>
        <v>4.4281263907432145E-2</v>
      </c>
      <c r="BD439" s="353">
        <f t="shared" si="670"/>
        <v>1.716304896516907E-2</v>
      </c>
      <c r="BE439" s="354">
        <f t="shared" si="670"/>
        <v>9.6137581054412058E-2</v>
      </c>
      <c r="BF439" s="354">
        <f t="shared" si="670"/>
        <v>0.24833643864785726</v>
      </c>
      <c r="BG439" s="354">
        <f t="shared" si="670"/>
        <v>8.9983022071307373E-2</v>
      </c>
      <c r="BH439" s="354">
        <f t="shared" si="670"/>
        <v>0.11485190709567439</v>
      </c>
      <c r="BI439" s="353">
        <f t="shared" si="670"/>
        <v>0.13548387096774195</v>
      </c>
      <c r="BJ439" s="354">
        <f t="shared" si="670"/>
        <v>0.34876543209876543</v>
      </c>
      <c r="BK439" s="354">
        <f t="shared" si="670"/>
        <v>0.21641791044776126</v>
      </c>
      <c r="BL439" s="354">
        <f t="shared" si="670"/>
        <v>0.24321317311971535</v>
      </c>
      <c r="BM439" s="354">
        <f t="shared" si="670"/>
        <v>0.15940366972477027</v>
      </c>
      <c r="BN439" s="353">
        <f t="shared" si="670"/>
        <v>0.23481206293706292</v>
      </c>
      <c r="BO439" s="1115">
        <f t="shared" si="671"/>
        <v>-3.6231884057970065E-3</v>
      </c>
      <c r="BP439" s="1115">
        <f t="shared" si="671"/>
        <v>-3.5933391761612588E-2</v>
      </c>
      <c r="BQ439" s="1115">
        <f t="shared" si="671"/>
        <v>-7.0520851977805776E-2</v>
      </c>
      <c r="BR439" s="1115">
        <f t="shared" si="671"/>
        <v>-1.6155621496867667E-2</v>
      </c>
      <c r="BS439" s="353">
        <f t="shared" si="671"/>
        <v>-3.1678612512167192E-2</v>
      </c>
      <c r="BT439" s="354">
        <f t="shared" si="671"/>
        <v>-2.7559808612440118E-2</v>
      </c>
      <c r="BU439" s="354">
        <f>IF(ISERROR(BU209/BP209-1),"NM",(BU209/BP209-1))</f>
        <v>-0.13981818181818184</v>
      </c>
      <c r="BV439" s="354">
        <f>IF(ISERROR(BV209/BQ209-1),"NM",(BV209/BQ209-1))</f>
        <v>-5.9310610437126821E-2</v>
      </c>
      <c r="BW439" s="354">
        <f>IF(ISERROR(BW209/BR209-1),"NM",(BW209/BR209-1))</f>
        <v>-8.2774798927613857E-2</v>
      </c>
      <c r="BX439" s="353">
        <f t="shared" si="672"/>
        <v>-7.8360595814676026E-2</v>
      </c>
      <c r="BY439" s="354">
        <f t="shared" si="678"/>
        <v>-6.6719149773666664E-2</v>
      </c>
      <c r="BZ439" s="1115">
        <f t="shared" si="678"/>
        <v>-2.1540900443880684E-2</v>
      </c>
      <c r="CA439" s="1115">
        <f t="shared" si="678"/>
        <v>1.2691914022511241E-4</v>
      </c>
      <c r="CB439" s="1115">
        <f t="shared" si="678"/>
        <v>1.2341980270369035E-2</v>
      </c>
      <c r="CC439" s="353">
        <f t="shared" ref="CC439:CC444" si="680">IF(ISERROR(CC209/BX209-1),"NM",(CC209/BX209-1))</f>
        <v>-1.8478508750185751E-2</v>
      </c>
      <c r="CD439" s="353">
        <f t="shared" si="674"/>
        <v>4.2899490713077526E-2</v>
      </c>
      <c r="CE439" s="353">
        <f t="shared" si="674"/>
        <v>5.3375578554369696E-2</v>
      </c>
      <c r="CF439" s="353">
        <f t="shared" si="674"/>
        <v>5.6729847148672796E-2</v>
      </c>
      <c r="CG439" s="353">
        <f t="shared" si="674"/>
        <v>5.6750673312428779E-2</v>
      </c>
      <c r="CH439" s="353">
        <f t="shared" si="674"/>
        <v>5.6771430472568163E-2</v>
      </c>
    </row>
    <row r="440" spans="1:86">
      <c r="A440" s="9"/>
      <c r="B440" s="9"/>
      <c r="C440" s="9"/>
      <c r="D440" s="9"/>
      <c r="E440" s="9"/>
      <c r="F440" s="9"/>
      <c r="G440" s="9"/>
      <c r="H440" s="257" t="s">
        <v>231</v>
      </c>
      <c r="I440" s="257"/>
      <c r="L440" s="325"/>
      <c r="M440" s="325"/>
      <c r="N440" s="325"/>
      <c r="O440" s="325"/>
      <c r="P440" s="48"/>
      <c r="Q440" s="325"/>
      <c r="R440" s="325"/>
      <c r="S440" s="325"/>
      <c r="T440" s="325"/>
      <c r="U440" s="48"/>
      <c r="V440" s="325"/>
      <c r="W440" s="325"/>
      <c r="X440" s="325"/>
      <c r="Y440" s="325"/>
      <c r="Z440" s="48"/>
      <c r="AA440" s="325"/>
      <c r="AB440" s="325"/>
      <c r="AC440" s="325"/>
      <c r="AD440" s="325"/>
      <c r="AE440" s="276"/>
      <c r="AF440" s="325"/>
      <c r="AG440" s="325"/>
      <c r="AH440" s="325"/>
      <c r="AI440" s="325"/>
      <c r="AJ440" s="276"/>
      <c r="AK440" s="325"/>
      <c r="AL440" s="325"/>
      <c r="AM440" s="325"/>
      <c r="AN440" s="325"/>
      <c r="AO440" s="345"/>
      <c r="AP440" s="341"/>
      <c r="AQ440" s="341"/>
      <c r="AR440" s="341"/>
      <c r="AS440" s="341"/>
      <c r="AT440" s="345"/>
      <c r="AU440" s="369" t="str">
        <f t="shared" si="679"/>
        <v>NM</v>
      </c>
      <c r="AV440" s="369" t="str">
        <f t="shared" si="679"/>
        <v>NM</v>
      </c>
      <c r="AW440" s="369" t="str">
        <f t="shared" si="679"/>
        <v>NM</v>
      </c>
      <c r="AX440" s="369" t="str">
        <f t="shared" si="679"/>
        <v>NM</v>
      </c>
      <c r="AY440" s="344" t="str">
        <f t="shared" si="679"/>
        <v>NM</v>
      </c>
      <c r="AZ440" s="369">
        <f t="shared" ref="AZ440:BY444" si="681">IF(ISERROR(AZ210/AU210-1),"NM",(AZ210/AU210-1))</f>
        <v>-6.746626686656676E-2</v>
      </c>
      <c r="BA440" s="369">
        <f t="shared" si="681"/>
        <v>-4.5748383888612576E-2</v>
      </c>
      <c r="BB440" s="369">
        <f t="shared" si="681"/>
        <v>0.11277033985581886</v>
      </c>
      <c r="BC440" s="369">
        <f t="shared" si="681"/>
        <v>2.5402201524133972E-3</v>
      </c>
      <c r="BD440" s="930">
        <f t="shared" si="681"/>
        <v>-2.4050024050004115E-4</v>
      </c>
      <c r="BE440" s="369">
        <f t="shared" si="681"/>
        <v>0.12647374062165051</v>
      </c>
      <c r="BF440" s="369">
        <f t="shared" si="681"/>
        <v>0.26941115164147988</v>
      </c>
      <c r="BG440" s="369">
        <f t="shared" si="681"/>
        <v>-6.9412309116150261E-3</v>
      </c>
      <c r="BH440" s="369">
        <f t="shared" si="681"/>
        <v>9.1638513513513375E-2</v>
      </c>
      <c r="BI440" s="345">
        <f t="shared" si="681"/>
        <v>0.11486649025739704</v>
      </c>
      <c r="BJ440" s="369">
        <f t="shared" si="681"/>
        <v>0.10085632730732641</v>
      </c>
      <c r="BK440" s="369">
        <f t="shared" si="681"/>
        <v>4.8440065681444988E-2</v>
      </c>
      <c r="BL440" s="369">
        <f t="shared" si="681"/>
        <v>0.19478098788443599</v>
      </c>
      <c r="BM440" s="369">
        <f t="shared" si="681"/>
        <v>5.2998065764023217E-2</v>
      </c>
      <c r="BN440" s="345">
        <f>IF(ISERROR(BN210/BI210-1),"NM",(BN210/BI210-1))</f>
        <v>9.5479555507606229E-2</v>
      </c>
      <c r="BO440" s="369">
        <f t="shared" si="681"/>
        <v>7.9083837510803834E-2</v>
      </c>
      <c r="BP440" s="369">
        <f t="shared" si="681"/>
        <v>-6.0689115113547354E-2</v>
      </c>
      <c r="BQ440" s="369">
        <f t="shared" si="681"/>
        <v>-8.6583463338533506E-2</v>
      </c>
      <c r="BR440" s="369">
        <f t="shared" si="681"/>
        <v>-0.106171932402645</v>
      </c>
      <c r="BS440" s="344">
        <f>IF(ISERROR(BS210/BN210-1),"NM",(BS210/BN210-1))</f>
        <v>-4.7567461099074393E-2</v>
      </c>
      <c r="BT440" s="369">
        <f t="shared" si="681"/>
        <v>-4.3652382859431182E-2</v>
      </c>
      <c r="BU440" s="369">
        <f t="shared" si="681"/>
        <v>-0.23426427678199258</v>
      </c>
      <c r="BV440" s="369">
        <f t="shared" si="681"/>
        <v>-0.2194705380017079</v>
      </c>
      <c r="BW440" s="369">
        <f t="shared" si="681"/>
        <v>-0.229757501027538</v>
      </c>
      <c r="BX440" s="344">
        <f>IF(ISERROR(BX210/BS210-1),"NM",(BX210/BS210-1))</f>
        <v>-0.18033295419294804</v>
      </c>
      <c r="BY440" s="369">
        <f t="shared" si="681"/>
        <v>-0.24497487437185927</v>
      </c>
      <c r="BZ440" s="1116">
        <v>-0.15</v>
      </c>
      <c r="CA440" s="1116">
        <v>-0.1</v>
      </c>
      <c r="CB440" s="1116">
        <v>-0.06</v>
      </c>
      <c r="CC440" s="344">
        <f t="shared" si="680"/>
        <v>-0.14580421344771022</v>
      </c>
      <c r="CD440" s="498">
        <v>0.01</v>
      </c>
      <c r="CE440" s="498">
        <v>0.04</v>
      </c>
      <c r="CF440" s="498">
        <v>0.05</v>
      </c>
      <c r="CG440" s="498">
        <v>0.05</v>
      </c>
      <c r="CH440" s="498">
        <v>0.05</v>
      </c>
    </row>
    <row r="441" spans="1:86">
      <c r="A441" s="9"/>
      <c r="B441" s="9"/>
      <c r="C441" s="9"/>
      <c r="D441" s="9"/>
      <c r="E441" s="9"/>
      <c r="F441" s="9"/>
      <c r="G441" s="9"/>
      <c r="H441" s="257" t="s">
        <v>232</v>
      </c>
      <c r="I441" s="257"/>
      <c r="L441" s="325"/>
      <c r="M441" s="325"/>
      <c r="N441" s="325"/>
      <c r="O441" s="325"/>
      <c r="P441" s="48"/>
      <c r="Q441" s="325"/>
      <c r="R441" s="325"/>
      <c r="S441" s="325"/>
      <c r="T441" s="325"/>
      <c r="U441" s="48"/>
      <c r="V441" s="325"/>
      <c r="W441" s="325"/>
      <c r="X441" s="325"/>
      <c r="Y441" s="325"/>
      <c r="Z441" s="48"/>
      <c r="AA441" s="325"/>
      <c r="AB441" s="325"/>
      <c r="AC441" s="325"/>
      <c r="AD441" s="325"/>
      <c r="AE441" s="276"/>
      <c r="AF441" s="325"/>
      <c r="AG441" s="325"/>
      <c r="AH441" s="325"/>
      <c r="AI441" s="325"/>
      <c r="AJ441" s="276"/>
      <c r="AK441" s="325"/>
      <c r="AL441" s="325"/>
      <c r="AM441" s="325"/>
      <c r="AN441" s="325"/>
      <c r="AO441" s="345"/>
      <c r="AP441" s="341"/>
      <c r="AQ441" s="341"/>
      <c r="AR441" s="341"/>
      <c r="AS441" s="341"/>
      <c r="AT441" s="345"/>
      <c r="AU441" s="369" t="str">
        <f t="shared" si="679"/>
        <v>NM</v>
      </c>
      <c r="AV441" s="369" t="str">
        <f t="shared" si="679"/>
        <v>NM</v>
      </c>
      <c r="AW441" s="369" t="str">
        <f t="shared" si="679"/>
        <v>NM</v>
      </c>
      <c r="AX441" s="369" t="str">
        <f t="shared" si="679"/>
        <v>NM</v>
      </c>
      <c r="AY441" s="344" t="str">
        <f t="shared" si="679"/>
        <v>NM</v>
      </c>
      <c r="AZ441" s="369">
        <f t="shared" si="681"/>
        <v>-9.1351351351351417E-2</v>
      </c>
      <c r="BA441" s="369">
        <f t="shared" si="681"/>
        <v>5.148741418764291E-2</v>
      </c>
      <c r="BB441" s="369">
        <f t="shared" si="681"/>
        <v>8.8790233074361735E-2</v>
      </c>
      <c r="BC441" s="369">
        <f t="shared" si="681"/>
        <v>9.0525328330206545E-2</v>
      </c>
      <c r="BD441" s="930">
        <f t="shared" si="681"/>
        <v>3.6378120021242522E-2</v>
      </c>
      <c r="BE441" s="369">
        <f t="shared" si="681"/>
        <v>6.2462819750148668E-2</v>
      </c>
      <c r="BF441" s="369">
        <f t="shared" si="681"/>
        <v>0.22633297062023927</v>
      </c>
      <c r="BG441" s="369">
        <f t="shared" si="681"/>
        <v>0.19673802242609595</v>
      </c>
      <c r="BH441" s="369">
        <f t="shared" si="681"/>
        <v>0.13849462365591392</v>
      </c>
      <c r="BI441" s="345">
        <f t="shared" si="681"/>
        <v>0.1574429925698182</v>
      </c>
      <c r="BJ441" s="369">
        <f t="shared" si="681"/>
        <v>0.64053751399776049</v>
      </c>
      <c r="BK441" s="369">
        <f t="shared" si="681"/>
        <v>0.3979591836734695</v>
      </c>
      <c r="BL441" s="369">
        <f t="shared" si="681"/>
        <v>0.28747870528109032</v>
      </c>
      <c r="BM441" s="369">
        <f t="shared" si="681"/>
        <v>0.26331696259916892</v>
      </c>
      <c r="BN441" s="345">
        <f>IF(ISERROR(BN211/BI211-1),"NM",(BN211/BI211-1))</f>
        <v>0.37775318206972908</v>
      </c>
      <c r="BO441" s="369">
        <f t="shared" si="681"/>
        <v>-6.8941979522184282E-2</v>
      </c>
      <c r="BP441" s="369">
        <f t="shared" si="681"/>
        <v>-1.5867978419549345E-2</v>
      </c>
      <c r="BQ441" s="369">
        <f t="shared" si="681"/>
        <v>-5.6897122064174632E-2</v>
      </c>
      <c r="BR441" s="369">
        <f t="shared" si="681"/>
        <v>5.7117224880382844E-2</v>
      </c>
      <c r="BS441" s="344">
        <f>IF(ISERROR(BS211/BN211-1),"NM",(BS211/BN211-1))</f>
        <v>-1.8717866323907595E-2</v>
      </c>
      <c r="BT441" s="369">
        <f t="shared" si="681"/>
        <v>-1.2829912023460399E-2</v>
      </c>
      <c r="BU441" s="369">
        <f t="shared" si="681"/>
        <v>-6.6752660432118804E-2</v>
      </c>
      <c r="BV441" s="369">
        <f t="shared" si="681"/>
        <v>7.2255349000350577E-2</v>
      </c>
      <c r="BW441" s="369">
        <f t="shared" si="681"/>
        <v>1.8387553041018467E-2</v>
      </c>
      <c r="BX441" s="344">
        <f>IF(ISERROR(BX211/BS211-1),"NM",(BX211/BS211-1))</f>
        <v>2.3741301678266158E-3</v>
      </c>
      <c r="BY441" s="369">
        <f t="shared" si="681"/>
        <v>9.1347939101373843E-2</v>
      </c>
      <c r="BZ441" s="1116">
        <v>0.06</v>
      </c>
      <c r="CA441" s="1116">
        <v>0.06</v>
      </c>
      <c r="CB441" s="1116">
        <v>0.05</v>
      </c>
      <c r="CC441" s="344">
        <f t="shared" si="680"/>
        <v>6.3954590003266976E-2</v>
      </c>
      <c r="CD441" s="498">
        <v>0.06</v>
      </c>
      <c r="CE441" s="498">
        <v>0.06</v>
      </c>
      <c r="CF441" s="498">
        <v>0.06</v>
      </c>
      <c r="CG441" s="498">
        <v>0.06</v>
      </c>
      <c r="CH441" s="498">
        <v>0.06</v>
      </c>
    </row>
    <row r="442" spans="1:86">
      <c r="A442" s="9"/>
      <c r="B442" s="9"/>
      <c r="C442" s="9"/>
      <c r="D442" s="9"/>
      <c r="E442" s="9"/>
      <c r="F442" s="9"/>
      <c r="G442" s="9"/>
      <c r="H442" s="266" t="s">
        <v>287</v>
      </c>
      <c r="I442" s="257"/>
      <c r="L442" s="325"/>
      <c r="M442" s="325"/>
      <c r="N442" s="325"/>
      <c r="O442" s="325"/>
      <c r="P442" s="48"/>
      <c r="Q442" s="325"/>
      <c r="R442" s="325"/>
      <c r="S442" s="325"/>
      <c r="T442" s="325"/>
      <c r="U442" s="48"/>
      <c r="V442" s="325"/>
      <c r="W442" s="325"/>
      <c r="X442" s="325"/>
      <c r="Y442" s="325"/>
      <c r="Z442" s="48"/>
      <c r="AA442" s="325"/>
      <c r="AB442" s="325"/>
      <c r="AC442" s="325"/>
      <c r="AD442" s="325"/>
      <c r="AE442" s="276"/>
      <c r="AF442" s="325"/>
      <c r="AG442" s="325"/>
      <c r="AH442" s="325"/>
      <c r="AI442" s="325"/>
      <c r="AJ442" s="276"/>
      <c r="AK442" s="325"/>
      <c r="AL442" s="325"/>
      <c r="AM442" s="325"/>
      <c r="AN442" s="325"/>
      <c r="AO442" s="345"/>
      <c r="AP442" s="341"/>
      <c r="AQ442" s="341"/>
      <c r="AR442" s="341"/>
      <c r="AS442" s="341"/>
      <c r="AT442" s="345"/>
      <c r="AU442" s="354" t="str">
        <f t="shared" si="679"/>
        <v>NM</v>
      </c>
      <c r="AV442" s="354" t="str">
        <f t="shared" si="679"/>
        <v>NM</v>
      </c>
      <c r="AW442" s="354" t="str">
        <f t="shared" si="679"/>
        <v>NM</v>
      </c>
      <c r="AX442" s="354" t="str">
        <f t="shared" si="679"/>
        <v>NM</v>
      </c>
      <c r="AY442" s="353" t="str">
        <f t="shared" si="679"/>
        <v>NM</v>
      </c>
      <c r="AZ442" s="354">
        <f t="shared" si="681"/>
        <v>0.36458333333333326</v>
      </c>
      <c r="BA442" s="354">
        <f t="shared" si="681"/>
        <v>0.23110785033015402</v>
      </c>
      <c r="BB442" s="354">
        <f t="shared" si="681"/>
        <v>0.12380952380952381</v>
      </c>
      <c r="BC442" s="354">
        <f t="shared" si="681"/>
        <v>4.2024832855778405E-2</v>
      </c>
      <c r="BD442" s="353">
        <f t="shared" si="681"/>
        <v>0.19353410097431367</v>
      </c>
      <c r="BE442" s="354">
        <f t="shared" si="681"/>
        <v>-3.8167938931297551E-2</v>
      </c>
      <c r="BF442" s="354">
        <f t="shared" si="681"/>
        <v>-0.21215733015494653</v>
      </c>
      <c r="BG442" s="354">
        <f t="shared" si="681"/>
        <v>0.14661016949152561</v>
      </c>
      <c r="BH442" s="354">
        <f t="shared" si="681"/>
        <v>9.1659028414299293E-3</v>
      </c>
      <c r="BI442" s="353">
        <f t="shared" si="681"/>
        <v>-4.2300556586270743E-2</v>
      </c>
      <c r="BJ442" s="354">
        <f t="shared" si="681"/>
        <v>0.62626262626262608</v>
      </c>
      <c r="BK442" s="354">
        <f t="shared" si="681"/>
        <v>1.0446293494704997</v>
      </c>
      <c r="BL442" s="354">
        <f t="shared" si="681"/>
        <v>0.62675535846267527</v>
      </c>
      <c r="BM442" s="354">
        <f t="shared" si="681"/>
        <v>0.86285195277020899</v>
      </c>
      <c r="BN442" s="353">
        <f>IF(ISERROR(BN212/BI212-1),"NM",(BN212/BI212-1))</f>
        <v>0.78399845021309544</v>
      </c>
      <c r="BO442" s="354">
        <f t="shared" si="681"/>
        <v>2.97249334516414E-2</v>
      </c>
      <c r="BP442" s="354">
        <f t="shared" si="681"/>
        <v>0.14613392526822055</v>
      </c>
      <c r="BQ442" s="1115">
        <f>IF(ISERROR(BQ212/BL212-1),"NM",(BQ212/BL212-1))</f>
        <v>-0.15084052703316675</v>
      </c>
      <c r="BR442" s="1115">
        <f>IF(ISERROR(BR212/BM212-1),"NM",(BR212/BM212-1))</f>
        <v>0.1740614334470989</v>
      </c>
      <c r="BS442" s="353">
        <f>IF(ISERROR(BS212/BN212-1),"NM",(BS212/BN212-1))</f>
        <v>5.2883049191008613E-2</v>
      </c>
      <c r="BT442" s="354">
        <f t="shared" si="681"/>
        <v>0.125807841447652</v>
      </c>
      <c r="BU442" s="354">
        <f t="shared" si="681"/>
        <v>6.1329890251775598E-3</v>
      </c>
      <c r="BV442" s="354">
        <f t="shared" si="681"/>
        <v>0.34938469769930447</v>
      </c>
      <c r="BW442" s="354">
        <f t="shared" si="681"/>
        <v>1.0797342192691017E-2</v>
      </c>
      <c r="BX442" s="353">
        <f>IF(ISERROR(BX212/BS212-1),"NM",(BX212/BS212-1))</f>
        <v>0.10210396039603986</v>
      </c>
      <c r="BY442" s="354">
        <f t="shared" si="681"/>
        <v>9.8354381936471391E-2</v>
      </c>
      <c r="BZ442" s="1115">
        <f>IF(ISERROR(BZ212/BU212-1),"NM",(BZ212/BU212-1))</f>
        <v>7.144369586140531E-2</v>
      </c>
      <c r="CA442" s="1115">
        <f>IF(ISERROR(CA212/BV212-1),"NM",(CA212/BV212-1))</f>
        <v>8.7010309278350739E-2</v>
      </c>
      <c r="CB442" s="1115">
        <f>IF(ISERROR(CB212/BW212-1),"NM",(CB212/BW212-1))</f>
        <v>0.17732539030402616</v>
      </c>
      <c r="CC442" s="353">
        <f t="shared" si="680"/>
        <v>0.10581508515815075</v>
      </c>
      <c r="CD442" s="353">
        <f>IF(ISERROR(CD212/CC212-1),"NM",(CD212/CC212-1))</f>
        <v>0.10432541462366118</v>
      </c>
      <c r="CE442" s="353">
        <f>IF(ISERROR(CE212/CD212-1),"NM",(CE212/CD212-1))</f>
        <v>9.39250492180701E-2</v>
      </c>
      <c r="CF442" s="353">
        <f>IF(ISERROR(CF212/CE212-1),"NM",(CF212/CE212-1))</f>
        <v>8.0000000000000071E-2</v>
      </c>
      <c r="CG442" s="353">
        <f>IF(ISERROR(CG212/CF212-1),"NM",(CG212/CF212-1))</f>
        <v>8.0000000000000071E-2</v>
      </c>
      <c r="CH442" s="353">
        <f>IF(ISERROR(CH212/CG212-1),"NM",(CH212/CG212-1))</f>
        <v>8.0000000000000071E-2</v>
      </c>
    </row>
    <row r="443" spans="1:86">
      <c r="A443" s="9"/>
      <c r="B443" s="9"/>
      <c r="C443" s="9"/>
      <c r="D443" s="9"/>
      <c r="E443" s="9"/>
      <c r="F443" s="9"/>
      <c r="G443" s="9"/>
      <c r="H443" s="257" t="s">
        <v>231</v>
      </c>
      <c r="I443" s="257"/>
      <c r="L443" s="325"/>
      <c r="M443" s="325"/>
      <c r="N443" s="325"/>
      <c r="O443" s="325"/>
      <c r="P443" s="48"/>
      <c r="Q443" s="325"/>
      <c r="R443" s="325"/>
      <c r="S443" s="325"/>
      <c r="T443" s="325"/>
      <c r="U443" s="48"/>
      <c r="V443" s="325"/>
      <c r="W443" s="325"/>
      <c r="X443" s="325"/>
      <c r="Y443" s="325"/>
      <c r="Z443" s="48"/>
      <c r="AA443" s="325"/>
      <c r="AB443" s="325"/>
      <c r="AC443" s="325"/>
      <c r="AD443" s="325"/>
      <c r="AE443" s="276"/>
      <c r="AF443" s="325"/>
      <c r="AG443" s="325"/>
      <c r="AH443" s="325"/>
      <c r="AI443" s="325"/>
      <c r="AJ443" s="276"/>
      <c r="AK443" s="325"/>
      <c r="AL443" s="325"/>
      <c r="AM443" s="325"/>
      <c r="AN443" s="325"/>
      <c r="AO443" s="345"/>
      <c r="AP443" s="341"/>
      <c r="AQ443" s="341"/>
      <c r="AR443" s="341"/>
      <c r="AS443" s="341"/>
      <c r="AT443" s="345"/>
      <c r="AU443" s="341" t="str">
        <f t="shared" si="679"/>
        <v>NM</v>
      </c>
      <c r="AV443" s="341" t="str">
        <f t="shared" si="679"/>
        <v>NM</v>
      </c>
      <c r="AW443" s="341" t="str">
        <f t="shared" si="679"/>
        <v>NM</v>
      </c>
      <c r="AX443" s="341" t="str">
        <f t="shared" si="679"/>
        <v>NM</v>
      </c>
      <c r="AY443" s="345" t="str">
        <f t="shared" si="679"/>
        <v>NM</v>
      </c>
      <c r="AZ443" s="341">
        <f t="shared" si="681"/>
        <v>0.55827338129496407</v>
      </c>
      <c r="BA443" s="341">
        <f t="shared" si="681"/>
        <v>0.25024154589371994</v>
      </c>
      <c r="BB443" s="341">
        <f t="shared" si="681"/>
        <v>9.6177558569667143E-2</v>
      </c>
      <c r="BC443" s="341">
        <f t="shared" si="681"/>
        <v>-9.6052631578947278E-2</v>
      </c>
      <c r="BD443" s="928">
        <f t="shared" si="681"/>
        <v>0.19751590427143295</v>
      </c>
      <c r="BE443" s="341">
        <f t="shared" si="681"/>
        <v>-0.10064635272391498</v>
      </c>
      <c r="BF443" s="341">
        <f t="shared" si="681"/>
        <v>-0.31839258114374036</v>
      </c>
      <c r="BG443" s="341">
        <f t="shared" si="681"/>
        <v>0.10573678290213717</v>
      </c>
      <c r="BH443" s="341">
        <f t="shared" si="681"/>
        <v>-7.4235807860262071E-2</v>
      </c>
      <c r="BI443" s="345">
        <f t="shared" si="681"/>
        <v>-0.12092081963066015</v>
      </c>
      <c r="BJ443" s="341">
        <f t="shared" si="681"/>
        <v>0.28747433264887068</v>
      </c>
      <c r="BK443" s="341">
        <f t="shared" si="681"/>
        <v>0.75283446712018121</v>
      </c>
      <c r="BL443" s="341">
        <f t="shared" si="681"/>
        <v>0.38555442522889116</v>
      </c>
      <c r="BM443" s="341">
        <f t="shared" si="681"/>
        <v>0.72327044025157217</v>
      </c>
      <c r="BN443" s="345">
        <f>IF(ISERROR(BN213/BI213-1),"NM",(BN213/BI213-1))</f>
        <v>0.51309352517985585</v>
      </c>
      <c r="BO443" s="341">
        <f t="shared" si="681"/>
        <v>0.13795853269537472</v>
      </c>
      <c r="BP443" s="341">
        <f t="shared" si="681"/>
        <v>0.32341526520051755</v>
      </c>
      <c r="BQ443" s="341">
        <f t="shared" si="681"/>
        <v>-0.23348017621145367</v>
      </c>
      <c r="BR443" s="341">
        <f t="shared" si="681"/>
        <v>0.32937956204379559</v>
      </c>
      <c r="BS443" s="345">
        <f>IF(ISERROR(BS213/BN213-1),"NM",(BS213/BN213-1))</f>
        <v>0.13617344998098124</v>
      </c>
      <c r="BT443" s="341">
        <f t="shared" si="681"/>
        <v>0.22634898388227054</v>
      </c>
      <c r="BU443" s="341">
        <f t="shared" si="681"/>
        <v>8.8954056695992323E-2</v>
      </c>
      <c r="BV443" s="341">
        <f t="shared" si="681"/>
        <v>0.63122605363984685</v>
      </c>
      <c r="BW443" s="341">
        <f t="shared" si="681"/>
        <v>3.1571722717913753E-2</v>
      </c>
      <c r="BX443" s="345">
        <f>IF(ISERROR(BX213/BS213-1),"NM",(BX213/BS213-1))</f>
        <v>0.20254435888851741</v>
      </c>
      <c r="BY443" s="341">
        <f t="shared" si="681"/>
        <v>0.11657142857142855</v>
      </c>
      <c r="BZ443" s="1116">
        <v>0.08</v>
      </c>
      <c r="CA443" s="1116">
        <v>0.1</v>
      </c>
      <c r="CB443" s="1116">
        <v>0.25</v>
      </c>
      <c r="CC443" s="345">
        <f t="shared" si="680"/>
        <v>0.12921631403118039</v>
      </c>
      <c r="CD443" s="498">
        <v>0.12</v>
      </c>
      <c r="CE443" s="498">
        <v>0.1</v>
      </c>
      <c r="CF443" s="498">
        <v>0.08</v>
      </c>
      <c r="CG443" s="498">
        <v>0.08</v>
      </c>
      <c r="CH443" s="498">
        <v>0.08</v>
      </c>
    </row>
    <row r="444" spans="1:86">
      <c r="A444" s="9"/>
      <c r="B444" s="9"/>
      <c r="C444" s="9"/>
      <c r="D444" s="9"/>
      <c r="E444" s="9"/>
      <c r="F444" s="9"/>
      <c r="G444" s="9"/>
      <c r="H444" s="257" t="s">
        <v>232</v>
      </c>
      <c r="I444" s="257"/>
      <c r="L444" s="325"/>
      <c r="M444" s="325"/>
      <c r="N444" s="325"/>
      <c r="O444" s="325"/>
      <c r="P444" s="48"/>
      <c r="Q444" s="325"/>
      <c r="R444" s="325"/>
      <c r="S444" s="325"/>
      <c r="T444" s="325"/>
      <c r="U444" s="48"/>
      <c r="V444" s="325"/>
      <c r="W444" s="325"/>
      <c r="X444" s="325"/>
      <c r="Y444" s="325"/>
      <c r="Z444" s="48"/>
      <c r="AA444" s="325"/>
      <c r="AB444" s="325"/>
      <c r="AC444" s="325"/>
      <c r="AD444" s="325"/>
      <c r="AE444" s="276"/>
      <c r="AF444" s="325"/>
      <c r="AG444" s="325"/>
      <c r="AH444" s="325"/>
      <c r="AI444" s="325"/>
      <c r="AJ444" s="276"/>
      <c r="AK444" s="325"/>
      <c r="AL444" s="325"/>
      <c r="AM444" s="325"/>
      <c r="AN444" s="325"/>
      <c r="AO444" s="345"/>
      <c r="AP444" s="341"/>
      <c r="AQ444" s="341"/>
      <c r="AR444" s="341"/>
      <c r="AS444" s="341"/>
      <c r="AT444" s="345"/>
      <c r="AU444" s="341" t="str">
        <f t="shared" si="679"/>
        <v>NM</v>
      </c>
      <c r="AV444" s="341" t="str">
        <f t="shared" si="679"/>
        <v>NM</v>
      </c>
      <c r="AW444" s="341" t="str">
        <f t="shared" si="679"/>
        <v>NM</v>
      </c>
      <c r="AX444" s="341" t="str">
        <f t="shared" si="679"/>
        <v>NM</v>
      </c>
      <c r="AY444" s="345" t="str">
        <f t="shared" si="679"/>
        <v>NM</v>
      </c>
      <c r="AZ444" s="341">
        <f t="shared" si="681"/>
        <v>-8.3102493074793671E-3</v>
      </c>
      <c r="BA444" s="341">
        <f t="shared" si="681"/>
        <v>0.17073170731707332</v>
      </c>
      <c r="BB444" s="341">
        <f t="shared" si="681"/>
        <v>0.2175732217573223</v>
      </c>
      <c r="BC444" s="341">
        <f t="shared" si="681"/>
        <v>0.40766550522648082</v>
      </c>
      <c r="BD444" s="928">
        <f t="shared" si="681"/>
        <v>0.18271604938271579</v>
      </c>
      <c r="BE444" s="341">
        <f t="shared" si="681"/>
        <v>0.15083798882681587</v>
      </c>
      <c r="BF444" s="341">
        <f t="shared" si="681"/>
        <v>0.14583333333333348</v>
      </c>
      <c r="BG444" s="341">
        <f t="shared" si="681"/>
        <v>0.27147766323024047</v>
      </c>
      <c r="BH444" s="341">
        <f t="shared" si="681"/>
        <v>0.15099009900990112</v>
      </c>
      <c r="BI444" s="345">
        <f t="shared" si="681"/>
        <v>0.17397355601948505</v>
      </c>
      <c r="BJ444" s="341">
        <f t="shared" si="681"/>
        <v>1.4271844660194173</v>
      </c>
      <c r="BK444" s="341">
        <f t="shared" si="681"/>
        <v>1.6295454545454544</v>
      </c>
      <c r="BL444" s="341">
        <f t="shared" si="681"/>
        <v>1.2675675675675677</v>
      </c>
      <c r="BM444" s="341">
        <f t="shared" si="681"/>
        <v>1.053763440860215</v>
      </c>
      <c r="BN444" s="345">
        <f>IF(ISERROR(BN214/BI214-1),"NM",(BN214/BI214-1))</f>
        <v>1.3420272673384708</v>
      </c>
      <c r="BO444" s="341">
        <f t="shared" si="681"/>
        <v>-0.10599999999999998</v>
      </c>
      <c r="BP444" s="341">
        <f t="shared" si="681"/>
        <v>-9.0751944684528962E-2</v>
      </c>
      <c r="BQ444" s="341">
        <f t="shared" si="681"/>
        <v>-1.6686531585220599E-2</v>
      </c>
      <c r="BR444" s="341">
        <f t="shared" si="681"/>
        <v>-4.1884816753927634E-3</v>
      </c>
      <c r="BS444" s="345">
        <f>IF(ISERROR(BS214/BN214-1),"NM",(BS214/BN214-1))</f>
        <v>-5.796001012401919E-2</v>
      </c>
      <c r="BT444" s="341">
        <f t="shared" si="681"/>
        <v>-3.4675615212528044E-2</v>
      </c>
      <c r="BU444" s="341">
        <f t="shared" si="681"/>
        <v>-0.15494296577946765</v>
      </c>
      <c r="BV444" s="341">
        <f t="shared" si="681"/>
        <v>-7.2727272727272085E-3</v>
      </c>
      <c r="BW444" s="341">
        <f t="shared" si="681"/>
        <v>-2.1030494216614071E-2</v>
      </c>
      <c r="BX444" s="345">
        <f>IF(ISERROR(BX214/BS214-1),"NM",(BX214/BS214-1))</f>
        <v>-5.9108006448146178E-2</v>
      </c>
      <c r="BY444" s="341">
        <f t="shared" si="681"/>
        <v>6.1413673232908472E-2</v>
      </c>
      <c r="BZ444" s="1116">
        <v>0.05</v>
      </c>
      <c r="CA444" s="1116">
        <v>0.06</v>
      </c>
      <c r="CB444" s="1116">
        <v>0.06</v>
      </c>
      <c r="CC444" s="345">
        <f t="shared" si="680"/>
        <v>5.7809822958309276E-2</v>
      </c>
      <c r="CD444" s="498">
        <v>7.0000000000000007E-2</v>
      </c>
      <c r="CE444" s="498">
        <v>0.08</v>
      </c>
      <c r="CF444" s="498">
        <v>0.08</v>
      </c>
      <c r="CG444" s="498">
        <v>0.08</v>
      </c>
      <c r="CH444" s="498">
        <v>0.08</v>
      </c>
    </row>
    <row r="445" spans="1:86" ht="13.5" hidden="1" customHeight="1" thickBot="1">
      <c r="A445" s="9"/>
      <c r="B445" s="9"/>
      <c r="C445" s="9"/>
      <c r="D445" s="9"/>
      <c r="E445" s="9"/>
      <c r="F445" s="9"/>
      <c r="G445" s="9"/>
      <c r="H445" s="986" t="s">
        <v>145</v>
      </c>
      <c r="I445" s="986"/>
      <c r="J445" s="358"/>
      <c r="K445" s="358"/>
      <c r="L445" s="359">
        <v>3.5775632292838866E-2</v>
      </c>
      <c r="M445" s="359">
        <v>3.1294812315478815E-2</v>
      </c>
      <c r="N445" s="359">
        <v>9.7789971040999957E-2</v>
      </c>
      <c r="O445" s="359">
        <v>6.4398408560845111E-2</v>
      </c>
      <c r="P445" s="360">
        <v>5.709461165994334E-2</v>
      </c>
      <c r="Q445" s="323">
        <f t="shared" ref="Q445:T447" si="682">Q215/L215-1</f>
        <v>6.2160462057528454E-2</v>
      </c>
      <c r="R445" s="323">
        <f t="shared" si="682"/>
        <v>5.4337750149953568E-2</v>
      </c>
      <c r="S445" s="323">
        <f t="shared" si="682"/>
        <v>7.2959764529475279E-2</v>
      </c>
      <c r="T445" s="323">
        <f t="shared" si="682"/>
        <v>9.4375128892555171E-2</v>
      </c>
      <c r="U445" s="361">
        <f>(U215/P215)-1</f>
        <v>7.1141860480991692E-2</v>
      </c>
      <c r="V445" s="323">
        <f t="shared" ref="V445:Y447" si="683">V215/Q215-1</f>
        <v>0.13766555400021518</v>
      </c>
      <c r="W445" s="323">
        <f t="shared" si="683"/>
        <v>0.19751234775413096</v>
      </c>
      <c r="X445" s="323">
        <f t="shared" si="683"/>
        <v>0.18704468109884709</v>
      </c>
      <c r="Y445" s="323">
        <f t="shared" si="683"/>
        <v>0.22248133229689282</v>
      </c>
      <c r="Z445" s="361">
        <f>(Z215/U215)-1</f>
        <v>0.1875432173117797</v>
      </c>
      <c r="AA445" s="359">
        <f t="shared" ref="AA445:AD447" si="684">AA215/V215-1</f>
        <v>0.12046282712602352</v>
      </c>
      <c r="AB445" s="359">
        <f t="shared" si="684"/>
        <v>9.1580470318944673E-2</v>
      </c>
      <c r="AC445" s="359">
        <f t="shared" si="684"/>
        <v>0.11589779366878883</v>
      </c>
      <c r="AD445" s="359">
        <f t="shared" si="684"/>
        <v>-1.6994874561640061E-2</v>
      </c>
      <c r="AE445" s="360">
        <f>(AE215/Z215)-1</f>
        <v>7.3871137395485675E-2</v>
      </c>
      <c r="AF445" s="359">
        <f t="shared" ref="AF445:AT447" si="685">IF(ISERROR(AF215/AA215-1),"NM",(AF215/AA215-1))</f>
        <v>3.296517644077479E-2</v>
      </c>
      <c r="AG445" s="359">
        <f t="shared" si="685"/>
        <v>1.1503461918892066E-2</v>
      </c>
      <c r="AH445" s="359">
        <f t="shared" si="685"/>
        <v>5.2223351047202327E-2</v>
      </c>
      <c r="AI445" s="359">
        <f t="shared" si="685"/>
        <v>0.13323271130625702</v>
      </c>
      <c r="AJ445" s="360">
        <f t="shared" si="685"/>
        <v>5.8032613204199945E-2</v>
      </c>
      <c r="AK445" s="359">
        <f t="shared" si="685"/>
        <v>9.0178680950239176E-2</v>
      </c>
      <c r="AL445" s="359">
        <f t="shared" si="685"/>
        <v>9.3122634775040902E-2</v>
      </c>
      <c r="AM445" s="359">
        <f t="shared" si="685"/>
        <v>1.880906845906738E-2</v>
      </c>
      <c r="AN445" s="359">
        <f t="shared" si="685"/>
        <v>4.3671838513829053E-2</v>
      </c>
      <c r="AO445" s="364">
        <f t="shared" si="685"/>
        <v>6.0034810866469446E-2</v>
      </c>
      <c r="AP445" s="367">
        <f t="shared" si="685"/>
        <v>6.7041725269573416E-2</v>
      </c>
      <c r="AQ445" s="367">
        <f t="shared" si="685"/>
        <v>8.8991465836508965E-2</v>
      </c>
      <c r="AR445" s="367">
        <f t="shared" si="685"/>
        <v>8.8354291962821296E-2</v>
      </c>
      <c r="AS445" s="367">
        <f t="shared" si="685"/>
        <v>-2.9381250227883626E-2</v>
      </c>
      <c r="AT445" s="368">
        <f t="shared" si="685"/>
        <v>5.17952926980767E-2</v>
      </c>
      <c r="AU445" s="367"/>
      <c r="AV445" s="367"/>
      <c r="AW445" s="367"/>
      <c r="AX445" s="367"/>
      <c r="AY445" s="368"/>
      <c r="AZ445" s="367"/>
      <c r="BA445" s="367"/>
      <c r="BB445" s="367"/>
      <c r="BC445" s="367"/>
      <c r="BD445" s="368"/>
      <c r="BE445" s="367"/>
      <c r="BF445" s="367"/>
      <c r="BG445" s="367"/>
      <c r="BH445" s="367"/>
      <c r="BI445" s="368"/>
      <c r="BJ445" s="367"/>
      <c r="BK445" s="367"/>
      <c r="BL445" s="367"/>
      <c r="BM445" s="367"/>
      <c r="BN445" s="368"/>
      <c r="BO445" s="1117"/>
      <c r="BP445" s="1117"/>
      <c r="BQ445" s="1117"/>
      <c r="BR445" s="1117"/>
      <c r="BS445" s="368"/>
      <c r="BT445" s="367"/>
      <c r="BU445" s="367"/>
      <c r="BV445" s="367"/>
      <c r="BW445" s="367"/>
      <c r="BX445" s="368"/>
      <c r="BY445" s="1117"/>
      <c r="BZ445" s="1117"/>
      <c r="CA445" s="1117"/>
      <c r="CB445" s="1117"/>
      <c r="CC445" s="368"/>
      <c r="CD445" s="368"/>
      <c r="CE445" s="368"/>
      <c r="CF445" s="368"/>
      <c r="CG445" s="368"/>
      <c r="CH445" s="368"/>
    </row>
    <row r="446" spans="1:86" ht="12.75" hidden="1" customHeight="1">
      <c r="A446" s="9"/>
      <c r="B446" s="9"/>
      <c r="C446" s="9"/>
      <c r="D446" s="9"/>
      <c r="E446" s="9"/>
      <c r="F446" s="9"/>
      <c r="G446" s="9"/>
      <c r="H446" s="279" t="s">
        <v>231</v>
      </c>
      <c r="I446" s="279"/>
      <c r="L446" s="336">
        <v>-2.746731336988617E-2</v>
      </c>
      <c r="M446" s="336">
        <v>-1.8770554009613027E-2</v>
      </c>
      <c r="N446" s="336">
        <v>5.3485576923077094E-2</v>
      </c>
      <c r="O446" s="336">
        <v>6.1421810594880721E-2</v>
      </c>
      <c r="P446" s="343">
        <v>1.737043895568724E-2</v>
      </c>
      <c r="Q446" s="325">
        <f t="shared" si="682"/>
        <v>0.10343145226866146</v>
      </c>
      <c r="R446" s="325">
        <f t="shared" si="682"/>
        <v>8.1571620088687125E-2</v>
      </c>
      <c r="S446" s="325">
        <f t="shared" si="682"/>
        <v>9.2438935850230886E-2</v>
      </c>
      <c r="T446" s="325">
        <f t="shared" si="682"/>
        <v>0.13122063476843415</v>
      </c>
      <c r="U446" s="343">
        <f>(U216/P216)-1</f>
        <v>0.10223165072935614</v>
      </c>
      <c r="V446" s="325">
        <f t="shared" si="683"/>
        <v>0.13534758044706452</v>
      </c>
      <c r="W446" s="325">
        <f t="shared" si="683"/>
        <v>0.19360221205186878</v>
      </c>
      <c r="X446" s="325">
        <f t="shared" si="683"/>
        <v>0.1759986708124659</v>
      </c>
      <c r="Y446" s="325">
        <f t="shared" si="683"/>
        <v>0.20953591862682752</v>
      </c>
      <c r="Z446" s="343">
        <f>(Z216/U216)-1</f>
        <v>0.17991150082277496</v>
      </c>
      <c r="AA446" s="325">
        <f t="shared" si="684"/>
        <v>7.057550843790561E-2</v>
      </c>
      <c r="AB446" s="325">
        <f t="shared" si="684"/>
        <v>3.5347685425570319E-2</v>
      </c>
      <c r="AC446" s="325">
        <f t="shared" si="684"/>
        <v>8.1742219351713663E-2</v>
      </c>
      <c r="AD446" s="325">
        <f t="shared" si="684"/>
        <v>-5.2559655208660461E-3</v>
      </c>
      <c r="AE446" s="343">
        <f>(AE216/Z216)-1</f>
        <v>4.3268283067218638E-2</v>
      </c>
      <c r="AF446" s="325">
        <f t="shared" si="685"/>
        <v>0.10609918758336367</v>
      </c>
      <c r="AG446" s="325">
        <f t="shared" si="685"/>
        <v>0.10604505825167787</v>
      </c>
      <c r="AH446" s="325">
        <f t="shared" si="685"/>
        <v>0.11859093962235989</v>
      </c>
      <c r="AI446" s="325">
        <f t="shared" si="685"/>
        <v>0.10511113459438493</v>
      </c>
      <c r="AJ446" s="343">
        <f t="shared" si="685"/>
        <v>0.10898346717052432</v>
      </c>
      <c r="AK446" s="325">
        <f t="shared" si="685"/>
        <v>6.2084338229920322E-2</v>
      </c>
      <c r="AL446" s="325">
        <f t="shared" si="685"/>
        <v>9.584979892504264E-2</v>
      </c>
      <c r="AM446" s="325">
        <f t="shared" si="685"/>
        <v>1.2510008006405116E-2</v>
      </c>
      <c r="AN446" s="325">
        <f t="shared" si="685"/>
        <v>5.16622573550507E-2</v>
      </c>
      <c r="AO446" s="357">
        <f t="shared" si="685"/>
        <v>5.4886489774325531E-2</v>
      </c>
      <c r="AP446" s="341">
        <f t="shared" si="685"/>
        <v>1.8303801823499111E-2</v>
      </c>
      <c r="AQ446" s="369">
        <f t="shared" si="685"/>
        <v>2.5398644132531345E-2</v>
      </c>
      <c r="AR446" s="369">
        <f t="shared" si="685"/>
        <v>2.9620111363711121E-2</v>
      </c>
      <c r="AS446" s="369">
        <f t="shared" si="685"/>
        <v>-5.4973964805508979E-2</v>
      </c>
      <c r="AT446" s="344">
        <f t="shared" si="685"/>
        <v>3.3530164226738268E-3</v>
      </c>
      <c r="AU446" s="369"/>
      <c r="AV446" s="369"/>
      <c r="AW446" s="369"/>
      <c r="AX446" s="369"/>
      <c r="AY446" s="344"/>
      <c r="AZ446" s="369"/>
      <c r="BA446" s="369"/>
      <c r="BB446" s="369"/>
      <c r="BC446" s="369"/>
      <c r="BD446" s="344"/>
      <c r="BE446" s="369"/>
      <c r="BF446" s="369"/>
      <c r="BG446" s="369"/>
      <c r="BH446" s="369"/>
      <c r="BI446" s="344"/>
      <c r="BJ446" s="341"/>
      <c r="BK446" s="341"/>
      <c r="BL446" s="341"/>
      <c r="BM446" s="341"/>
      <c r="BN446" s="344"/>
      <c r="BO446" s="1114"/>
      <c r="BP446" s="1114"/>
      <c r="BQ446" s="1114"/>
      <c r="BR446" s="1114"/>
      <c r="BS446" s="344"/>
      <c r="BT446" s="341"/>
      <c r="BU446" s="341"/>
      <c r="BV446" s="341"/>
      <c r="BW446" s="341"/>
      <c r="BX446" s="344"/>
      <c r="BY446" s="1114"/>
      <c r="BZ446" s="1114"/>
      <c r="CA446" s="1114"/>
      <c r="CB446" s="1114"/>
      <c r="CC446" s="344"/>
      <c r="CD446" s="344"/>
      <c r="CE446" s="344"/>
      <c r="CF446" s="344"/>
      <c r="CG446" s="344"/>
      <c r="CH446" s="344"/>
    </row>
    <row r="447" spans="1:86" ht="12.75" hidden="1" customHeight="1">
      <c r="A447" s="9"/>
      <c r="B447" s="9"/>
      <c r="C447" s="9"/>
      <c r="D447" s="9"/>
      <c r="E447" s="9"/>
      <c r="F447" s="9"/>
      <c r="G447" s="9"/>
      <c r="H447" s="987" t="s">
        <v>232</v>
      </c>
      <c r="I447" s="987"/>
      <c r="J447" s="670"/>
      <c r="K447" s="670"/>
      <c r="L447" s="674">
        <v>0.11661374231470822</v>
      </c>
      <c r="M447" s="674">
        <v>9.3924050632911316E-2</v>
      </c>
      <c r="N447" s="674">
        <v>0.15371353699744894</v>
      </c>
      <c r="O447" s="674">
        <v>6.7881386209360128E-2</v>
      </c>
      <c r="P447" s="675">
        <v>0.10629119813881371</v>
      </c>
      <c r="Q447" s="674">
        <f t="shared" si="682"/>
        <v>1.6094875052943713E-2</v>
      </c>
      <c r="R447" s="674">
        <f t="shared" si="682"/>
        <v>2.3779217773663541E-2</v>
      </c>
      <c r="S447" s="674">
        <f t="shared" si="682"/>
        <v>5.0508069336521189E-2</v>
      </c>
      <c r="T447" s="674">
        <f t="shared" si="682"/>
        <v>5.1522248243559554E-2</v>
      </c>
      <c r="U447" s="675">
        <f>(U217/P217)-1</f>
        <v>3.5721066082512021E-2</v>
      </c>
      <c r="V447" s="674">
        <f t="shared" si="683"/>
        <v>0.1404751979991663</v>
      </c>
      <c r="W447" s="674">
        <f t="shared" si="683"/>
        <v>0.20214749929358566</v>
      </c>
      <c r="X447" s="674">
        <f t="shared" si="683"/>
        <v>0.20028449502133716</v>
      </c>
      <c r="Y447" s="674">
        <f t="shared" si="683"/>
        <v>0.23867854491462492</v>
      </c>
      <c r="Z447" s="675">
        <f>(Z217/U217)-1</f>
        <v>0.19679643547045278</v>
      </c>
      <c r="AA447" s="674">
        <f t="shared" si="684"/>
        <v>0.18065998329156208</v>
      </c>
      <c r="AB447" s="674">
        <f t="shared" si="684"/>
        <v>0.15776607747273408</v>
      </c>
      <c r="AC447" s="674">
        <f t="shared" si="684"/>
        <v>0.15600853282768434</v>
      </c>
      <c r="AD447" s="674">
        <f t="shared" si="684"/>
        <v>-3.1336957917718844E-2</v>
      </c>
      <c r="AE447" s="675">
        <f>(AE217/Z217)-1</f>
        <v>0.110452649685431</v>
      </c>
      <c r="AF447" s="674">
        <f t="shared" si="685"/>
        <v>-4.7054661241818341E-2</v>
      </c>
      <c r="AG447" s="674">
        <f t="shared" si="685"/>
        <v>-8.8005522169887884E-2</v>
      </c>
      <c r="AH447" s="674">
        <f t="shared" si="685"/>
        <v>-2.0708603296973438E-2</v>
      </c>
      <c r="AI447" s="674">
        <f t="shared" si="685"/>
        <v>0.16851549034339497</v>
      </c>
      <c r="AJ447" s="675">
        <f t="shared" si="685"/>
        <v>8.1270622685747362E-4</v>
      </c>
      <c r="AK447" s="674">
        <f t="shared" si="685"/>
        <v>0.12585854835715593</v>
      </c>
      <c r="AL447" s="674">
        <f t="shared" si="685"/>
        <v>8.9641416524937068E-2</v>
      </c>
      <c r="AM447" s="674">
        <f t="shared" si="685"/>
        <v>2.6715799170888843E-2</v>
      </c>
      <c r="AN447" s="674">
        <f t="shared" si="685"/>
        <v>3.4190620272314787E-2</v>
      </c>
      <c r="AO447" s="860">
        <f t="shared" si="685"/>
        <v>6.6441498744826522E-2</v>
      </c>
      <c r="AP447" s="859">
        <f t="shared" si="685"/>
        <v>0.12543281121187144</v>
      </c>
      <c r="AQ447" s="859">
        <f t="shared" si="685"/>
        <v>0.17063005638636919</v>
      </c>
      <c r="AR447" s="859">
        <f t="shared" si="685"/>
        <v>0.16105877074921482</v>
      </c>
      <c r="AS447" s="859">
        <f t="shared" si="685"/>
        <v>1.4994148624927206E-3</v>
      </c>
      <c r="AT447" s="759">
        <f t="shared" si="685"/>
        <v>0.11142479397993998</v>
      </c>
      <c r="AU447" s="859"/>
      <c r="AV447" s="859"/>
      <c r="AW447" s="859"/>
      <c r="AX447" s="859"/>
      <c r="AY447" s="759"/>
      <c r="AZ447" s="859"/>
      <c r="BA447" s="859"/>
      <c r="BB447" s="859"/>
      <c r="BC447" s="859"/>
      <c r="BD447" s="759"/>
      <c r="BE447" s="859"/>
      <c r="BF447" s="859"/>
      <c r="BG447" s="859"/>
      <c r="BH447" s="859"/>
      <c r="BI447" s="759"/>
      <c r="BJ447" s="859"/>
      <c r="BK447" s="859"/>
      <c r="BL447" s="859"/>
      <c r="BM447" s="859"/>
      <c r="BN447" s="759"/>
      <c r="BO447" s="1118"/>
      <c r="BP447" s="1118"/>
      <c r="BQ447" s="1118"/>
      <c r="BR447" s="1118"/>
      <c r="BS447" s="759"/>
      <c r="BT447" s="859"/>
      <c r="BU447" s="859"/>
      <c r="BV447" s="859"/>
      <c r="BW447" s="859"/>
      <c r="BX447" s="759"/>
      <c r="BY447" s="1118"/>
      <c r="BZ447" s="1118"/>
      <c r="CA447" s="1118"/>
      <c r="CB447" s="1118"/>
      <c r="CC447" s="759"/>
      <c r="CD447" s="759"/>
      <c r="CE447" s="759"/>
      <c r="CF447" s="759"/>
      <c r="CG447" s="759"/>
      <c r="CH447" s="759"/>
    </row>
    <row r="448" spans="1:86" ht="12.75" hidden="1" customHeight="1">
      <c r="A448" s="9"/>
      <c r="B448" s="9"/>
      <c r="C448" s="9"/>
      <c r="D448" s="9"/>
      <c r="E448" s="9"/>
      <c r="F448" s="9"/>
      <c r="G448" s="9"/>
      <c r="H448" s="502"/>
      <c r="I448" s="502"/>
      <c r="L448" s="336"/>
      <c r="M448" s="336"/>
      <c r="N448" s="336"/>
      <c r="O448" s="336"/>
      <c r="P448" s="280"/>
      <c r="Q448" s="336"/>
      <c r="R448" s="336"/>
      <c r="S448" s="336"/>
      <c r="T448" s="336"/>
      <c r="U448" s="280"/>
      <c r="V448" s="336"/>
      <c r="W448" s="336"/>
      <c r="X448" s="336"/>
      <c r="Y448" s="336"/>
      <c r="Z448" s="280"/>
      <c r="AA448" s="336"/>
      <c r="AB448" s="336"/>
      <c r="AC448" s="336"/>
      <c r="AD448" s="336"/>
      <c r="AE448" s="280"/>
      <c r="AF448" s="336"/>
      <c r="AG448" s="336"/>
      <c r="AH448" s="336"/>
      <c r="AI448" s="336"/>
      <c r="AJ448" s="362"/>
      <c r="AK448" s="336"/>
      <c r="AL448" s="336"/>
      <c r="AM448" s="336"/>
      <c r="AN448" s="336"/>
      <c r="AO448" s="363"/>
      <c r="AP448" s="369"/>
      <c r="AQ448" s="369"/>
      <c r="AR448" s="369"/>
      <c r="AS448" s="369"/>
      <c r="AT448" s="363"/>
      <c r="AU448" s="369"/>
      <c r="AV448" s="369"/>
      <c r="AW448" s="369"/>
      <c r="AX448" s="369"/>
      <c r="AY448" s="363"/>
      <c r="AZ448" s="369"/>
      <c r="BA448" s="369"/>
      <c r="BB448" s="369"/>
      <c r="BC448" s="369"/>
      <c r="BD448" s="344"/>
      <c r="BE448" s="369"/>
      <c r="BF448" s="369"/>
      <c r="BG448" s="369"/>
      <c r="BH448" s="369"/>
      <c r="BI448" s="344"/>
      <c r="BJ448" s="369"/>
      <c r="BK448" s="369"/>
      <c r="BL448" s="369"/>
      <c r="BM448" s="369"/>
      <c r="BN448" s="344"/>
      <c r="BO448" s="1114"/>
      <c r="BP448" s="1114"/>
      <c r="BQ448" s="1114"/>
      <c r="BR448" s="1114"/>
      <c r="BS448" s="344"/>
      <c r="BT448" s="369"/>
      <c r="BU448" s="369"/>
      <c r="BV448" s="369"/>
      <c r="BW448" s="369"/>
      <c r="BX448" s="344"/>
      <c r="BY448" s="1114"/>
      <c r="BZ448" s="1114"/>
      <c r="CA448" s="1114"/>
      <c r="CB448" s="1114"/>
      <c r="CC448" s="344"/>
      <c r="CD448" s="344"/>
      <c r="CE448" s="344"/>
      <c r="CF448" s="344"/>
      <c r="CG448" s="344"/>
      <c r="CH448" s="344"/>
    </row>
    <row r="449" spans="1:86" ht="13.5" hidden="1" customHeight="1" thickBot="1">
      <c r="A449" s="9"/>
      <c r="B449" s="9"/>
      <c r="C449" s="9"/>
      <c r="D449" s="9"/>
      <c r="E449" s="9"/>
      <c r="F449" s="9"/>
      <c r="G449" s="9"/>
      <c r="H449" s="988" t="s">
        <v>146</v>
      </c>
      <c r="I449" s="988"/>
      <c r="J449" s="358"/>
      <c r="K449" s="358"/>
      <c r="L449" s="359">
        <v>3.5775632292838866E-2</v>
      </c>
      <c r="M449" s="359">
        <v>3.1294812315478815E-2</v>
      </c>
      <c r="N449" s="359">
        <v>9.7789971040999957E-2</v>
      </c>
      <c r="O449" s="359">
        <v>6.4398408560845111E-2</v>
      </c>
      <c r="P449" s="364"/>
      <c r="Q449" s="365"/>
      <c r="R449" s="365"/>
      <c r="S449" s="365"/>
      <c r="T449" s="365"/>
      <c r="U449" s="366"/>
      <c r="V449" s="365"/>
      <c r="W449" s="365"/>
      <c r="X449" s="365"/>
      <c r="Y449" s="365"/>
      <c r="Z449" s="366"/>
      <c r="AA449" s="367"/>
      <c r="AB449" s="367"/>
      <c r="AC449" s="367"/>
      <c r="AD449" s="367"/>
      <c r="AE449" s="364"/>
      <c r="AF449" s="367">
        <f t="shared" ref="AF449:AF457" si="686">IF(ISERROR(AF219/AA219-1),"NM",(AF219/AA219-1))</f>
        <v>-0.11724530449630044</v>
      </c>
      <c r="AG449" s="367">
        <f t="shared" ref="AG449:AG457" si="687">IF(ISERROR(AG219/AB219-1),"NM",(AG219/AB219-1))</f>
        <v>-8.4387755102040773E-2</v>
      </c>
      <c r="AH449" s="367">
        <f t="shared" ref="AH449:AH457" si="688">IF(ISERROR(AH219/AC219-1),"NM",(AH219/AC219-1))</f>
        <v>-7.2517078297425153E-2</v>
      </c>
      <c r="AI449" s="367">
        <f t="shared" ref="AI449:AI457" si="689">IF(ISERROR(AI219/AD219-1),"NM",(AI219/AD219-1))</f>
        <v>-4.1848844472204827E-2</v>
      </c>
      <c r="AJ449" s="364">
        <f t="shared" ref="AJ449:AJ457" si="690">IF(ISERROR(AJ219/AE219-1),"NM",(AJ219/AE219-1))</f>
        <v>-7.9822739232793372E-2</v>
      </c>
      <c r="AK449" s="367">
        <f t="shared" ref="AK449:AK457" si="691">IF(ISERROR(AK219/AF219-1),"NM",(AK219/AF219-1))</f>
        <v>-1.4184397163120477E-2</v>
      </c>
      <c r="AL449" s="367">
        <f t="shared" ref="AL449:AL457" si="692">IF(ISERROR(AL219/AG219-1),"NM",(AL219/AG219-1))</f>
        <v>-0.11177978379583198</v>
      </c>
      <c r="AM449" s="367">
        <f t="shared" ref="AM449:AM457" si="693">IF(ISERROR(AM219/AH219-1),"NM",(AM219/AH219-1))</f>
        <v>-4.8725212464589385E-2</v>
      </c>
      <c r="AN449" s="367">
        <f t="shared" ref="AN449:AN457" si="694">IF(ISERROR(AN219/AI219-1),"NM",(AN219/AI219-1))</f>
        <v>-6.5189048239888692E-4</v>
      </c>
      <c r="AO449" s="364">
        <f t="shared" ref="AO449:AO457" si="695">IF(ISERROR(AO219/AJ219-1),"NM",(AO219/AJ219-1))</f>
        <v>-4.6594226891009116E-2</v>
      </c>
      <c r="AP449" s="367">
        <f t="shared" ref="AP449:AP457" si="696">IF(ISERROR(AP219/AK219-1),"NM",(AP219/AK219-1))</f>
        <v>-2.4198822759973981E-2</v>
      </c>
      <c r="AQ449" s="367">
        <f t="shared" ref="AQ449:AQ457" si="697">IF(ISERROR(AQ219/AL219-1),"NM",(AQ219/AL219-1))</f>
        <v>4.3287327478042537E-2</v>
      </c>
      <c r="AR449" s="367">
        <f t="shared" ref="AR449:AR457" si="698">IF(ISERROR(AR219/AM219-1),"NM",(AR219/AM219-1))</f>
        <v>4.9434187016081044E-2</v>
      </c>
      <c r="AS449" s="367">
        <f t="shared" ref="AS449:AS457" si="699">IF(ISERROR(AS219/AN219-1),"NM",(AS219/AN219-1))</f>
        <v>0.23874755381604684</v>
      </c>
      <c r="AT449" s="364">
        <f t="shared" ref="AT449:AT457" si="700">IF(ISERROR(AT219/AO219-1),"NM",(AT219/AO219-1))</f>
        <v>7.5927387529597601E-2</v>
      </c>
      <c r="AU449" s="367"/>
      <c r="AV449" s="367"/>
      <c r="AW449" s="367"/>
      <c r="AX449" s="367"/>
      <c r="AY449" s="368"/>
      <c r="AZ449" s="367"/>
      <c r="BA449" s="367"/>
      <c r="BB449" s="367"/>
      <c r="BC449" s="367"/>
      <c r="BD449" s="368"/>
      <c r="BE449" s="367"/>
      <c r="BF449" s="367"/>
      <c r="BG449" s="367"/>
      <c r="BH449" s="367"/>
      <c r="BI449" s="368"/>
      <c r="BJ449" s="367"/>
      <c r="BK449" s="367"/>
      <c r="BL449" s="367"/>
      <c r="BM449" s="367"/>
      <c r="BN449" s="368"/>
      <c r="BO449" s="1117"/>
      <c r="BP449" s="1117"/>
      <c r="BQ449" s="1117"/>
      <c r="BR449" s="1117"/>
      <c r="BS449" s="368"/>
      <c r="BT449" s="367"/>
      <c r="BU449" s="367"/>
      <c r="BV449" s="367"/>
      <c r="BW449" s="367"/>
      <c r="BX449" s="368"/>
      <c r="BY449" s="1117"/>
      <c r="BZ449" s="1117"/>
      <c r="CA449" s="1117"/>
      <c r="CB449" s="1117"/>
      <c r="CC449" s="368"/>
      <c r="CD449" s="368"/>
      <c r="CE449" s="368"/>
      <c r="CF449" s="368"/>
      <c r="CG449" s="368"/>
      <c r="CH449" s="368"/>
    </row>
    <row r="450" spans="1:86" ht="12.75" hidden="1" customHeight="1">
      <c r="A450" s="9"/>
      <c r="B450" s="9"/>
      <c r="C450" s="9"/>
      <c r="D450" s="9"/>
      <c r="E450" s="9"/>
      <c r="F450" s="9"/>
      <c r="G450" s="9"/>
      <c r="H450" s="279" t="s">
        <v>231</v>
      </c>
      <c r="I450" s="279"/>
      <c r="L450" s="336">
        <v>-2.746731336988617E-2</v>
      </c>
      <c r="M450" s="336">
        <v>-1.8770554009613027E-2</v>
      </c>
      <c r="N450" s="336">
        <v>5.3485576923077094E-2</v>
      </c>
      <c r="O450" s="336">
        <v>6.1421810594880721E-2</v>
      </c>
      <c r="P450" s="357"/>
      <c r="Q450" s="341"/>
      <c r="R450" s="341"/>
      <c r="S450" s="341"/>
      <c r="T450" s="341"/>
      <c r="U450" s="357"/>
      <c r="V450" s="341"/>
      <c r="W450" s="341"/>
      <c r="X450" s="341"/>
      <c r="Y450" s="341"/>
      <c r="Z450" s="357"/>
      <c r="AA450" s="341"/>
      <c r="AB450" s="341"/>
      <c r="AC450" s="341"/>
      <c r="AD450" s="341"/>
      <c r="AE450" s="357"/>
      <c r="AF450" s="341">
        <f t="shared" si="686"/>
        <v>-0.13183279742765275</v>
      </c>
      <c r="AG450" s="341">
        <f t="shared" si="687"/>
        <v>-0.13133450911228672</v>
      </c>
      <c r="AH450" s="341">
        <f t="shared" si="688"/>
        <v>-0.13360560093348894</v>
      </c>
      <c r="AI450" s="341">
        <f t="shared" si="689"/>
        <v>-0.12833099579242624</v>
      </c>
      <c r="AJ450" s="357">
        <f t="shared" si="690"/>
        <v>-0.13139462163852422</v>
      </c>
      <c r="AK450" s="341">
        <f t="shared" si="691"/>
        <v>-5.7037037037037108E-2</v>
      </c>
      <c r="AL450" s="341">
        <f t="shared" si="692"/>
        <v>-0.18854899837574457</v>
      </c>
      <c r="AM450" s="341">
        <f t="shared" si="693"/>
        <v>-0.22356902356902364</v>
      </c>
      <c r="AN450" s="341">
        <f t="shared" si="694"/>
        <v>-2.8962188254223697E-2</v>
      </c>
      <c r="AO450" s="357">
        <f t="shared" si="695"/>
        <v>-0.13024695802433572</v>
      </c>
      <c r="AP450" s="341">
        <f t="shared" si="696"/>
        <v>-8.5624509033778384E-2</v>
      </c>
      <c r="AQ450" s="369">
        <f t="shared" si="697"/>
        <v>4.0033361134278467E-2</v>
      </c>
      <c r="AR450" s="369">
        <f t="shared" si="698"/>
        <v>0.2879444926279271</v>
      </c>
      <c r="AS450" s="369">
        <f t="shared" si="699"/>
        <v>0.35211267605633823</v>
      </c>
      <c r="AT450" s="357">
        <f t="shared" si="700"/>
        <v>0.14403973509933787</v>
      </c>
      <c r="AU450" s="369"/>
      <c r="AV450" s="369"/>
      <c r="AW450" s="369"/>
      <c r="AX450" s="369"/>
      <c r="AY450" s="344"/>
      <c r="AZ450" s="369"/>
      <c r="BA450" s="369"/>
      <c r="BB450" s="369"/>
      <c r="BC450" s="369"/>
      <c r="BD450" s="344"/>
      <c r="BE450" s="369"/>
      <c r="BF450" s="369"/>
      <c r="BG450" s="369"/>
      <c r="BH450" s="369"/>
      <c r="BI450" s="344"/>
      <c r="BJ450" s="341"/>
      <c r="BK450" s="341"/>
      <c r="BL450" s="341"/>
      <c r="BM450" s="341"/>
      <c r="BN450" s="344"/>
      <c r="BO450" s="1114"/>
      <c r="BP450" s="1114"/>
      <c r="BQ450" s="1114"/>
      <c r="BR450" s="1114"/>
      <c r="BS450" s="344"/>
      <c r="BT450" s="341"/>
      <c r="BU450" s="341"/>
      <c r="BV450" s="341"/>
      <c r="BW450" s="341"/>
      <c r="BX450" s="344"/>
      <c r="BY450" s="1114"/>
      <c r="BZ450" s="1114"/>
      <c r="CA450" s="1114"/>
      <c r="CB450" s="1114"/>
      <c r="CC450" s="344"/>
      <c r="CD450" s="344"/>
      <c r="CE450" s="344"/>
      <c r="CF450" s="344"/>
      <c r="CG450" s="344"/>
      <c r="CH450" s="344"/>
    </row>
    <row r="451" spans="1:86" ht="12.75" hidden="1" customHeight="1">
      <c r="A451" s="9"/>
      <c r="B451" s="9"/>
      <c r="C451" s="9"/>
      <c r="D451" s="9"/>
      <c r="E451" s="9"/>
      <c r="F451" s="9"/>
      <c r="G451" s="9"/>
      <c r="H451" s="283" t="s">
        <v>232</v>
      </c>
      <c r="I451" s="283"/>
      <c r="J451" s="56"/>
      <c r="K451" s="56"/>
      <c r="L451" s="336">
        <v>0.11661374231470822</v>
      </c>
      <c r="M451" s="336">
        <v>9.3924050632911316E-2</v>
      </c>
      <c r="N451" s="336">
        <v>0.15371353699744894</v>
      </c>
      <c r="O451" s="336">
        <v>6.7881386209360128E-2</v>
      </c>
      <c r="P451" s="357"/>
      <c r="Q451" s="369"/>
      <c r="R451" s="369"/>
      <c r="S451" s="369"/>
      <c r="T451" s="369"/>
      <c r="U451" s="357"/>
      <c r="V451" s="369"/>
      <c r="W451" s="369"/>
      <c r="X451" s="369"/>
      <c r="Y451" s="369"/>
      <c r="Z451" s="357"/>
      <c r="AA451" s="369"/>
      <c r="AB451" s="369"/>
      <c r="AC451" s="369"/>
      <c r="AD451" s="369"/>
      <c r="AE451" s="357"/>
      <c r="AF451" s="369">
        <f t="shared" si="686"/>
        <v>-4.9504950495048439E-3</v>
      </c>
      <c r="AG451" s="369">
        <f t="shared" si="687"/>
        <v>0.22393822393822393</v>
      </c>
      <c r="AH451" s="369">
        <f t="shared" si="688"/>
        <v>0.48148148148148162</v>
      </c>
      <c r="AI451" s="369">
        <f t="shared" si="689"/>
        <v>0.66285714285714281</v>
      </c>
      <c r="AJ451" s="357">
        <f t="shared" si="690"/>
        <v>0.31999999999999984</v>
      </c>
      <c r="AK451" s="369">
        <f t="shared" si="691"/>
        <v>0.27363184079601988</v>
      </c>
      <c r="AL451" s="369">
        <f t="shared" si="692"/>
        <v>0.24605678233438488</v>
      </c>
      <c r="AM451" s="369">
        <f t="shared" si="693"/>
        <v>0.87857142857142834</v>
      </c>
      <c r="AN451" s="369">
        <f t="shared" si="694"/>
        <v>0.12027491408934732</v>
      </c>
      <c r="AO451" s="357">
        <f t="shared" si="695"/>
        <v>0.38016528925619819</v>
      </c>
      <c r="AP451" s="369">
        <f t="shared" si="696"/>
        <v>0.28124999999999978</v>
      </c>
      <c r="AQ451" s="369">
        <f t="shared" si="697"/>
        <v>5.3164556962025378E-2</v>
      </c>
      <c r="AR451" s="369">
        <f t="shared" si="698"/>
        <v>-0.47338403041825095</v>
      </c>
      <c r="AS451" s="369">
        <f t="shared" si="699"/>
        <v>-0.18098159509202461</v>
      </c>
      <c r="AT451" s="357">
        <f t="shared" si="700"/>
        <v>-0.14304723885562187</v>
      </c>
      <c r="AU451" s="369"/>
      <c r="AV451" s="369"/>
      <c r="AW451" s="369"/>
      <c r="AX451" s="369"/>
      <c r="AY451" s="344"/>
      <c r="AZ451" s="369"/>
      <c r="BA451" s="369"/>
      <c r="BB451" s="369"/>
      <c r="BC451" s="369"/>
      <c r="BD451" s="344"/>
      <c r="BE451" s="369"/>
      <c r="BF451" s="369"/>
      <c r="BG451" s="369"/>
      <c r="BH451" s="369"/>
      <c r="BI451" s="344"/>
      <c r="BJ451" s="369"/>
      <c r="BK451" s="369"/>
      <c r="BL451" s="369"/>
      <c r="BM451" s="369"/>
      <c r="BN451" s="344"/>
      <c r="BO451" s="1114"/>
      <c r="BP451" s="1114"/>
      <c r="BQ451" s="1114"/>
      <c r="BR451" s="1114"/>
      <c r="BS451" s="344"/>
      <c r="BT451" s="369"/>
      <c r="BU451" s="369"/>
      <c r="BV451" s="369"/>
      <c r="BW451" s="369"/>
      <c r="BX451" s="344"/>
      <c r="BY451" s="1114"/>
      <c r="BZ451" s="1114"/>
      <c r="CA451" s="1114"/>
      <c r="CB451" s="1114"/>
      <c r="CC451" s="344"/>
      <c r="CD451" s="344"/>
      <c r="CE451" s="344"/>
      <c r="CF451" s="344"/>
      <c r="CG451" s="344"/>
      <c r="CH451" s="344"/>
    </row>
    <row r="452" spans="1:86" ht="12.75" hidden="1" customHeight="1">
      <c r="A452" s="9"/>
      <c r="B452" s="9"/>
      <c r="C452" s="9"/>
      <c r="D452" s="9"/>
      <c r="E452" s="9"/>
      <c r="F452" s="9"/>
      <c r="G452" s="9"/>
      <c r="H452" s="788" t="s">
        <v>261</v>
      </c>
      <c r="I452" s="788"/>
      <c r="L452" s="325"/>
      <c r="M452" s="325"/>
      <c r="N452" s="325"/>
      <c r="O452" s="325"/>
      <c r="P452" s="276"/>
      <c r="Q452" s="325"/>
      <c r="R452" s="325"/>
      <c r="S452" s="325"/>
      <c r="T452" s="325"/>
      <c r="U452" s="276"/>
      <c r="V452" s="325"/>
      <c r="W452" s="325"/>
      <c r="X452" s="325"/>
      <c r="Y452" s="325"/>
      <c r="Z452" s="276"/>
      <c r="AA452" s="325"/>
      <c r="AB452" s="325"/>
      <c r="AC452" s="325"/>
      <c r="AD452" s="325"/>
      <c r="AE452" s="276"/>
      <c r="AF452" s="354">
        <f t="shared" si="686"/>
        <v>5.8823529411764719E-2</v>
      </c>
      <c r="AG452" s="354">
        <f t="shared" si="687"/>
        <v>1.7834394904458595E-2</v>
      </c>
      <c r="AH452" s="354">
        <f t="shared" si="688"/>
        <v>-6.4903846153846256E-2</v>
      </c>
      <c r="AI452" s="354">
        <f t="shared" si="689"/>
        <v>1.9580419580419672E-2</v>
      </c>
      <c r="AJ452" s="370">
        <f t="shared" si="690"/>
        <v>4.3405676126879733E-3</v>
      </c>
      <c r="AK452" s="354">
        <f t="shared" si="691"/>
        <v>3.2763532763532721E-2</v>
      </c>
      <c r="AL452" s="354">
        <f t="shared" si="692"/>
        <v>-0.20901126408010018</v>
      </c>
      <c r="AM452" s="354">
        <f t="shared" si="693"/>
        <v>-0.18251928020565544</v>
      </c>
      <c r="AN452" s="354">
        <f t="shared" si="694"/>
        <v>-0.13305898491083679</v>
      </c>
      <c r="AO452" s="370">
        <f t="shared" si="695"/>
        <v>-0.12732712765957466</v>
      </c>
      <c r="AP452" s="354">
        <f t="shared" si="696"/>
        <v>-0.1586206896551724</v>
      </c>
      <c r="AQ452" s="354">
        <f t="shared" si="697"/>
        <v>-6.3291139240506333E-2</v>
      </c>
      <c r="AR452" s="354">
        <f t="shared" si="698"/>
        <v>-5.1886792452830233E-2</v>
      </c>
      <c r="AS452" s="354">
        <f t="shared" si="699"/>
        <v>-9.493670886076E-3</v>
      </c>
      <c r="AT452" s="370">
        <f t="shared" si="700"/>
        <v>-7.3904761904761918E-2</v>
      </c>
      <c r="AU452" s="354"/>
      <c r="AV452" s="354"/>
      <c r="AW452" s="354"/>
      <c r="AX452" s="354"/>
      <c r="AY452" s="353"/>
      <c r="AZ452" s="910"/>
      <c r="BA452" s="910"/>
      <c r="BB452" s="910"/>
      <c r="BC452" s="910"/>
      <c r="BD452" s="861"/>
      <c r="BE452" s="354"/>
      <c r="BF452" s="354"/>
      <c r="BG452" s="354"/>
      <c r="BH452" s="354"/>
      <c r="BI452" s="861"/>
      <c r="BJ452" s="862"/>
      <c r="BK452" s="862"/>
      <c r="BL452" s="862"/>
      <c r="BM452" s="862"/>
      <c r="BN452" s="861"/>
      <c r="BO452" s="1109"/>
      <c r="BP452" s="1109"/>
      <c r="BQ452" s="1109"/>
      <c r="BR452" s="1109"/>
      <c r="BS452" s="861"/>
      <c r="BT452" s="862"/>
      <c r="BU452" s="862"/>
      <c r="BV452" s="862"/>
      <c r="BW452" s="862"/>
      <c r="BX452" s="861"/>
      <c r="BY452" s="1109"/>
      <c r="BZ452" s="1109"/>
      <c r="CA452" s="1109"/>
      <c r="CB452" s="1109"/>
      <c r="CC452" s="861"/>
      <c r="CD452" s="861"/>
      <c r="CE452" s="861"/>
      <c r="CF452" s="861"/>
      <c r="CG452" s="861"/>
      <c r="CH452" s="861"/>
    </row>
    <row r="453" spans="1:86" ht="12.75" hidden="1" customHeight="1">
      <c r="A453" s="9"/>
      <c r="B453" s="9"/>
      <c r="C453" s="9"/>
      <c r="D453" s="9"/>
      <c r="E453" s="9"/>
      <c r="F453" s="9"/>
      <c r="G453" s="9"/>
      <c r="H453" s="789" t="s">
        <v>702</v>
      </c>
      <c r="I453" s="789"/>
      <c r="L453" s="66"/>
      <c r="M453" s="66"/>
      <c r="N453" s="66"/>
      <c r="O453" s="66"/>
      <c r="Q453" s="66"/>
      <c r="R453" s="66"/>
      <c r="S453" s="66"/>
      <c r="T453" s="66"/>
      <c r="V453" s="66"/>
      <c r="W453" s="66"/>
      <c r="X453" s="66"/>
      <c r="Y453" s="66"/>
      <c r="AA453" s="66"/>
      <c r="AB453" s="66"/>
      <c r="AC453" s="66"/>
      <c r="AD453" s="66"/>
      <c r="AF453" s="369">
        <f t="shared" si="686"/>
        <v>5.8823529411764719E-2</v>
      </c>
      <c r="AG453" s="369">
        <f t="shared" si="687"/>
        <v>1.7834394904458595E-2</v>
      </c>
      <c r="AH453" s="369">
        <f t="shared" si="688"/>
        <v>-6.4903846153846256E-2</v>
      </c>
      <c r="AI453" s="369">
        <f t="shared" si="689"/>
        <v>1.9580419580419672E-2</v>
      </c>
      <c r="AJ453" s="357">
        <f t="shared" si="690"/>
        <v>4.3405676126879733E-3</v>
      </c>
      <c r="AK453" s="369">
        <f t="shared" si="691"/>
        <v>3.2763532763532721E-2</v>
      </c>
      <c r="AL453" s="369">
        <f t="shared" si="692"/>
        <v>-0.20901126408010018</v>
      </c>
      <c r="AM453" s="369">
        <f t="shared" si="693"/>
        <v>-0.18251928020565544</v>
      </c>
      <c r="AN453" s="369">
        <f t="shared" si="694"/>
        <v>-0.13305898491083679</v>
      </c>
      <c r="AO453" s="357">
        <f t="shared" si="695"/>
        <v>-0.12732712765957466</v>
      </c>
      <c r="AP453" s="369">
        <f t="shared" si="696"/>
        <v>-0.1586206896551724</v>
      </c>
      <c r="AQ453" s="369">
        <f t="shared" si="697"/>
        <v>-6.3291139240506333E-2</v>
      </c>
      <c r="AR453" s="369">
        <f t="shared" si="698"/>
        <v>-5.1886792452830233E-2</v>
      </c>
      <c r="AS453" s="369">
        <f t="shared" si="699"/>
        <v>-9.493670886076E-3</v>
      </c>
      <c r="AT453" s="357">
        <f t="shared" si="700"/>
        <v>-7.3904761904761918E-2</v>
      </c>
      <c r="AU453" s="369"/>
      <c r="AV453" s="369"/>
      <c r="AW453" s="369"/>
      <c r="AX453" s="369"/>
      <c r="AY453" s="344"/>
      <c r="AZ453" s="912"/>
      <c r="BA453" s="912"/>
      <c r="BB453" s="912"/>
      <c r="BC453" s="912"/>
      <c r="BD453" s="929"/>
      <c r="BE453" s="749"/>
      <c r="BF453" s="749"/>
      <c r="BG453" s="749"/>
      <c r="BH453" s="749"/>
      <c r="BI453" s="863"/>
      <c r="BJ453" s="863"/>
      <c r="BK453" s="863"/>
      <c r="BL453" s="863"/>
      <c r="BM453" s="863"/>
      <c r="BN453" s="863"/>
      <c r="BO453" s="1119"/>
      <c r="BP453" s="1119"/>
      <c r="BQ453" s="1119"/>
      <c r="BR453" s="1119"/>
      <c r="BS453" s="863"/>
      <c r="BT453" s="863"/>
      <c r="BU453" s="863"/>
      <c r="BV453" s="863"/>
      <c r="BW453" s="863"/>
      <c r="BX453" s="863"/>
      <c r="BY453" s="1119"/>
      <c r="BZ453" s="1119"/>
      <c r="CA453" s="1119"/>
      <c r="CB453" s="1119"/>
      <c r="CC453" s="863"/>
      <c r="CD453" s="863"/>
      <c r="CE453" s="863"/>
      <c r="CF453" s="863"/>
      <c r="CG453" s="863"/>
      <c r="CH453" s="863"/>
    </row>
    <row r="454" spans="1:86" ht="12.75" hidden="1" customHeight="1">
      <c r="A454" s="9"/>
      <c r="B454" s="9"/>
      <c r="C454" s="9"/>
      <c r="D454" s="9"/>
      <c r="E454" s="9"/>
      <c r="F454" s="9"/>
      <c r="G454" s="9"/>
      <c r="H454" s="789" t="s">
        <v>232</v>
      </c>
      <c r="I454" s="789"/>
      <c r="L454" s="66"/>
      <c r="M454" s="66"/>
      <c r="N454" s="66"/>
      <c r="O454" s="66"/>
      <c r="Q454" s="66"/>
      <c r="R454" s="66"/>
      <c r="S454" s="66"/>
      <c r="T454" s="66"/>
      <c r="V454" s="66"/>
      <c r="W454" s="66"/>
      <c r="X454" s="66"/>
      <c r="Y454" s="66"/>
      <c r="AA454" s="66"/>
      <c r="AB454" s="66"/>
      <c r="AC454" s="66"/>
      <c r="AD454" s="66"/>
      <c r="AF454" s="369" t="str">
        <f t="shared" si="686"/>
        <v>NM</v>
      </c>
      <c r="AG454" s="369" t="str">
        <f t="shared" si="687"/>
        <v>NM</v>
      </c>
      <c r="AH454" s="369" t="str">
        <f t="shared" si="688"/>
        <v>NM</v>
      </c>
      <c r="AI454" s="369" t="str">
        <f t="shared" si="689"/>
        <v>NM</v>
      </c>
      <c r="AJ454" s="357" t="str">
        <f t="shared" si="690"/>
        <v>NM</v>
      </c>
      <c r="AK454" s="369" t="str">
        <f t="shared" si="691"/>
        <v>NM</v>
      </c>
      <c r="AL454" s="369" t="str">
        <f t="shared" si="692"/>
        <v>NM</v>
      </c>
      <c r="AM454" s="369" t="str">
        <f t="shared" si="693"/>
        <v>NM</v>
      </c>
      <c r="AN454" s="369" t="str">
        <f t="shared" si="694"/>
        <v>NM</v>
      </c>
      <c r="AO454" s="357" t="str">
        <f t="shared" si="695"/>
        <v>NM</v>
      </c>
      <c r="AP454" s="369" t="str">
        <f t="shared" si="696"/>
        <v>NM</v>
      </c>
      <c r="AQ454" s="369" t="str">
        <f t="shared" si="697"/>
        <v>NM</v>
      </c>
      <c r="AR454" s="369" t="str">
        <f t="shared" si="698"/>
        <v>NM</v>
      </c>
      <c r="AS454" s="369" t="str">
        <f t="shared" si="699"/>
        <v>NM</v>
      </c>
      <c r="AT454" s="357" t="str">
        <f t="shared" si="700"/>
        <v>NM</v>
      </c>
      <c r="AU454" s="369"/>
      <c r="AV454" s="369"/>
      <c r="AW454" s="369"/>
      <c r="AX454" s="369"/>
      <c r="AY454" s="344"/>
      <c r="AZ454" s="912"/>
      <c r="BA454" s="912"/>
      <c r="BB454" s="912"/>
      <c r="BC454" s="912"/>
      <c r="BD454" s="929"/>
      <c r="BE454" s="749"/>
      <c r="BF454" s="749"/>
      <c r="BG454" s="749"/>
      <c r="BH454" s="749"/>
      <c r="BI454" s="863"/>
      <c r="BJ454" s="863"/>
      <c r="BK454" s="863"/>
      <c r="BL454" s="863"/>
      <c r="BM454" s="863"/>
      <c r="BN454" s="863"/>
      <c r="BO454" s="1119"/>
      <c r="BP454" s="1119"/>
      <c r="BQ454" s="1119"/>
      <c r="BR454" s="1119"/>
      <c r="BS454" s="863"/>
      <c r="BT454" s="863"/>
      <c r="BU454" s="863"/>
      <c r="BV454" s="863"/>
      <c r="BW454" s="863"/>
      <c r="BX454" s="863"/>
      <c r="BY454" s="1119"/>
      <c r="BZ454" s="1119"/>
      <c r="CA454" s="1119"/>
      <c r="CB454" s="1119"/>
      <c r="CC454" s="863"/>
      <c r="CD454" s="863"/>
      <c r="CE454" s="863"/>
      <c r="CF454" s="863"/>
      <c r="CG454" s="863"/>
      <c r="CH454" s="863"/>
    </row>
    <row r="455" spans="1:86" ht="12.75" hidden="1" customHeight="1">
      <c r="A455" s="9"/>
      <c r="B455" s="9"/>
      <c r="C455" s="9"/>
      <c r="D455" s="9"/>
      <c r="E455" s="9"/>
      <c r="F455" s="9"/>
      <c r="G455" s="9"/>
      <c r="H455" s="788" t="s">
        <v>302</v>
      </c>
      <c r="I455" s="788"/>
      <c r="L455" s="325"/>
      <c r="M455" s="325"/>
      <c r="N455" s="325"/>
      <c r="O455" s="325"/>
      <c r="P455" s="276"/>
      <c r="Q455" s="325"/>
      <c r="R455" s="325"/>
      <c r="S455" s="325"/>
      <c r="T455" s="325"/>
      <c r="U455" s="276"/>
      <c r="V455" s="325"/>
      <c r="W455" s="325"/>
      <c r="X455" s="325"/>
      <c r="Y455" s="325"/>
      <c r="Z455" s="276"/>
      <c r="AA455" s="325"/>
      <c r="AB455" s="325"/>
      <c r="AC455" s="325"/>
      <c r="AD455" s="325"/>
      <c r="AE455" s="276"/>
      <c r="AF455" s="333">
        <f t="shared" si="686"/>
        <v>-0.57192982456140351</v>
      </c>
      <c r="AG455" s="333">
        <f t="shared" si="687"/>
        <v>-0.56842105263157894</v>
      </c>
      <c r="AH455" s="354">
        <f t="shared" si="688"/>
        <v>-0.57192982456140351</v>
      </c>
      <c r="AI455" s="354">
        <f t="shared" si="689"/>
        <v>-1</v>
      </c>
      <c r="AJ455" s="353">
        <f t="shared" si="690"/>
        <v>-0.62436028659160692</v>
      </c>
      <c r="AK455" s="354">
        <f t="shared" si="691"/>
        <v>-1</v>
      </c>
      <c r="AL455" s="354">
        <f t="shared" si="692"/>
        <v>-1</v>
      </c>
      <c r="AM455" s="354">
        <f t="shared" si="693"/>
        <v>-1</v>
      </c>
      <c r="AN455" s="354" t="str">
        <f t="shared" si="694"/>
        <v>NM</v>
      </c>
      <c r="AO455" s="353">
        <f t="shared" si="695"/>
        <v>-1</v>
      </c>
      <c r="AP455" s="354" t="str">
        <f t="shared" si="696"/>
        <v>NM</v>
      </c>
      <c r="AQ455" s="354" t="str">
        <f t="shared" si="697"/>
        <v>NM</v>
      </c>
      <c r="AR455" s="354" t="str">
        <f t="shared" si="698"/>
        <v>NM</v>
      </c>
      <c r="AS455" s="354" t="str">
        <f t="shared" si="699"/>
        <v>NM</v>
      </c>
      <c r="AT455" s="353" t="str">
        <f t="shared" si="700"/>
        <v>NM</v>
      </c>
      <c r="AU455" s="354"/>
      <c r="AV455" s="354"/>
      <c r="AW455" s="354"/>
      <c r="AX455" s="354"/>
      <c r="AY455" s="353"/>
      <c r="AZ455" s="341"/>
      <c r="BA455" s="341"/>
      <c r="BB455" s="341"/>
      <c r="BC455" s="341"/>
      <c r="BD455" s="861"/>
      <c r="BE455" s="354"/>
      <c r="BF455" s="354"/>
      <c r="BG455" s="354"/>
      <c r="BH455" s="354"/>
      <c r="BI455" s="861"/>
      <c r="BJ455" s="772"/>
      <c r="BK455" s="772"/>
      <c r="BL455" s="772"/>
      <c r="BM455" s="772"/>
      <c r="BN455" s="861"/>
      <c r="BO455" s="1109"/>
      <c r="BP455" s="1109"/>
      <c r="BQ455" s="1109"/>
      <c r="BR455" s="1109"/>
      <c r="BS455" s="861"/>
      <c r="BT455" s="772"/>
      <c r="BU455" s="772"/>
      <c r="BV455" s="772"/>
      <c r="BW455" s="772"/>
      <c r="BX455" s="861"/>
      <c r="BY455" s="1109"/>
      <c r="BZ455" s="1109"/>
      <c r="CA455" s="1109"/>
      <c r="CB455" s="1109"/>
      <c r="CC455" s="861"/>
      <c r="CD455" s="861"/>
      <c r="CE455" s="861"/>
      <c r="CF455" s="861"/>
      <c r="CG455" s="861"/>
      <c r="CH455" s="861"/>
    </row>
    <row r="456" spans="1:86" ht="12.75" hidden="1" customHeight="1">
      <c r="A456" s="9"/>
      <c r="B456" s="9"/>
      <c r="C456" s="9"/>
      <c r="D456" s="9"/>
      <c r="E456" s="9"/>
      <c r="F456" s="9"/>
      <c r="G456" s="9"/>
      <c r="H456" s="789" t="s">
        <v>231</v>
      </c>
      <c r="I456" s="789"/>
      <c r="L456" s="66"/>
      <c r="M456" s="66"/>
      <c r="N456" s="66"/>
      <c r="O456" s="66"/>
      <c r="Q456" s="66"/>
      <c r="R456" s="66"/>
      <c r="S456" s="66"/>
      <c r="T456" s="66"/>
      <c r="V456" s="66"/>
      <c r="W456" s="66"/>
      <c r="X456" s="66"/>
      <c r="Y456" s="66"/>
      <c r="AA456" s="66"/>
      <c r="AB456" s="66"/>
      <c r="AC456" s="66"/>
      <c r="AD456" s="66"/>
      <c r="AF456" s="336">
        <f t="shared" si="686"/>
        <v>-0.57192982456140351</v>
      </c>
      <c r="AG456" s="336">
        <f t="shared" si="687"/>
        <v>-0.56842105263157894</v>
      </c>
      <c r="AH456" s="336">
        <f t="shared" si="688"/>
        <v>-0.57192982456140351</v>
      </c>
      <c r="AI456" s="336">
        <f t="shared" si="689"/>
        <v>-1</v>
      </c>
      <c r="AJ456" s="280">
        <f t="shared" si="690"/>
        <v>-0.62436028659160692</v>
      </c>
      <c r="AK456" s="336">
        <f t="shared" si="691"/>
        <v>-1</v>
      </c>
      <c r="AL456" s="336">
        <f t="shared" si="692"/>
        <v>-1</v>
      </c>
      <c r="AM456" s="336">
        <f t="shared" si="693"/>
        <v>-1</v>
      </c>
      <c r="AN456" s="369" t="str">
        <f t="shared" si="694"/>
        <v>NM</v>
      </c>
      <c r="AO456" s="344">
        <f t="shared" si="695"/>
        <v>-1</v>
      </c>
      <c r="AP456" s="369" t="str">
        <f t="shared" si="696"/>
        <v>NM</v>
      </c>
      <c r="AQ456" s="369" t="str">
        <f t="shared" si="697"/>
        <v>NM</v>
      </c>
      <c r="AR456" s="369" t="str">
        <f t="shared" si="698"/>
        <v>NM</v>
      </c>
      <c r="AS456" s="369" t="str">
        <f t="shared" si="699"/>
        <v>NM</v>
      </c>
      <c r="AT456" s="344" t="str">
        <f t="shared" si="700"/>
        <v>NM</v>
      </c>
      <c r="AU456" s="369"/>
      <c r="AV456" s="369"/>
      <c r="AW456" s="369"/>
      <c r="AX456" s="749"/>
      <c r="AY456" s="344"/>
      <c r="AZ456" s="855"/>
      <c r="BA456" s="855"/>
      <c r="BB456" s="855"/>
      <c r="BC456" s="855"/>
      <c r="BD456" s="863"/>
      <c r="BE456" s="749"/>
      <c r="BF456" s="749"/>
      <c r="BG456" s="749"/>
      <c r="BH456" s="749"/>
      <c r="BI456" s="863"/>
      <c r="BJ456" s="981"/>
      <c r="BK456" s="981"/>
      <c r="BL456" s="981"/>
      <c r="BM456" s="981"/>
      <c r="BN456" s="863"/>
      <c r="BO456" s="1119"/>
      <c r="BP456" s="1119"/>
      <c r="BQ456" s="1119"/>
      <c r="BR456" s="1119"/>
      <c r="BS456" s="863"/>
      <c r="BT456" s="981"/>
      <c r="BU456" s="981"/>
      <c r="BV456" s="981"/>
      <c r="BW456" s="981"/>
      <c r="BX456" s="863"/>
      <c r="BY456" s="1119"/>
      <c r="BZ456" s="1119"/>
      <c r="CA456" s="1119"/>
      <c r="CB456" s="1119"/>
      <c r="CC456" s="863"/>
      <c r="CD456" s="863"/>
      <c r="CE456" s="863"/>
      <c r="CF456" s="863"/>
      <c r="CG456" s="863"/>
      <c r="CH456" s="863"/>
    </row>
    <row r="457" spans="1:86" ht="12.75" hidden="1" customHeight="1">
      <c r="A457" s="9"/>
      <c r="B457" s="9"/>
      <c r="C457" s="9"/>
      <c r="D457" s="9"/>
      <c r="E457" s="9"/>
      <c r="F457" s="9"/>
      <c r="G457" s="9"/>
      <c r="H457" s="789" t="s">
        <v>232</v>
      </c>
      <c r="I457" s="789"/>
      <c r="L457" s="66"/>
      <c r="M457" s="66"/>
      <c r="N457" s="66"/>
      <c r="O457" s="66"/>
      <c r="Q457" s="66"/>
      <c r="R457" s="66"/>
      <c r="S457" s="66"/>
      <c r="T457" s="66"/>
      <c r="V457" s="66"/>
      <c r="W457" s="66"/>
      <c r="X457" s="66"/>
      <c r="Y457" s="66"/>
      <c r="AA457" s="66"/>
      <c r="AB457" s="66"/>
      <c r="AC457" s="66"/>
      <c r="AD457" s="66"/>
      <c r="AF457" s="369" t="str">
        <f t="shared" si="686"/>
        <v>NM</v>
      </c>
      <c r="AG457" s="369" t="str">
        <f t="shared" si="687"/>
        <v>NM</v>
      </c>
      <c r="AH457" s="369" t="str">
        <f t="shared" si="688"/>
        <v>NM</v>
      </c>
      <c r="AI457" s="369" t="str">
        <f t="shared" si="689"/>
        <v>NM</v>
      </c>
      <c r="AJ457" s="344" t="str">
        <f t="shared" si="690"/>
        <v>NM</v>
      </c>
      <c r="AK457" s="369" t="str">
        <f t="shared" si="691"/>
        <v>NM</v>
      </c>
      <c r="AL457" s="369" t="str">
        <f t="shared" si="692"/>
        <v>NM</v>
      </c>
      <c r="AM457" s="369" t="str">
        <f t="shared" si="693"/>
        <v>NM</v>
      </c>
      <c r="AN457" s="369" t="str">
        <f t="shared" si="694"/>
        <v>NM</v>
      </c>
      <c r="AO457" s="344" t="str">
        <f t="shared" si="695"/>
        <v>NM</v>
      </c>
      <c r="AP457" s="369" t="str">
        <f t="shared" si="696"/>
        <v>NM</v>
      </c>
      <c r="AQ457" s="369" t="str">
        <f t="shared" si="697"/>
        <v>NM</v>
      </c>
      <c r="AR457" s="369" t="str">
        <f t="shared" si="698"/>
        <v>NM</v>
      </c>
      <c r="AS457" s="369" t="str">
        <f t="shared" si="699"/>
        <v>NM</v>
      </c>
      <c r="AT457" s="344" t="str">
        <f t="shared" si="700"/>
        <v>NM</v>
      </c>
      <c r="AU457" s="369"/>
      <c r="AV457" s="369"/>
      <c r="AW457" s="369"/>
      <c r="AX457" s="749"/>
      <c r="AY457" s="344"/>
      <c r="AZ457" s="855"/>
      <c r="BA457" s="855"/>
      <c r="BB457" s="855"/>
      <c r="BC457" s="855"/>
      <c r="BD457" s="863"/>
      <c r="BE457" s="749"/>
      <c r="BF457" s="749"/>
      <c r="BG457" s="749"/>
      <c r="BH457" s="749"/>
      <c r="BI457" s="863"/>
      <c r="BJ457" s="981"/>
      <c r="BK457" s="981"/>
      <c r="BL457" s="981"/>
      <c r="BM457" s="981"/>
      <c r="BN457" s="863"/>
      <c r="BO457" s="1119"/>
      <c r="BP457" s="1119"/>
      <c r="BQ457" s="1119"/>
      <c r="BR457" s="1119"/>
      <c r="BS457" s="863"/>
      <c r="BT457" s="981"/>
      <c r="BU457" s="981"/>
      <c r="BV457" s="981"/>
      <c r="BW457" s="981"/>
      <c r="BX457" s="863"/>
      <c r="BY457" s="1119"/>
      <c r="BZ457" s="1119"/>
      <c r="CA457" s="1119"/>
      <c r="CB457" s="1119"/>
      <c r="CC457" s="863"/>
      <c r="CD457" s="863"/>
      <c r="CE457" s="863"/>
      <c r="CF457" s="863"/>
      <c r="CG457" s="863"/>
      <c r="CH457" s="863"/>
    </row>
    <row r="458" spans="1:86" ht="12.75" hidden="1" customHeight="1">
      <c r="A458" s="9"/>
      <c r="B458" s="9"/>
      <c r="C458" s="9"/>
      <c r="D458" s="9"/>
      <c r="E458" s="9"/>
      <c r="F458" s="9"/>
      <c r="G458" s="9"/>
      <c r="H458" s="788" t="s">
        <v>636</v>
      </c>
      <c r="I458" s="789"/>
      <c r="L458" s="66"/>
      <c r="M458" s="66"/>
      <c r="N458" s="66"/>
      <c r="O458" s="66"/>
      <c r="Q458" s="66"/>
      <c r="R458" s="66"/>
      <c r="S458" s="66"/>
      <c r="T458" s="66"/>
      <c r="V458" s="66"/>
      <c r="W458" s="66"/>
      <c r="X458" s="66"/>
      <c r="Y458" s="66"/>
      <c r="AA458" s="66"/>
      <c r="AB458" s="66"/>
      <c r="AC458" s="66"/>
      <c r="AD458" s="66"/>
      <c r="AF458" s="354"/>
      <c r="AG458" s="354"/>
      <c r="AH458" s="354"/>
      <c r="AI458" s="354"/>
      <c r="AJ458" s="353"/>
      <c r="AK458" s="354"/>
      <c r="AL458" s="354"/>
      <c r="AM458" s="354"/>
      <c r="AN458" s="354"/>
      <c r="AO458" s="353" t="str">
        <f t="shared" ref="AO458:AT460" si="701">IF(ISERROR(AO228/AJ228-1),"NM",(AO228/AJ228-1))</f>
        <v>NM</v>
      </c>
      <c r="AP458" s="354" t="str">
        <f t="shared" si="701"/>
        <v>NM</v>
      </c>
      <c r="AQ458" s="354">
        <f t="shared" si="701"/>
        <v>1.3684210526315792</v>
      </c>
      <c r="AR458" s="354">
        <f t="shared" si="701"/>
        <v>-1</v>
      </c>
      <c r="AS458" s="354">
        <f t="shared" si="701"/>
        <v>-1</v>
      </c>
      <c r="AT458" s="353">
        <f t="shared" si="701"/>
        <v>0.47368421052631571</v>
      </c>
      <c r="AU458" s="354"/>
      <c r="AV458" s="354"/>
      <c r="AW458" s="354"/>
      <c r="AX458" s="354"/>
      <c r="AY458" s="353"/>
      <c r="AZ458" s="341"/>
      <c r="BA458" s="341"/>
      <c r="BB458" s="341"/>
      <c r="BC458" s="341"/>
      <c r="BD458" s="861"/>
      <c r="BE458" s="354"/>
      <c r="BF458" s="354"/>
      <c r="BG458" s="354"/>
      <c r="BH458" s="354"/>
      <c r="BI458" s="861"/>
      <c r="BJ458" s="772"/>
      <c r="BK458" s="772"/>
      <c r="BL458" s="772"/>
      <c r="BM458" s="772"/>
      <c r="BN458" s="861"/>
      <c r="BO458" s="1109"/>
      <c r="BP458" s="1109"/>
      <c r="BQ458" s="1109"/>
      <c r="BR458" s="1109"/>
      <c r="BS458" s="861"/>
      <c r="BT458" s="772"/>
      <c r="BU458" s="772"/>
      <c r="BV458" s="772"/>
      <c r="BW458" s="772"/>
      <c r="BX458" s="861"/>
      <c r="BY458" s="1109"/>
      <c r="BZ458" s="1109"/>
      <c r="CA458" s="1109"/>
      <c r="CB458" s="1109"/>
      <c r="CC458" s="861"/>
      <c r="CD458" s="861"/>
      <c r="CE458" s="861"/>
      <c r="CF458" s="861"/>
      <c r="CG458" s="861"/>
      <c r="CH458" s="861"/>
    </row>
    <row r="459" spans="1:86" ht="12.75" hidden="1" customHeight="1">
      <c r="A459" s="9"/>
      <c r="B459" s="9"/>
      <c r="C459" s="9"/>
      <c r="D459" s="9"/>
      <c r="E459" s="9"/>
      <c r="F459" s="9"/>
      <c r="G459" s="9"/>
      <c r="H459" s="789" t="s">
        <v>1183</v>
      </c>
      <c r="I459" s="789"/>
      <c r="L459" s="66"/>
      <c r="M459" s="66"/>
      <c r="N459" s="66"/>
      <c r="O459" s="66"/>
      <c r="Q459" s="66"/>
      <c r="R459" s="66"/>
      <c r="S459" s="66"/>
      <c r="T459" s="66"/>
      <c r="V459" s="66"/>
      <c r="W459" s="66"/>
      <c r="X459" s="66"/>
      <c r="Y459" s="66"/>
      <c r="AA459" s="66"/>
      <c r="AB459" s="66"/>
      <c r="AC459" s="66"/>
      <c r="AD459" s="66"/>
      <c r="AF459" s="369"/>
      <c r="AG459" s="369"/>
      <c r="AH459" s="369"/>
      <c r="AI459" s="369"/>
      <c r="AJ459" s="344"/>
      <c r="AK459" s="369"/>
      <c r="AL459" s="369"/>
      <c r="AM459" s="369"/>
      <c r="AN459" s="369"/>
      <c r="AO459" s="344" t="str">
        <f t="shared" si="701"/>
        <v>NM</v>
      </c>
      <c r="AP459" s="369" t="str">
        <f t="shared" si="701"/>
        <v>NM</v>
      </c>
      <c r="AQ459" s="369">
        <f t="shared" si="701"/>
        <v>1.3684210526315792</v>
      </c>
      <c r="AR459" s="369">
        <f t="shared" si="701"/>
        <v>-1</v>
      </c>
      <c r="AS459" s="369">
        <f t="shared" si="701"/>
        <v>-1</v>
      </c>
      <c r="AT459" s="344">
        <f t="shared" si="701"/>
        <v>0.47368421052631571</v>
      </c>
      <c r="AU459" s="369"/>
      <c r="AV459" s="369"/>
      <c r="AW459" s="369"/>
      <c r="AX459" s="749"/>
      <c r="AY459" s="344"/>
      <c r="AZ459" s="855"/>
      <c r="BA459" s="855"/>
      <c r="BB459" s="855"/>
      <c r="BC459" s="855"/>
      <c r="BD459" s="863"/>
      <c r="BE459" s="749"/>
      <c r="BF459" s="749"/>
      <c r="BG459" s="749"/>
      <c r="BH459" s="749"/>
      <c r="BI459" s="863"/>
      <c r="BJ459" s="981"/>
      <c r="BK459" s="981"/>
      <c r="BL459" s="981"/>
      <c r="BM459" s="981"/>
      <c r="BN459" s="863"/>
      <c r="BO459" s="1119"/>
      <c r="BP459" s="1119"/>
      <c r="BQ459" s="1119"/>
      <c r="BR459" s="1119"/>
      <c r="BS459" s="863"/>
      <c r="BT459" s="981"/>
      <c r="BU459" s="981"/>
      <c r="BV459" s="981"/>
      <c r="BW459" s="981"/>
      <c r="BX459" s="863"/>
      <c r="BY459" s="1119"/>
      <c r="BZ459" s="1119"/>
      <c r="CA459" s="1119"/>
      <c r="CB459" s="1119"/>
      <c r="CC459" s="863"/>
      <c r="CD459" s="863"/>
      <c r="CE459" s="863"/>
      <c r="CF459" s="863"/>
      <c r="CG459" s="863"/>
      <c r="CH459" s="863"/>
    </row>
    <row r="460" spans="1:86" ht="12.75" hidden="1" customHeight="1">
      <c r="A460" s="9"/>
      <c r="B460" s="9"/>
      <c r="C460" s="9"/>
      <c r="D460" s="9"/>
      <c r="E460" s="9"/>
      <c r="F460" s="9"/>
      <c r="G460" s="9"/>
      <c r="H460" s="789" t="s">
        <v>470</v>
      </c>
      <c r="I460" s="789"/>
      <c r="L460" s="66"/>
      <c r="M460" s="66"/>
      <c r="N460" s="66"/>
      <c r="O460" s="66"/>
      <c r="Q460" s="66"/>
      <c r="R460" s="66"/>
      <c r="S460" s="66"/>
      <c r="T460" s="66"/>
      <c r="V460" s="66"/>
      <c r="W460" s="66"/>
      <c r="X460" s="66"/>
      <c r="Y460" s="66"/>
      <c r="AA460" s="66"/>
      <c r="AB460" s="66"/>
      <c r="AC460" s="66"/>
      <c r="AD460" s="66"/>
      <c r="AF460" s="369"/>
      <c r="AG460" s="369"/>
      <c r="AH460" s="369"/>
      <c r="AI460" s="369"/>
      <c r="AJ460" s="344"/>
      <c r="AK460" s="369"/>
      <c r="AL460" s="369"/>
      <c r="AM460" s="369"/>
      <c r="AN460" s="369"/>
      <c r="AO460" s="344" t="str">
        <f t="shared" si="701"/>
        <v>NM</v>
      </c>
      <c r="AP460" s="369" t="str">
        <f t="shared" si="701"/>
        <v>NM</v>
      </c>
      <c r="AQ460" s="369" t="str">
        <f t="shared" si="701"/>
        <v>NM</v>
      </c>
      <c r="AR460" s="369" t="str">
        <f t="shared" si="701"/>
        <v>NM</v>
      </c>
      <c r="AS460" s="369" t="str">
        <f t="shared" si="701"/>
        <v>NM</v>
      </c>
      <c r="AT460" s="344" t="str">
        <f t="shared" si="701"/>
        <v>NM</v>
      </c>
      <c r="AU460" s="369"/>
      <c r="AV460" s="369"/>
      <c r="AW460" s="369"/>
      <c r="AX460" s="749"/>
      <c r="AY460" s="344"/>
      <c r="AZ460" s="855"/>
      <c r="BA460" s="855"/>
      <c r="BB460" s="855"/>
      <c r="BC460" s="855"/>
      <c r="BD460" s="863"/>
      <c r="BE460" s="749"/>
      <c r="BF460" s="749"/>
      <c r="BG460" s="749"/>
      <c r="BH460" s="749"/>
      <c r="BI460" s="863"/>
      <c r="BJ460" s="981"/>
      <c r="BK460" s="981"/>
      <c r="BL460" s="981"/>
      <c r="BM460" s="981"/>
      <c r="BN460" s="863"/>
      <c r="BO460" s="1119"/>
      <c r="BP460" s="1119"/>
      <c r="BQ460" s="1119"/>
      <c r="BR460" s="1119"/>
      <c r="BS460" s="863"/>
      <c r="BT460" s="981"/>
      <c r="BU460" s="981"/>
      <c r="BV460" s="981"/>
      <c r="BW460" s="981"/>
      <c r="BX460" s="863"/>
      <c r="BY460" s="1119"/>
      <c r="BZ460" s="1119"/>
      <c r="CA460" s="1119"/>
      <c r="CB460" s="1119"/>
      <c r="CC460" s="863"/>
      <c r="CD460" s="863"/>
      <c r="CE460" s="863"/>
      <c r="CF460" s="863"/>
      <c r="CG460" s="863"/>
      <c r="CH460" s="863"/>
    </row>
    <row r="461" spans="1:86" ht="12.75" hidden="1" customHeight="1">
      <c r="A461" s="9"/>
      <c r="B461" s="9"/>
      <c r="C461" s="9"/>
      <c r="D461" s="9"/>
      <c r="E461" s="9"/>
      <c r="F461" s="9"/>
      <c r="G461" s="9"/>
      <c r="H461" s="788" t="s">
        <v>298</v>
      </c>
      <c r="I461" s="788"/>
      <c r="L461" s="66"/>
      <c r="M461" s="66"/>
      <c r="N461" s="66"/>
      <c r="O461" s="66"/>
      <c r="Q461" s="66"/>
      <c r="R461" s="66"/>
      <c r="S461" s="66"/>
      <c r="T461" s="66"/>
      <c r="V461" s="66"/>
      <c r="W461" s="66"/>
      <c r="X461" s="66"/>
      <c r="Y461" s="66"/>
      <c r="AA461" s="66"/>
      <c r="AB461" s="66"/>
      <c r="AC461" s="66"/>
      <c r="AD461" s="66"/>
      <c r="AF461" s="333">
        <f t="shared" ref="AF461:AG463" si="702">IF(ISERROR(AF231/AA231-1),"NM",(AF231/AA231-1))</f>
        <v>0.38235294117647078</v>
      </c>
      <c r="AG461" s="333">
        <f t="shared" si="702"/>
        <v>0.19375000000000009</v>
      </c>
      <c r="AH461" s="333">
        <f t="shared" ref="AH461:AT461" si="703">IF(ISERROR(AH231/AC231-1),"NM",(AH231/AC231-1))</f>
        <v>0.30188679245283034</v>
      </c>
      <c r="AI461" s="333">
        <f t="shared" si="703"/>
        <v>0.50000000000000022</v>
      </c>
      <c r="AJ461" s="334">
        <f t="shared" si="703"/>
        <v>0.30135746606334846</v>
      </c>
      <c r="AK461" s="333">
        <f t="shared" si="703"/>
        <v>6.3829787234042534E-2</v>
      </c>
      <c r="AL461" s="333">
        <f t="shared" si="703"/>
        <v>4.7120418848167533E-2</v>
      </c>
      <c r="AM461" s="333">
        <f t="shared" si="703"/>
        <v>2.8115942028985503</v>
      </c>
      <c r="AN461" s="333">
        <f t="shared" si="703"/>
        <v>0.38596491228070162</v>
      </c>
      <c r="AO461" s="353">
        <f t="shared" si="703"/>
        <v>0.7802503477051459</v>
      </c>
      <c r="AP461" s="354">
        <f t="shared" si="703"/>
        <v>0.48</v>
      </c>
      <c r="AQ461" s="354">
        <f t="shared" si="703"/>
        <v>0.2416666666666667</v>
      </c>
      <c r="AR461" s="354">
        <f t="shared" si="703"/>
        <v>0.21673003802281388</v>
      </c>
      <c r="AS461" s="354">
        <f t="shared" si="703"/>
        <v>3.9493670886075956</v>
      </c>
      <c r="AT461" s="353">
        <f t="shared" si="703"/>
        <v>0.82421875000000022</v>
      </c>
      <c r="AU461" s="354"/>
      <c r="AV461" s="354"/>
      <c r="AW461" s="354"/>
      <c r="AX461" s="354"/>
      <c r="AY461" s="353"/>
      <c r="AZ461" s="354"/>
      <c r="BA461" s="354"/>
      <c r="BB461" s="354"/>
      <c r="BC461" s="354"/>
      <c r="BD461" s="353"/>
      <c r="BE461" s="354"/>
      <c r="BF461" s="354"/>
      <c r="BG461" s="354"/>
      <c r="BH461" s="354"/>
      <c r="BI461" s="353"/>
      <c r="BJ461" s="855"/>
      <c r="BK461" s="855"/>
      <c r="BL461" s="855"/>
      <c r="BM461" s="855"/>
      <c r="BN461" s="353"/>
      <c r="BO461" s="1115"/>
      <c r="BP461" s="1115"/>
      <c r="BQ461" s="1115"/>
      <c r="BR461" s="1115"/>
      <c r="BS461" s="353"/>
      <c r="BT461" s="855"/>
      <c r="BU461" s="855"/>
      <c r="BV461" s="855"/>
      <c r="BW461" s="855"/>
      <c r="BX461" s="353"/>
      <c r="BY461" s="1115"/>
      <c r="BZ461" s="1115"/>
      <c r="CA461" s="1115"/>
      <c r="CB461" s="1115"/>
      <c r="CC461" s="353"/>
      <c r="CD461" s="353"/>
      <c r="CE461" s="353"/>
      <c r="CF461" s="353"/>
      <c r="CG461" s="353"/>
      <c r="CH461" s="353"/>
    </row>
    <row r="462" spans="1:86" ht="12.75" hidden="1" customHeight="1">
      <c r="A462" s="9"/>
      <c r="B462" s="9"/>
      <c r="C462" s="9"/>
      <c r="D462" s="9"/>
      <c r="E462" s="9"/>
      <c r="F462" s="9"/>
      <c r="G462" s="9"/>
      <c r="H462" s="789" t="s">
        <v>231</v>
      </c>
      <c r="I462" s="789"/>
      <c r="L462" s="66"/>
      <c r="M462" s="66"/>
      <c r="N462" s="66"/>
      <c r="O462" s="66"/>
      <c r="Q462" s="66"/>
      <c r="R462" s="66"/>
      <c r="S462" s="66"/>
      <c r="T462" s="66"/>
      <c r="V462" s="66"/>
      <c r="W462" s="66"/>
      <c r="X462" s="66"/>
      <c r="Y462" s="66"/>
      <c r="AA462" s="66"/>
      <c r="AB462" s="66"/>
      <c r="AC462" s="66"/>
      <c r="AD462" s="66"/>
      <c r="AF462" s="369" t="str">
        <f t="shared" si="702"/>
        <v>NM</v>
      </c>
      <c r="AG462" s="369" t="str">
        <f t="shared" si="702"/>
        <v>NM</v>
      </c>
      <c r="AH462" s="369" t="str">
        <f t="shared" ref="AH462:AT463" si="704">IF(ISERROR(AH232/AC232-1),"NM",(AH232/AC232-1))</f>
        <v>NM</v>
      </c>
      <c r="AI462" s="369" t="str">
        <f t="shared" si="704"/>
        <v>NM</v>
      </c>
      <c r="AJ462" s="344" t="str">
        <f t="shared" si="704"/>
        <v>NM</v>
      </c>
      <c r="AK462" s="369" t="str">
        <f t="shared" si="704"/>
        <v>NM</v>
      </c>
      <c r="AL462" s="369">
        <f t="shared" si="704"/>
        <v>-1</v>
      </c>
      <c r="AM462" s="369" t="str">
        <f t="shared" si="704"/>
        <v>NM</v>
      </c>
      <c r="AN462" s="369" t="str">
        <f t="shared" si="704"/>
        <v>NM</v>
      </c>
      <c r="AO462" s="344">
        <f t="shared" si="704"/>
        <v>-1</v>
      </c>
      <c r="AP462" s="369" t="str">
        <f t="shared" si="704"/>
        <v>NM</v>
      </c>
      <c r="AQ462" s="369" t="str">
        <f t="shared" si="704"/>
        <v>NM</v>
      </c>
      <c r="AR462" s="369" t="str">
        <f t="shared" si="704"/>
        <v>NM</v>
      </c>
      <c r="AS462" s="369" t="str">
        <f t="shared" si="704"/>
        <v>NM</v>
      </c>
      <c r="AT462" s="344" t="str">
        <f t="shared" si="704"/>
        <v>NM</v>
      </c>
      <c r="AU462" s="369"/>
      <c r="AV462" s="369"/>
      <c r="AW462" s="369"/>
      <c r="AX462" s="369"/>
      <c r="AY462" s="344"/>
      <c r="AZ462" s="369"/>
      <c r="BA462" s="369"/>
      <c r="BB462" s="927"/>
      <c r="BC462" s="927"/>
      <c r="BD462" s="930"/>
      <c r="BE462" s="749"/>
      <c r="BF462" s="749"/>
      <c r="BG462" s="749"/>
      <c r="BH462" s="749"/>
      <c r="BI462" s="498"/>
      <c r="BJ462" s="855"/>
      <c r="BK462" s="855"/>
      <c r="BL462" s="855"/>
      <c r="BM462" s="855"/>
      <c r="BN462" s="498"/>
      <c r="BO462" s="1116"/>
      <c r="BP462" s="1116"/>
      <c r="BQ462" s="1116"/>
      <c r="BR462" s="1116"/>
      <c r="BS462" s="498"/>
      <c r="BT462" s="855"/>
      <c r="BU462" s="855"/>
      <c r="BV462" s="855"/>
      <c r="BW462" s="855"/>
      <c r="BX462" s="498"/>
      <c r="BY462" s="1116"/>
      <c r="BZ462" s="1116"/>
      <c r="CA462" s="1116"/>
      <c r="CB462" s="1116"/>
      <c r="CC462" s="498"/>
      <c r="CD462" s="498"/>
      <c r="CE462" s="498"/>
      <c r="CF462" s="498"/>
      <c r="CG462" s="498"/>
      <c r="CH462" s="498"/>
    </row>
    <row r="463" spans="1:86" ht="12.75" hidden="1" customHeight="1">
      <c r="A463" s="9"/>
      <c r="B463" s="9"/>
      <c r="C463" s="9"/>
      <c r="D463" s="9"/>
      <c r="E463" s="9"/>
      <c r="F463" s="9"/>
      <c r="G463" s="9"/>
      <c r="H463" s="789" t="s">
        <v>232</v>
      </c>
      <c r="I463" s="789"/>
      <c r="L463" s="66"/>
      <c r="M463" s="66"/>
      <c r="N463" s="66"/>
      <c r="O463" s="66"/>
      <c r="Q463" s="66"/>
      <c r="R463" s="66"/>
      <c r="S463" s="66"/>
      <c r="T463" s="66"/>
      <c r="V463" s="66"/>
      <c r="W463" s="66"/>
      <c r="X463" s="66"/>
      <c r="Y463" s="66"/>
      <c r="AA463" s="66"/>
      <c r="AB463" s="66"/>
      <c r="AC463" s="66"/>
      <c r="AD463" s="66"/>
      <c r="AF463" s="336">
        <f t="shared" si="702"/>
        <v>0.38235294117647078</v>
      </c>
      <c r="AG463" s="336">
        <f t="shared" si="702"/>
        <v>0.19791666666666674</v>
      </c>
      <c r="AH463" s="336">
        <f t="shared" si="704"/>
        <v>0.30188679245283034</v>
      </c>
      <c r="AI463" s="336">
        <f t="shared" si="704"/>
        <v>0.50000000000000022</v>
      </c>
      <c r="AJ463" s="280">
        <f t="shared" si="704"/>
        <v>0.30316742081447967</v>
      </c>
      <c r="AK463" s="336">
        <f t="shared" si="704"/>
        <v>6.3829787234042534E-2</v>
      </c>
      <c r="AL463" s="336">
        <f t="shared" si="704"/>
        <v>4.3478260869565188E-2</v>
      </c>
      <c r="AM463" s="336">
        <f t="shared" si="704"/>
        <v>2.8115942028985503</v>
      </c>
      <c r="AN463" s="336">
        <f t="shared" si="704"/>
        <v>0.38596491228070162</v>
      </c>
      <c r="AO463" s="344">
        <f t="shared" si="704"/>
        <v>0.77777777777777768</v>
      </c>
      <c r="AP463" s="369">
        <f t="shared" si="704"/>
        <v>0.48</v>
      </c>
      <c r="AQ463" s="369">
        <f t="shared" si="704"/>
        <v>0.2416666666666667</v>
      </c>
      <c r="AR463" s="369">
        <f t="shared" si="704"/>
        <v>-1.0038022813688212</v>
      </c>
      <c r="AS463" s="369">
        <f t="shared" si="704"/>
        <v>-1.0379746835443038</v>
      </c>
      <c r="AT463" s="344">
        <f t="shared" si="704"/>
        <v>-0.572265625</v>
      </c>
      <c r="AU463" s="369"/>
      <c r="AV463" s="369"/>
      <c r="AW463" s="369"/>
      <c r="AX463" s="369"/>
      <c r="AY463" s="344"/>
      <c r="AZ463" s="369"/>
      <c r="BA463" s="369"/>
      <c r="BB463" s="927"/>
      <c r="BC463" s="927"/>
      <c r="BD463" s="930"/>
      <c r="BE463" s="749"/>
      <c r="BF463" s="749"/>
      <c r="BG463" s="749"/>
      <c r="BH463" s="749"/>
      <c r="BI463" s="498"/>
      <c r="BJ463" s="855"/>
      <c r="BK463" s="855"/>
      <c r="BL463" s="855"/>
      <c r="BM463" s="855"/>
      <c r="BN463" s="498"/>
      <c r="BO463" s="1116"/>
      <c r="BP463" s="1116"/>
      <c r="BQ463" s="1116"/>
      <c r="BR463" s="1116"/>
      <c r="BS463" s="498"/>
      <c r="BT463" s="855"/>
      <c r="BU463" s="855"/>
      <c r="BV463" s="855"/>
      <c r="BW463" s="855"/>
      <c r="BX463" s="498"/>
      <c r="BY463" s="1116"/>
      <c r="BZ463" s="1116"/>
      <c r="CA463" s="1116"/>
      <c r="CB463" s="1116"/>
      <c r="CC463" s="498"/>
      <c r="CD463" s="498"/>
      <c r="CE463" s="498"/>
      <c r="CF463" s="498"/>
      <c r="CG463" s="498"/>
      <c r="CH463" s="498"/>
    </row>
    <row r="464" spans="1:86">
      <c r="A464" s="9"/>
      <c r="B464" s="9"/>
      <c r="C464" s="9"/>
      <c r="D464" s="9"/>
      <c r="E464" s="9"/>
      <c r="F464" s="9"/>
      <c r="G464" s="9"/>
      <c r="AF464" s="66"/>
      <c r="AG464" s="66"/>
      <c r="AH464" s="66"/>
      <c r="AI464" s="66"/>
      <c r="AK464" s="66"/>
      <c r="AL464" s="66"/>
      <c r="AM464" s="66"/>
      <c r="AN464" s="66"/>
      <c r="AO464" s="33"/>
      <c r="AP464" s="855"/>
      <c r="AQ464" s="855"/>
      <c r="AR464" s="855"/>
      <c r="AS464" s="855"/>
      <c r="AT464" s="33"/>
      <c r="AU464" s="855"/>
      <c r="AV464" s="855"/>
      <c r="AW464" s="855"/>
      <c r="AX464" s="855"/>
      <c r="AZ464" s="855"/>
      <c r="BA464" s="855"/>
      <c r="BB464" s="855"/>
      <c r="BC464" s="855"/>
      <c r="BE464" s="855"/>
      <c r="BF464" s="855"/>
      <c r="BG464" s="855"/>
      <c r="BH464" s="855"/>
      <c r="BJ464" s="1113"/>
      <c r="BK464" s="1113"/>
      <c r="BL464" s="1113"/>
      <c r="BM464" s="1113"/>
      <c r="BO464" s="1113"/>
      <c r="BP464" s="1113"/>
      <c r="BQ464" s="1113"/>
      <c r="BR464" s="1113"/>
      <c r="BT464" s="1113"/>
      <c r="BU464" s="1113"/>
      <c r="BV464" s="1113"/>
      <c r="BW464" s="1113"/>
      <c r="BY464" s="1113"/>
      <c r="BZ464" s="1113"/>
      <c r="CA464" s="1113"/>
      <c r="CB464" s="1113"/>
    </row>
    <row r="465" spans="1:86" ht="13.5" thickBot="1">
      <c r="A465" s="9"/>
      <c r="B465" s="9"/>
      <c r="C465" s="9"/>
      <c r="D465" s="9"/>
      <c r="E465" s="9"/>
      <c r="F465" s="9"/>
      <c r="G465" s="9"/>
      <c r="H465" s="313" t="s">
        <v>151</v>
      </c>
      <c r="I465" s="313"/>
      <c r="J465" s="358"/>
      <c r="K465" s="358"/>
      <c r="L465" s="359">
        <v>3.5775632292838866E-2</v>
      </c>
      <c r="M465" s="359">
        <v>3.1294812315478815E-2</v>
      </c>
      <c r="N465" s="359">
        <v>9.7789971040999957E-2</v>
      </c>
      <c r="O465" s="359">
        <v>6.4398408560845111E-2</v>
      </c>
      <c r="P465" s="360">
        <v>5.7094611659943298E-2</v>
      </c>
      <c r="Q465" s="323">
        <f t="shared" ref="Q465:T467" si="705">Q235/L235-1</f>
        <v>6.2160462057528454E-2</v>
      </c>
      <c r="R465" s="323">
        <f t="shared" si="705"/>
        <v>5.4337750149953568E-2</v>
      </c>
      <c r="S465" s="323">
        <f t="shared" si="705"/>
        <v>7.2959764529475502E-2</v>
      </c>
      <c r="T465" s="323">
        <f t="shared" si="705"/>
        <v>9.4375128892555171E-2</v>
      </c>
      <c r="U465" s="361">
        <f>(U235/P235)-1</f>
        <v>7.115551338325754E-2</v>
      </c>
      <c r="V465" s="323">
        <f t="shared" ref="V465:Y467" si="706">V235/Q235-1</f>
        <v>0.13766555400021518</v>
      </c>
      <c r="W465" s="323">
        <f t="shared" si="706"/>
        <v>0.19751234775413096</v>
      </c>
      <c r="X465" s="323">
        <f t="shared" si="706"/>
        <v>0.18704468109884709</v>
      </c>
      <c r="Y465" s="323">
        <f t="shared" si="706"/>
        <v>0.22248133229689282</v>
      </c>
      <c r="Z465" s="361">
        <f>(Z235/U235)-1</f>
        <v>0.18752170795825673</v>
      </c>
      <c r="AA465" s="359">
        <f t="shared" ref="AA465:AD467" si="707">AA235/V235-1</f>
        <v>0.16203681794519897</v>
      </c>
      <c r="AB465" s="359">
        <f t="shared" si="707"/>
        <v>0.13390485650737438</v>
      </c>
      <c r="AC465" s="359">
        <f t="shared" si="707"/>
        <v>0.15738641318566327</v>
      </c>
      <c r="AD465" s="359">
        <f t="shared" si="707"/>
        <v>1.3854098423831562E-2</v>
      </c>
      <c r="AE465" s="360">
        <f>(AE235/Z235)-1</f>
        <v>0.11262926847593357</v>
      </c>
      <c r="AF465" s="359">
        <f t="shared" ref="AF465:AI467" si="708">AF235/AA235-1</f>
        <v>2.7591121971085375E-2</v>
      </c>
      <c r="AG465" s="359">
        <f t="shared" si="708"/>
        <v>7.924204913349886E-3</v>
      </c>
      <c r="AH465" s="359">
        <f t="shared" si="708"/>
        <v>4.7751803643076407E-2</v>
      </c>
      <c r="AI465" s="359">
        <f t="shared" si="708"/>
        <v>0.12790542980405561</v>
      </c>
      <c r="AJ465" s="360">
        <f>(AJ235/AE235)-1</f>
        <v>5.3231174393702618E-2</v>
      </c>
      <c r="AK465" s="359">
        <f t="shared" ref="AK465:AN467" si="709">AK235/AF235-1</f>
        <v>8.69711681363321E-2</v>
      </c>
      <c r="AL465" s="359">
        <f t="shared" si="709"/>
        <v>8.6174874022457937E-2</v>
      </c>
      <c r="AM465" s="359">
        <f t="shared" si="709"/>
        <v>1.6666067383409366E-2</v>
      </c>
      <c r="AN465" s="359">
        <f t="shared" si="709"/>
        <v>4.2526159704787014E-2</v>
      </c>
      <c r="AO465" s="364">
        <f>(AO235/AJ235)-1</f>
        <v>5.6790137025949372E-2</v>
      </c>
      <c r="AP465" s="367">
        <f>AP235/AK235-1</f>
        <v>6.4498486892478502E-2</v>
      </c>
      <c r="AQ465" s="367">
        <f t="shared" ref="AQ465:AZ467" si="710">(AQ235/AL235)-1</f>
        <v>8.7724181119209321E-2</v>
      </c>
      <c r="AR465" s="367">
        <f t="shared" si="710"/>
        <v>8.7198712620912833E-2</v>
      </c>
      <c r="AS465" s="367">
        <f t="shared" si="710"/>
        <v>-2.273770502401784E-2</v>
      </c>
      <c r="AT465" s="364">
        <f t="shared" si="710"/>
        <v>5.2457783124343571E-2</v>
      </c>
      <c r="AU465" s="367">
        <f t="shared" si="710"/>
        <v>-4.0622003014111674E-2</v>
      </c>
      <c r="AV465" s="367">
        <f t="shared" si="710"/>
        <v>-0.10431792739485046</v>
      </c>
      <c r="AW465" s="367">
        <f t="shared" si="710"/>
        <v>-0.11462264150943413</v>
      </c>
      <c r="AX465" s="367">
        <f t="shared" si="710"/>
        <v>-1.4736041280762113E-2</v>
      </c>
      <c r="AY465" s="368">
        <f t="shared" si="710"/>
        <v>-6.9309825171081973E-2</v>
      </c>
      <c r="AZ465" s="367">
        <f t="shared" si="710"/>
        <v>-5.355230274906031E-5</v>
      </c>
      <c r="BA465" s="367">
        <f t="shared" ref="BA465:BJ467" si="711">(BA235/AV235)-1</f>
        <v>5.8742657167853984E-2</v>
      </c>
      <c r="BB465" s="367">
        <f t="shared" si="711"/>
        <v>6.0496390057502181E-2</v>
      </c>
      <c r="BC465" s="367">
        <f t="shared" si="711"/>
        <v>-2.492739999664273E-2</v>
      </c>
      <c r="BD465" s="368">
        <f t="shared" si="711"/>
        <v>2.2540956409019985E-2</v>
      </c>
      <c r="BE465" s="367">
        <f t="shared" si="711"/>
        <v>-0.16398593284181584</v>
      </c>
      <c r="BF465" s="367">
        <f t="shared" si="711"/>
        <v>-0.1676476044319275</v>
      </c>
      <c r="BG465" s="367">
        <f t="shared" si="711"/>
        <v>-0.155389252676437</v>
      </c>
      <c r="BH465" s="367">
        <f t="shared" si="711"/>
        <v>-0.11835490979203955</v>
      </c>
      <c r="BI465" s="368">
        <f t="shared" si="711"/>
        <v>-0.15131009656986627</v>
      </c>
      <c r="BJ465" s="367">
        <f t="shared" si="711"/>
        <v>-8.1996967820462396E-3</v>
      </c>
      <c r="BK465" s="367">
        <f t="shared" ref="BK465:BN467" si="712">(BK235/BF235)-1</f>
        <v>8.7324742685794821E-3</v>
      </c>
      <c r="BL465" s="367">
        <f t="shared" si="712"/>
        <v>1.7249159077856957E-2</v>
      </c>
      <c r="BM465" s="367">
        <f t="shared" si="712"/>
        <v>4.9655360943510196E-2</v>
      </c>
      <c r="BN465" s="368">
        <f t="shared" si="712"/>
        <v>1.7491180488998559E-2</v>
      </c>
      <c r="BO465" s="1117">
        <f t="shared" ref="BO465:BS467" si="713">(BO235/BJ235)-1</f>
        <v>4.7451934462936274E-2</v>
      </c>
      <c r="BP465" s="1117">
        <f t="shared" si="713"/>
        <v>8.5584590354912171E-2</v>
      </c>
      <c r="BQ465" s="1117">
        <f t="shared" si="713"/>
        <v>4.6777022803798696E-2</v>
      </c>
      <c r="BR465" s="1117">
        <f t="shared" si="713"/>
        <v>7.1601309621251774E-2</v>
      </c>
      <c r="BS465" s="368">
        <f t="shared" si="713"/>
        <v>6.2704484761031853E-2</v>
      </c>
      <c r="BT465" s="367">
        <f>(BT235/BO235)-1</f>
        <v>7.467472405500386E-2</v>
      </c>
      <c r="BU465" s="367">
        <f t="shared" ref="BU465:BX467" si="714">(BU235/BP235)-1</f>
        <v>7.761619301361744E-2</v>
      </c>
      <c r="BV465" s="367">
        <f t="shared" si="714"/>
        <v>8.983569928925017E-2</v>
      </c>
      <c r="BW465" s="367">
        <f t="shared" si="714"/>
        <v>6.9490495616699732E-2</v>
      </c>
      <c r="BX465" s="368">
        <f t="shared" si="714"/>
        <v>7.8330237338638753E-2</v>
      </c>
      <c r="BY465" s="1117">
        <f t="shared" ref="BY465:CC467" si="715">(BY235/BT235)-1</f>
        <v>9.0199678677989503E-2</v>
      </c>
      <c r="BZ465" s="1117">
        <f t="shared" si="715"/>
        <v>3.3130161564479677E-2</v>
      </c>
      <c r="CA465" s="1117">
        <f t="shared" si="715"/>
        <v>7.1001396228415725E-2</v>
      </c>
      <c r="CB465" s="1117">
        <f t="shared" si="715"/>
        <v>1.372321776392682E-2</v>
      </c>
      <c r="CC465" s="368">
        <f t="shared" si="715"/>
        <v>5.031300827226759E-2</v>
      </c>
      <c r="CD465" s="368">
        <f t="shared" ref="CD465:CH467" si="716">(CD235/CC235)-1</f>
        <v>2.3714695309228873E-2</v>
      </c>
      <c r="CE465" s="368">
        <f t="shared" si="716"/>
        <v>3.7491432165288829E-2</v>
      </c>
      <c r="CF465" s="368">
        <f t="shared" si="716"/>
        <v>3.6283100508350596E-2</v>
      </c>
      <c r="CG465" s="368">
        <f t="shared" si="716"/>
        <v>2.9420202118452865E-2</v>
      </c>
      <c r="CH465" s="368">
        <f t="shared" si="716"/>
        <v>3.3189023270602913E-2</v>
      </c>
    </row>
    <row r="466" spans="1:86">
      <c r="A466" s="9"/>
      <c r="B466" s="9"/>
      <c r="C466" s="9"/>
      <c r="D466" s="9"/>
      <c r="E466" s="9"/>
      <c r="F466" s="9"/>
      <c r="G466" s="9"/>
      <c r="H466" s="257" t="s">
        <v>231</v>
      </c>
      <c r="I466" s="257"/>
      <c r="L466" s="336">
        <v>-2.746731336988617E-2</v>
      </c>
      <c r="M466" s="336">
        <v>-1.8770554009613027E-2</v>
      </c>
      <c r="N466" s="336">
        <v>5.3485576923077094E-2</v>
      </c>
      <c r="O466" s="336">
        <v>6.1421810594880721E-2</v>
      </c>
      <c r="P466" s="343">
        <v>1.737043895568724E-2</v>
      </c>
      <c r="Q466" s="325">
        <f t="shared" si="705"/>
        <v>0.10343145226866146</v>
      </c>
      <c r="R466" s="325">
        <f t="shared" si="705"/>
        <v>8.1571620088687125E-2</v>
      </c>
      <c r="S466" s="325">
        <f t="shared" si="705"/>
        <v>9.2438935850230886E-2</v>
      </c>
      <c r="T466" s="325">
        <f t="shared" si="705"/>
        <v>0.13122063476843415</v>
      </c>
      <c r="U466" s="343">
        <f>(U236/P236)-1</f>
        <v>0.10225728715358806</v>
      </c>
      <c r="V466" s="325">
        <f t="shared" si="706"/>
        <v>0.13534758044706452</v>
      </c>
      <c r="W466" s="325">
        <f t="shared" si="706"/>
        <v>0.19360221205186878</v>
      </c>
      <c r="X466" s="325">
        <f t="shared" si="706"/>
        <v>0.1759986708124659</v>
      </c>
      <c r="Y466" s="325">
        <f t="shared" si="706"/>
        <v>0.20953591862682752</v>
      </c>
      <c r="Z466" s="343">
        <f>(Z236/U236)-1</f>
        <v>0.17987242925172819</v>
      </c>
      <c r="AA466" s="325">
        <f t="shared" si="707"/>
        <v>0.13786239723063609</v>
      </c>
      <c r="AB466" s="325">
        <f t="shared" si="707"/>
        <v>0.10328713504014075</v>
      </c>
      <c r="AC466" s="325">
        <f t="shared" si="707"/>
        <v>0.150930448472127</v>
      </c>
      <c r="AD466" s="325">
        <f t="shared" si="707"/>
        <v>4.4710746697501857E-2</v>
      </c>
      <c r="AE466" s="343">
        <f>(AE236/Z236)-1</f>
        <v>0.10631880858277731</v>
      </c>
      <c r="AF466" s="325">
        <f t="shared" si="708"/>
        <v>9.2029205962883998E-2</v>
      </c>
      <c r="AG466" s="325">
        <f t="shared" si="708"/>
        <v>9.1427433660355328E-2</v>
      </c>
      <c r="AH466" s="325">
        <f t="shared" si="708"/>
        <v>0.10343013468013473</v>
      </c>
      <c r="AI466" s="325">
        <f t="shared" si="708"/>
        <v>9.3946000335401569E-2</v>
      </c>
      <c r="AJ466" s="343">
        <f>(AJ236/AE236)-1</f>
        <v>9.5286246280491094E-2</v>
      </c>
      <c r="AK466" s="325">
        <f t="shared" si="709"/>
        <v>5.6484189998607048E-2</v>
      </c>
      <c r="AL466" s="325">
        <f t="shared" si="709"/>
        <v>8.1911206195996566E-2</v>
      </c>
      <c r="AM466" s="325">
        <f t="shared" si="709"/>
        <v>1.3667715584375628E-3</v>
      </c>
      <c r="AN466" s="325">
        <f t="shared" si="709"/>
        <v>4.8589649251900902E-2</v>
      </c>
      <c r="AO466" s="357">
        <f>(AO236/AJ236)-1</f>
        <v>4.6520499587202169E-2</v>
      </c>
      <c r="AP466" s="369">
        <f>(AP236/AK236)-1</f>
        <v>1.3942909881996313E-2</v>
      </c>
      <c r="AQ466" s="369">
        <f t="shared" si="710"/>
        <v>2.5936599423631135E-2</v>
      </c>
      <c r="AR466" s="369">
        <f t="shared" si="710"/>
        <v>3.9074403250380696E-2</v>
      </c>
      <c r="AS466" s="369">
        <f t="shared" si="710"/>
        <v>-4.0607237257608064E-2</v>
      </c>
      <c r="AT466" s="357">
        <f t="shared" si="710"/>
        <v>8.6366632260952425E-3</v>
      </c>
      <c r="AU466" s="369">
        <f t="shared" si="710"/>
        <v>2.8607652547054663E-3</v>
      </c>
      <c r="AV466" s="369">
        <f t="shared" si="710"/>
        <v>-9.9838632560363516E-2</v>
      </c>
      <c r="AW466" s="369">
        <f t="shared" si="710"/>
        <v>-8.7765388727661597E-2</v>
      </c>
      <c r="AX466" s="369">
        <f t="shared" si="710"/>
        <v>-1.5695477264415447E-2</v>
      </c>
      <c r="AY466" s="344">
        <f t="shared" si="710"/>
        <v>-5.1174367351971228E-2</v>
      </c>
      <c r="AZ466" s="369">
        <f t="shared" si="710"/>
        <v>1.6823884080521267E-2</v>
      </c>
      <c r="BA466" s="369">
        <f t="shared" si="711"/>
        <v>0.12780931514125426</v>
      </c>
      <c r="BB466" s="369">
        <f t="shared" si="711"/>
        <v>0.10906838122027995</v>
      </c>
      <c r="BC466" s="369">
        <f t="shared" si="711"/>
        <v>-5.7652413536860903E-2</v>
      </c>
      <c r="BD466" s="344">
        <f t="shared" si="711"/>
        <v>4.6828174870666261E-2</v>
      </c>
      <c r="BE466" s="369">
        <f t="shared" si="711"/>
        <v>-0.33553302728895684</v>
      </c>
      <c r="BF466" s="369">
        <f t="shared" si="711"/>
        <v>-0.29959085155859067</v>
      </c>
      <c r="BG466" s="369">
        <f t="shared" si="711"/>
        <v>-0.3303541773604276</v>
      </c>
      <c r="BH466" s="369">
        <f t="shared" si="711"/>
        <v>-0.19415147034664038</v>
      </c>
      <c r="BI466" s="344">
        <f t="shared" si="711"/>
        <v>-0.29135666462369192</v>
      </c>
      <c r="BJ466" s="369">
        <f t="shared" si="711"/>
        <v>5.4310799788897857E-2</v>
      </c>
      <c r="BK466" s="341">
        <f t="shared" si="712"/>
        <v>6.2324017650767116E-2</v>
      </c>
      <c r="BL466" s="341">
        <f t="shared" si="712"/>
        <v>0.14424204166290933</v>
      </c>
      <c r="BM466" s="341">
        <f t="shared" si="712"/>
        <v>0.1500448503628804</v>
      </c>
      <c r="BN466" s="344">
        <f t="shared" si="712"/>
        <v>0.10393904228065964</v>
      </c>
      <c r="BO466" s="1114">
        <f t="shared" ref="BO466:BR467" si="717">(BO236/BJ236)-1</f>
        <v>0.16295790671217292</v>
      </c>
      <c r="BP466" s="1114">
        <f t="shared" si="717"/>
        <v>0.14324709233325428</v>
      </c>
      <c r="BQ466" s="1114">
        <f t="shared" si="717"/>
        <v>0.11817787760570608</v>
      </c>
      <c r="BR466" s="1114">
        <f t="shared" si="717"/>
        <v>0.14270013472310827</v>
      </c>
      <c r="BS466" s="344">
        <f t="shared" si="713"/>
        <v>0.13994010075766572</v>
      </c>
      <c r="BT466" s="341">
        <f>(BT236/BO236)-1</f>
        <v>0.14787134136797619</v>
      </c>
      <c r="BU466" s="341">
        <f t="shared" ref="BU466:BW467" si="718">(BU236/BP236)-1</f>
        <v>0.1501782068583688</v>
      </c>
      <c r="BV466" s="341">
        <f t="shared" si="718"/>
        <v>9.398787707922196E-2</v>
      </c>
      <c r="BW466" s="341">
        <f t="shared" si="718"/>
        <v>6.2114113741429167E-2</v>
      </c>
      <c r="BX466" s="344">
        <f t="shared" si="714"/>
        <v>0.11226913273073702</v>
      </c>
      <c r="BY466" s="1114">
        <f t="shared" ref="BY466:CB467" si="719">(BY236/BT236)-1</f>
        <v>7.5404806545082526E-2</v>
      </c>
      <c r="BZ466" s="1114">
        <f t="shared" si="719"/>
        <v>2.4337675622010169E-2</v>
      </c>
      <c r="CA466" s="1114">
        <f t="shared" si="719"/>
        <v>9.8824533711303619E-2</v>
      </c>
      <c r="CB466" s="1114">
        <f t="shared" si="719"/>
        <v>8.4141033505682472E-3</v>
      </c>
      <c r="CC466" s="344">
        <f t="shared" si="715"/>
        <v>4.9860854738291049E-2</v>
      </c>
      <c r="CD466" s="344">
        <f t="shared" si="716"/>
        <v>2.1737022581405085E-2</v>
      </c>
      <c r="CE466" s="344">
        <f t="shared" si="716"/>
        <v>6.0083562737840213E-2</v>
      </c>
      <c r="CF466" s="344">
        <f t="shared" si="716"/>
        <v>5.2293363861317443E-2</v>
      </c>
      <c r="CG466" s="344">
        <f t="shared" si="716"/>
        <v>2.3495910906079942E-2</v>
      </c>
      <c r="CH466" s="344">
        <f t="shared" si="716"/>
        <v>2.8890101963130688E-2</v>
      </c>
    </row>
    <row r="467" spans="1:86">
      <c r="A467" s="9"/>
      <c r="B467" s="9"/>
      <c r="C467" s="9"/>
      <c r="D467" s="9"/>
      <c r="E467" s="9"/>
      <c r="F467" s="9"/>
      <c r="G467" s="9"/>
      <c r="H467" s="671" t="s">
        <v>232</v>
      </c>
      <c r="I467" s="671"/>
      <c r="J467" s="670"/>
      <c r="K467" s="670"/>
      <c r="L467" s="674">
        <v>0.11661374231470822</v>
      </c>
      <c r="M467" s="674">
        <v>9.3924050632911316E-2</v>
      </c>
      <c r="N467" s="674">
        <v>0.15371353699744894</v>
      </c>
      <c r="O467" s="674">
        <v>6.7881386209360128E-2</v>
      </c>
      <c r="P467" s="675">
        <v>0.10629119813881371</v>
      </c>
      <c r="Q467" s="674">
        <f t="shared" si="705"/>
        <v>1.6094875052943713E-2</v>
      </c>
      <c r="R467" s="674">
        <f t="shared" si="705"/>
        <v>2.3779217773663541E-2</v>
      </c>
      <c r="S467" s="674">
        <f t="shared" si="705"/>
        <v>5.0508069336521189E-2</v>
      </c>
      <c r="T467" s="674">
        <f t="shared" si="705"/>
        <v>5.1522248243559554E-2</v>
      </c>
      <c r="U467" s="675">
        <f>(U237/P237)-1</f>
        <v>3.5721066082512021E-2</v>
      </c>
      <c r="V467" s="674">
        <f t="shared" si="706"/>
        <v>0.1404751979991663</v>
      </c>
      <c r="W467" s="674">
        <f t="shared" si="706"/>
        <v>0.20214749929358566</v>
      </c>
      <c r="X467" s="674">
        <f t="shared" si="706"/>
        <v>0.20028449502133716</v>
      </c>
      <c r="Y467" s="674">
        <f t="shared" si="706"/>
        <v>0.23867854491462492</v>
      </c>
      <c r="Z467" s="675">
        <f>(Z237/U237)-1</f>
        <v>0.19679643547045278</v>
      </c>
      <c r="AA467" s="674">
        <f t="shared" si="707"/>
        <v>0.19120718462823705</v>
      </c>
      <c r="AB467" s="674">
        <f t="shared" si="707"/>
        <v>0.16994170740880032</v>
      </c>
      <c r="AC467" s="674">
        <f t="shared" si="707"/>
        <v>0.16496800189618388</v>
      </c>
      <c r="AD467" s="674">
        <f t="shared" si="707"/>
        <v>-2.3845198852690319E-2</v>
      </c>
      <c r="AE467" s="675">
        <f>(AE237/Z237)-1</f>
        <v>0.12017248285774884</v>
      </c>
      <c r="AF467" s="674">
        <f t="shared" si="708"/>
        <v>-4.6681862014552267E-2</v>
      </c>
      <c r="AG467" s="674">
        <f t="shared" si="708"/>
        <v>-8.4759111182545088E-2</v>
      </c>
      <c r="AH467" s="674">
        <f t="shared" si="708"/>
        <v>-1.684638860630705E-2</v>
      </c>
      <c r="AI467" s="674">
        <f t="shared" si="708"/>
        <v>0.17230944653977698</v>
      </c>
      <c r="AJ467" s="675">
        <f>(AJ237/AE237)-1</f>
        <v>3.5823218830857151E-3</v>
      </c>
      <c r="AK467" s="674">
        <f t="shared" si="709"/>
        <v>0.12722424019495149</v>
      </c>
      <c r="AL467" s="674">
        <f t="shared" si="709"/>
        <v>9.1818277606069199E-2</v>
      </c>
      <c r="AM467" s="674">
        <f t="shared" si="709"/>
        <v>3.6587889574106969E-2</v>
      </c>
      <c r="AN467" s="674">
        <f t="shared" si="709"/>
        <v>3.512775429276882E-2</v>
      </c>
      <c r="AO467" s="860">
        <f>(AO237/AJ237)-1</f>
        <v>7.0021987327418378E-2</v>
      </c>
      <c r="AP467" s="859">
        <f>(AP237/AK237)-1</f>
        <v>0.1270598792625226</v>
      </c>
      <c r="AQ467" s="859">
        <f t="shared" si="710"/>
        <v>0.16876432506333172</v>
      </c>
      <c r="AR467" s="859">
        <f t="shared" si="710"/>
        <v>0.1477340786584147</v>
      </c>
      <c r="AS467" s="859">
        <f t="shared" si="710"/>
        <v>-6.5052403324905583E-4</v>
      </c>
      <c r="AT467" s="860">
        <f t="shared" si="710"/>
        <v>0.10767874632713048</v>
      </c>
      <c r="AU467" s="859">
        <f t="shared" si="710"/>
        <v>-8.9030436828200332E-2</v>
      </c>
      <c r="AV467" s="859">
        <f t="shared" si="710"/>
        <v>-0.10947498795843935</v>
      </c>
      <c r="AW467" s="859">
        <f t="shared" si="710"/>
        <v>-0.14520786223691062</v>
      </c>
      <c r="AX467" s="859">
        <f t="shared" si="710"/>
        <v>-1.3597569796036435E-2</v>
      </c>
      <c r="AY467" s="759">
        <f t="shared" si="710"/>
        <v>-9.0119723415919561E-2</v>
      </c>
      <c r="AZ467" s="859">
        <f t="shared" si="710"/>
        <v>-2.0738151046839515E-2</v>
      </c>
      <c r="BA467" s="859">
        <f t="shared" si="711"/>
        <v>-2.1634986864472405E-2</v>
      </c>
      <c r="BB467" s="859">
        <f t="shared" si="711"/>
        <v>1.4651418338693656E-3</v>
      </c>
      <c r="BC467" s="859">
        <f t="shared" si="711"/>
        <v>-8.0400351957764959E-2</v>
      </c>
      <c r="BD467" s="759">
        <f t="shared" si="711"/>
        <v>-6.5207673320246684E-3</v>
      </c>
      <c r="BE467" s="859">
        <f t="shared" si="711"/>
        <v>5.4322690575682619E-2</v>
      </c>
      <c r="BF467" s="859">
        <f t="shared" si="711"/>
        <v>9.3587111040911442E-3</v>
      </c>
      <c r="BG467" s="859">
        <f t="shared" si="711"/>
        <v>8.0099158775958079E-2</v>
      </c>
      <c r="BH467" s="859">
        <f t="shared" si="711"/>
        <v>6.3947693657058435E-2</v>
      </c>
      <c r="BI467" s="759">
        <f t="shared" si="711"/>
        <v>2.5266308653930647E-2</v>
      </c>
      <c r="BJ467" s="859">
        <f t="shared" si="711"/>
        <v>-5.833461597660472E-2</v>
      </c>
      <c r="BK467" s="859">
        <f t="shared" si="712"/>
        <v>-4.1156449278197171E-2</v>
      </c>
      <c r="BL467" s="859">
        <f t="shared" si="712"/>
        <v>-8.8719993979983536E-2</v>
      </c>
      <c r="BM467" s="859">
        <f t="shared" si="712"/>
        <v>-4.2605013677071146E-2</v>
      </c>
      <c r="BN467" s="759">
        <f t="shared" si="712"/>
        <v>-5.7845326006067954E-2</v>
      </c>
      <c r="BO467" s="1118">
        <f t="shared" si="717"/>
        <v>-5.626838836220982E-2</v>
      </c>
      <c r="BP467" s="1118">
        <f t="shared" si="717"/>
        <v>2.611285650169326E-2</v>
      </c>
      <c r="BQ467" s="1118">
        <f t="shared" si="717"/>
        <v>-2.8034682080924855E-2</v>
      </c>
      <c r="BR467" s="1118">
        <f t="shared" si="717"/>
        <v>-6.8884540117416515E-3</v>
      </c>
      <c r="BS467" s="759">
        <f t="shared" si="713"/>
        <v>-1.6161861652033593E-2</v>
      </c>
      <c r="BT467" s="859">
        <f>(BT237/BO237)-1</f>
        <v>-6.365014072309938E-3</v>
      </c>
      <c r="BU467" s="859">
        <f t="shared" si="718"/>
        <v>-5.8053998170900512E-3</v>
      </c>
      <c r="BV467" s="859">
        <f t="shared" si="718"/>
        <v>8.478824179091804E-2</v>
      </c>
      <c r="BW467" s="859">
        <f t="shared" si="718"/>
        <v>7.8860250650271801E-2</v>
      </c>
      <c r="BX467" s="759">
        <f t="shared" si="714"/>
        <v>3.8176110339148472E-2</v>
      </c>
      <c r="BY467" s="1118">
        <f t="shared" si="719"/>
        <v>0.10915983963744091</v>
      </c>
      <c r="BZ467" s="1118">
        <f t="shared" si="719"/>
        <v>4.4860216773986883E-2</v>
      </c>
      <c r="CA467" s="1118">
        <f t="shared" si="719"/>
        <v>3.722128676038694E-2</v>
      </c>
      <c r="CB467" s="1118">
        <f t="shared" si="719"/>
        <v>2.036237442922384E-2</v>
      </c>
      <c r="CC467" s="759">
        <f t="shared" si="715"/>
        <v>5.0886143718273935E-2</v>
      </c>
      <c r="CD467" s="759">
        <f t="shared" si="716"/>
        <v>2.6219084615749066E-2</v>
      </c>
      <c r="CE467" s="759">
        <f t="shared" si="716"/>
        <v>9.007256935174901E-3</v>
      </c>
      <c r="CF467" s="759">
        <f t="shared" si="716"/>
        <v>1.5075538480907147E-2</v>
      </c>
      <c r="CG467" s="759">
        <f t="shared" si="716"/>
        <v>3.7555381582392355E-2</v>
      </c>
      <c r="CH467" s="759">
        <f t="shared" si="716"/>
        <v>3.901226823130699E-2</v>
      </c>
    </row>
    <row r="468" spans="1:86" s="14" customFormat="1" ht="6.75" customHeight="1">
      <c r="AO468" s="757"/>
      <c r="AP468" s="757"/>
      <c r="AQ468" s="757"/>
      <c r="AR468" s="757"/>
      <c r="AS468" s="757"/>
      <c r="AT468" s="757"/>
      <c r="AU468" s="757"/>
      <c r="AV468" s="757"/>
      <c r="AW468" s="757"/>
      <c r="AX468" s="757"/>
      <c r="AY468" s="757"/>
      <c r="AZ468" s="757"/>
      <c r="BA468" s="757"/>
      <c r="BB468" s="757"/>
      <c r="BC468" s="757"/>
      <c r="BD468" s="757"/>
      <c r="BE468" s="757"/>
      <c r="BF468" s="757"/>
      <c r="BG468" s="757"/>
      <c r="BH468" s="757"/>
      <c r="BI468" s="757"/>
      <c r="BJ468" s="757"/>
      <c r="BK468" s="757"/>
      <c r="BL468" s="757"/>
      <c r="BM468" s="757"/>
      <c r="BN468" s="757"/>
      <c r="BO468" s="757"/>
      <c r="BP468" s="757"/>
      <c r="BQ468" s="757"/>
      <c r="BR468" s="757"/>
      <c r="BS468" s="757"/>
      <c r="BT468" s="757"/>
      <c r="BU468" s="757"/>
      <c r="BV468" s="757"/>
      <c r="BW468" s="757"/>
      <c r="BX468" s="757"/>
      <c r="BY468" s="757"/>
      <c r="BZ468" s="757"/>
      <c r="CA468" s="757"/>
      <c r="CB468" s="757"/>
      <c r="CC468" s="757"/>
      <c r="CD468" s="757"/>
      <c r="CE468" s="757"/>
      <c r="CF468" s="757"/>
      <c r="CG468" s="757"/>
      <c r="CH468" s="757"/>
    </row>
    <row r="470" spans="1:86" ht="13.5" thickBot="1">
      <c r="H470" s="318" t="s">
        <v>968</v>
      </c>
      <c r="I470" s="319"/>
      <c r="J470" s="319"/>
      <c r="K470" s="41"/>
      <c r="L470" s="43" t="str">
        <f>"1Q:" &amp; RIGHT(YEAR(L$4),2) &amp; IF(L$4&lt;=LatestRpQ, "A", "E")</f>
        <v>1Q:05A</v>
      </c>
      <c r="M470" s="43" t="str">
        <f>"2Q:" &amp; RIGHT(YEAR(M$4),2) &amp; IF(M$4&lt;=LatestRpQ, "A", "E")</f>
        <v>2Q:05A</v>
      </c>
      <c r="N470" s="43" t="str">
        <f>"3Q:" &amp; RIGHT(YEAR(N$4),2) &amp; IF(N$4&lt;=LatestRpQ, "A", "E")</f>
        <v>3Q:05A</v>
      </c>
      <c r="O470" s="43" t="str">
        <f>"4Q:" &amp; RIGHT(YEAR(O$4),2) &amp; IF(O$4&lt;=LatestRpQ, "A", "E")</f>
        <v>4Q:05A</v>
      </c>
      <c r="P470" s="44" t="str">
        <f>YEAR(P$4) &amp; IF(P$4&lt;=LatestRpQ, "A", "E")</f>
        <v>2005A</v>
      </c>
      <c r="Q470" s="43" t="str">
        <f>"1Q:" &amp; RIGHT(YEAR(Q$4),2) &amp; IF(Q$4&lt;=LatestRpQ, "A", "E")</f>
        <v>1Q:06A</v>
      </c>
      <c r="R470" s="43" t="str">
        <f>"2Q:" &amp; RIGHT(YEAR(R$4),2) &amp; IF(R$4&lt;=LatestRpQ, "A", "E")</f>
        <v>2Q:06A</v>
      </c>
      <c r="S470" s="43" t="str">
        <f>"3Q:" &amp; RIGHT(YEAR(S$4),2) &amp; IF(S$4&lt;=LatestRpQ, "A", "E")</f>
        <v>3Q:06A</v>
      </c>
      <c r="T470" s="43" t="str">
        <f>"4Q:" &amp; RIGHT(YEAR(T$4),2) &amp; IF(T$4&lt;=LatestRpQ, "A", "E")</f>
        <v>4Q:06A</v>
      </c>
      <c r="U470" s="44" t="str">
        <f>YEAR(U$4) &amp; IF(U$4&lt;=LatestRpQ, "A", "E")</f>
        <v>2006A</v>
      </c>
      <c r="V470" s="43" t="str">
        <f>"1Q:" &amp; RIGHT(YEAR(V$4),2) &amp; IF(V$4&lt;=LatestRpQ, "A", "E")</f>
        <v>1Q:07A</v>
      </c>
      <c r="W470" s="43" t="str">
        <f>"2Q:" &amp; RIGHT(YEAR(W$4),2) &amp; IF(W$4&lt;=LatestRpQ, "A", "E")</f>
        <v>2Q:07A</v>
      </c>
      <c r="X470" s="43" t="str">
        <f>"3Q:" &amp; RIGHT(YEAR(X$4),2) &amp; IF(X$4&lt;=LatestRpQ, "A", "E")</f>
        <v>3Q:07A</v>
      </c>
      <c r="Y470" s="43" t="str">
        <f>"4Q:" &amp; RIGHT(YEAR(Y$4),2) &amp; IF(Y$4&lt;=LatestRpQ, "A", "E")</f>
        <v>4Q:07A</v>
      </c>
      <c r="Z470" s="44" t="str">
        <f>YEAR(Z$4) &amp; IF(Z$4&lt;=LatestRpQ, "A", "E")</f>
        <v>2007A</v>
      </c>
      <c r="AA470" s="43" t="str">
        <f>"1Q:" &amp; RIGHT(YEAR(AA$4),2) &amp; IF(AA$4&lt;=LatestRpQ, "A", "E")</f>
        <v>1Q:08A</v>
      </c>
      <c r="AB470" s="43" t="str">
        <f>"2Q:" &amp; RIGHT(YEAR(AB$4),2) &amp; IF(AB$4&lt;=LatestRpQ, "A", "E")</f>
        <v>2Q:08A</v>
      </c>
      <c r="AC470" s="43" t="str">
        <f>"3Q:" &amp; RIGHT(YEAR(AC$4),2) &amp; IF(AC$4&lt;=LatestRpQ, "A", "E")</f>
        <v>3Q:08A</v>
      </c>
      <c r="AD470" s="43" t="str">
        <f>"4Q:" &amp; RIGHT(YEAR(AD$4),2) &amp; IF(AD$4&lt;=LatestRpQ, "A", "E")</f>
        <v>4Q:08A</v>
      </c>
      <c r="AE470" s="44" t="str">
        <f>YEAR(AE$4) &amp; IF(AE$4&lt;=LatestRpQ, "A", "E")</f>
        <v>2008A</v>
      </c>
      <c r="AF470" s="43" t="str">
        <f>"1Q:" &amp; RIGHT(YEAR(AF$4),2) &amp; IF(AF$4&lt;=LatestRpQ, "A", "E")</f>
        <v>1Q:09A</v>
      </c>
      <c r="AG470" s="43" t="str">
        <f>"2Q:" &amp; RIGHT(YEAR(AG$4),2) &amp; IF(AG$4&lt;=LatestRpQ, "A", "E")</f>
        <v>2Q:09A</v>
      </c>
      <c r="AH470" s="43" t="str">
        <f>"3Q:" &amp; RIGHT(YEAR(AH$4),2) &amp; IF(AH$4&lt;=LatestRpQ, "A", "E")</f>
        <v>3Q:09A</v>
      </c>
      <c r="AI470" s="43" t="str">
        <f>"4Q:" &amp; RIGHT(YEAR(AI$4),2) &amp; IF(AI$4&lt;=LatestRpQ, "A", "E")</f>
        <v>4Q:09A</v>
      </c>
      <c r="AJ470" s="44" t="str">
        <f>YEAR(AJ$4) &amp; IF(AJ$4&lt;=LatestRpQ, "A", "E")</f>
        <v>2009A</v>
      </c>
      <c r="AK470" s="43" t="str">
        <f>"1Q:" &amp; RIGHT(YEAR(AK$4),2) &amp; IF(AK$4&lt;=LatestRpQ, "A", "E")</f>
        <v>1Q:10A</v>
      </c>
      <c r="AL470" s="43" t="str">
        <f>"2Q:" &amp; RIGHT(YEAR(AL$4),2) &amp; IF(AL$4&lt;=LatestRpQ, "A", "E")</f>
        <v>2Q:10A</v>
      </c>
      <c r="AM470" s="43" t="str">
        <f>"3Q:" &amp; RIGHT(YEAR(AM$4),2) &amp; IF(AM$4&lt;=LatestRpQ, "A", "E")</f>
        <v>3Q:10A</v>
      </c>
      <c r="AN470" s="43" t="str">
        <f>"4Q:" &amp; RIGHT(YEAR(AN$4),2) &amp; IF(AN$4&lt;=LatestRpQ, "A", "E")</f>
        <v>4Q:10A</v>
      </c>
      <c r="AO470" s="44" t="str">
        <f>YEAR(AO$4) &amp; IF(AO$4&lt;=LatestRpQ, "A", "E")</f>
        <v>2010A</v>
      </c>
      <c r="AP470" s="43" t="str">
        <f>"1Q:" &amp; RIGHT(YEAR(AP$4),2) &amp; IF(AP$4&lt;=LatestRpQ, "A", "E")</f>
        <v>1Q:11A</v>
      </c>
      <c r="AQ470" s="43" t="str">
        <f>"2Q:" &amp; RIGHT(YEAR(AQ$4),2) &amp; IF(AQ$4&lt;=LatestRpQ, "A", "E")</f>
        <v>2Q:11A</v>
      </c>
      <c r="AR470" s="43" t="str">
        <f>"3Q:" &amp; RIGHT(YEAR(AR$4),2) &amp; IF(AR$4&lt;=LatestRpQ, "A", "E")</f>
        <v>3Q:11A</v>
      </c>
      <c r="AS470" s="43" t="str">
        <f>"4Q:" &amp; RIGHT(YEAR(AS$4),2) &amp; IF(AS$4&lt;=LatestRpQ, "A", "E")</f>
        <v>4Q:11A</v>
      </c>
      <c r="AT470" s="44" t="str">
        <f>YEAR(AT$4) &amp; IF(AT$4&lt;=LatestRpQ, "A", "E")</f>
        <v>2011A</v>
      </c>
      <c r="AU470" s="43" t="str">
        <f>"1Q:" &amp; RIGHT(YEAR(AU$4),2) &amp; IF(AU$4&lt;=LatestRpQ, "A", "E")</f>
        <v>1Q:12A</v>
      </c>
      <c r="AV470" s="43" t="str">
        <f>"2Q:" &amp; RIGHT(YEAR(AV$4),2) &amp; IF(AV$4&lt;=LatestRpQ, "A", "E")</f>
        <v>2Q:12A</v>
      </c>
      <c r="AW470" s="43" t="str">
        <f>"3Q:" &amp; RIGHT(YEAR(AW$4),2) &amp; IF(AW$4&lt;=LatestRpQ, "A", "E")</f>
        <v>3Q:12A</v>
      </c>
      <c r="AX470" s="43" t="str">
        <f>"4Q:" &amp; RIGHT(YEAR(AX$4),2) &amp; IF(AX$4&lt;=LatestRpQ, "A", "E")</f>
        <v>4Q:12A</v>
      </c>
      <c r="AY470" s="44" t="str">
        <f>YEAR(AY$4) &amp; IF(AY$4&lt;=LatestRpQ, "A", "E")</f>
        <v>2012A</v>
      </c>
      <c r="AZ470" s="43" t="str">
        <f>"1Q:" &amp; RIGHT(YEAR(AZ$4),2) &amp; IF(AZ$4&lt;=LatestRpQ, "A", "E")</f>
        <v>1Q:13A</v>
      </c>
      <c r="BA470" s="43" t="str">
        <f>"2Q:" &amp; RIGHT(YEAR(BA$4),2) &amp; IF(BA$4&lt;=LatestRpQ, "A", "E")</f>
        <v>2Q:13A</v>
      </c>
      <c r="BB470" s="43" t="str">
        <f>"3Q:" &amp; RIGHT(YEAR(BB$4),2) &amp; IF(BB$4&lt;=LatestRpQ, "A", "E")</f>
        <v>3Q:13A</v>
      </c>
      <c r="BC470" s="43" t="str">
        <f>"4Q:" &amp; RIGHT(YEAR(BC$4),2) &amp; IF(BC$4&lt;=LatestRpQ, "A", "E")</f>
        <v>4Q:13A</v>
      </c>
      <c r="BD470" s="44" t="str">
        <f>YEAR(BD$4) &amp; IF(BD$4&lt;=LatestRpQ, "A", "E")</f>
        <v>2013A</v>
      </c>
      <c r="BE470" s="43" t="str">
        <f>"1Q:" &amp; RIGHT(YEAR(BE$4),2) &amp; IF(BE$4&lt;=LatestRpQ, "A", "E")</f>
        <v>1Q:14A</v>
      </c>
      <c r="BF470" s="43" t="str">
        <f>"2Q:" &amp; RIGHT(YEAR(BF$4),2) &amp; IF(BF$4&lt;=LatestRpQ, "A", "E")</f>
        <v>2Q:14A</v>
      </c>
      <c r="BG470" s="43" t="str">
        <f>"3Q:" &amp; RIGHT(YEAR(BG$4),2) &amp; IF(BG$4&lt;=LatestRpQ, "A", "E")</f>
        <v>3Q:14A</v>
      </c>
      <c r="BH470" s="43" t="str">
        <f>"4Q:" &amp; RIGHT(YEAR(BH$4),2) &amp; IF(BH$4&lt;=LatestRpQ, "A", "E")</f>
        <v>4Q:14A</v>
      </c>
      <c r="BI470" s="44" t="str">
        <f>YEAR(BI$4) &amp; IF(BI$4&lt;=LatestRpQ, "A", "E")</f>
        <v>2014A</v>
      </c>
      <c r="BJ470" s="43" t="str">
        <f>"1Q:" &amp; RIGHT(YEAR(BJ$4),2) &amp; IF(BJ$4&lt;=LatestRpQ, "A", "E")</f>
        <v>1Q:15A</v>
      </c>
      <c r="BK470" s="43" t="str">
        <f>"2Q:" &amp; RIGHT(YEAR(BK$4),2) &amp; IF(BK$4&lt;=LatestRpQ, "A", "E")</f>
        <v>2Q:15A</v>
      </c>
      <c r="BL470" s="43" t="str">
        <f>"3Q:" &amp; RIGHT(YEAR(BL$4),2) &amp; IF(BL$4&lt;=LatestRpQ, "A", "E")</f>
        <v>3Q:15A</v>
      </c>
      <c r="BM470" s="43" t="str">
        <f>"4Q:" &amp; RIGHT(YEAR(BM$4),2) &amp; IF(BM$4&lt;=LatestRpQ, "A", "E")</f>
        <v>4Q:15A</v>
      </c>
      <c r="BN470" s="44" t="str">
        <f>YEAR(BN$4) &amp; IF(BN$4&lt;=LatestRpQ, "A", "E")</f>
        <v>2015A</v>
      </c>
      <c r="BO470" s="43" t="str">
        <f>"1Q:" &amp; RIGHT(YEAR(BO$4),2) &amp; IF(BO$4&lt;=LatestRpQ, "A", "E")</f>
        <v>1Q:16A</v>
      </c>
      <c r="BP470" s="43" t="str">
        <f>"2Q:" &amp; RIGHT(YEAR(BP$4),2) &amp; IF(BP$4&lt;=LatestRpQ, "A", "E")</f>
        <v>2Q:16A</v>
      </c>
      <c r="BQ470" s="43" t="str">
        <f>"3Q:" &amp; RIGHT(YEAR(BQ$4),2) &amp; IF(BQ$4&lt;=LatestRpQ, "A", "E")</f>
        <v>3Q:16A</v>
      </c>
      <c r="BR470" s="43" t="str">
        <f>"4Q:" &amp; RIGHT(YEAR(BR$4),2) &amp; IF(BR$4&lt;=LatestRpQ, "A", "E")</f>
        <v>4Q:16A</v>
      </c>
      <c r="BS470" s="44" t="str">
        <f>YEAR(BS$4) &amp; IF(BS$4&lt;=LatestRpQ, "A", "E")</f>
        <v>2016A</v>
      </c>
      <c r="BT470" s="43" t="str">
        <f>"1Q:" &amp; RIGHT(YEAR(BT$4),2) &amp; IF(BT$4&lt;=LatestRpQ, "A", "E")</f>
        <v>1Q:17A</v>
      </c>
      <c r="BU470" s="43" t="str">
        <f>"2Q:" &amp; RIGHT(YEAR(BU$4),2) &amp; IF(BU$4&lt;=LatestRpQ, "A", "E")</f>
        <v>2Q:17A</v>
      </c>
      <c r="BV470" s="43" t="str">
        <f>"3Q:" &amp; RIGHT(YEAR(BV$4),2) &amp; IF(BV$4&lt;=LatestRpQ, "A", "E")</f>
        <v>3Q:17A</v>
      </c>
      <c r="BW470" s="43" t="str">
        <f>"4Q:" &amp; RIGHT(YEAR(BW$4),2) &amp; IF(BW$4&lt;=LatestRpQ, "A", "E")</f>
        <v>4Q:17A</v>
      </c>
      <c r="BX470" s="44" t="str">
        <f>YEAR(BX$4) &amp; IF(BX$4&lt;=LatestRpQ, "A", "E")</f>
        <v>2017A</v>
      </c>
      <c r="BY470" s="43" t="str">
        <f>"1Q:" &amp; RIGHT(YEAR(BY$4),2) &amp; IF(BY$4&lt;=LatestRpQ, "A", "E")</f>
        <v>1Q:18A</v>
      </c>
      <c r="BZ470" s="43" t="str">
        <f>"2Q:" &amp; RIGHT(YEAR(BZ$4),2) &amp; IF(BZ$4&lt;=LatestRpQ, "A", "E")</f>
        <v>2Q:18E</v>
      </c>
      <c r="CA470" s="43" t="str">
        <f>"3Q:" &amp; RIGHT(YEAR(CA$4),2) &amp; IF(CA$4&lt;=LatestRpQ, "A", "E")</f>
        <v>3Q:18E</v>
      </c>
      <c r="CB470" s="43" t="str">
        <f>"4Q:" &amp; RIGHT(YEAR(CB$4),2) &amp; IF(CB$4&lt;=LatestRpQ, "A", "E")</f>
        <v>4Q:18E</v>
      </c>
      <c r="CC470" s="44" t="str">
        <f t="shared" ref="CC470:CH470" si="720">YEAR(CC$4) &amp; IF(CC$4&lt;=LatestRpQ, "A", "E")</f>
        <v>2018E</v>
      </c>
      <c r="CD470" s="44" t="str">
        <f t="shared" si="720"/>
        <v>2019E</v>
      </c>
      <c r="CE470" s="44" t="str">
        <f t="shared" si="720"/>
        <v>2020E</v>
      </c>
      <c r="CF470" s="44" t="str">
        <f t="shared" si="720"/>
        <v>2021E</v>
      </c>
      <c r="CG470" s="44" t="str">
        <f t="shared" si="720"/>
        <v>2022E</v>
      </c>
      <c r="CH470" s="44" t="str">
        <f t="shared" si="720"/>
        <v>2023E</v>
      </c>
    </row>
    <row r="471" spans="1:86">
      <c r="H471" s="193" t="s">
        <v>233</v>
      </c>
      <c r="AO471" s="48">
        <f>AO15/AO235</f>
        <v>0.40724854481350375</v>
      </c>
      <c r="AT471" s="48">
        <f>AT15/AT235</f>
        <v>0.40038128021213337</v>
      </c>
      <c r="AY471" s="48">
        <f>AY15/AY235</f>
        <v>0.33553065260382331</v>
      </c>
      <c r="BD471" s="48">
        <f>BD15/BD235</f>
        <v>0.31221660724793182</v>
      </c>
      <c r="BI471" s="48">
        <f>BI15/BI235</f>
        <v>0.18334896714859603</v>
      </c>
      <c r="BN471" s="48">
        <f>BN15/BN235</f>
        <v>0.14707871755174437</v>
      </c>
      <c r="BS471" s="48">
        <f>BS15/BS235</f>
        <v>0.12825433046364484</v>
      </c>
      <c r="BX471" s="48">
        <f>BX15/BX235</f>
        <v>9.4925584567760887E-2</v>
      </c>
      <c r="CC471" s="48">
        <f t="shared" ref="CC471:CH471" si="721">CC15/CC235</f>
        <v>7.4803123875655908E-2</v>
      </c>
      <c r="CD471" s="48">
        <f t="shared" si="721"/>
        <v>6.0187896835133897E-2</v>
      </c>
      <c r="CE471" s="48">
        <f t="shared" si="721"/>
        <v>4.3620965489667034E-2</v>
      </c>
      <c r="CF471" s="48">
        <f t="shared" si="721"/>
        <v>3.310657877102112E-2</v>
      </c>
      <c r="CG471" s="48">
        <f t="shared" si="721"/>
        <v>2.8017968693506902E-2</v>
      </c>
      <c r="CH471" s="48">
        <f t="shared" si="721"/>
        <v>2.3755942348721498E-2</v>
      </c>
    </row>
    <row r="472" spans="1:86">
      <c r="H472" s="193" t="s">
        <v>299</v>
      </c>
      <c r="AO472" s="48">
        <f>AO47/AO235</f>
        <v>0.25451896509285804</v>
      </c>
      <c r="AT472" s="48">
        <f>AT47/AT235</f>
        <v>0.26962604893233305</v>
      </c>
      <c r="AY472" s="48">
        <f>AY47/AY235</f>
        <v>0.30117283759451052</v>
      </c>
      <c r="BD472" s="48">
        <f>BD47/BD235</f>
        <v>0.31603700114222416</v>
      </c>
      <c r="BI472" s="48">
        <f>BI47/BI235</f>
        <v>0.35375415485633882</v>
      </c>
      <c r="BN472" s="48">
        <f>BN47/BN235</f>
        <v>0.35256805302950595</v>
      </c>
      <c r="BS472" s="48">
        <f>BS47/BS235</f>
        <v>0.38108080074681044</v>
      </c>
      <c r="BX472" s="48">
        <f>BX47/BX235</f>
        <v>0.44095297224505497</v>
      </c>
      <c r="CC472" s="48">
        <f t="shared" ref="CC472:CH472" si="722">CC47/CC235</f>
        <v>0.49461103683533897</v>
      </c>
      <c r="CD472" s="48">
        <f t="shared" si="722"/>
        <v>0.51505658759093187</v>
      </c>
      <c r="CE472" s="48">
        <f t="shared" si="722"/>
        <v>0.50452387515603769</v>
      </c>
      <c r="CF472" s="48">
        <f t="shared" si="722"/>
        <v>0.49138490493411929</v>
      </c>
      <c r="CG472" s="48">
        <f t="shared" si="722"/>
        <v>0.47472894804513704</v>
      </c>
      <c r="CH472" s="48">
        <f t="shared" si="722"/>
        <v>0.45249515891635261</v>
      </c>
    </row>
    <row r="473" spans="1:86">
      <c r="H473" s="193" t="s">
        <v>736</v>
      </c>
      <c r="AO473" s="48">
        <f>AO106/AO235</f>
        <v>0.14862576312787962</v>
      </c>
      <c r="AT473" s="48">
        <f>AT106/AT235</f>
        <v>0.1235537292169344</v>
      </c>
      <c r="AY473" s="48">
        <f>AY106/AY235</f>
        <v>0.14517791649891829</v>
      </c>
      <c r="BD473" s="48">
        <f>BD106/BD235</f>
        <v>0.14141947319234363</v>
      </c>
      <c r="BI473" s="48">
        <f>BI106/BI235</f>
        <v>0.17297457125960972</v>
      </c>
      <c r="BN473" s="48">
        <f>BN106/BN235</f>
        <v>0.17585313672734199</v>
      </c>
      <c r="BS473" s="48">
        <f>BS106/BS235</f>
        <v>0.17491112766499137</v>
      </c>
      <c r="BX473" s="48">
        <f>BX106/BX235</f>
        <v>0.16666520925514616</v>
      </c>
      <c r="CC473" s="48">
        <f t="shared" ref="CC473:CH473" si="723">CC106/CC235</f>
        <v>0.17462104751747948</v>
      </c>
      <c r="CD473" s="48">
        <f t="shared" si="723"/>
        <v>0.1866866967131732</v>
      </c>
      <c r="CE473" s="48">
        <f t="shared" si="723"/>
        <v>0.18723751015747464</v>
      </c>
      <c r="CF473" s="48">
        <f t="shared" si="723"/>
        <v>0.17182473174834695</v>
      </c>
      <c r="CG473" s="48">
        <f t="shared" si="723"/>
        <v>0.14519741688940507</v>
      </c>
      <c r="CH473" s="48">
        <f t="shared" si="723"/>
        <v>0.12139406295353963</v>
      </c>
    </row>
    <row r="474" spans="1:86">
      <c r="H474" s="193" t="s">
        <v>739</v>
      </c>
      <c r="AO474" s="48">
        <f>AO137/AO235</f>
        <v>9.38590956522945E-2</v>
      </c>
      <c r="AT474" s="48">
        <f>AT137/AT235</f>
        <v>0.10238156020192204</v>
      </c>
      <c r="AY474" s="48">
        <f>AY137/AY235</f>
        <v>0.11646087075780967</v>
      </c>
      <c r="BD474" s="48">
        <f>BD137/BD235</f>
        <v>0.12647104634661313</v>
      </c>
      <c r="BI474" s="48">
        <f>BI137/BI235</f>
        <v>0.1556720161504109</v>
      </c>
      <c r="BN474" s="48">
        <f>BN137/BN235</f>
        <v>0.15371742648569298</v>
      </c>
      <c r="BS474" s="48">
        <f>BS137/BS235</f>
        <v>0.15206834447577106</v>
      </c>
      <c r="BX474" s="48">
        <f>BX137/BX235</f>
        <v>0.12553997096836253</v>
      </c>
      <c r="CC474" s="48">
        <f t="shared" ref="CC474:CH474" si="724">CC137/CC235</f>
        <v>7.2704743697106278E-2</v>
      </c>
      <c r="CD474" s="48">
        <f t="shared" si="724"/>
        <v>2.8135515472234592E-2</v>
      </c>
      <c r="CE474" s="48">
        <f t="shared" si="724"/>
        <v>2.3062330310332977E-2</v>
      </c>
      <c r="CF474" s="48">
        <f t="shared" si="724"/>
        <v>2.0669627837422221E-2</v>
      </c>
      <c r="CG474" s="48">
        <f t="shared" si="724"/>
        <v>1.9304433490120551E-2</v>
      </c>
      <c r="CH474" s="48">
        <f t="shared" si="724"/>
        <v>1.8481669423105338E-2</v>
      </c>
    </row>
    <row r="475" spans="1:86">
      <c r="H475" s="193" t="s">
        <v>950</v>
      </c>
      <c r="AO475" s="48">
        <f>AO168/AO235</f>
        <v>0</v>
      </c>
      <c r="AT475" s="48">
        <f>AT168/AT235</f>
        <v>0</v>
      </c>
      <c r="AY475" s="48">
        <f>AY168/AY235</f>
        <v>0</v>
      </c>
      <c r="BD475" s="48">
        <f>BD168/BD235</f>
        <v>0</v>
      </c>
      <c r="BI475" s="48">
        <f>BI168/BI235</f>
        <v>0</v>
      </c>
      <c r="BN475" s="48">
        <f>BN168/BN235</f>
        <v>0</v>
      </c>
      <c r="BS475" s="48">
        <f>BS168/BS235</f>
        <v>5.3323401005176737E-3</v>
      </c>
      <c r="BX475" s="48">
        <f>BX168/BX235</f>
        <v>2.6452019097920568E-2</v>
      </c>
      <c r="CC475" s="48">
        <f t="shared" ref="CC475:CH475" si="725">CC168/CC235</f>
        <v>3.9835588033288523E-2</v>
      </c>
      <c r="CD475" s="48">
        <f t="shared" si="725"/>
        <v>5.3303897878634932E-2</v>
      </c>
      <c r="CE475" s="48">
        <f t="shared" si="725"/>
        <v>6.3363839848482956E-2</v>
      </c>
      <c r="CF475" s="48">
        <f t="shared" si="725"/>
        <v>7.0935288568447608E-2</v>
      </c>
      <c r="CG475" s="48">
        <f t="shared" si="725"/>
        <v>7.5464663047675573E-2</v>
      </c>
      <c r="CH475" s="48">
        <f t="shared" si="725"/>
        <v>7.6091723905372111E-2</v>
      </c>
    </row>
    <row r="476" spans="1:86">
      <c r="H476" s="193" t="s">
        <v>285</v>
      </c>
      <c r="AO476" s="48">
        <f>AO178/AO235</f>
        <v>7.1849291560785022E-3</v>
      </c>
      <c r="AT476" s="48">
        <f>AT178/AT235</f>
        <v>6.629169994976653E-3</v>
      </c>
      <c r="AY476" s="48">
        <f>AY178/AY235</f>
        <v>1.1564683033008453E-2</v>
      </c>
      <c r="BD476" s="48">
        <f>BD178/BD235</f>
        <v>1.0790557613097503E-2</v>
      </c>
      <c r="BI476" s="48">
        <f>BI178/BI235</f>
        <v>1.4621015926099637E-2</v>
      </c>
      <c r="BN476" s="48">
        <f>BN178/BN235</f>
        <v>1.1398537980930623E-2</v>
      </c>
      <c r="BS476" s="48">
        <f>BS178/BS235</f>
        <v>9.4529990287691747E-3</v>
      </c>
      <c r="BX476" s="48">
        <f>BX178/BX235</f>
        <v>1.0550201997236748E-2</v>
      </c>
      <c r="CC476" s="48">
        <f t="shared" ref="CC476:CH476" si="726">CC178/CC235</f>
        <v>1.0235889186311126E-2</v>
      </c>
      <c r="CD476" s="48">
        <f t="shared" si="726"/>
        <v>9.4988328013189821E-3</v>
      </c>
      <c r="CE476" s="48">
        <f t="shared" si="726"/>
        <v>8.6977982482417115E-3</v>
      </c>
      <c r="CF476" s="48">
        <f t="shared" si="726"/>
        <v>7.9736013564017782E-3</v>
      </c>
      <c r="CG476" s="48">
        <f t="shared" si="726"/>
        <v>7.3584346537917096E-3</v>
      </c>
      <c r="CH476" s="48">
        <f t="shared" si="726"/>
        <v>6.765957403393006E-3</v>
      </c>
    </row>
    <row r="477" spans="1:86">
      <c r="H477" s="193" t="s">
        <v>144</v>
      </c>
      <c r="AO477" s="48">
        <f>AO201/AO235</f>
        <v>0</v>
      </c>
      <c r="AT477" s="48">
        <f>AT201/AT235</f>
        <v>0</v>
      </c>
      <c r="AY477" s="48">
        <f>AY201/AY235</f>
        <v>0</v>
      </c>
      <c r="BD477" s="48">
        <f>BD201/BD235</f>
        <v>0</v>
      </c>
      <c r="BI477" s="48">
        <f>BI201/BI235</f>
        <v>0</v>
      </c>
      <c r="BN477" s="48">
        <f>BN201/BN235</f>
        <v>0</v>
      </c>
      <c r="BS477" s="48">
        <f>BS201/BS235</f>
        <v>0</v>
      </c>
      <c r="BX477" s="48">
        <f>BX201/BX235</f>
        <v>0</v>
      </c>
      <c r="CC477" s="48">
        <f t="shared" ref="CC477:CH477" si="727">CC201/CC235</f>
        <v>1.581860950342929E-3</v>
      </c>
      <c r="CD477" s="48">
        <f t="shared" si="727"/>
        <v>1.0105919942583655E-2</v>
      </c>
      <c r="CE477" s="48">
        <f t="shared" si="727"/>
        <v>2.8297196560876026E-2</v>
      </c>
      <c r="CF477" s="48">
        <f t="shared" si="727"/>
        <v>5.8866466118460165E-2</v>
      </c>
      <c r="CG477" s="48">
        <f t="shared" si="727"/>
        <v>9.9516392121908243E-2</v>
      </c>
      <c r="CH477" s="48">
        <f t="shared" si="727"/>
        <v>0.14579523336172667</v>
      </c>
    </row>
    <row r="478" spans="1:86">
      <c r="H478" s="193" t="s">
        <v>706</v>
      </c>
      <c r="AO478" s="48">
        <f>AO206/AO235</f>
        <v>6.0291869329626172E-2</v>
      </c>
      <c r="AT478" s="48">
        <f>AT206/AT235</f>
        <v>6.9120420314082651E-2</v>
      </c>
      <c r="AY478" s="48">
        <f>AY206/AY235</f>
        <v>9.0093039511929665E-2</v>
      </c>
      <c r="BD478" s="48">
        <f>BD206/BD235</f>
        <v>9.3065314457789608E-2</v>
      </c>
      <c r="BI478" s="48">
        <f>BI206/BI235</f>
        <v>0.11962927465894495</v>
      </c>
      <c r="BN478" s="48">
        <f>BN206/BN235</f>
        <v>0.15938412822478423</v>
      </c>
      <c r="BS478" s="48">
        <f>BS206/BS235</f>
        <v>0.14890005751949531</v>
      </c>
      <c r="BX478" s="48">
        <f>BX206/BX235</f>
        <v>0.13491404186851816</v>
      </c>
      <c r="CC478" s="48">
        <f t="shared" ref="CC478:CH478" si="728">CC206/CC235</f>
        <v>0.13160670990447687</v>
      </c>
      <c r="CD478" s="48">
        <f t="shared" si="728"/>
        <v>0.13702465276598888</v>
      </c>
      <c r="CE478" s="48">
        <f t="shared" si="728"/>
        <v>0.14119648422888698</v>
      </c>
      <c r="CF478" s="48">
        <f t="shared" si="728"/>
        <v>0.14523880066578099</v>
      </c>
      <c r="CG478" s="48">
        <f t="shared" si="728"/>
        <v>0.15041174305845498</v>
      </c>
      <c r="CH478" s="48">
        <f t="shared" si="728"/>
        <v>0.15522025168778913</v>
      </c>
    </row>
    <row r="479" spans="1:86">
      <c r="H479" s="7" t="s">
        <v>151</v>
      </c>
      <c r="AO479" s="48">
        <f>AO235/AO235</f>
        <v>1</v>
      </c>
      <c r="AT479" s="48">
        <f>AT235/AT235</f>
        <v>1</v>
      </c>
      <c r="AY479" s="48">
        <f>AY235/AY235</f>
        <v>1</v>
      </c>
      <c r="BD479" s="48">
        <f>BD235/BD235</f>
        <v>1</v>
      </c>
      <c r="BI479" s="48">
        <f>BI235/BI235</f>
        <v>1</v>
      </c>
      <c r="BN479" s="48">
        <f>BN235/BN235</f>
        <v>1</v>
      </c>
      <c r="BS479" s="48">
        <f>BS235/BS235</f>
        <v>1</v>
      </c>
      <c r="BX479" s="48">
        <f>BX235/BX235</f>
        <v>1</v>
      </c>
      <c r="CC479" s="48">
        <f t="shared" ref="CC479:CH479" si="729">CC235/CC235</f>
        <v>1</v>
      </c>
      <c r="CD479" s="48">
        <f t="shared" si="729"/>
        <v>1</v>
      </c>
      <c r="CE479" s="48">
        <f t="shared" si="729"/>
        <v>1</v>
      </c>
      <c r="CF479" s="48">
        <f t="shared" si="729"/>
        <v>1</v>
      </c>
      <c r="CG479" s="48">
        <f t="shared" si="729"/>
        <v>1</v>
      </c>
      <c r="CH479" s="48">
        <f t="shared" si="729"/>
        <v>1</v>
      </c>
    </row>
  </sheetData>
  <phoneticPr fontId="3" type="noConversion"/>
  <conditionalFormatting sqref="L239:BX239 L335:BF335 L105:BK105 L205:BK205 L435:BG435 BI335:BJ335 BI435:BJ435 BN435:CB435 BN335:CB335 BN205:BO205 BN105:BO105 L9:CH9 CC239:CH239 CD435:CH435 CD335:CH335 BQ105:CH105 BQ205:CH205 BN470:CH470">
    <cfRule type="expression" dxfId="63" priority="28" stopIfTrue="1">
      <formula>L$4&lt;=$J$5</formula>
    </cfRule>
  </conditionalFormatting>
  <conditionalFormatting sqref="L240:BX240 CC240:CH240 L10:CH10">
    <cfRule type="expression" dxfId="62" priority="29" stopIfTrue="1">
      <formula>#REF!&lt;=#REF!</formula>
    </cfRule>
  </conditionalFormatting>
  <conditionalFormatting sqref="BG335">
    <cfRule type="expression" dxfId="61" priority="27" stopIfTrue="1">
      <formula>BG$4&lt;=$J$5</formula>
    </cfRule>
  </conditionalFormatting>
  <conditionalFormatting sqref="BH435">
    <cfRule type="expression" dxfId="60" priority="26" stopIfTrue="1">
      <formula>BH$4&lt;=$J$5</formula>
    </cfRule>
  </conditionalFormatting>
  <conditionalFormatting sqref="BH335">
    <cfRule type="expression" dxfId="59" priority="25" stopIfTrue="1">
      <formula>BH$4&lt;=$J$5</formula>
    </cfRule>
  </conditionalFormatting>
  <conditionalFormatting sqref="BK335 BK435">
    <cfRule type="expression" dxfId="58" priority="24" stopIfTrue="1">
      <formula>BK$4&lt;=$J$5</formula>
    </cfRule>
  </conditionalFormatting>
  <conditionalFormatting sqref="BL335 BL435">
    <cfRule type="expression" dxfId="57" priority="23" stopIfTrue="1">
      <formula>BL$4&lt;=$J$5</formula>
    </cfRule>
  </conditionalFormatting>
  <conditionalFormatting sqref="BM335 BM435">
    <cfRule type="expression" dxfId="56" priority="22" stopIfTrue="1">
      <formula>BM$4&lt;=$J$5</formula>
    </cfRule>
  </conditionalFormatting>
  <conditionalFormatting sqref="BL105 BL205">
    <cfRule type="expression" dxfId="55" priority="21" stopIfTrue="1">
      <formula>BL$4&lt;=$J$5</formula>
    </cfRule>
  </conditionalFormatting>
  <conditionalFormatting sqref="BM105 BM205">
    <cfRule type="expression" dxfId="54" priority="20" stopIfTrue="1">
      <formula>BM$4&lt;=$J$5</formula>
    </cfRule>
  </conditionalFormatting>
  <conditionalFormatting sqref="BP205 BP105">
    <cfRule type="expression" dxfId="53" priority="19" stopIfTrue="1">
      <formula>BP$4&lt;=$J$5</formula>
    </cfRule>
  </conditionalFormatting>
  <conditionalFormatting sqref="L470:BG470 BI470:BJ470">
    <cfRule type="expression" dxfId="52" priority="18" stopIfTrue="1">
      <formula>L$4&lt;=$J$5</formula>
    </cfRule>
  </conditionalFormatting>
  <conditionalFormatting sqref="BH470">
    <cfRule type="expression" dxfId="51" priority="17" stopIfTrue="1">
      <formula>BH$4&lt;=$J$5</formula>
    </cfRule>
  </conditionalFormatting>
  <conditionalFormatting sqref="BK470">
    <cfRule type="expression" dxfId="50" priority="16" stopIfTrue="1">
      <formula>BK$4&lt;=$J$5</formula>
    </cfRule>
  </conditionalFormatting>
  <conditionalFormatting sqref="BL470">
    <cfRule type="expression" dxfId="49" priority="15" stopIfTrue="1">
      <formula>BL$4&lt;=$J$5</formula>
    </cfRule>
  </conditionalFormatting>
  <conditionalFormatting sqref="BM470">
    <cfRule type="expression" dxfId="48" priority="14" stopIfTrue="1">
      <formula>BM$4&lt;=$J$5</formula>
    </cfRule>
  </conditionalFormatting>
  <conditionalFormatting sqref="BY240:CB240">
    <cfRule type="expression" dxfId="47" priority="4" stopIfTrue="1">
      <formula>#REF!&lt;=#REF!</formula>
    </cfRule>
  </conditionalFormatting>
  <conditionalFormatting sqref="BY239:CB239">
    <cfRule type="expression" dxfId="46" priority="2" stopIfTrue="1">
      <formula>BY$4&lt;=$J$5</formula>
    </cfRule>
  </conditionalFormatting>
  <conditionalFormatting sqref="CC435 CC335">
    <cfRule type="expression" dxfId="45" priority="1" stopIfTrue="1">
      <formula>CC$4&lt;=$J$5</formula>
    </cfRule>
  </conditionalFormatting>
  <pageMargins left="0" right="0" top="0" bottom="0" header="0" footer="0"/>
  <pageSetup paperSize="5" scale="65" orientation="landscape" horizontalDpi="1200" verticalDpi="1200" r:id="rId1"/>
  <headerFooter alignWithMargins="0"/>
  <rowBreaks count="5" manualBreakCount="5">
    <brk id="104" min="7" max="85" man="1"/>
    <brk id="167" min="7" max="85" man="1"/>
    <brk id="238" min="7" max="85" man="1"/>
    <brk id="334" min="7" max="85" man="1"/>
    <brk id="397" min="7" max="85" man="1"/>
  </rowBreaks>
  <ignoredErrors>
    <ignoredError sqref="AJ141:AJ142 U134:AC135 U112:AE114 AH32 U20:AG21 U51:AG52 U141:AG142 U32:AG33 AE134:AG135 AJ20:AJ21 AJ51:AJ52 AH112:AI112 AJ32:AJ33 AJ112:AJ114 AJ134:AJ135 U81:AG82 AF112:AG114 AJ81:AJ82 BI112 BD112 AF106:AG108 AJ106:AJ108 AH106:AI108 U106:AE108" formulaRange="1"/>
    <ignoredError sqref="AH198 AH216:AH217 AH146:AI146 AI215 AJ143:AJ146 U215:AC217 U143:AG146 BD25 AH22:AI22 AH25:AI25 AH28:AI28 AH53:AI53 U22:AG30 AH56:AI56 AH59:AI59 AH62:AI62 U133:AJ133 AH115:AI115 AH121:AI121 U181:AG186 AJ181:AJ186 AH143:AI143 AH206:AI206 AH181:AI182 AH184:AI184 AJ198:AJ200 BD22 AH200:AI200 AE215:AG217 AJ206:AJ208 U206:AG208 AD216:AD217 U80:AJ80 BD28 AF198:AG200 U190:AJ196 U31:AJ31 U198:AE204 AJ53:AJ64 AJ22:AJ30 U53:AG64 AJ121:AJ123 U121:AG123 AJ215:AJ217 AI204:AJ204 BD31 U115:AG117 AJ115:AJ117 BD80 BI80 BD53 AY80 BD56 BD62 BD59 BI146 BI143 BI115 BD133 BD143 BD146 BI133 BD115 BI121 BD121 BI62 BI53 BI56 BI59 BI25 BI22 BI31 BI28" formula="1" formulaRange="1"/>
    <ignoredError sqref="AE48:AJ50 Z137:Z139 U465:AE467 U236:AE237 U276:AE277 U445:Z447 AE281:AG283 AH283 AO229:AO230 AJ465:AJ467 AH222:AI222 AJ236:AJ237 AH220:AJ221 AK225:AN225 AK80:AN80 AK31:AN31 AO236:AO237 AQ137:AQ139 AP80 AT183:AT184 AP59 AO232:AO233 AK146:AN146 AS286 AT342:AT346 AP146 AK143:AN143 AT231:AT233 AP121 AK53:AP53 AO80:AO82 BD23:BD24 AK22:AN22 AK25:AN25 AK28:AN28 AO54:AO64 AK56:AN56 AK59:AN59 AK62:AN62 AK133:AO133 AK115:AN115 AK121:AN121 AP276 AR80 AN255 AP206 AH224:AI225 AK413:AM414 AP225 AO228:AP228 AQ215:AQ216 AQ276:AR280 AT215:AT227 AT50:AT52 AP137:AP140 AS342 AO276:AO294 AP143 AP149 AP184 AP62 AJ222:AJ227 AR228 AP115 AQ336:AR338 AO46:AO47 AJ408:AM410 AQ286 AT181 U231:AR231 AR181 AT413:AT414 BD29:BD30 AP22 AP25 AP28 AP31 AP56 U261:AE263 AO408:AO411 AM379 AJ276:AM294 AT276:AT294 AP50 AR62 AR146 AR133 AR31 AP46:AT46 AP222 AR222 AO178:AT180 AR184 AR53 BD26:BD27 AR22 AR25 AR28 AR59 AR56:AS56 AP112:AR112 AR115 AR121 AS106:AS107 AR137:AR140 AJ371:AM378 AR143 AR149 AM381 AT379 AR224:AR225 AO381 AJ379:AL381 AO181:AP181 U220:AG227 AO50:AO52 AR50:AS50 AO206:AO208 AR215:AR219 AT206:AT208 AY31:BC31 AY22:AY30 AP136:AR136 AJ250:AM263 AT250:AT263 AO250:AO263 AO183:AO184 AO413:AO414 AO371:AO379 AT371:AT375 AT381 AJ411:AJ414 AK411:AM411 AT408:AT411 AQ408:AS410 AJ342:AM346 AO342:AO346 AP215:AP219 AO121:AO124 AQ218:AQ219 AS218:AS219 AO135:AO151 AO204:AT204 AO215:AO227 AO465 AJ334:AT334 AZ22:BC22 AZ25:BC25 AZ28:BC28 AO20:AO33 AT20:AT33 BF22 AY32:BD33 BF25 BF28 BF31 AO112:AO117 BH22 BH25 BH28 BH31 AT80:AT82 AT56:AT64 AU81:BF82 AU60:BF60 AU59:BC59 BE59:BH59 AU62:BC62 BE62:BH62 AU56:BC56 BE56:BH56 AU80:AX80 AZ80:BC80 AT53:BC53 BE53:BH53 BE80:BH80 AT112:AT117 AT135:AT145 AT121:AT123 AT149:AT151 AT118:BI118 AU136:BI137 AT134:BF134 AT124:BI124 AU121:BC121 BE121:BH121 AU115:BC115 BE115:BH115 AT133:BC133 AT146:BC146 BE146:BH146 AU143:BC143 BE143:BH143 BE133:BF133 AU149:BI149 AU135:BF135 AY184:BG184 AT119:BG120 BI119:BI120 AU61:BB61 BD61:BF61 AT54:BG55 AU57:BG58 AU63:BG64 AT66:BG67 AT69:BF70 AT72:BF73 BI81:BI82 AU116:BG117 BI116:BI117 AU122:BG123 BI122:BI123 AT125:BG126 BI125:BI126 BI134:BI135 AU140:BI140 AU138:BF139 BI138:BI139 AU141:BG142 BI141:BI142 AU144:BF145 BI144:BI145 AT147:BF148 BI147:BI148 AY187:BI200 AY185:BF186 BI184:BI186 AY204:BI205 AY201:BG203 AU150:BG151 BI150:BI151 AY209:BI209 AY207:BG208 BI208 AY212:BI212 AY210:BG211 BI210:BI211 BN187:BR200 BN204:BR205 AY206:BH206 BN206 BT187:BV200 BN210:BN214 BN133:BS133 BN116:BN117 BN119:BN123 BN125:BN126 BN136:BV136 BN134:BN135 BS134:BS135 BN137:BN146 BP137:BS137 BP140:BS140 BP143:BS143 BP146:BS146 AP391:AS397 AT397 AO397 AJ391:AM397 AO311:AT312 AY311:AY312 CD115:CD120 BT204:CB205 BP212:BV212 BS213:BS214 BS210:BS211 BS141:BS142 BS138:BS139 BS144:BS145 BS116:BS117 BS119:BS120 BS125:BS126 CD124:CD126 BN115:BU115 BN118:BU118 BN124:BU124 BS127:BU127 BU143:BV143 BJ28:BV28 BJ31:BV31 BJ22:BV22 BJ25:BV25 BJ59:BV59 BJ56:BV56 BJ53:BV53 BJ62:BV62 AT65:BV65 AT71:BV71 AT68:BV68 BI50:BV50 BI34:BM46 BN34:BV45 BI47:BV47 BN149:BS151 BN184:BV184 BI23:BT24 BI26:BT27 BI29:BT30 BI32:BT33 BI48:BT49 BI51:BT52 BI54:BT55 BI57:BT58 BI60:BT61 BI63:BT64 BI66:BT67 BI69:BT70 BI74:BV74 BI72:BT73 BS130:BU130 BS128:BT129 BS131:BT131 BU146:BV146 BU149:BV149 BN185:BT186 CD22:CD31 CD61:CD64 CD53:CD55 CF53:CF55 BN46:BO46 BR46:BT46 BX22:BX70 BX115:BX120 BX124 BX127:BX131 CE60 CD32:CD52 CD133:CD139 CD184:CD212 BX136 BX184:BX186 BX143:BX149 AT106:AT108 AO106:AR108 AO336:AO338 AJ336:AM338 AS336:AS338 AT336:AT338 CD143:CD151 CD130:CD131 CD68:CD70 CF68:CF70 BZ22:CC31 BY12:CC21 BY32:CC55 BY22:BY31 BY59:CC62 CD59 CF59:CF64 AY251:CC252 BZ133:CC133 BX71:BX80 CD71:CD80 CD81:CD82 BY71:CC80 BX81:CC82 CF81:CF82 CG71:CG80 AY250:BY250 CC250 AY254:CC255 AY253:CA253 CC253 CH22:CH31 CH53:CH55 CH32:CH52 CH68:CH70 CH59:CH64 CH81:CH82 CH71:CH80 CG22:CG31 CG53:CG55 CG32:CG52 CG68:CG70 CG59:CG64 CG81:CG82 CF22:CF31 CF32:CF52 CF71:CF80 CE115:CE120 CE124:CE126 CE22:CE31 CE61:CE64 CE53:CE55 CE32:CE52 CE133:CE139 CE184:CE212 CE143:CE151 CE130:CE131 CE68:CE70 CE59 CE71:CE80 CE81:CE82" formula="1"/>
  </ignoredError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enableFormatConditionsCalculation="0">
    <tabColor indexed="56"/>
    <pageSetUpPr fitToPage="1"/>
  </sheetPr>
  <dimension ref="A1:EX91"/>
  <sheetViews>
    <sheetView topLeftCell="H5" zoomScaleNormal="100" workbookViewId="0"/>
  </sheetViews>
  <sheetFormatPr defaultRowHeight="12.75" outlineLevelRow="1" outlineLevelCol="1"/>
  <cols>
    <col min="1" max="6" width="9.140625" style="608" hidden="1" customWidth="1" outlineLevel="1"/>
    <col min="7" max="7" width="2.85546875" style="608" hidden="1" customWidth="1" outlineLevel="1"/>
    <col min="8" max="8" width="2.85546875" style="63" customWidth="1" collapsed="1"/>
    <col min="9" max="9" width="38.28515625" style="63" customWidth="1"/>
    <col min="10" max="10" width="7.5703125" style="63" customWidth="1"/>
    <col min="11" max="11" width="10.42578125" style="63" customWidth="1"/>
    <col min="12" max="15" width="6" style="63" hidden="1" customWidth="1" outlineLevel="1"/>
    <col min="16" max="16" width="6" style="63" hidden="1" customWidth="1" collapsed="1"/>
    <col min="17" max="20" width="6" style="63" hidden="1" customWidth="1" outlineLevel="1"/>
    <col min="21" max="21" width="6" style="63" hidden="1" customWidth="1" collapsed="1"/>
    <col min="22" max="25" width="6" style="63" hidden="1" customWidth="1" outlineLevel="1"/>
    <col min="26" max="26" width="6" style="63" hidden="1" customWidth="1" collapsed="1"/>
    <col min="27" max="30" width="6" style="63" hidden="1" customWidth="1" outlineLevel="1"/>
    <col min="31" max="31" width="6" style="63" hidden="1" customWidth="1" collapsed="1"/>
    <col min="32" max="35" width="6" style="63" hidden="1" customWidth="1" outlineLevel="1"/>
    <col min="36" max="36" width="6" style="63" hidden="1" customWidth="1" collapsed="1"/>
    <col min="37" max="40" width="6" style="63" hidden="1" customWidth="1" outlineLevel="1"/>
    <col min="41" max="41" width="6" style="63" hidden="1" customWidth="1" collapsed="1"/>
    <col min="42" max="45" width="6" style="63" hidden="1" customWidth="1" outlineLevel="1"/>
    <col min="46" max="46" width="6" style="63" hidden="1" customWidth="1" collapsed="1"/>
    <col min="47" max="50" width="6" style="63" hidden="1" customWidth="1" outlineLevel="1"/>
    <col min="51" max="51" width="6" style="63" hidden="1" customWidth="1" collapsed="1"/>
    <col min="52" max="55" width="6" style="63" hidden="1" customWidth="1" outlineLevel="1"/>
    <col min="56" max="56" width="7.5703125" style="63" hidden="1" customWidth="1" collapsed="1"/>
    <col min="57" max="60" width="6" style="63" hidden="1" customWidth="1" outlineLevel="1"/>
    <col min="61" max="61" width="5.140625" style="63" hidden="1" customWidth="1" collapsed="1"/>
    <col min="62" max="65" width="6" style="63" hidden="1" customWidth="1" outlineLevel="1"/>
    <col min="66" max="66" width="11.140625" style="63" bestFit="1" customWidth="1" collapsed="1"/>
    <col min="67" max="70" width="6" style="63" hidden="1" customWidth="1" outlineLevel="1"/>
    <col min="71" max="71" width="6" style="63" hidden="1" customWidth="1" collapsed="1"/>
    <col min="72" max="76" width="6" style="63" hidden="1" customWidth="1"/>
    <col min="77" max="81" width="6" style="63" customWidth="1"/>
    <col min="82" max="86" width="6" style="63" customWidth="1" collapsed="1"/>
    <col min="87" max="16384" width="9.140625" style="63"/>
  </cols>
  <sheetData>
    <row r="1" spans="1:154" s="240" customFormat="1" hidden="1" outlineLevel="1">
      <c r="A1" s="85"/>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F1" s="85"/>
      <c r="CG1" s="85"/>
      <c r="CH1" s="85"/>
      <c r="EX1" s="240" t="s">
        <v>1120</v>
      </c>
    </row>
    <row r="2" spans="1:154" s="240" customFormat="1" hidden="1" outlineLevel="1">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85"/>
      <c r="BS2" s="85"/>
      <c r="BT2" s="85"/>
      <c r="BU2" s="85"/>
      <c r="BV2" s="85"/>
      <c r="BW2" s="85"/>
      <c r="BX2" s="85"/>
      <c r="BY2" s="85"/>
      <c r="BZ2" s="85"/>
      <c r="CA2" s="85"/>
      <c r="CB2" s="85"/>
      <c r="CC2" s="85"/>
      <c r="CD2" s="85"/>
      <c r="CE2" s="85"/>
      <c r="CF2" s="85"/>
      <c r="CG2" s="85"/>
      <c r="CH2" s="85"/>
    </row>
    <row r="3" spans="1:154" s="240" customFormat="1" hidden="1" outlineLevel="1">
      <c r="A3" s="85"/>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85"/>
      <c r="AZ3" s="85"/>
      <c r="BA3" s="85"/>
      <c r="BB3" s="85"/>
      <c r="BC3" s="85"/>
      <c r="BD3" s="85"/>
      <c r="BE3" s="85"/>
      <c r="BF3" s="85"/>
      <c r="BG3" s="85"/>
      <c r="BH3" s="85"/>
      <c r="BI3" s="85"/>
      <c r="BJ3" s="85"/>
      <c r="BK3" s="85"/>
      <c r="BL3" s="85"/>
      <c r="BM3" s="85"/>
      <c r="BN3" s="85"/>
      <c r="BO3" s="85"/>
      <c r="BP3" s="85"/>
      <c r="BQ3" s="85"/>
      <c r="BR3" s="85"/>
      <c r="BS3" s="85"/>
      <c r="BT3" s="85"/>
      <c r="BU3" s="85"/>
      <c r="BV3" s="85"/>
      <c r="BW3" s="85"/>
      <c r="BX3" s="85"/>
      <c r="BY3" s="85"/>
      <c r="BZ3" s="85"/>
      <c r="CA3" s="85"/>
      <c r="CB3" s="85"/>
      <c r="CC3" s="85"/>
      <c r="CD3" s="85"/>
      <c r="CE3" s="85"/>
      <c r="CF3" s="85"/>
      <c r="CG3" s="85"/>
      <c r="CH3" s="85"/>
    </row>
    <row r="4" spans="1:154" s="240" customFormat="1" ht="13.5" hidden="1" collapsed="1">
      <c r="A4" s="85"/>
      <c r="B4" s="85"/>
      <c r="C4" s="85"/>
      <c r="D4" s="85"/>
      <c r="E4" s="85"/>
      <c r="F4" s="85"/>
      <c r="G4" s="85"/>
      <c r="H4" s="85"/>
      <c r="I4" s="85"/>
      <c r="J4" s="85"/>
      <c r="K4" s="85"/>
      <c r="L4" s="12">
        <v>38442</v>
      </c>
      <c r="M4" s="12">
        <v>38533</v>
      </c>
      <c r="N4" s="12">
        <v>38625</v>
      </c>
      <c r="O4" s="12">
        <v>38717</v>
      </c>
      <c r="P4" s="12">
        <v>38717</v>
      </c>
      <c r="Q4" s="12">
        <v>38807</v>
      </c>
      <c r="R4" s="12">
        <v>38898</v>
      </c>
      <c r="S4" s="12">
        <v>38990</v>
      </c>
      <c r="T4" s="12">
        <v>39082</v>
      </c>
      <c r="U4" s="12">
        <v>39082</v>
      </c>
      <c r="V4" s="12">
        <v>39172</v>
      </c>
      <c r="W4" s="12">
        <v>39263</v>
      </c>
      <c r="X4" s="12">
        <v>39355</v>
      </c>
      <c r="Y4" s="12">
        <v>39447</v>
      </c>
      <c r="Z4" s="12">
        <v>39447</v>
      </c>
      <c r="AA4" s="12">
        <v>39538</v>
      </c>
      <c r="AB4" s="12">
        <v>39629</v>
      </c>
      <c r="AC4" s="12">
        <v>39721</v>
      </c>
      <c r="AD4" s="12">
        <v>39813</v>
      </c>
      <c r="AE4" s="12">
        <v>39813</v>
      </c>
      <c r="AF4" s="12">
        <v>39903</v>
      </c>
      <c r="AG4" s="12">
        <v>39994</v>
      </c>
      <c r="AH4" s="12">
        <v>40086</v>
      </c>
      <c r="AI4" s="12">
        <v>40178</v>
      </c>
      <c r="AJ4" s="12">
        <v>40178</v>
      </c>
      <c r="AK4" s="12">
        <v>40268</v>
      </c>
      <c r="AL4" s="12">
        <v>40359</v>
      </c>
      <c r="AM4" s="12">
        <v>40451</v>
      </c>
      <c r="AN4" s="12">
        <v>40543</v>
      </c>
      <c r="AO4" s="12">
        <v>40543</v>
      </c>
      <c r="AP4" s="12">
        <v>40633</v>
      </c>
      <c r="AQ4" s="12">
        <v>40724</v>
      </c>
      <c r="AR4" s="12">
        <v>40816</v>
      </c>
      <c r="AS4" s="12">
        <v>40908</v>
      </c>
      <c r="AT4" s="12">
        <v>40908</v>
      </c>
      <c r="AU4" s="12">
        <v>40999</v>
      </c>
      <c r="AV4" s="12">
        <v>41090</v>
      </c>
      <c r="AW4" s="12">
        <v>41182</v>
      </c>
      <c r="AX4" s="12">
        <v>41274</v>
      </c>
      <c r="AY4" s="12">
        <v>41274</v>
      </c>
      <c r="AZ4" s="12">
        <v>41364</v>
      </c>
      <c r="BA4" s="12">
        <v>41455</v>
      </c>
      <c r="BB4" s="12">
        <v>41547</v>
      </c>
      <c r="BC4" s="12">
        <v>41639</v>
      </c>
      <c r="BD4" s="12">
        <v>41639</v>
      </c>
      <c r="BE4" s="12">
        <v>41729</v>
      </c>
      <c r="BF4" s="12">
        <v>41820</v>
      </c>
      <c r="BG4" s="12">
        <v>41912</v>
      </c>
      <c r="BH4" s="12">
        <v>42004</v>
      </c>
      <c r="BI4" s="12">
        <v>42004</v>
      </c>
      <c r="BJ4" s="12">
        <v>42094</v>
      </c>
      <c r="BK4" s="12">
        <v>42185</v>
      </c>
      <c r="BL4" s="12">
        <v>42277</v>
      </c>
      <c r="BM4" s="12">
        <v>42369</v>
      </c>
      <c r="BN4" s="12">
        <v>42369</v>
      </c>
      <c r="BO4" s="12">
        <v>42460</v>
      </c>
      <c r="BP4" s="12">
        <v>42551</v>
      </c>
      <c r="BQ4" s="12">
        <v>42643</v>
      </c>
      <c r="BR4" s="12">
        <v>42735</v>
      </c>
      <c r="BS4" s="12">
        <v>42735</v>
      </c>
      <c r="BT4" s="12">
        <v>42825</v>
      </c>
      <c r="BU4" s="12">
        <v>42916</v>
      </c>
      <c r="BV4" s="12">
        <v>43008</v>
      </c>
      <c r="BW4" s="12">
        <v>43100</v>
      </c>
      <c r="BX4" s="12">
        <v>43100</v>
      </c>
      <c r="BY4" s="12">
        <v>43190</v>
      </c>
      <c r="BZ4" s="12">
        <v>43281</v>
      </c>
      <c r="CA4" s="12">
        <v>43373</v>
      </c>
      <c r="CB4" s="12">
        <v>43465</v>
      </c>
      <c r="CC4" s="12">
        <v>43465</v>
      </c>
      <c r="CD4" s="12">
        <v>43830</v>
      </c>
      <c r="CE4" s="12">
        <v>44196</v>
      </c>
      <c r="CF4" s="12">
        <v>44561</v>
      </c>
      <c r="CG4" s="12">
        <v>44926</v>
      </c>
      <c r="CH4" s="12">
        <v>45291</v>
      </c>
    </row>
    <row r="5" spans="1:154" s="76" customFormat="1" ht="15.75">
      <c r="A5" s="85"/>
      <c r="B5" s="85"/>
      <c r="C5" s="85"/>
      <c r="D5" s="85"/>
      <c r="E5" s="85"/>
      <c r="F5" s="85"/>
      <c r="G5" s="85"/>
      <c r="H5" s="64" t="s">
        <v>376</v>
      </c>
      <c r="I5" s="556"/>
      <c r="J5" s="11">
        <f>LatestRpQ</f>
        <v>43190</v>
      </c>
      <c r="K5" s="24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row>
    <row r="6" spans="1:154" s="76" customFormat="1" ht="15.75">
      <c r="A6" s="85"/>
      <c r="B6" s="85"/>
      <c r="C6" s="85"/>
      <c r="D6" s="85"/>
      <c r="E6" s="85"/>
      <c r="F6" s="85"/>
      <c r="G6" s="85"/>
      <c r="H6" s="64" t="s">
        <v>256</v>
      </c>
      <c r="I6" s="556"/>
      <c r="J6" s="11">
        <f>LatestFiledQ</f>
        <v>43100</v>
      </c>
      <c r="K6" s="242"/>
      <c r="L6" s="242"/>
      <c r="M6" s="242"/>
      <c r="N6" s="242"/>
      <c r="O6" s="242"/>
      <c r="P6" s="242"/>
      <c r="Q6" s="242"/>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2"/>
      <c r="AV6" s="242"/>
      <c r="AW6" s="242"/>
      <c r="AX6" s="242"/>
      <c r="AY6" s="242"/>
      <c r="AZ6" s="242"/>
      <c r="BA6" s="242"/>
      <c r="BB6" s="242"/>
      <c r="BC6" s="242"/>
      <c r="BD6" s="242"/>
      <c r="BE6" s="242"/>
      <c r="BF6" s="242"/>
      <c r="BG6" s="242"/>
      <c r="BH6" s="242"/>
      <c r="BI6" s="242"/>
      <c r="BJ6" s="242"/>
      <c r="BK6" s="242"/>
      <c r="BL6" s="242"/>
      <c r="BM6" s="242"/>
      <c r="BN6" s="242"/>
      <c r="BO6" s="242"/>
      <c r="BP6" s="242"/>
      <c r="BQ6" s="242"/>
      <c r="BR6" s="242"/>
      <c r="BS6" s="242"/>
      <c r="BT6" s="242"/>
      <c r="BU6" s="242"/>
      <c r="BV6" s="242"/>
      <c r="BW6" s="242"/>
      <c r="BX6" s="242"/>
      <c r="BY6" s="242"/>
      <c r="BZ6" s="242"/>
      <c r="CA6" s="242"/>
      <c r="CB6" s="242"/>
      <c r="CC6" s="242"/>
      <c r="CD6" s="242"/>
      <c r="CE6" s="242"/>
      <c r="CF6" s="242"/>
      <c r="CG6" s="242"/>
      <c r="CH6" s="242"/>
    </row>
    <row r="7" spans="1:154" s="76" customFormat="1" ht="4.5" customHeight="1">
      <c r="A7" s="85" t="s">
        <v>257</v>
      </c>
      <c r="B7" s="85"/>
      <c r="C7" s="85"/>
      <c r="D7" s="85"/>
      <c r="E7" s="85"/>
      <c r="F7" s="85"/>
      <c r="G7" s="85"/>
      <c r="BD7" s="240"/>
      <c r="BE7" s="240"/>
      <c r="BF7" s="240"/>
      <c r="BG7" s="240"/>
      <c r="BH7" s="240"/>
      <c r="BI7" s="240"/>
      <c r="BJ7" s="240"/>
      <c r="BK7" s="240"/>
      <c r="BL7" s="240"/>
      <c r="BM7" s="240"/>
      <c r="BN7" s="240"/>
      <c r="BO7" s="240"/>
      <c r="BP7" s="240"/>
      <c r="BQ7" s="240"/>
      <c r="BR7" s="240"/>
      <c r="BS7" s="240"/>
      <c r="BT7" s="240"/>
      <c r="BU7" s="240"/>
      <c r="BV7" s="240"/>
      <c r="BW7" s="240"/>
      <c r="BX7" s="240"/>
      <c r="BY7" s="240"/>
      <c r="BZ7" s="240"/>
      <c r="CA7" s="240"/>
      <c r="CB7" s="240"/>
      <c r="CC7" s="240"/>
      <c r="CD7" s="240"/>
      <c r="CE7" s="240"/>
      <c r="CF7" s="240"/>
      <c r="CG7" s="240"/>
      <c r="CH7" s="240"/>
    </row>
    <row r="8" spans="1:154" s="76" customFormat="1" ht="4.5" customHeight="1">
      <c r="A8" s="85"/>
      <c r="B8" s="85"/>
      <c r="C8" s="85"/>
      <c r="D8" s="85"/>
      <c r="E8" s="85"/>
      <c r="F8" s="85"/>
      <c r="G8" s="85"/>
      <c r="H8" s="372"/>
      <c r="I8" s="372"/>
      <c r="K8" s="557"/>
      <c r="BD8" s="240"/>
      <c r="BE8" s="240"/>
      <c r="BF8" s="240"/>
      <c r="BG8" s="240"/>
      <c r="BH8" s="240"/>
      <c r="BI8" s="240"/>
      <c r="BJ8" s="240"/>
      <c r="BK8" s="240"/>
      <c r="BL8" s="240"/>
      <c r="BM8" s="240"/>
      <c r="BN8" s="240"/>
      <c r="BO8" s="240"/>
      <c r="BP8" s="240"/>
      <c r="BQ8" s="240"/>
      <c r="BR8" s="240"/>
      <c r="BS8" s="240"/>
      <c r="BT8" s="240"/>
      <c r="BU8" s="240"/>
      <c r="BV8" s="240"/>
      <c r="BW8" s="240"/>
      <c r="BX8" s="240"/>
      <c r="BY8" s="240"/>
      <c r="BZ8" s="240"/>
      <c r="CA8" s="240"/>
      <c r="CB8" s="240"/>
      <c r="CC8" s="240"/>
      <c r="CD8" s="240"/>
      <c r="CE8" s="240"/>
      <c r="CF8" s="240"/>
      <c r="CG8" s="240"/>
      <c r="CH8" s="240"/>
    </row>
    <row r="9" spans="1:154" s="76" customFormat="1" ht="14.25" thickBot="1">
      <c r="A9" s="85"/>
      <c r="B9" s="85"/>
      <c r="C9" s="85"/>
      <c r="D9" s="85"/>
      <c r="E9" s="85"/>
      <c r="F9" s="85"/>
      <c r="G9" s="85"/>
      <c r="H9" s="558" t="s">
        <v>150</v>
      </c>
      <c r="I9" s="558"/>
      <c r="J9" s="559" t="s">
        <v>258</v>
      </c>
      <c r="K9" s="559" t="s">
        <v>259</v>
      </c>
      <c r="L9" s="43" t="str">
        <f>"1Q:" &amp; RIGHT(YEAR(L$4),2) &amp; IF(L$4&lt;=LatestRpQ, "A", "E")</f>
        <v>1Q:05A</v>
      </c>
      <c r="M9" s="43" t="str">
        <f>"2Q:" &amp; RIGHT(YEAR(M$4),2) &amp; IF(M$4&lt;=LatestRpQ, "A", "E")</f>
        <v>2Q:05A</v>
      </c>
      <c r="N9" s="43" t="str">
        <f>"3Q:" &amp; RIGHT(YEAR(N$4),2) &amp; IF(N$4&lt;=LatestRpQ, "A", "E")</f>
        <v>3Q:05A</v>
      </c>
      <c r="O9" s="43" t="str">
        <f>"4Q:" &amp; RIGHT(YEAR(O$4),2) &amp; IF(O$4&lt;=LatestRpQ, "A", "E")</f>
        <v>4Q:05A</v>
      </c>
      <c r="P9" s="44" t="str">
        <f>YEAR(P$4) &amp; IF(P$4&lt;=LatestRpQ, "A", "E")</f>
        <v>2005A</v>
      </c>
      <c r="Q9" s="43" t="str">
        <f>"1Q:" &amp; RIGHT(YEAR(Q$4),2) &amp; IF(Q$4&lt;=LatestRpQ, "A", "E")</f>
        <v>1Q:06A</v>
      </c>
      <c r="R9" s="43" t="str">
        <f>"2Q:" &amp; RIGHT(YEAR(R$4),2) &amp; IF(R$4&lt;=LatestRpQ, "A", "E")</f>
        <v>2Q:06A</v>
      </c>
      <c r="S9" s="43" t="str">
        <f>"3Q:" &amp; RIGHT(YEAR(S$4),2) &amp; IF(S$4&lt;=LatestRpQ, "A", "E")</f>
        <v>3Q:06A</v>
      </c>
      <c r="T9" s="43" t="str">
        <f>"4Q:" &amp; RIGHT(YEAR(T$4),2) &amp; IF(T$4&lt;=LatestRpQ, "A", "E")</f>
        <v>4Q:06A</v>
      </c>
      <c r="U9" s="44" t="str">
        <f>YEAR(U$4) &amp; IF(U$4&lt;=LatestRpQ, "A", "E")</f>
        <v>2006A</v>
      </c>
      <c r="V9" s="43" t="str">
        <f>"1Q:" &amp; RIGHT(YEAR(V$4),2) &amp; IF(V$4&lt;=LatestRpQ, "A", "E")</f>
        <v>1Q:07A</v>
      </c>
      <c r="W9" s="43" t="str">
        <f>"2Q:" &amp; RIGHT(YEAR(W$4),2) &amp; IF(W$4&lt;=LatestRpQ, "A", "E")</f>
        <v>2Q:07A</v>
      </c>
      <c r="X9" s="43" t="str">
        <f>"3Q:" &amp; RIGHT(YEAR(X$4),2) &amp; IF(X$4&lt;=LatestRpQ, "A", "E")</f>
        <v>3Q:07A</v>
      </c>
      <c r="Y9" s="43" t="str">
        <f>"4Q:" &amp; RIGHT(YEAR(Y$4),2) &amp; IF(Y$4&lt;=LatestRpQ, "A", "E")</f>
        <v>4Q:07A</v>
      </c>
      <c r="Z9" s="44" t="str">
        <f>YEAR(Z$4) &amp; IF(Z$4&lt;=LatestRpQ, "A", "E")</f>
        <v>2007A</v>
      </c>
      <c r="AA9" s="43" t="str">
        <f>"1Q:" &amp; RIGHT(YEAR(AA$4),2) &amp; IF(AA$4&lt;=LatestRpQ, "A", "E")</f>
        <v>1Q:08A</v>
      </c>
      <c r="AB9" s="43" t="str">
        <f>"2Q:" &amp; RIGHT(YEAR(AB$4),2) &amp; IF(AB$4&lt;=LatestRpQ, "A", "E")</f>
        <v>2Q:08A</v>
      </c>
      <c r="AC9" s="43" t="str">
        <f>"3Q:" &amp; RIGHT(YEAR(AC$4),2) &amp; IF(AC$4&lt;=LatestRpQ, "A", "E")</f>
        <v>3Q:08A</v>
      </c>
      <c r="AD9" s="43" t="str">
        <f>"4Q:" &amp; RIGHT(YEAR(AD$4),2) &amp; IF(AD$4&lt;=LatestRpQ, "A", "E")</f>
        <v>4Q:08A</v>
      </c>
      <c r="AE9" s="44" t="str">
        <f>YEAR(AE$4) &amp; IF(AE$4&lt;=LatestRpQ, "A", "E")</f>
        <v>2008A</v>
      </c>
      <c r="AF9" s="43" t="str">
        <f>"1Q:" &amp; RIGHT(YEAR(AF$4),2) &amp; IF(AF$4&lt;=LatestRpQ, "A", "E")</f>
        <v>1Q:09A</v>
      </c>
      <c r="AG9" s="43" t="str">
        <f>"2Q:" &amp; RIGHT(YEAR(AG$4),2) &amp; IF(AG$4&lt;=LatestRpQ, "A", "E")</f>
        <v>2Q:09A</v>
      </c>
      <c r="AH9" s="43" t="str">
        <f>"3Q:" &amp; RIGHT(YEAR(AH$4),2) &amp; IF(AH$4&lt;=LatestRpQ, "A", "E")</f>
        <v>3Q:09A</v>
      </c>
      <c r="AI9" s="43" t="str">
        <f>"4Q:" &amp; RIGHT(YEAR(AI$4),2) &amp; IF(AI$4&lt;=LatestRpQ, "A", "E")</f>
        <v>4Q:09A</v>
      </c>
      <c r="AJ9" s="44" t="str">
        <f>YEAR(AJ$4) &amp; IF(AJ$4&lt;=LatestRpQ, "A", "E")</f>
        <v>2009A</v>
      </c>
      <c r="AK9" s="43" t="str">
        <f>"1Q:" &amp; RIGHT(YEAR(AK$4),2) &amp; IF(AK$4&lt;=LatestRpQ, "A", "E")</f>
        <v>1Q:10A</v>
      </c>
      <c r="AL9" s="43" t="str">
        <f>"2Q:" &amp; RIGHT(YEAR(AL$4),2) &amp; IF(AL$4&lt;=LatestRpQ, "A", "E")</f>
        <v>2Q:10A</v>
      </c>
      <c r="AM9" s="43" t="str">
        <f>"3Q:" &amp; RIGHT(YEAR(AM$4),2) &amp; IF(AM$4&lt;=LatestRpQ, "A", "E")</f>
        <v>3Q:10A</v>
      </c>
      <c r="AN9" s="43" t="str">
        <f>"4Q:" &amp; RIGHT(YEAR(AN$4),2) &amp; IF(AN$4&lt;=LatestRpQ, "A", "E")</f>
        <v>4Q:10A</v>
      </c>
      <c r="AO9" s="44" t="str">
        <f>YEAR(AO$4) &amp; IF(AO$4&lt;=LatestRpQ, "A", "E")</f>
        <v>2010A</v>
      </c>
      <c r="AP9" s="43" t="str">
        <f>"1Q:" &amp; RIGHT(YEAR(AP$4),2) &amp; IF(AP$4&lt;=LatestRpQ, "A", "E")</f>
        <v>1Q:11A</v>
      </c>
      <c r="AQ9" s="43" t="str">
        <f>"2Q:" &amp; RIGHT(YEAR(AQ$4),2) &amp; IF(AQ$4&lt;=LatestRpQ, "A", "E")</f>
        <v>2Q:11A</v>
      </c>
      <c r="AR9" s="43" t="str">
        <f>"3Q:" &amp; RIGHT(YEAR(AR$4),2) &amp; IF(AR$4&lt;=LatestRpQ, "A", "E")</f>
        <v>3Q:11A</v>
      </c>
      <c r="AS9" s="43" t="str">
        <f>"4Q:" &amp; RIGHT(YEAR(AS$4),2) &amp; IF(AS$4&lt;=LatestRpQ, "A", "E")</f>
        <v>4Q:11A</v>
      </c>
      <c r="AT9" s="44" t="str">
        <f>YEAR(AT$4) &amp; IF(AT$4&lt;=LatestRpQ, "A", "E")</f>
        <v>2011A</v>
      </c>
      <c r="AU9" s="43" t="str">
        <f>"1Q:" &amp; RIGHT(YEAR(AU$4),2) &amp; IF(AU$4&lt;=LatestRpQ, "A", "E")</f>
        <v>1Q:12A</v>
      </c>
      <c r="AV9" s="43" t="str">
        <f>"2Q:" &amp; RIGHT(YEAR(AV$4),2) &amp; IF(AV$4&lt;=LatestRpQ, "A", "E")</f>
        <v>2Q:12A</v>
      </c>
      <c r="AW9" s="43" t="str">
        <f>"3Q:" &amp; RIGHT(YEAR(AW$4),2) &amp; IF(AW$4&lt;=LatestRpQ, "A", "E")</f>
        <v>3Q:12A</v>
      </c>
      <c r="AX9" s="43" t="str">
        <f>"4Q:" &amp; RIGHT(YEAR(AX$4),2) &amp; IF(AX$4&lt;=LatestRpQ, "A", "E")</f>
        <v>4Q:12A</v>
      </c>
      <c r="AY9" s="44" t="str">
        <f>YEAR(AY$4) &amp; IF(AY$4&lt;=LatestRpQ, "A", "E")</f>
        <v>2012A</v>
      </c>
      <c r="AZ9" s="43" t="str">
        <f>"1Q:" &amp; RIGHT(YEAR(AZ$4),2) &amp; IF(AZ$4&lt;=LatestRpQ, "A", "E")</f>
        <v>1Q:13A</v>
      </c>
      <c r="BA9" s="43" t="str">
        <f>"2Q:" &amp; RIGHT(YEAR(BA$4),2) &amp; IF(BA$4&lt;=LatestRpQ, "A", "E")</f>
        <v>2Q:13A</v>
      </c>
      <c r="BB9" s="43" t="str">
        <f>"3Q:" &amp; RIGHT(YEAR(BB$4),2) &amp; IF(BB$4&lt;=LatestRpQ, "A", "E")</f>
        <v>3Q:13A</v>
      </c>
      <c r="BC9" s="43" t="str">
        <f>"4Q:" &amp; RIGHT(YEAR(BC$4),2) &amp; IF(BC$4&lt;=LatestRpQ, "A", "E")</f>
        <v>4Q:13A</v>
      </c>
      <c r="BD9" s="44" t="str">
        <f>YEAR(BD$4) &amp; IF(BD$4&lt;=LatestRpQ, "A", "E")</f>
        <v>2013A</v>
      </c>
      <c r="BE9" s="43" t="str">
        <f>"1Q:" &amp; RIGHT(YEAR(BE$4),2) &amp; IF(BE$4&lt;=LatestRpQ, "A", "E")</f>
        <v>1Q:14A</v>
      </c>
      <c r="BF9" s="43" t="str">
        <f>"2Q:" &amp; RIGHT(YEAR(BF$4),2) &amp; IF(BF$4&lt;=LatestRpQ, "A", "E")</f>
        <v>2Q:14A</v>
      </c>
      <c r="BG9" s="43" t="str">
        <f>"3Q:" &amp; RIGHT(YEAR(BG$4),2) &amp; IF(BG$4&lt;=LatestRpQ, "A", "E")</f>
        <v>3Q:14A</v>
      </c>
      <c r="BH9" s="43" t="str">
        <f>"4Q:" &amp; RIGHT(YEAR(BH$4),2) &amp; IF(BH$4&lt;=LatestRpQ, "A", "E")</f>
        <v>4Q:14A</v>
      </c>
      <c r="BI9" s="44" t="str">
        <f>YEAR(BI$4) &amp; IF(BI$4&lt;=LatestRpQ, "A", "E")</f>
        <v>2014A</v>
      </c>
      <c r="BJ9" s="43" t="str">
        <f>"1Q:" &amp; RIGHT(YEAR(BJ$4),2) &amp; IF(BJ$4&lt;=LatestRpQ, "A", "E")</f>
        <v>1Q:15A</v>
      </c>
      <c r="BK9" s="43" t="str">
        <f>"2Q:" &amp; RIGHT(YEAR(BK$4),2) &amp; IF(BK$4&lt;=LatestRpQ, "A", "E")</f>
        <v>2Q:15A</v>
      </c>
      <c r="BL9" s="43" t="str">
        <f>"3Q:" &amp; RIGHT(YEAR(BL$4),2) &amp; IF(BL$4&lt;=LatestRpQ, "A", "E")</f>
        <v>3Q:15A</v>
      </c>
      <c r="BM9" s="43" t="str">
        <f>"4Q:" &amp; RIGHT(YEAR(BM$4),2) &amp; IF(BM$4&lt;=LatestRpQ, "A", "E")</f>
        <v>4Q:15A</v>
      </c>
      <c r="BN9" s="44"/>
      <c r="BO9" s="43" t="str">
        <f>"1Q:" &amp; RIGHT(YEAR(BO$4),2) &amp; IF(BO$4&lt;=LatestRpQ, "A", "E")</f>
        <v>1Q:16A</v>
      </c>
      <c r="BP9" s="43" t="str">
        <f>"2Q:" &amp; RIGHT(YEAR(BP$4),2) &amp; IF(BP$4&lt;=LatestRpQ, "A", "E")</f>
        <v>2Q:16A</v>
      </c>
      <c r="BQ9" s="43" t="str">
        <f>"3Q:" &amp; RIGHT(YEAR(BQ$4),2) &amp; IF(BQ$4&lt;=LatestRpQ, "A", "E")</f>
        <v>3Q:16A</v>
      </c>
      <c r="BR9" s="43" t="str">
        <f>"4Q:" &amp; RIGHT(YEAR(BR$4),2) &amp; IF(BR$4&lt;=LatestRpQ, "A", "E")</f>
        <v>4Q:16A</v>
      </c>
      <c r="BS9" s="44" t="str">
        <f>YEAR(BS$4) &amp; IF(BS$4&lt;=LatestRpQ, "A", "E")</f>
        <v>2016A</v>
      </c>
      <c r="BT9" s="43" t="str">
        <f>"1Q:" &amp; RIGHT(YEAR(BT$4),2) &amp; IF(BT$4&lt;=LatestRpQ, "A", "E")</f>
        <v>1Q:17A</v>
      </c>
      <c r="BU9" s="43" t="str">
        <f>"2Q:" &amp; RIGHT(YEAR(BU$4),2) &amp; IF(BU$4&lt;=LatestRpQ, "A", "E")</f>
        <v>2Q:17A</v>
      </c>
      <c r="BV9" s="43" t="str">
        <f>"3Q:" &amp; RIGHT(YEAR(BV$4),2) &amp; IF(BV$4&lt;=LatestRpQ, "A", "E")</f>
        <v>3Q:17A</v>
      </c>
      <c r="BW9" s="43" t="str">
        <f>"4Q:" &amp; RIGHT(YEAR(BW$4),2) &amp; IF(BW$4&lt;=LatestRpQ, "A", "E")</f>
        <v>4Q:17A</v>
      </c>
      <c r="BX9" s="44" t="str">
        <f>YEAR(BX$4) &amp; IF(BX$4&lt;=LatestRpQ, "A", "E")</f>
        <v>2017A</v>
      </c>
      <c r="BY9" s="43" t="str">
        <f>"1Q:" &amp; RIGHT(YEAR(BY$4),2) &amp; IF(BY$4&lt;=LatestRpQ, "A", "E")</f>
        <v>1Q:18A</v>
      </c>
      <c r="BZ9" s="43" t="str">
        <f>"2Q:" &amp; RIGHT(YEAR(BZ$4),2) &amp; IF(BZ$4&lt;=LatestRpQ, "A", "E")</f>
        <v>2Q:18E</v>
      </c>
      <c r="CA9" s="43" t="str">
        <f>"3Q:" &amp; RIGHT(YEAR(CA$4),2) &amp; IF(CA$4&lt;=LatestRpQ, "A", "E")</f>
        <v>3Q:18E</v>
      </c>
      <c r="CB9" s="43" t="str">
        <f>"4Q:" &amp; RIGHT(YEAR(CB$4),2) &amp; IF(CB$4&lt;=LatestRpQ, "A", "E")</f>
        <v>4Q:18E</v>
      </c>
      <c r="CC9" s="44" t="str">
        <f t="shared" ref="CC9:CH9" si="0">YEAR(CC$4) &amp; IF(CC$4&lt;=LatestRpQ, "A", "E")</f>
        <v>2018E</v>
      </c>
      <c r="CD9" s="44" t="str">
        <f t="shared" si="0"/>
        <v>2019E</v>
      </c>
      <c r="CE9" s="44" t="str">
        <f t="shared" si="0"/>
        <v>2020E</v>
      </c>
      <c r="CF9" s="44" t="str">
        <f t="shared" si="0"/>
        <v>2021E</v>
      </c>
      <c r="CG9" s="44" t="str">
        <f t="shared" si="0"/>
        <v>2022E</v>
      </c>
      <c r="CH9" s="44" t="str">
        <f t="shared" si="0"/>
        <v>2023E</v>
      </c>
    </row>
    <row r="10" spans="1:154" s="240" customFormat="1" ht="6" customHeight="1">
      <c r="A10" s="85"/>
      <c r="B10" s="85"/>
      <c r="C10" s="85"/>
      <c r="D10" s="85"/>
      <c r="E10" s="85"/>
      <c r="F10" s="85"/>
      <c r="G10" s="85"/>
      <c r="H10" s="560"/>
      <c r="I10" s="560"/>
      <c r="J10" s="1007"/>
      <c r="K10" s="557"/>
      <c r="L10" s="243"/>
      <c r="M10" s="243"/>
      <c r="N10" s="243"/>
      <c r="O10" s="243"/>
      <c r="P10" s="244"/>
      <c r="Q10" s="243"/>
      <c r="R10" s="243"/>
      <c r="S10" s="243"/>
      <c r="T10" s="243"/>
      <c r="U10" s="244"/>
      <c r="V10" s="243"/>
      <c r="W10" s="243"/>
      <c r="X10" s="243"/>
      <c r="Y10" s="243"/>
      <c r="Z10" s="244"/>
      <c r="AA10" s="243"/>
      <c r="AB10" s="243"/>
      <c r="AC10" s="243"/>
      <c r="AD10" s="243"/>
      <c r="AE10" s="244"/>
      <c r="AF10" s="243"/>
      <c r="AG10" s="243"/>
      <c r="AH10" s="243"/>
      <c r="AI10" s="243"/>
      <c r="AJ10" s="244"/>
      <c r="AK10" s="243"/>
      <c r="AL10" s="243"/>
      <c r="AM10" s="243"/>
      <c r="AN10" s="243"/>
      <c r="AO10" s="244"/>
      <c r="AP10" s="243"/>
      <c r="AQ10" s="243"/>
      <c r="AR10" s="243"/>
      <c r="AS10" s="243"/>
      <c r="AT10" s="244"/>
      <c r="AU10" s="243"/>
      <c r="AV10" s="243"/>
      <c r="AW10" s="243"/>
      <c r="AX10" s="243"/>
      <c r="AY10" s="244"/>
      <c r="AZ10" s="243"/>
      <c r="BA10" s="243"/>
      <c r="BB10" s="243"/>
      <c r="BC10" s="243"/>
      <c r="BD10" s="244"/>
      <c r="BE10" s="243"/>
      <c r="BF10" s="243"/>
      <c r="BG10" s="243"/>
      <c r="BH10" s="243"/>
      <c r="BI10" s="244"/>
      <c r="BJ10" s="243"/>
      <c r="BK10" s="243"/>
      <c r="BL10" s="243"/>
      <c r="BM10" s="243"/>
      <c r="BN10" s="244"/>
      <c r="BO10" s="243"/>
      <c r="BP10" s="243"/>
      <c r="BQ10" s="243"/>
      <c r="BR10" s="243"/>
      <c r="BS10" s="244"/>
      <c r="BT10" s="243"/>
      <c r="BU10" s="243"/>
      <c r="BV10" s="243"/>
      <c r="BW10" s="243"/>
      <c r="BX10" s="244"/>
      <c r="BY10" s="243"/>
      <c r="BZ10" s="243"/>
      <c r="CA10" s="243"/>
      <c r="CB10" s="243"/>
      <c r="CC10" s="244"/>
      <c r="CD10" s="244"/>
      <c r="CE10" s="244"/>
      <c r="CF10" s="244"/>
      <c r="CG10" s="244"/>
      <c r="CH10" s="244"/>
    </row>
    <row r="11" spans="1:154" s="76" customFormat="1" ht="13.5">
      <c r="A11" s="85"/>
      <c r="B11" s="85"/>
      <c r="C11" s="85"/>
      <c r="D11" s="85"/>
      <c r="E11" s="85"/>
      <c r="F11" s="85"/>
      <c r="G11" s="85"/>
      <c r="H11" s="564" t="s">
        <v>935</v>
      </c>
      <c r="I11" s="562"/>
      <c r="J11" s="1008"/>
      <c r="K11" s="705"/>
      <c r="L11" s="258"/>
      <c r="M11" s="258"/>
      <c r="N11" s="258"/>
      <c r="O11" s="258"/>
      <c r="P11" s="79"/>
      <c r="Q11" s="258"/>
      <c r="R11" s="258"/>
      <c r="S11" s="258"/>
      <c r="T11" s="258"/>
      <c r="U11" s="79"/>
      <c r="V11" s="258"/>
      <c r="W11" s="258"/>
      <c r="X11" s="258"/>
      <c r="Y11" s="258"/>
      <c r="Z11" s="79"/>
      <c r="AA11" s="258"/>
      <c r="AB11" s="258"/>
      <c r="AC11" s="258"/>
      <c r="AD11" s="258"/>
      <c r="AE11" s="79"/>
      <c r="AF11" s="258"/>
      <c r="AG11" s="258"/>
      <c r="AH11" s="258"/>
      <c r="AI11" s="258"/>
      <c r="AJ11" s="79"/>
      <c r="AK11" s="258"/>
      <c r="AL11" s="258"/>
      <c r="AM11" s="258"/>
      <c r="AN11" s="258"/>
      <c r="AO11" s="79"/>
      <c r="AP11" s="258"/>
      <c r="AQ11" s="258"/>
      <c r="AR11" s="258"/>
      <c r="AS11" s="258"/>
      <c r="AT11" s="79"/>
      <c r="AU11" s="258"/>
      <c r="AV11" s="258"/>
      <c r="AW11" s="258"/>
      <c r="AX11" s="258"/>
      <c r="AY11" s="79"/>
      <c r="AZ11" s="258"/>
      <c r="BA11" s="258"/>
      <c r="BB11" s="258"/>
      <c r="BC11" s="258"/>
      <c r="BD11" s="79"/>
      <c r="BE11" s="258">
        <f>$K11*PIPELINE_UNADJ!BE11</f>
        <v>0</v>
      </c>
      <c r="BF11" s="258">
        <f>$K11*PIPELINE_UNADJ!BF11</f>
        <v>0</v>
      </c>
      <c r="BG11" s="258">
        <f>$K11*PIPELINE_UNADJ!BG11</f>
        <v>0</v>
      </c>
      <c r="BH11" s="258">
        <f>$K11*PIPELINE_UNADJ!BH11</f>
        <v>0</v>
      </c>
      <c r="BI11" s="79"/>
      <c r="BJ11" s="258"/>
      <c r="BK11" s="258"/>
      <c r="BL11" s="258"/>
      <c r="BM11" s="258"/>
      <c r="BN11" s="79"/>
      <c r="BO11" s="258"/>
      <c r="BP11" s="258"/>
      <c r="BQ11" s="258"/>
      <c r="BR11" s="258"/>
      <c r="BS11" s="79"/>
      <c r="BT11" s="265">
        <f>SUM(BT12:BT13)</f>
        <v>0</v>
      </c>
      <c r="BU11" s="265">
        <f>SUM(BU12:BU13)</f>
        <v>0</v>
      </c>
      <c r="BV11" s="265">
        <f>SUM(BV12:BV13)</f>
        <v>0</v>
      </c>
      <c r="BW11" s="265">
        <f>SUM(BW12:BW13)</f>
        <v>0</v>
      </c>
      <c r="BX11" s="79">
        <f>$K11*PIPELINE_UNADJ!BX11</f>
        <v>0</v>
      </c>
      <c r="BY11" s="265">
        <f t="shared" ref="BY11:CH11" si="1">SUM(BY12:BY13)</f>
        <v>0</v>
      </c>
      <c r="BZ11" s="265">
        <f t="shared" si="1"/>
        <v>0</v>
      </c>
      <c r="CA11" s="265">
        <f t="shared" si="1"/>
        <v>5</v>
      </c>
      <c r="CB11" s="265">
        <f t="shared" si="1"/>
        <v>17</v>
      </c>
      <c r="CC11" s="264">
        <f t="shared" si="1"/>
        <v>22</v>
      </c>
      <c r="CD11" s="264">
        <f t="shared" si="1"/>
        <v>142</v>
      </c>
      <c r="CE11" s="264">
        <f t="shared" si="1"/>
        <v>319.5</v>
      </c>
      <c r="CF11" s="264">
        <f t="shared" si="1"/>
        <v>488.70000000000005</v>
      </c>
      <c r="CG11" s="264">
        <f t="shared" si="1"/>
        <v>616.68000000000006</v>
      </c>
      <c r="CH11" s="264">
        <f t="shared" si="1"/>
        <v>699.51600000000008</v>
      </c>
    </row>
    <row r="12" spans="1:154" s="76" customFormat="1" ht="13.5">
      <c r="A12" s="85"/>
      <c r="B12" s="85"/>
      <c r="C12" s="85"/>
      <c r="D12" s="85"/>
      <c r="E12" s="85"/>
      <c r="F12" s="85"/>
      <c r="G12" s="85"/>
      <c r="H12" s="562" t="s">
        <v>231</v>
      </c>
      <c r="I12" s="562"/>
      <c r="J12" s="1008" t="s">
        <v>1075</v>
      </c>
      <c r="K12" s="705">
        <v>1</v>
      </c>
      <c r="L12" s="258"/>
      <c r="M12" s="258"/>
      <c r="N12" s="258"/>
      <c r="O12" s="258"/>
      <c r="P12" s="79"/>
      <c r="Q12" s="258"/>
      <c r="R12" s="258"/>
      <c r="S12" s="258"/>
      <c r="T12" s="258"/>
      <c r="U12" s="79"/>
      <c r="V12" s="258"/>
      <c r="W12" s="258"/>
      <c r="X12" s="258"/>
      <c r="Y12" s="258"/>
      <c r="Z12" s="79"/>
      <c r="AA12" s="258"/>
      <c r="AB12" s="258"/>
      <c r="AC12" s="258"/>
      <c r="AD12" s="258"/>
      <c r="AE12" s="79"/>
      <c r="AF12" s="258"/>
      <c r="AG12" s="258"/>
      <c r="AH12" s="258"/>
      <c r="AI12" s="258"/>
      <c r="AJ12" s="79"/>
      <c r="AK12" s="258"/>
      <c r="AL12" s="258"/>
      <c r="AM12" s="258"/>
      <c r="AN12" s="258"/>
      <c r="AO12" s="79"/>
      <c r="AP12" s="258"/>
      <c r="AQ12" s="258"/>
      <c r="AR12" s="258"/>
      <c r="AS12" s="258"/>
      <c r="AT12" s="79"/>
      <c r="AU12" s="258"/>
      <c r="AV12" s="258"/>
      <c r="AW12" s="258"/>
      <c r="AX12" s="258"/>
      <c r="AY12" s="79"/>
      <c r="AZ12" s="258"/>
      <c r="BA12" s="258"/>
      <c r="BB12" s="258"/>
      <c r="BC12" s="258"/>
      <c r="BD12" s="79"/>
      <c r="BE12" s="258">
        <f>$K12*PIPELINE_UNADJ!BE12</f>
        <v>0</v>
      </c>
      <c r="BF12" s="258">
        <f>$K12*PIPELINE_UNADJ!BF12</f>
        <v>0</v>
      </c>
      <c r="BG12" s="258">
        <f>$K12*PIPELINE_UNADJ!BG12</f>
        <v>0</v>
      </c>
      <c r="BH12" s="258">
        <f>$K12*PIPELINE_UNADJ!BH12</f>
        <v>0</v>
      </c>
      <c r="BI12" s="79"/>
      <c r="BJ12" s="258"/>
      <c r="BK12" s="258"/>
      <c r="BL12" s="258"/>
      <c r="BM12" s="258"/>
      <c r="BN12" s="79"/>
      <c r="BO12" s="258"/>
      <c r="BP12" s="258"/>
      <c r="BQ12" s="258"/>
      <c r="BR12" s="258"/>
      <c r="BS12" s="79"/>
      <c r="BT12" s="258">
        <f>$K12*PIPELINE_UNADJ!BT12</f>
        <v>0</v>
      </c>
      <c r="BU12" s="258">
        <f>$K12*PIPELINE_UNADJ!BU12</f>
        <v>0</v>
      </c>
      <c r="BV12" s="258">
        <f>$K12*PIPELINE_UNADJ!BV12</f>
        <v>0</v>
      </c>
      <c r="BW12" s="258">
        <f>$K12*PIPELINE_UNADJ!BW12</f>
        <v>0</v>
      </c>
      <c r="BX12" s="79">
        <f>$K12*PIPELINE_UNADJ!BX12</f>
        <v>0</v>
      </c>
      <c r="BY12" s="258">
        <f>$K12*PIPELINE_UNADJ!BY12</f>
        <v>0</v>
      </c>
      <c r="BZ12" s="258">
        <f>$K12*PIPELINE_UNADJ!BZ12</f>
        <v>0</v>
      </c>
      <c r="CA12" s="258">
        <f>$K12*PIPELINE_UNADJ!CA12</f>
        <v>5</v>
      </c>
      <c r="CB12" s="258">
        <f>$K12*PIPELINE_UNADJ!CB12</f>
        <v>15</v>
      </c>
      <c r="CC12" s="79">
        <f>$K12*PIPELINE_UNADJ!CC12</f>
        <v>20</v>
      </c>
      <c r="CD12" s="79">
        <f>$K12*PIPELINE_UNADJ!CD12</f>
        <v>100</v>
      </c>
      <c r="CE12" s="79">
        <f>$K12*PIPELINE_UNADJ!CE12</f>
        <v>225</v>
      </c>
      <c r="CF12" s="79">
        <f>$K12*PIPELINE_UNADJ!CF12</f>
        <v>337.5</v>
      </c>
      <c r="CG12" s="79">
        <f>$K12*PIPELINE_UNADJ!CG12</f>
        <v>405</v>
      </c>
      <c r="CH12" s="79">
        <f>$K12*PIPELINE_UNADJ!CH12</f>
        <v>445.50000000000006</v>
      </c>
    </row>
    <row r="13" spans="1:154" s="76" customFormat="1" ht="13.5">
      <c r="A13" s="85"/>
      <c r="B13" s="85"/>
      <c r="C13" s="85"/>
      <c r="D13" s="85"/>
      <c r="E13" s="85"/>
      <c r="F13" s="85"/>
      <c r="G13" s="85"/>
      <c r="H13" s="562" t="s">
        <v>232</v>
      </c>
      <c r="I13" s="562"/>
      <c r="J13" s="1008">
        <v>3</v>
      </c>
      <c r="K13" s="705">
        <v>1</v>
      </c>
      <c r="L13" s="258"/>
      <c r="M13" s="258"/>
      <c r="N13" s="258"/>
      <c r="O13" s="258"/>
      <c r="P13" s="79"/>
      <c r="Q13" s="258"/>
      <c r="R13" s="258"/>
      <c r="S13" s="258"/>
      <c r="T13" s="258"/>
      <c r="U13" s="79"/>
      <c r="V13" s="258"/>
      <c r="W13" s="258"/>
      <c r="X13" s="258"/>
      <c r="Y13" s="258"/>
      <c r="Z13" s="79"/>
      <c r="AA13" s="258"/>
      <c r="AB13" s="258"/>
      <c r="AC13" s="258"/>
      <c r="AD13" s="258"/>
      <c r="AE13" s="79"/>
      <c r="AF13" s="258"/>
      <c r="AG13" s="258"/>
      <c r="AH13" s="258"/>
      <c r="AI13" s="258"/>
      <c r="AJ13" s="79"/>
      <c r="AK13" s="258"/>
      <c r="AL13" s="258"/>
      <c r="AM13" s="258"/>
      <c r="AN13" s="258"/>
      <c r="AO13" s="79"/>
      <c r="AP13" s="258"/>
      <c r="AQ13" s="258"/>
      <c r="AR13" s="258"/>
      <c r="AS13" s="258"/>
      <c r="AT13" s="79"/>
      <c r="AU13" s="258"/>
      <c r="AV13" s="258"/>
      <c r="AW13" s="258"/>
      <c r="AX13" s="258"/>
      <c r="AY13" s="79"/>
      <c r="AZ13" s="258"/>
      <c r="BA13" s="258"/>
      <c r="BB13" s="258"/>
      <c r="BC13" s="258"/>
      <c r="BD13" s="79"/>
      <c r="BE13" s="258">
        <f>$K13*PIPELINE_UNADJ!BE13</f>
        <v>0</v>
      </c>
      <c r="BF13" s="258">
        <f>$K13*PIPELINE_UNADJ!BF13</f>
        <v>0</v>
      </c>
      <c r="BG13" s="258">
        <f>$K13*PIPELINE_UNADJ!BG13</f>
        <v>0</v>
      </c>
      <c r="BH13" s="258">
        <f>$K13*PIPELINE_UNADJ!BH13</f>
        <v>0</v>
      </c>
      <c r="BI13" s="79"/>
      <c r="BJ13" s="258"/>
      <c r="BK13" s="258"/>
      <c r="BL13" s="258"/>
      <c r="BM13" s="258"/>
      <c r="BN13" s="79"/>
      <c r="BO13" s="258"/>
      <c r="BP13" s="258"/>
      <c r="BQ13" s="258"/>
      <c r="BR13" s="258"/>
      <c r="BS13" s="79"/>
      <c r="BT13" s="258">
        <f>$K13*PIPELINE_UNADJ!BT13</f>
        <v>0</v>
      </c>
      <c r="BU13" s="258">
        <f>$K13*PIPELINE_UNADJ!BU13</f>
        <v>0</v>
      </c>
      <c r="BV13" s="258">
        <f>$K13*PIPELINE_UNADJ!BV13</f>
        <v>0</v>
      </c>
      <c r="BW13" s="258">
        <f>$K13*PIPELINE_UNADJ!BW13</f>
        <v>0</v>
      </c>
      <c r="BX13" s="79">
        <f>$K13*PIPELINE_UNADJ!BX13</f>
        <v>0</v>
      </c>
      <c r="BY13" s="258">
        <f>$K13*PIPELINE_UNADJ!BY13</f>
        <v>0</v>
      </c>
      <c r="BZ13" s="258">
        <f>$K13*PIPELINE_UNADJ!BZ13</f>
        <v>0</v>
      </c>
      <c r="CA13" s="258">
        <f>$K13*PIPELINE_UNADJ!CA13</f>
        <v>0</v>
      </c>
      <c r="CB13" s="258">
        <f>$K13*PIPELINE_UNADJ!CB13</f>
        <v>2</v>
      </c>
      <c r="CC13" s="79">
        <f>$K13*PIPELINE_UNADJ!CC13</f>
        <v>2</v>
      </c>
      <c r="CD13" s="79">
        <f>$K13*PIPELINE_UNADJ!CD13</f>
        <v>42</v>
      </c>
      <c r="CE13" s="79">
        <f>$K13*PIPELINE_UNADJ!CE13</f>
        <v>94.5</v>
      </c>
      <c r="CF13" s="79">
        <f>$K13*PIPELINE_UNADJ!CF13</f>
        <v>151.20000000000002</v>
      </c>
      <c r="CG13" s="79">
        <f>$K13*PIPELINE_UNADJ!CG13</f>
        <v>211.68</v>
      </c>
      <c r="CH13" s="79">
        <f>$K13*PIPELINE_UNADJ!CH13</f>
        <v>254.01599999999999</v>
      </c>
    </row>
    <row r="14" spans="1:154" s="76" customFormat="1" ht="13.5">
      <c r="A14" s="85"/>
      <c r="B14" s="85"/>
      <c r="C14" s="85"/>
      <c r="D14" s="85"/>
      <c r="E14" s="85"/>
      <c r="F14" s="85"/>
      <c r="G14" s="85"/>
      <c r="H14" s="564" t="s">
        <v>1011</v>
      </c>
      <c r="I14" s="564"/>
      <c r="J14" s="1006"/>
      <c r="L14" s="265"/>
      <c r="M14" s="265"/>
      <c r="N14" s="265"/>
      <c r="O14" s="265"/>
      <c r="P14" s="264"/>
      <c r="Q14" s="265"/>
      <c r="R14" s="265"/>
      <c r="S14" s="265"/>
      <c r="T14" s="265"/>
      <c r="U14" s="264"/>
      <c r="V14" s="265"/>
      <c r="W14" s="265"/>
      <c r="X14" s="265"/>
      <c r="Y14" s="265"/>
      <c r="Z14" s="264"/>
      <c r="AA14" s="265"/>
      <c r="AB14" s="265"/>
      <c r="AC14" s="265"/>
      <c r="AD14" s="265"/>
      <c r="AE14" s="264"/>
      <c r="AF14" s="265"/>
      <c r="AG14" s="265"/>
      <c r="AH14" s="265"/>
      <c r="AI14" s="265"/>
      <c r="AJ14" s="266">
        <f>SUM(AJ15:AJ16)</f>
        <v>0</v>
      </c>
      <c r="AK14" s="265"/>
      <c r="AL14" s="265"/>
      <c r="AM14" s="265"/>
      <c r="AN14" s="265"/>
      <c r="AO14" s="266">
        <f>SUM(AO15:AO16)</f>
        <v>0</v>
      </c>
      <c r="AP14" s="265"/>
      <c r="AQ14" s="265"/>
      <c r="AR14" s="265"/>
      <c r="AS14" s="265"/>
      <c r="AT14" s="266">
        <f>SUM(AT15:AT16)</f>
        <v>0</v>
      </c>
      <c r="AU14" s="265"/>
      <c r="AV14" s="265"/>
      <c r="AW14" s="265"/>
      <c r="AX14" s="265"/>
      <c r="AY14" s="266">
        <f>SUM(AY15:AY16)</f>
        <v>0</v>
      </c>
      <c r="AZ14" s="265"/>
      <c r="BA14" s="265"/>
      <c r="BB14" s="265"/>
      <c r="BC14" s="265"/>
      <c r="BD14" s="264"/>
      <c r="BE14" s="265"/>
      <c r="BF14" s="265"/>
      <c r="BG14" s="265"/>
      <c r="BH14" s="265"/>
      <c r="BI14" s="264"/>
      <c r="BJ14" s="265"/>
      <c r="BK14" s="265"/>
      <c r="BL14" s="265"/>
      <c r="BM14" s="265"/>
      <c r="BN14" s="264"/>
      <c r="BO14" s="265"/>
      <c r="BP14" s="265"/>
      <c r="BQ14" s="265"/>
      <c r="BR14" s="265"/>
      <c r="BS14" s="264"/>
      <c r="BT14" s="265">
        <f t="shared" ref="BT14:CH14" si="2">SUM(BT15:BT16)</f>
        <v>0</v>
      </c>
      <c r="BU14" s="265">
        <f t="shared" si="2"/>
        <v>0</v>
      </c>
      <c r="BV14" s="265">
        <f t="shared" si="2"/>
        <v>0</v>
      </c>
      <c r="BW14" s="265">
        <f t="shared" si="2"/>
        <v>0</v>
      </c>
      <c r="BX14" s="264">
        <f t="shared" si="2"/>
        <v>0</v>
      </c>
      <c r="BY14" s="265">
        <f t="shared" si="2"/>
        <v>0</v>
      </c>
      <c r="BZ14" s="265">
        <f t="shared" si="2"/>
        <v>0</v>
      </c>
      <c r="CA14" s="265">
        <f t="shared" si="2"/>
        <v>0</v>
      </c>
      <c r="CB14" s="265">
        <f t="shared" si="2"/>
        <v>0</v>
      </c>
      <c r="CC14" s="264">
        <f t="shared" si="2"/>
        <v>0</v>
      </c>
      <c r="CD14" s="264">
        <f t="shared" si="2"/>
        <v>10.4</v>
      </c>
      <c r="CE14" s="264">
        <f t="shared" si="2"/>
        <v>94.4</v>
      </c>
      <c r="CF14" s="264">
        <f t="shared" si="2"/>
        <v>219</v>
      </c>
      <c r="CG14" s="264">
        <f t="shared" si="2"/>
        <v>345</v>
      </c>
      <c r="CH14" s="264">
        <f t="shared" si="2"/>
        <v>425.55000000000007</v>
      </c>
    </row>
    <row r="15" spans="1:154" s="76" customFormat="1" ht="13.5">
      <c r="A15" s="85"/>
      <c r="B15" s="85"/>
      <c r="C15" s="85"/>
      <c r="D15" s="85"/>
      <c r="E15" s="85"/>
      <c r="F15" s="85"/>
      <c r="G15" s="85"/>
      <c r="H15" s="565" t="s">
        <v>231</v>
      </c>
      <c r="I15" s="565"/>
      <c r="J15" s="1006">
        <v>3</v>
      </c>
      <c r="K15" s="705">
        <v>0.8</v>
      </c>
      <c r="L15" s="258"/>
      <c r="M15" s="258"/>
      <c r="N15" s="258"/>
      <c r="O15" s="258"/>
      <c r="P15" s="79"/>
      <c r="Q15" s="258"/>
      <c r="R15" s="258"/>
      <c r="S15" s="258"/>
      <c r="T15" s="258"/>
      <c r="U15" s="79"/>
      <c r="V15" s="258"/>
      <c r="W15" s="258"/>
      <c r="X15" s="258"/>
      <c r="Y15" s="258"/>
      <c r="Z15" s="79"/>
      <c r="AA15" s="258"/>
      <c r="AB15" s="258"/>
      <c r="AC15" s="258"/>
      <c r="AD15" s="258"/>
      <c r="AE15" s="79"/>
      <c r="AF15" s="258"/>
      <c r="AG15" s="258"/>
      <c r="AH15" s="258"/>
      <c r="AI15" s="258"/>
      <c r="AJ15" s="79">
        <f>$K15*PIPELINE_UNADJ!AJ15</f>
        <v>0</v>
      </c>
      <c r="AK15" s="258"/>
      <c r="AL15" s="258"/>
      <c r="AM15" s="258"/>
      <c r="AN15" s="258"/>
      <c r="AO15" s="79">
        <f>$K15*PIPELINE_UNADJ!AO15</f>
        <v>0</v>
      </c>
      <c r="AP15" s="258"/>
      <c r="AQ15" s="258"/>
      <c r="AR15" s="258"/>
      <c r="AS15" s="258"/>
      <c r="AT15" s="79">
        <f>$K15*PIPELINE_UNADJ!AT15</f>
        <v>0</v>
      </c>
      <c r="AU15" s="258"/>
      <c r="AV15" s="258"/>
      <c r="AW15" s="258"/>
      <c r="AX15" s="258"/>
      <c r="AY15" s="79">
        <f>$K15*PIPELINE_UNADJ!AY15</f>
        <v>0</v>
      </c>
      <c r="AZ15" s="258"/>
      <c r="BA15" s="258"/>
      <c r="BB15" s="258"/>
      <c r="BC15" s="258"/>
      <c r="BD15" s="79"/>
      <c r="BE15" s="258"/>
      <c r="BF15" s="258"/>
      <c r="BG15" s="258"/>
      <c r="BH15" s="258"/>
      <c r="BI15" s="79"/>
      <c r="BJ15" s="258"/>
      <c r="BK15" s="258"/>
      <c r="BL15" s="258"/>
      <c r="BM15" s="258"/>
      <c r="BN15" s="79"/>
      <c r="BO15" s="258"/>
      <c r="BP15" s="258"/>
      <c r="BQ15" s="258"/>
      <c r="BR15" s="258"/>
      <c r="BS15" s="79"/>
      <c r="BT15" s="258">
        <f>$K15*PIPELINE_UNADJ!BT15</f>
        <v>0</v>
      </c>
      <c r="BU15" s="258">
        <f>$K15*PIPELINE_UNADJ!BU15</f>
        <v>0</v>
      </c>
      <c r="BV15" s="258">
        <f>$K15*PIPELINE_UNADJ!BV15</f>
        <v>0</v>
      </c>
      <c r="BW15" s="258">
        <f>$K15*PIPELINE_UNADJ!BW15</f>
        <v>0</v>
      </c>
      <c r="BX15" s="79">
        <f>$K15*PIPELINE_UNADJ!BX15</f>
        <v>0</v>
      </c>
      <c r="BY15" s="258">
        <f>$K15*PIPELINE_UNADJ!BY15</f>
        <v>0</v>
      </c>
      <c r="BZ15" s="258">
        <f>$K15*PIPELINE_UNADJ!BZ15</f>
        <v>0</v>
      </c>
      <c r="CA15" s="258">
        <f>$K15*PIPELINE_UNADJ!CA15</f>
        <v>0</v>
      </c>
      <c r="CB15" s="258">
        <f>$K15*PIPELINE_UNADJ!CB15</f>
        <v>0</v>
      </c>
      <c r="CC15" s="79">
        <f>$K15*PIPELINE_UNADJ!CC15</f>
        <v>0</v>
      </c>
      <c r="CD15" s="79">
        <f>$K15*PIPELINE_UNADJ!CD15</f>
        <v>8</v>
      </c>
      <c r="CE15" s="79">
        <f>$K15*PIPELINE_UNADJ!CE15</f>
        <v>68</v>
      </c>
      <c r="CF15" s="79">
        <f>$K15*PIPELINE_UNADJ!CF15</f>
        <v>153</v>
      </c>
      <c r="CG15" s="79">
        <f>$K15*PIPELINE_UNADJ!CG15</f>
        <v>229.5</v>
      </c>
      <c r="CH15" s="79">
        <f>$K15*PIPELINE_UNADJ!CH15</f>
        <v>275.40000000000003</v>
      </c>
    </row>
    <row r="16" spans="1:154" s="76" customFormat="1" ht="13.5">
      <c r="A16" s="85"/>
      <c r="B16" s="85"/>
      <c r="C16" s="85"/>
      <c r="D16" s="85"/>
      <c r="E16" s="85"/>
      <c r="F16" s="85"/>
      <c r="G16" s="85"/>
      <c r="H16" s="565" t="s">
        <v>232</v>
      </c>
      <c r="I16" s="565"/>
      <c r="J16" s="1006">
        <v>3</v>
      </c>
      <c r="K16" s="705">
        <v>0.8</v>
      </c>
      <c r="L16" s="258"/>
      <c r="M16" s="258"/>
      <c r="N16" s="258"/>
      <c r="O16" s="258"/>
      <c r="P16" s="79"/>
      <c r="Q16" s="258"/>
      <c r="R16" s="258"/>
      <c r="S16" s="258"/>
      <c r="T16" s="258"/>
      <c r="U16" s="79"/>
      <c r="V16" s="258"/>
      <c r="W16" s="258"/>
      <c r="X16" s="258"/>
      <c r="Y16" s="258"/>
      <c r="Z16" s="79"/>
      <c r="AA16" s="258"/>
      <c r="AB16" s="258"/>
      <c r="AC16" s="258"/>
      <c r="AD16" s="258"/>
      <c r="AE16" s="79"/>
      <c r="AF16" s="258"/>
      <c r="AG16" s="258"/>
      <c r="AH16" s="258"/>
      <c r="AI16" s="258"/>
      <c r="AJ16" s="79">
        <f>$K15*PIPELINE_UNADJ!AJ16</f>
        <v>0</v>
      </c>
      <c r="AK16" s="258"/>
      <c r="AL16" s="258"/>
      <c r="AM16" s="258"/>
      <c r="AN16" s="258"/>
      <c r="AO16" s="79">
        <f>$K16*PIPELINE_UNADJ!AO16</f>
        <v>0</v>
      </c>
      <c r="AP16" s="258"/>
      <c r="AQ16" s="258"/>
      <c r="AR16" s="258"/>
      <c r="AS16" s="258"/>
      <c r="AT16" s="79">
        <f>$K16*PIPELINE_UNADJ!AT16</f>
        <v>0</v>
      </c>
      <c r="AU16" s="258"/>
      <c r="AV16" s="258"/>
      <c r="AW16" s="258"/>
      <c r="AX16" s="258"/>
      <c r="AY16" s="79">
        <f>$K16*PIPELINE_UNADJ!AY16</f>
        <v>0</v>
      </c>
      <c r="AZ16" s="258"/>
      <c r="BA16" s="258"/>
      <c r="BB16" s="258"/>
      <c r="BC16" s="258"/>
      <c r="BD16" s="79"/>
      <c r="BE16" s="258"/>
      <c r="BF16" s="258"/>
      <c r="BG16" s="258"/>
      <c r="BH16" s="258"/>
      <c r="BI16" s="79"/>
      <c r="BJ16" s="258"/>
      <c r="BK16" s="258"/>
      <c r="BL16" s="258"/>
      <c r="BM16" s="258"/>
      <c r="BN16" s="79"/>
      <c r="BO16" s="258"/>
      <c r="BP16" s="258"/>
      <c r="BQ16" s="258"/>
      <c r="BR16" s="258"/>
      <c r="BS16" s="79"/>
      <c r="BT16" s="258">
        <f>$K16*PIPELINE_UNADJ!BT16</f>
        <v>0</v>
      </c>
      <c r="BU16" s="258">
        <f>$K16*PIPELINE_UNADJ!BU16</f>
        <v>0</v>
      </c>
      <c r="BV16" s="258">
        <f>$K16*PIPELINE_UNADJ!BV16</f>
        <v>0</v>
      </c>
      <c r="BW16" s="258">
        <f>$K16*PIPELINE_UNADJ!BW16</f>
        <v>0</v>
      </c>
      <c r="BX16" s="79">
        <f>$K16*PIPELINE_UNADJ!BX16</f>
        <v>0</v>
      </c>
      <c r="BY16" s="258">
        <f>$K16*PIPELINE_UNADJ!BY16</f>
        <v>0</v>
      </c>
      <c r="BZ16" s="258">
        <f>$K16*PIPELINE_UNADJ!BZ16</f>
        <v>0</v>
      </c>
      <c r="CA16" s="258">
        <f>$K16*PIPELINE_UNADJ!CA16</f>
        <v>0</v>
      </c>
      <c r="CB16" s="258">
        <f>$K16*PIPELINE_UNADJ!CB16</f>
        <v>0</v>
      </c>
      <c r="CC16" s="79">
        <f>$K16*PIPELINE_UNADJ!CC16</f>
        <v>0</v>
      </c>
      <c r="CD16" s="79">
        <f>$K16*PIPELINE_UNADJ!CD16</f>
        <v>2.4000000000000004</v>
      </c>
      <c r="CE16" s="79">
        <f>$K16*PIPELINE_UNADJ!CE16</f>
        <v>26.400000000000002</v>
      </c>
      <c r="CF16" s="79">
        <f>$K16*PIPELINE_UNADJ!CF16</f>
        <v>66</v>
      </c>
      <c r="CG16" s="79">
        <f>$K16*PIPELINE_UNADJ!CG16</f>
        <v>115.5</v>
      </c>
      <c r="CH16" s="79">
        <f>$K16*PIPELINE_UNADJ!CH16</f>
        <v>150.15</v>
      </c>
    </row>
    <row r="17" spans="1:86" s="76" customFormat="1" ht="13.5">
      <c r="A17" s="85"/>
      <c r="B17" s="85"/>
      <c r="C17" s="85"/>
      <c r="D17" s="85"/>
      <c r="E17" s="85"/>
      <c r="F17" s="85"/>
      <c r="G17" s="85"/>
      <c r="H17" s="564" t="s">
        <v>1013</v>
      </c>
      <c r="I17" s="564"/>
      <c r="J17" s="1006"/>
      <c r="L17" s="265"/>
      <c r="M17" s="265"/>
      <c r="N17" s="265"/>
      <c r="O17" s="265"/>
      <c r="P17" s="264"/>
      <c r="Q17" s="265"/>
      <c r="R17" s="265"/>
      <c r="S17" s="265"/>
      <c r="T17" s="265"/>
      <c r="U17" s="264"/>
      <c r="V17" s="265"/>
      <c r="W17" s="265"/>
      <c r="X17" s="265"/>
      <c r="Y17" s="265"/>
      <c r="Z17" s="264"/>
      <c r="AA17" s="265"/>
      <c r="AB17" s="265"/>
      <c r="AC17" s="265"/>
      <c r="AD17" s="265"/>
      <c r="AE17" s="264"/>
      <c r="AF17" s="265"/>
      <c r="AG17" s="265"/>
      <c r="AH17" s="265"/>
      <c r="AI17" s="265"/>
      <c r="AJ17" s="266">
        <f>SUM(AJ18:AJ19)</f>
        <v>0</v>
      </c>
      <c r="AK17" s="265"/>
      <c r="AL17" s="265"/>
      <c r="AM17" s="265"/>
      <c r="AN17" s="265"/>
      <c r="AO17" s="266">
        <f>SUM(AO18:AO19)</f>
        <v>0</v>
      </c>
      <c r="AP17" s="265"/>
      <c r="AQ17" s="265"/>
      <c r="AR17" s="265"/>
      <c r="AS17" s="265"/>
      <c r="AT17" s="266">
        <f>SUM(AT18:AT19)</f>
        <v>0</v>
      </c>
      <c r="AU17" s="265"/>
      <c r="AV17" s="265"/>
      <c r="AW17" s="265"/>
      <c r="AX17" s="265"/>
      <c r="AY17" s="266">
        <f>SUM(AY18:AY19)</f>
        <v>0</v>
      </c>
      <c r="AZ17" s="265"/>
      <c r="BA17" s="265"/>
      <c r="BB17" s="265"/>
      <c r="BC17" s="265"/>
      <c r="BE17" s="265">
        <f>SUM(BE18:BE19)</f>
        <v>0</v>
      </c>
      <c r="BF17" s="265">
        <f>SUM(BF18:BF19)</f>
        <v>0</v>
      </c>
      <c r="BG17" s="265">
        <f>SUM(BG18:BG19)</f>
        <v>0</v>
      </c>
      <c r="BH17" s="265">
        <f>SUM(BH18:BH19)</f>
        <v>0</v>
      </c>
      <c r="BI17" s="264"/>
      <c r="BJ17" s="265"/>
      <c r="BK17" s="265"/>
      <c r="BL17" s="265"/>
      <c r="BM17" s="265"/>
      <c r="BN17" s="264" t="s">
        <v>1030</v>
      </c>
      <c r="BO17" s="265"/>
      <c r="BP17" s="265"/>
      <c r="BQ17" s="265"/>
      <c r="BR17" s="265"/>
      <c r="BS17" s="264"/>
      <c r="BT17" s="265">
        <f t="shared" ref="BT17:CH17" si="3">SUM(BT18:BT19)</f>
        <v>0</v>
      </c>
      <c r="BU17" s="265">
        <f t="shared" si="3"/>
        <v>0</v>
      </c>
      <c r="BV17" s="265">
        <f t="shared" si="3"/>
        <v>0</v>
      </c>
      <c r="BW17" s="265">
        <f t="shared" si="3"/>
        <v>0</v>
      </c>
      <c r="BX17" s="264">
        <f t="shared" si="3"/>
        <v>0</v>
      </c>
      <c r="BY17" s="265">
        <f t="shared" si="3"/>
        <v>0</v>
      </c>
      <c r="BZ17" s="265">
        <f t="shared" si="3"/>
        <v>0</v>
      </c>
      <c r="CA17" s="265">
        <f t="shared" si="3"/>
        <v>0</v>
      </c>
      <c r="CB17" s="265">
        <f t="shared" si="3"/>
        <v>0</v>
      </c>
      <c r="CC17" s="264">
        <f t="shared" si="3"/>
        <v>0</v>
      </c>
      <c r="CD17" s="264">
        <f t="shared" si="3"/>
        <v>0.125</v>
      </c>
      <c r="CE17" s="264">
        <f t="shared" si="3"/>
        <v>21.375</v>
      </c>
      <c r="CF17" s="264">
        <f t="shared" si="3"/>
        <v>62.85</v>
      </c>
      <c r="CG17" s="264">
        <f t="shared" si="3"/>
        <v>109.98750000000001</v>
      </c>
      <c r="CH17" s="264">
        <f t="shared" si="3"/>
        <v>139.68062499999999</v>
      </c>
    </row>
    <row r="18" spans="1:86" s="76" customFormat="1" ht="13.5">
      <c r="A18" s="85"/>
      <c r="B18" s="85"/>
      <c r="C18" s="85"/>
      <c r="D18" s="85"/>
      <c r="E18" s="85"/>
      <c r="F18" s="85"/>
      <c r="G18" s="85"/>
      <c r="H18" s="565" t="s">
        <v>231</v>
      </c>
      <c r="I18" s="565"/>
      <c r="J18" s="1034" t="s">
        <v>931</v>
      </c>
      <c r="K18" s="705">
        <v>0.05</v>
      </c>
      <c r="L18" s="258"/>
      <c r="M18" s="258"/>
      <c r="N18" s="258"/>
      <c r="O18" s="258"/>
      <c r="P18" s="79"/>
      <c r="Q18" s="258"/>
      <c r="R18" s="258"/>
      <c r="S18" s="258"/>
      <c r="T18" s="258"/>
      <c r="U18" s="79"/>
      <c r="V18" s="258"/>
      <c r="W18" s="258"/>
      <c r="X18" s="258"/>
      <c r="Y18" s="258"/>
      <c r="Z18" s="79"/>
      <c r="AA18" s="258"/>
      <c r="AB18" s="258"/>
      <c r="AC18" s="258"/>
      <c r="AD18" s="258"/>
      <c r="AE18" s="79"/>
      <c r="AF18" s="258"/>
      <c r="AG18" s="258"/>
      <c r="AH18" s="258"/>
      <c r="AI18" s="258"/>
      <c r="AJ18" s="79">
        <f>$K18*PIPELINE_UNADJ!AJ18</f>
        <v>0</v>
      </c>
      <c r="AK18" s="258"/>
      <c r="AL18" s="258"/>
      <c r="AM18" s="258"/>
      <c r="AN18" s="258"/>
      <c r="AO18" s="79">
        <f>$K18*PIPELINE_UNADJ!AO18</f>
        <v>0</v>
      </c>
      <c r="AP18" s="258"/>
      <c r="AQ18" s="258"/>
      <c r="AR18" s="258"/>
      <c r="AS18" s="258"/>
      <c r="AT18" s="79">
        <f>$K18*PIPELINE_UNADJ!AT18</f>
        <v>0</v>
      </c>
      <c r="AU18" s="258"/>
      <c r="AV18" s="258"/>
      <c r="AW18" s="258"/>
      <c r="AX18" s="258"/>
      <c r="AY18" s="79">
        <f>$K18*PIPELINE_UNADJ!AY18</f>
        <v>0</v>
      </c>
      <c r="AZ18" s="258"/>
      <c r="BA18" s="258"/>
      <c r="BB18" s="258"/>
      <c r="BC18" s="258"/>
      <c r="BE18" s="258">
        <f>$K18*PIPELINE_UNADJ!BE18</f>
        <v>0</v>
      </c>
      <c r="BF18" s="258">
        <f>$K18*PIPELINE_UNADJ!BF18</f>
        <v>0</v>
      </c>
      <c r="BG18" s="258">
        <f>$K18*PIPELINE_UNADJ!BG18</f>
        <v>0</v>
      </c>
      <c r="BH18" s="258">
        <f>$K18*PIPELINE_UNADJ!BH18</f>
        <v>0</v>
      </c>
      <c r="BI18" s="79"/>
      <c r="BJ18" s="258"/>
      <c r="BK18" s="258"/>
      <c r="BL18" s="258"/>
      <c r="BM18" s="258"/>
      <c r="BN18" s="705">
        <v>0.5</v>
      </c>
      <c r="BO18" s="258"/>
      <c r="BP18" s="258"/>
      <c r="BQ18" s="258"/>
      <c r="BR18" s="258"/>
      <c r="BS18" s="79"/>
      <c r="BT18" s="258">
        <f>$K18*PIPELINE_UNADJ!BT18</f>
        <v>0</v>
      </c>
      <c r="BU18" s="258">
        <f>$K18*PIPELINE_UNADJ!BU18</f>
        <v>0</v>
      </c>
      <c r="BV18" s="258">
        <f>$K18*PIPELINE_UNADJ!BV18</f>
        <v>0</v>
      </c>
      <c r="BW18" s="258">
        <f>$K18*PIPELINE_UNADJ!BW18</f>
        <v>0</v>
      </c>
      <c r="BX18" s="79">
        <f>$K18*PIPELINE_UNADJ!BX18</f>
        <v>0</v>
      </c>
      <c r="BY18" s="258">
        <f>$K18*PIPELINE_UNADJ!BY18</f>
        <v>0</v>
      </c>
      <c r="BZ18" s="258">
        <f>$K18*PIPELINE_UNADJ!BZ18</f>
        <v>0</v>
      </c>
      <c r="CA18" s="258">
        <f>$K18*PIPELINE_UNADJ!CA18</f>
        <v>0</v>
      </c>
      <c r="CB18" s="258">
        <f>$K18*PIPELINE_UNADJ!CB18</f>
        <v>0</v>
      </c>
      <c r="CC18" s="79">
        <f>$K18*PIPELINE_UNADJ!CC18*$BN18</f>
        <v>0</v>
      </c>
      <c r="CD18" s="79">
        <f>$K18*PIPELINE_UNADJ!CD18*$BN18</f>
        <v>0.1</v>
      </c>
      <c r="CE18" s="79">
        <f>$K18*PIPELINE_UNADJ!CE18*$BN18</f>
        <v>15.100000000000001</v>
      </c>
      <c r="CF18" s="79">
        <f>$K18*PIPELINE_UNADJ!CF18*$BN18</f>
        <v>37.75</v>
      </c>
      <c r="CG18" s="79">
        <f>$K18*PIPELINE_UNADJ!CG18*$BN18</f>
        <v>66.0625</v>
      </c>
      <c r="CH18" s="79">
        <f>$K18*PIPELINE_UNADJ!CH18*$BN18</f>
        <v>82.578125</v>
      </c>
    </row>
    <row r="19" spans="1:86" s="76" customFormat="1" ht="13.5">
      <c r="A19" s="85"/>
      <c r="B19" s="85"/>
      <c r="C19" s="85"/>
      <c r="D19" s="85"/>
      <c r="E19" s="85"/>
      <c r="F19" s="85"/>
      <c r="G19" s="85"/>
      <c r="H19" s="565" t="s">
        <v>232</v>
      </c>
      <c r="I19" s="565"/>
      <c r="J19" s="1035" t="s">
        <v>931</v>
      </c>
      <c r="K19" s="705">
        <v>0.05</v>
      </c>
      <c r="L19" s="258"/>
      <c r="M19" s="258"/>
      <c r="N19" s="258"/>
      <c r="O19" s="258"/>
      <c r="P19" s="79"/>
      <c r="Q19" s="258"/>
      <c r="R19" s="258"/>
      <c r="S19" s="258"/>
      <c r="T19" s="258"/>
      <c r="U19" s="79"/>
      <c r="V19" s="258"/>
      <c r="W19" s="258"/>
      <c r="X19" s="258"/>
      <c r="Y19" s="258"/>
      <c r="Z19" s="79"/>
      <c r="AA19" s="258"/>
      <c r="AB19" s="258"/>
      <c r="AC19" s="258"/>
      <c r="AD19" s="258"/>
      <c r="AE19" s="79"/>
      <c r="AF19" s="258"/>
      <c r="AG19" s="258"/>
      <c r="AH19" s="258"/>
      <c r="AI19" s="258"/>
      <c r="AJ19" s="79">
        <f>$K18*PIPELINE_UNADJ!AJ19</f>
        <v>0</v>
      </c>
      <c r="AK19" s="258"/>
      <c r="AL19" s="258"/>
      <c r="AM19" s="258"/>
      <c r="AN19" s="258"/>
      <c r="AO19" s="79">
        <f>$K19*PIPELINE_UNADJ!AO19</f>
        <v>0</v>
      </c>
      <c r="AP19" s="258"/>
      <c r="AQ19" s="258"/>
      <c r="AR19" s="258"/>
      <c r="AS19" s="258"/>
      <c r="AT19" s="79">
        <f>$K19*PIPELINE_UNADJ!AT19</f>
        <v>0</v>
      </c>
      <c r="AU19" s="258"/>
      <c r="AV19" s="258"/>
      <c r="AW19" s="258"/>
      <c r="AX19" s="258"/>
      <c r="AY19" s="79">
        <f>$K19*PIPELINE_UNADJ!AY19</f>
        <v>0</v>
      </c>
      <c r="AZ19" s="258"/>
      <c r="BA19" s="258"/>
      <c r="BB19" s="258"/>
      <c r="BC19" s="258"/>
      <c r="BE19" s="258">
        <f>$K19*PIPELINE_UNADJ!BE19</f>
        <v>0</v>
      </c>
      <c r="BF19" s="258">
        <f>$K19*PIPELINE_UNADJ!BF19</f>
        <v>0</v>
      </c>
      <c r="BG19" s="258">
        <f>$K19*PIPELINE_UNADJ!BG19</f>
        <v>0</v>
      </c>
      <c r="BH19" s="258">
        <f>$K19*PIPELINE_UNADJ!BH19</f>
        <v>0</v>
      </c>
      <c r="BI19" s="79"/>
      <c r="BJ19" s="258"/>
      <c r="BK19" s="258"/>
      <c r="BL19" s="258"/>
      <c r="BM19" s="258"/>
      <c r="BN19" s="705">
        <v>0.5</v>
      </c>
      <c r="BO19" s="258"/>
      <c r="BP19" s="258"/>
      <c r="BQ19" s="258"/>
      <c r="BR19" s="258"/>
      <c r="BS19" s="79"/>
      <c r="BT19" s="258">
        <f>$K19*PIPELINE_UNADJ!BT19</f>
        <v>0</v>
      </c>
      <c r="BU19" s="258">
        <f>$K19*PIPELINE_UNADJ!BU19</f>
        <v>0</v>
      </c>
      <c r="BV19" s="258">
        <f>$K19*PIPELINE_UNADJ!BV19</f>
        <v>0</v>
      </c>
      <c r="BW19" s="258">
        <f>$K19*PIPELINE_UNADJ!BW19</f>
        <v>0</v>
      </c>
      <c r="BX19" s="79">
        <f>$K19*PIPELINE_UNADJ!BX19</f>
        <v>0</v>
      </c>
      <c r="BY19" s="258">
        <f>$K19*PIPELINE_UNADJ!BY19</f>
        <v>0</v>
      </c>
      <c r="BZ19" s="258">
        <f>$K19*PIPELINE_UNADJ!BZ19</f>
        <v>0</v>
      </c>
      <c r="CA19" s="258">
        <f>$K19*PIPELINE_UNADJ!CA19</f>
        <v>0</v>
      </c>
      <c r="CB19" s="258">
        <f>$K19*PIPELINE_UNADJ!CB19</f>
        <v>0</v>
      </c>
      <c r="CC19" s="79">
        <f>$K19*PIPELINE_UNADJ!CC19*$BN19</f>
        <v>0</v>
      </c>
      <c r="CD19" s="79">
        <f>$K19*PIPELINE_UNADJ!CD19*$BN19</f>
        <v>2.5000000000000001E-2</v>
      </c>
      <c r="CE19" s="79">
        <f>$K19*PIPELINE_UNADJ!CE19*$BN19</f>
        <v>6.2750000000000004</v>
      </c>
      <c r="CF19" s="79">
        <f>$K19*PIPELINE_UNADJ!CF19*$BN19</f>
        <v>25.1</v>
      </c>
      <c r="CG19" s="79">
        <f>$K19*PIPELINE_UNADJ!CG19*$BN19</f>
        <v>43.925000000000004</v>
      </c>
      <c r="CH19" s="79">
        <f>$K19*PIPELINE_UNADJ!CH19*$BN19</f>
        <v>57.102499999999999</v>
      </c>
    </row>
    <row r="20" spans="1:86" s="247" customFormat="1" ht="13.5">
      <c r="A20" s="246"/>
      <c r="B20" s="246"/>
      <c r="C20" s="246"/>
      <c r="D20" s="246"/>
      <c r="E20" s="246"/>
      <c r="F20" s="246"/>
      <c r="G20" s="246"/>
      <c r="H20" s="564" t="s">
        <v>1052</v>
      </c>
      <c r="I20" s="564"/>
      <c r="J20" s="1008"/>
      <c r="K20" s="555"/>
      <c r="L20" s="265"/>
      <c r="M20" s="265"/>
      <c r="N20" s="265"/>
      <c r="O20" s="265"/>
      <c r="P20" s="264"/>
      <c r="Q20" s="265"/>
      <c r="R20" s="265"/>
      <c r="S20" s="265"/>
      <c r="T20" s="265"/>
      <c r="U20" s="264"/>
      <c r="V20" s="265"/>
      <c r="W20" s="265"/>
      <c r="X20" s="265"/>
      <c r="Y20" s="265"/>
      <c r="Z20" s="264"/>
      <c r="AA20" s="265"/>
      <c r="AB20" s="265"/>
      <c r="AC20" s="265"/>
      <c r="AD20" s="265"/>
      <c r="AE20" s="264"/>
      <c r="AF20" s="265"/>
      <c r="AG20" s="265"/>
      <c r="AH20" s="265"/>
      <c r="AI20" s="265"/>
      <c r="AJ20" s="266">
        <f>SUM(AJ21:AJ22)</f>
        <v>0</v>
      </c>
      <c r="AK20" s="265"/>
      <c r="AL20" s="265"/>
      <c r="AM20" s="265"/>
      <c r="AN20" s="265"/>
      <c r="AO20" s="266">
        <f>SUM(AO21:AO22)</f>
        <v>0</v>
      </c>
      <c r="AP20" s="265"/>
      <c r="AQ20" s="265"/>
      <c r="AR20" s="265"/>
      <c r="AS20" s="265"/>
      <c r="AT20" s="266">
        <f>SUM(AT21:AT22)</f>
        <v>0</v>
      </c>
      <c r="AU20" s="265"/>
      <c r="AV20" s="265"/>
      <c r="AW20" s="265"/>
      <c r="AX20" s="265"/>
      <c r="AY20" s="266">
        <f>SUM(AY21:AY22)</f>
        <v>0</v>
      </c>
      <c r="AZ20" s="265"/>
      <c r="BA20" s="265"/>
      <c r="BB20" s="265"/>
      <c r="BC20" s="265"/>
      <c r="BD20" s="264"/>
      <c r="BE20" s="265"/>
      <c r="BF20" s="265"/>
      <c r="BG20" s="265"/>
      <c r="BH20" s="265"/>
      <c r="BI20" s="264"/>
      <c r="BJ20" s="265"/>
      <c r="BK20" s="265"/>
      <c r="BL20" s="265"/>
      <c r="BM20" s="265"/>
      <c r="BN20" s="264"/>
      <c r="BO20" s="265"/>
      <c r="BP20" s="265"/>
      <c r="BQ20" s="265"/>
      <c r="BR20" s="265"/>
      <c r="BS20" s="264"/>
      <c r="BT20" s="265">
        <f>BT21</f>
        <v>0</v>
      </c>
      <c r="BU20" s="265">
        <f>BU21</f>
        <v>0</v>
      </c>
      <c r="BV20" s="265">
        <f>BV21</f>
        <v>0</v>
      </c>
      <c r="BW20" s="265">
        <f t="shared" ref="BW20:CB20" si="4">BW21</f>
        <v>0</v>
      </c>
      <c r="BX20" s="264">
        <f>BX21</f>
        <v>0</v>
      </c>
      <c r="BY20" s="265">
        <f t="shared" si="4"/>
        <v>0</v>
      </c>
      <c r="BZ20" s="265">
        <f t="shared" si="4"/>
        <v>0</v>
      </c>
      <c r="CA20" s="265">
        <f t="shared" si="4"/>
        <v>4</v>
      </c>
      <c r="CB20" s="265">
        <f t="shared" si="4"/>
        <v>12</v>
      </c>
      <c r="CC20" s="264">
        <f t="shared" ref="CC20:CH20" si="5">CC21</f>
        <v>16</v>
      </c>
      <c r="CD20" s="264">
        <f t="shared" si="5"/>
        <v>96</v>
      </c>
      <c r="CE20" s="264">
        <f t="shared" si="5"/>
        <v>216</v>
      </c>
      <c r="CF20" s="264">
        <f t="shared" si="5"/>
        <v>345.6</v>
      </c>
      <c r="CG20" s="264">
        <f t="shared" si="5"/>
        <v>432</v>
      </c>
      <c r="CH20" s="264">
        <f t="shared" si="5"/>
        <v>496.8</v>
      </c>
    </row>
    <row r="21" spans="1:86" s="76" customFormat="1" ht="13.5">
      <c r="A21" s="85"/>
      <c r="B21" s="85"/>
      <c r="C21" s="85"/>
      <c r="D21" s="85"/>
      <c r="E21" s="85"/>
      <c r="F21" s="85"/>
      <c r="G21" s="85"/>
      <c r="H21" s="562" t="s">
        <v>1181</v>
      </c>
      <c r="I21" s="562"/>
      <c r="J21" s="1008" t="s">
        <v>1002</v>
      </c>
      <c r="K21" s="705">
        <v>0.8</v>
      </c>
      <c r="L21" s="258"/>
      <c r="M21" s="258"/>
      <c r="N21" s="258"/>
      <c r="O21" s="258"/>
      <c r="P21" s="79"/>
      <c r="Q21" s="258"/>
      <c r="R21" s="258"/>
      <c r="S21" s="258"/>
      <c r="T21" s="258"/>
      <c r="U21" s="79"/>
      <c r="V21" s="258"/>
      <c r="W21" s="258"/>
      <c r="X21" s="258"/>
      <c r="Y21" s="258"/>
      <c r="Z21" s="79"/>
      <c r="AA21" s="258"/>
      <c r="AB21" s="258"/>
      <c r="AC21" s="258"/>
      <c r="AD21" s="258"/>
      <c r="AE21" s="79"/>
      <c r="AF21" s="258"/>
      <c r="AG21" s="258"/>
      <c r="AH21" s="258"/>
      <c r="AI21" s="258"/>
      <c r="AJ21" s="79">
        <f>$K21*PIPELINE_UNADJ!AJ21</f>
        <v>0</v>
      </c>
      <c r="AK21" s="258"/>
      <c r="AL21" s="258"/>
      <c r="AM21" s="258"/>
      <c r="AN21" s="258"/>
      <c r="AO21" s="79">
        <f>$K21*PIPELINE_UNADJ!AO21</f>
        <v>0</v>
      </c>
      <c r="AP21" s="258"/>
      <c r="AQ21" s="258"/>
      <c r="AR21" s="258"/>
      <c r="AS21" s="258"/>
      <c r="AT21" s="79">
        <f>$K21*PIPELINE_UNADJ!AT21</f>
        <v>0</v>
      </c>
      <c r="AU21" s="258"/>
      <c r="AV21" s="258"/>
      <c r="AW21" s="258"/>
      <c r="AX21" s="258"/>
      <c r="AY21" s="79">
        <f>$K21*PIPELINE_UNADJ!AY21</f>
        <v>0</v>
      </c>
      <c r="AZ21" s="258"/>
      <c r="BA21" s="258"/>
      <c r="BB21" s="258"/>
      <c r="BC21" s="258"/>
      <c r="BD21" s="79"/>
      <c r="BE21" s="258"/>
      <c r="BF21" s="258"/>
      <c r="BG21" s="258"/>
      <c r="BH21" s="258"/>
      <c r="BI21" s="79"/>
      <c r="BJ21" s="258"/>
      <c r="BK21" s="258"/>
      <c r="BL21" s="258"/>
      <c r="BM21" s="258"/>
      <c r="BN21" s="79"/>
      <c r="BO21" s="258"/>
      <c r="BP21" s="258"/>
      <c r="BQ21" s="258"/>
      <c r="BR21" s="258"/>
      <c r="BS21" s="79"/>
      <c r="BT21" s="258">
        <f>$K21*PIPELINE_UNADJ!BT21</f>
        <v>0</v>
      </c>
      <c r="BU21" s="258">
        <f>$K21*PIPELINE_UNADJ!BU21</f>
        <v>0</v>
      </c>
      <c r="BV21" s="258">
        <f>$K21*PIPELINE_UNADJ!BV21</f>
        <v>0</v>
      </c>
      <c r="BW21" s="258">
        <f>$K21*PIPELINE_UNADJ!BW21</f>
        <v>0</v>
      </c>
      <c r="BX21" s="79">
        <f>$K21*PIPELINE_UNADJ!BX21</f>
        <v>0</v>
      </c>
      <c r="BY21" s="258">
        <f>$K21*PIPELINE_UNADJ!BY21</f>
        <v>0</v>
      </c>
      <c r="BZ21" s="258">
        <f>$K21*PIPELINE_UNADJ!BZ21</f>
        <v>0</v>
      </c>
      <c r="CA21" s="258">
        <f>$K21*PIPELINE_UNADJ!CA21</f>
        <v>4</v>
      </c>
      <c r="CB21" s="258">
        <f>$K21*PIPELINE_UNADJ!CB21</f>
        <v>12</v>
      </c>
      <c r="CC21" s="79">
        <f>$K21*PIPELINE_UNADJ!CC21</f>
        <v>16</v>
      </c>
      <c r="CD21" s="79">
        <f>$K21*PIPELINE_UNADJ!CD21</f>
        <v>96</v>
      </c>
      <c r="CE21" s="79">
        <f>$K21*PIPELINE_UNADJ!CE21</f>
        <v>216</v>
      </c>
      <c r="CF21" s="79">
        <f>$K21*PIPELINE_UNADJ!CF21</f>
        <v>345.6</v>
      </c>
      <c r="CG21" s="79">
        <f>$K21*PIPELINE_UNADJ!CG21</f>
        <v>432</v>
      </c>
      <c r="CH21" s="79">
        <f>$K21*PIPELINE_UNADJ!CH21</f>
        <v>496.8</v>
      </c>
    </row>
    <row r="22" spans="1:86" s="76" customFormat="1" ht="13.5">
      <c r="A22" s="85"/>
      <c r="B22" s="85"/>
      <c r="C22" s="85"/>
      <c r="D22" s="85"/>
      <c r="E22" s="85"/>
      <c r="F22" s="85"/>
      <c r="G22" s="85"/>
      <c r="H22" s="562" t="s">
        <v>232</v>
      </c>
      <c r="I22" s="562"/>
      <c r="J22" s="1008" t="s">
        <v>1012</v>
      </c>
      <c r="K22" s="705">
        <v>1</v>
      </c>
      <c r="L22" s="258"/>
      <c r="M22" s="258"/>
      <c r="N22" s="258"/>
      <c r="O22" s="258"/>
      <c r="P22" s="79"/>
      <c r="Q22" s="258"/>
      <c r="R22" s="258"/>
      <c r="S22" s="258"/>
      <c r="T22" s="258"/>
      <c r="U22" s="79"/>
      <c r="V22" s="258"/>
      <c r="W22" s="258"/>
      <c r="X22" s="258"/>
      <c r="Y22" s="258"/>
      <c r="Z22" s="79"/>
      <c r="AA22" s="258"/>
      <c r="AB22" s="258"/>
      <c r="AC22" s="258"/>
      <c r="AD22" s="258"/>
      <c r="AE22" s="79"/>
      <c r="AF22" s="258"/>
      <c r="AG22" s="258"/>
      <c r="AH22" s="258"/>
      <c r="AI22" s="258"/>
      <c r="AJ22" s="79">
        <f>$K21*PIPELINE_UNADJ!AJ22</f>
        <v>0</v>
      </c>
      <c r="AK22" s="258"/>
      <c r="AL22" s="258"/>
      <c r="AM22" s="258"/>
      <c r="AN22" s="258"/>
      <c r="AO22" s="79">
        <f>$K22*PIPELINE_UNADJ!AO22</f>
        <v>0</v>
      </c>
      <c r="AP22" s="258"/>
      <c r="AQ22" s="258"/>
      <c r="AR22" s="258"/>
      <c r="AS22" s="258"/>
      <c r="AT22" s="79">
        <f>$K22*PIPELINE_UNADJ!AT22</f>
        <v>0</v>
      </c>
      <c r="AU22" s="258"/>
      <c r="AV22" s="258"/>
      <c r="AW22" s="258"/>
      <c r="AX22" s="258"/>
      <c r="AY22" s="79">
        <f>$K22*PIPELINE_UNADJ!AY22</f>
        <v>0</v>
      </c>
      <c r="AZ22" s="258"/>
      <c r="BA22" s="258"/>
      <c r="BB22" s="258"/>
      <c r="BC22" s="258"/>
      <c r="BD22" s="79"/>
      <c r="BE22" s="258"/>
      <c r="BF22" s="258"/>
      <c r="BG22" s="258"/>
      <c r="BH22" s="258"/>
      <c r="BI22" s="79"/>
      <c r="BJ22" s="258"/>
      <c r="BK22" s="258"/>
      <c r="BL22" s="258"/>
      <c r="BM22" s="258"/>
      <c r="BN22" s="79"/>
      <c r="BO22" s="258"/>
      <c r="BP22" s="258"/>
      <c r="BQ22" s="258"/>
      <c r="BR22" s="258"/>
      <c r="BS22" s="79"/>
      <c r="BT22" s="1221"/>
      <c r="BU22" s="1221"/>
      <c r="BV22" s="1221"/>
      <c r="BW22" s="1221"/>
      <c r="BX22" s="1220" t="s">
        <v>1007</v>
      </c>
      <c r="BY22" s="1221"/>
      <c r="BZ22" s="1221"/>
      <c r="CA22" s="1221"/>
      <c r="CB22" s="1221"/>
      <c r="CC22" s="1222"/>
      <c r="CD22" s="1222"/>
      <c r="CE22" s="1222"/>
      <c r="CF22" s="1222"/>
      <c r="CG22" s="1222"/>
      <c r="CH22" s="1222"/>
    </row>
    <row r="23" spans="1:86" s="76" customFormat="1" ht="13.5">
      <c r="A23" s="85"/>
      <c r="B23" s="85"/>
      <c r="C23" s="85"/>
      <c r="D23" s="85"/>
      <c r="E23" s="85"/>
      <c r="F23" s="85"/>
      <c r="G23" s="85"/>
      <c r="H23" s="564" t="s">
        <v>1089</v>
      </c>
      <c r="I23" s="562"/>
      <c r="J23" s="1008"/>
      <c r="K23" s="705"/>
      <c r="L23" s="258"/>
      <c r="M23" s="258"/>
      <c r="N23" s="258"/>
      <c r="O23" s="258"/>
      <c r="P23" s="79"/>
      <c r="Q23" s="258"/>
      <c r="R23" s="258"/>
      <c r="S23" s="258"/>
      <c r="T23" s="258"/>
      <c r="U23" s="79"/>
      <c r="V23" s="258"/>
      <c r="W23" s="258"/>
      <c r="X23" s="258"/>
      <c r="Y23" s="258"/>
      <c r="Z23" s="79"/>
      <c r="AA23" s="258"/>
      <c r="AB23" s="258"/>
      <c r="AC23" s="258"/>
      <c r="AD23" s="258"/>
      <c r="AE23" s="79"/>
      <c r="AF23" s="258"/>
      <c r="AG23" s="258"/>
      <c r="AH23" s="258"/>
      <c r="AI23" s="258"/>
      <c r="AJ23" s="79"/>
      <c r="AK23" s="258"/>
      <c r="AL23" s="258"/>
      <c r="AM23" s="258"/>
      <c r="AN23" s="258"/>
      <c r="AO23" s="79"/>
      <c r="AP23" s="258"/>
      <c r="AQ23" s="258"/>
      <c r="AR23" s="258"/>
      <c r="AS23" s="258"/>
      <c r="AT23" s="79"/>
      <c r="AU23" s="258"/>
      <c r="AV23" s="258"/>
      <c r="AW23" s="258"/>
      <c r="AX23" s="258"/>
      <c r="AY23" s="79"/>
      <c r="AZ23" s="258"/>
      <c r="BA23" s="258"/>
      <c r="BB23" s="258"/>
      <c r="BC23" s="258"/>
      <c r="BD23" s="79"/>
      <c r="BE23" s="258">
        <f>$K23*PIPELINE_UNADJ!BE23</f>
        <v>0</v>
      </c>
      <c r="BF23" s="258">
        <f>$K23*PIPELINE_UNADJ!BF23</f>
        <v>0</v>
      </c>
      <c r="BG23" s="258">
        <f>$K23*PIPELINE_UNADJ!BG23</f>
        <v>0</v>
      </c>
      <c r="BH23" s="258">
        <f>$K23*PIPELINE_UNADJ!BH23</f>
        <v>0</v>
      </c>
      <c r="BI23" s="79"/>
      <c r="BJ23" s="258"/>
      <c r="BK23" s="258"/>
      <c r="BL23" s="258"/>
      <c r="BM23" s="258"/>
      <c r="BN23" s="264" t="s">
        <v>1029</v>
      </c>
      <c r="BO23" s="258"/>
      <c r="BP23" s="258"/>
      <c r="BQ23" s="258"/>
      <c r="BR23" s="258"/>
      <c r="BS23" s="79"/>
      <c r="BT23" s="265">
        <f t="shared" ref="BT23:CH23" si="6">SUM(BT24:BT25)</f>
        <v>0</v>
      </c>
      <c r="BU23" s="265">
        <f t="shared" si="6"/>
        <v>0</v>
      </c>
      <c r="BV23" s="265">
        <f t="shared" si="6"/>
        <v>0</v>
      </c>
      <c r="BW23" s="265">
        <f t="shared" si="6"/>
        <v>0</v>
      </c>
      <c r="BX23" s="264">
        <f t="shared" si="6"/>
        <v>0</v>
      </c>
      <c r="BY23" s="265">
        <f t="shared" si="6"/>
        <v>0</v>
      </c>
      <c r="BZ23" s="265">
        <f t="shared" si="6"/>
        <v>0</v>
      </c>
      <c r="CA23" s="265">
        <f t="shared" si="6"/>
        <v>0</v>
      </c>
      <c r="CB23" s="265">
        <f t="shared" si="6"/>
        <v>0</v>
      </c>
      <c r="CC23" s="264">
        <f t="shared" si="6"/>
        <v>0</v>
      </c>
      <c r="CD23" s="264">
        <f t="shared" si="6"/>
        <v>0</v>
      </c>
      <c r="CE23" s="264">
        <f t="shared" si="6"/>
        <v>34.200000000000003</v>
      </c>
      <c r="CF23" s="264">
        <f t="shared" si="6"/>
        <v>185.4</v>
      </c>
      <c r="CG23" s="264">
        <f t="shared" si="6"/>
        <v>396</v>
      </c>
      <c r="CH23" s="264">
        <f t="shared" si="6"/>
        <v>625.5</v>
      </c>
    </row>
    <row r="24" spans="1:86" s="76" customFormat="1" ht="13.5">
      <c r="A24" s="85"/>
      <c r="B24" s="85"/>
      <c r="C24" s="85"/>
      <c r="D24" s="85"/>
      <c r="E24" s="85"/>
      <c r="F24" s="85"/>
      <c r="G24" s="85"/>
      <c r="H24" s="562" t="s">
        <v>231</v>
      </c>
      <c r="I24" s="562"/>
      <c r="J24" s="1008">
        <v>3</v>
      </c>
      <c r="K24" s="705">
        <v>0.8</v>
      </c>
      <c r="L24" s="258"/>
      <c r="M24" s="258"/>
      <c r="N24" s="258"/>
      <c r="O24" s="258"/>
      <c r="P24" s="79"/>
      <c r="Q24" s="258"/>
      <c r="R24" s="258"/>
      <c r="S24" s="258"/>
      <c r="T24" s="258"/>
      <c r="U24" s="79"/>
      <c r="V24" s="258"/>
      <c r="W24" s="258"/>
      <c r="X24" s="258"/>
      <c r="Y24" s="258"/>
      <c r="Z24" s="79"/>
      <c r="AA24" s="258"/>
      <c r="AB24" s="258"/>
      <c r="AC24" s="258"/>
      <c r="AD24" s="258"/>
      <c r="AE24" s="79"/>
      <c r="AF24" s="258"/>
      <c r="AG24" s="258"/>
      <c r="AH24" s="258"/>
      <c r="AI24" s="258"/>
      <c r="AJ24" s="79"/>
      <c r="AK24" s="258"/>
      <c r="AL24" s="258"/>
      <c r="AM24" s="258"/>
      <c r="AN24" s="258"/>
      <c r="AO24" s="79"/>
      <c r="AP24" s="258"/>
      <c r="AQ24" s="258"/>
      <c r="AR24" s="258"/>
      <c r="AS24" s="258"/>
      <c r="AT24" s="79"/>
      <c r="AU24" s="258"/>
      <c r="AV24" s="258"/>
      <c r="AW24" s="258"/>
      <c r="AX24" s="258"/>
      <c r="AY24" s="79"/>
      <c r="AZ24" s="258"/>
      <c r="BA24" s="258"/>
      <c r="BB24" s="258"/>
      <c r="BC24" s="258"/>
      <c r="BD24" s="79"/>
      <c r="BE24" s="258">
        <f>$K24*PIPELINE_UNADJ!BE24</f>
        <v>0</v>
      </c>
      <c r="BF24" s="258">
        <f>$K24*PIPELINE_UNADJ!BF24</f>
        <v>0</v>
      </c>
      <c r="BG24" s="258">
        <f>$K24*PIPELINE_UNADJ!BG24</f>
        <v>0</v>
      </c>
      <c r="BH24" s="258">
        <f>$K24*PIPELINE_UNADJ!BH24</f>
        <v>0</v>
      </c>
      <c r="BI24" s="79"/>
      <c r="BJ24" s="258"/>
      <c r="BK24" s="258"/>
      <c r="BL24" s="258"/>
      <c r="BM24" s="258"/>
      <c r="BN24" s="705">
        <v>0.45</v>
      </c>
      <c r="BO24" s="258"/>
      <c r="BP24" s="258"/>
      <c r="BQ24" s="258"/>
      <c r="BR24" s="258"/>
      <c r="BS24" s="79"/>
      <c r="BT24" s="258">
        <f>$K24*PIPELINE_UNADJ!BT24</f>
        <v>0</v>
      </c>
      <c r="BU24" s="258">
        <f>$K24*PIPELINE_UNADJ!BU24</f>
        <v>0</v>
      </c>
      <c r="BV24" s="258">
        <f>$K24*PIPELINE_UNADJ!BV24</f>
        <v>0</v>
      </c>
      <c r="BW24" s="258">
        <f>$K24*PIPELINE_UNADJ!BW24</f>
        <v>0</v>
      </c>
      <c r="BX24" s="79">
        <f>$K24*PIPELINE_UNADJ!BX24</f>
        <v>0</v>
      </c>
      <c r="BY24" s="258">
        <f>$K24*PIPELINE_UNADJ!BY24</f>
        <v>0</v>
      </c>
      <c r="BZ24" s="258">
        <f>$K24*PIPELINE_UNADJ!BZ24</f>
        <v>0</v>
      </c>
      <c r="CA24" s="258">
        <f>$K24*PIPELINE_UNADJ!CA24</f>
        <v>0</v>
      </c>
      <c r="CB24" s="258">
        <f>$K24*PIPELINE_UNADJ!CB24</f>
        <v>0</v>
      </c>
      <c r="CC24" s="79">
        <f>$K24*PIPELINE_UNADJ!CC24*$BN24</f>
        <v>0</v>
      </c>
      <c r="CD24" s="79">
        <f>$K24*PIPELINE_UNADJ!CD24*$BN24</f>
        <v>0</v>
      </c>
      <c r="CE24" s="79">
        <f>$K24*PIPELINE_UNADJ!CE24*$BN24</f>
        <v>27</v>
      </c>
      <c r="CF24" s="79">
        <f>$K24*PIPELINE_UNADJ!CF24*$BN24</f>
        <v>135</v>
      </c>
      <c r="CG24" s="79">
        <f>$K24*PIPELINE_UNADJ!CG24*$BN24</f>
        <v>270</v>
      </c>
      <c r="CH24" s="79">
        <f>$K24*PIPELINE_UNADJ!CH24*$BN24</f>
        <v>405</v>
      </c>
    </row>
    <row r="25" spans="1:86" s="76" customFormat="1" ht="13.5">
      <c r="A25" s="85"/>
      <c r="B25" s="85"/>
      <c r="C25" s="85"/>
      <c r="D25" s="85"/>
      <c r="E25" s="85"/>
      <c r="F25" s="85"/>
      <c r="G25" s="85"/>
      <c r="H25" s="562" t="s">
        <v>232</v>
      </c>
      <c r="I25" s="562"/>
      <c r="J25" s="1008">
        <v>3</v>
      </c>
      <c r="K25" s="705">
        <v>0.8</v>
      </c>
      <c r="L25" s="258"/>
      <c r="M25" s="258"/>
      <c r="N25" s="258"/>
      <c r="O25" s="258"/>
      <c r="P25" s="79"/>
      <c r="Q25" s="258"/>
      <c r="R25" s="258"/>
      <c r="S25" s="258"/>
      <c r="T25" s="258"/>
      <c r="U25" s="79"/>
      <c r="V25" s="258"/>
      <c r="W25" s="258"/>
      <c r="X25" s="258"/>
      <c r="Y25" s="258"/>
      <c r="Z25" s="79"/>
      <c r="AA25" s="258"/>
      <c r="AB25" s="258"/>
      <c r="AC25" s="258"/>
      <c r="AD25" s="258"/>
      <c r="AE25" s="79"/>
      <c r="AF25" s="258"/>
      <c r="AG25" s="258"/>
      <c r="AH25" s="258"/>
      <c r="AI25" s="258"/>
      <c r="AJ25" s="79"/>
      <c r="AK25" s="258"/>
      <c r="AL25" s="258"/>
      <c r="AM25" s="258"/>
      <c r="AN25" s="258"/>
      <c r="AO25" s="79"/>
      <c r="AP25" s="258"/>
      <c r="AQ25" s="258"/>
      <c r="AR25" s="258"/>
      <c r="AS25" s="258"/>
      <c r="AT25" s="79"/>
      <c r="AU25" s="258"/>
      <c r="AV25" s="258"/>
      <c r="AW25" s="258"/>
      <c r="AX25" s="258"/>
      <c r="AY25" s="79"/>
      <c r="AZ25" s="258"/>
      <c r="BA25" s="258"/>
      <c r="BB25" s="258"/>
      <c r="BC25" s="258"/>
      <c r="BD25" s="79"/>
      <c r="BE25" s="258">
        <f>$K25*PIPELINE_UNADJ!BE25</f>
        <v>0</v>
      </c>
      <c r="BF25" s="258">
        <f>$K25*PIPELINE_UNADJ!BF25</f>
        <v>0</v>
      </c>
      <c r="BG25" s="258">
        <f>$K25*PIPELINE_UNADJ!BG25</f>
        <v>0</v>
      </c>
      <c r="BH25" s="258">
        <f>$K25*PIPELINE_UNADJ!BH25</f>
        <v>0</v>
      </c>
      <c r="BI25" s="79"/>
      <c r="BJ25" s="258"/>
      <c r="BK25" s="258"/>
      <c r="BL25" s="258"/>
      <c r="BM25" s="258"/>
      <c r="BN25" s="705">
        <v>0.45</v>
      </c>
      <c r="BO25" s="258"/>
      <c r="BP25" s="258"/>
      <c r="BQ25" s="258"/>
      <c r="BR25" s="258"/>
      <c r="BS25" s="79"/>
      <c r="BT25" s="258">
        <f>$K25*PIPELINE_UNADJ!BT25</f>
        <v>0</v>
      </c>
      <c r="BU25" s="258">
        <f>$K25*PIPELINE_UNADJ!BU25</f>
        <v>0</v>
      </c>
      <c r="BV25" s="258">
        <f>$K25*PIPELINE_UNADJ!BV25</f>
        <v>0</v>
      </c>
      <c r="BW25" s="258">
        <f>$K25*PIPELINE_UNADJ!BW25</f>
        <v>0</v>
      </c>
      <c r="BX25" s="79">
        <f>$K25*PIPELINE_UNADJ!BX25</f>
        <v>0</v>
      </c>
      <c r="BY25" s="258">
        <f>$K25*PIPELINE_UNADJ!BY25</f>
        <v>0</v>
      </c>
      <c r="BZ25" s="258">
        <f>$K25*PIPELINE_UNADJ!BZ25</f>
        <v>0</v>
      </c>
      <c r="CA25" s="258">
        <f>$K25*PIPELINE_UNADJ!CA25</f>
        <v>0</v>
      </c>
      <c r="CB25" s="258">
        <f>$K25*PIPELINE_UNADJ!CB25</f>
        <v>0</v>
      </c>
      <c r="CC25" s="79">
        <f>$K25*PIPELINE_UNADJ!CC25*$BN25</f>
        <v>0</v>
      </c>
      <c r="CD25" s="79">
        <f>$K25*PIPELINE_UNADJ!CD25*$BN25</f>
        <v>0</v>
      </c>
      <c r="CE25" s="79">
        <f>$K25*PIPELINE_UNADJ!CE25*$BN25</f>
        <v>7.2</v>
      </c>
      <c r="CF25" s="79">
        <f>$K25*PIPELINE_UNADJ!CF25*$BN25</f>
        <v>50.4</v>
      </c>
      <c r="CG25" s="79">
        <f>$K25*PIPELINE_UNADJ!CG25*$BN25</f>
        <v>126</v>
      </c>
      <c r="CH25" s="79">
        <f>$K25*PIPELINE_UNADJ!CH25*$BN25</f>
        <v>220.5</v>
      </c>
    </row>
    <row r="26" spans="1:86" s="76" customFormat="1" ht="13.5">
      <c r="A26" s="85"/>
      <c r="B26" s="85"/>
      <c r="C26" s="85"/>
      <c r="D26" s="85"/>
      <c r="E26" s="85"/>
      <c r="F26" s="85"/>
      <c r="G26" s="85"/>
      <c r="H26" s="564" t="s">
        <v>1026</v>
      </c>
      <c r="I26" s="562"/>
      <c r="J26" s="1008"/>
      <c r="K26" s="705"/>
      <c r="L26" s="258"/>
      <c r="M26" s="258"/>
      <c r="N26" s="258"/>
      <c r="O26" s="258"/>
      <c r="P26" s="79"/>
      <c r="Q26" s="258"/>
      <c r="R26" s="258"/>
      <c r="S26" s="258"/>
      <c r="T26" s="258"/>
      <c r="U26" s="79"/>
      <c r="V26" s="258"/>
      <c r="W26" s="258"/>
      <c r="X26" s="258"/>
      <c r="Y26" s="258"/>
      <c r="Z26" s="79"/>
      <c r="AA26" s="258"/>
      <c r="AB26" s="258"/>
      <c r="AC26" s="258"/>
      <c r="AD26" s="258"/>
      <c r="AE26" s="79"/>
      <c r="AF26" s="258"/>
      <c r="AG26" s="258"/>
      <c r="AH26" s="258"/>
      <c r="AI26" s="258"/>
      <c r="AJ26" s="79"/>
      <c r="AK26" s="258"/>
      <c r="AL26" s="258"/>
      <c r="AM26" s="258"/>
      <c r="AN26" s="258"/>
      <c r="AO26" s="79"/>
      <c r="AP26" s="258"/>
      <c r="AQ26" s="258"/>
      <c r="AR26" s="258"/>
      <c r="AS26" s="258"/>
      <c r="AT26" s="79"/>
      <c r="AU26" s="258"/>
      <c r="AV26" s="258"/>
      <c r="AW26" s="258"/>
      <c r="AX26" s="258"/>
      <c r="AY26" s="79"/>
      <c r="AZ26" s="258"/>
      <c r="BA26" s="258"/>
      <c r="BB26" s="258"/>
      <c r="BC26" s="258"/>
      <c r="BD26" s="79"/>
      <c r="BE26" s="258">
        <f>$K26*PIPELINE_UNADJ!BE26</f>
        <v>0</v>
      </c>
      <c r="BF26" s="258">
        <f>$K26*PIPELINE_UNADJ!BF26</f>
        <v>0</v>
      </c>
      <c r="BG26" s="258">
        <f>$K26*PIPELINE_UNADJ!BG26</f>
        <v>0</v>
      </c>
      <c r="BH26" s="258">
        <f>$K26*PIPELINE_UNADJ!BH26</f>
        <v>0</v>
      </c>
      <c r="BI26" s="79"/>
      <c r="BJ26" s="258"/>
      <c r="BK26" s="258"/>
      <c r="BL26" s="258"/>
      <c r="BM26" s="258"/>
      <c r="BN26" s="79"/>
      <c r="BO26" s="258"/>
      <c r="BP26" s="258"/>
      <c r="BQ26" s="258"/>
      <c r="BR26" s="258"/>
      <c r="BS26" s="79"/>
      <c r="BT26" s="258">
        <f>$K26*PIPELINE_UNADJ!BT26</f>
        <v>0</v>
      </c>
      <c r="BU26" s="258">
        <f>$K26*PIPELINE_UNADJ!BU26</f>
        <v>0</v>
      </c>
      <c r="BV26" s="258">
        <f>$K26*PIPELINE_UNADJ!BV26</f>
        <v>0</v>
      </c>
      <c r="BW26" s="258">
        <f>$K26*PIPELINE_UNADJ!BW26</f>
        <v>0</v>
      </c>
      <c r="BX26" s="79">
        <f>$K26*PIPELINE_UNADJ!BX26</f>
        <v>0</v>
      </c>
      <c r="BY26" s="258">
        <f>$K26*PIPELINE_UNADJ!BY26</f>
        <v>0</v>
      </c>
      <c r="BZ26" s="258">
        <f>$K26*PIPELINE_UNADJ!BZ26</f>
        <v>0</v>
      </c>
      <c r="CA26" s="258">
        <f>$K26*PIPELINE_UNADJ!CA26</f>
        <v>0</v>
      </c>
      <c r="CB26" s="258">
        <f>$K26*PIPELINE_UNADJ!CB26</f>
        <v>0</v>
      </c>
      <c r="CC26" s="264">
        <f t="shared" ref="CC26:CH26" si="7">SUM(CC27:CC28)</f>
        <v>0</v>
      </c>
      <c r="CD26" s="264">
        <f t="shared" si="7"/>
        <v>0</v>
      </c>
      <c r="CE26" s="264">
        <f t="shared" si="7"/>
        <v>20</v>
      </c>
      <c r="CF26" s="264">
        <f t="shared" si="7"/>
        <v>75</v>
      </c>
      <c r="CG26" s="264">
        <f t="shared" si="7"/>
        <v>150</v>
      </c>
      <c r="CH26" s="264">
        <f t="shared" si="7"/>
        <v>225</v>
      </c>
    </row>
    <row r="27" spans="1:86" s="76" customFormat="1" ht="13.5">
      <c r="A27" s="85"/>
      <c r="B27" s="85"/>
      <c r="C27" s="85"/>
      <c r="D27" s="85"/>
      <c r="E27" s="85"/>
      <c r="F27" s="85"/>
      <c r="G27" s="85"/>
      <c r="H27" s="562" t="s">
        <v>231</v>
      </c>
      <c r="I27" s="562"/>
      <c r="J27" s="1008">
        <v>3</v>
      </c>
      <c r="K27" s="705">
        <v>0.05</v>
      </c>
      <c r="L27" s="258"/>
      <c r="M27" s="258"/>
      <c r="N27" s="258"/>
      <c r="O27" s="258"/>
      <c r="P27" s="79"/>
      <c r="Q27" s="258"/>
      <c r="R27" s="258"/>
      <c r="S27" s="258"/>
      <c r="T27" s="258"/>
      <c r="U27" s="79"/>
      <c r="V27" s="258"/>
      <c r="W27" s="258"/>
      <c r="X27" s="258"/>
      <c r="Y27" s="258"/>
      <c r="Z27" s="79"/>
      <c r="AA27" s="258"/>
      <c r="AB27" s="258"/>
      <c r="AC27" s="258"/>
      <c r="AD27" s="258"/>
      <c r="AE27" s="79"/>
      <c r="AF27" s="258"/>
      <c r="AG27" s="258"/>
      <c r="AH27" s="258"/>
      <c r="AI27" s="258"/>
      <c r="AJ27" s="79"/>
      <c r="AK27" s="258"/>
      <c r="AL27" s="258"/>
      <c r="AM27" s="258"/>
      <c r="AN27" s="258"/>
      <c r="AO27" s="79"/>
      <c r="AP27" s="258"/>
      <c r="AQ27" s="258"/>
      <c r="AR27" s="258"/>
      <c r="AS27" s="258"/>
      <c r="AT27" s="79"/>
      <c r="AU27" s="258"/>
      <c r="AV27" s="258"/>
      <c r="AW27" s="258"/>
      <c r="AX27" s="258"/>
      <c r="AY27" s="79"/>
      <c r="AZ27" s="258"/>
      <c r="BA27" s="258"/>
      <c r="BB27" s="258"/>
      <c r="BC27" s="258"/>
      <c r="BD27" s="79"/>
      <c r="BE27" s="258">
        <f>$K27*PIPELINE_UNADJ!BE27</f>
        <v>0</v>
      </c>
      <c r="BF27" s="258">
        <f>$K27*PIPELINE_UNADJ!BF27</f>
        <v>0</v>
      </c>
      <c r="BG27" s="258">
        <f>$K27*PIPELINE_UNADJ!BG27</f>
        <v>0</v>
      </c>
      <c r="BH27" s="258">
        <f>$K27*PIPELINE_UNADJ!BH27</f>
        <v>0</v>
      </c>
      <c r="BI27" s="79"/>
      <c r="BJ27" s="258"/>
      <c r="BK27" s="258"/>
      <c r="BL27" s="258"/>
      <c r="BM27" s="258"/>
      <c r="BN27" s="79"/>
      <c r="BO27" s="258"/>
      <c r="BP27" s="258"/>
      <c r="BQ27" s="258"/>
      <c r="BR27" s="258"/>
      <c r="BS27" s="79"/>
      <c r="BT27" s="258">
        <f>$K27*PIPELINE_UNADJ!BT27</f>
        <v>0</v>
      </c>
      <c r="BU27" s="258">
        <f>$K27*PIPELINE_UNADJ!BU27</f>
        <v>0</v>
      </c>
      <c r="BV27" s="258">
        <f>$K27*PIPELINE_UNADJ!BV27</f>
        <v>0</v>
      </c>
      <c r="BW27" s="258">
        <f>$K27*PIPELINE_UNADJ!BW27</f>
        <v>0</v>
      </c>
      <c r="BX27" s="79">
        <f>$K27*PIPELINE_UNADJ!BX27</f>
        <v>0</v>
      </c>
      <c r="BY27" s="258">
        <f>$K27*PIPELINE_UNADJ!BY27</f>
        <v>0</v>
      </c>
      <c r="BZ27" s="258">
        <f>$K27*PIPELINE_UNADJ!BZ27</f>
        <v>0</v>
      </c>
      <c r="CA27" s="258">
        <f>$K27*PIPELINE_UNADJ!CA27</f>
        <v>0</v>
      </c>
      <c r="CB27" s="258">
        <f>$K27*PIPELINE_UNADJ!CB27</f>
        <v>0</v>
      </c>
      <c r="CC27" s="79">
        <f>$K27*PIPELINE_UNADJ!CC27</f>
        <v>0</v>
      </c>
      <c r="CD27" s="79">
        <f>$K27*PIPELINE_UNADJ!CD27</f>
        <v>0</v>
      </c>
      <c r="CE27" s="79">
        <f>$K27*PIPELINE_UNADJ!CE27</f>
        <v>15</v>
      </c>
      <c r="CF27" s="79">
        <f>$K27*PIPELINE_UNADJ!CF27</f>
        <v>45</v>
      </c>
      <c r="CG27" s="79">
        <f>$K27*PIPELINE_UNADJ!CG27</f>
        <v>90</v>
      </c>
      <c r="CH27" s="79">
        <f>$K27*PIPELINE_UNADJ!CH27</f>
        <v>135</v>
      </c>
    </row>
    <row r="28" spans="1:86" s="76" customFormat="1" ht="13.5">
      <c r="A28" s="85"/>
      <c r="B28" s="85"/>
      <c r="C28" s="85"/>
      <c r="D28" s="85"/>
      <c r="E28" s="85"/>
      <c r="F28" s="85"/>
      <c r="G28" s="85"/>
      <c r="H28" s="562" t="s">
        <v>232</v>
      </c>
      <c r="I28" s="562"/>
      <c r="J28" s="1008">
        <v>3</v>
      </c>
      <c r="K28" s="705">
        <v>0.05</v>
      </c>
      <c r="L28" s="258"/>
      <c r="M28" s="258"/>
      <c r="N28" s="258"/>
      <c r="O28" s="258"/>
      <c r="P28" s="79"/>
      <c r="Q28" s="258"/>
      <c r="R28" s="258"/>
      <c r="S28" s="258"/>
      <c r="T28" s="258"/>
      <c r="U28" s="79"/>
      <c r="V28" s="258"/>
      <c r="W28" s="258"/>
      <c r="X28" s="258"/>
      <c r="Y28" s="258"/>
      <c r="Z28" s="79"/>
      <c r="AA28" s="258"/>
      <c r="AB28" s="258"/>
      <c r="AC28" s="258"/>
      <c r="AD28" s="258"/>
      <c r="AE28" s="79"/>
      <c r="AF28" s="258"/>
      <c r="AG28" s="258"/>
      <c r="AH28" s="258"/>
      <c r="AI28" s="258"/>
      <c r="AJ28" s="79"/>
      <c r="AK28" s="258"/>
      <c r="AL28" s="258"/>
      <c r="AM28" s="258"/>
      <c r="AN28" s="258"/>
      <c r="AO28" s="79"/>
      <c r="AP28" s="258"/>
      <c r="AQ28" s="258"/>
      <c r="AR28" s="258"/>
      <c r="AS28" s="258"/>
      <c r="AT28" s="79"/>
      <c r="AU28" s="258"/>
      <c r="AV28" s="258"/>
      <c r="AW28" s="258"/>
      <c r="AX28" s="258"/>
      <c r="AY28" s="79"/>
      <c r="AZ28" s="258"/>
      <c r="BA28" s="258"/>
      <c r="BB28" s="258"/>
      <c r="BC28" s="258"/>
      <c r="BD28" s="79"/>
      <c r="BE28" s="258">
        <f>$K28*PIPELINE_UNADJ!BE28</f>
        <v>0</v>
      </c>
      <c r="BF28" s="258">
        <f>$K28*PIPELINE_UNADJ!BF28</f>
        <v>0</v>
      </c>
      <c r="BG28" s="258">
        <f>$K28*PIPELINE_UNADJ!BG28</f>
        <v>0</v>
      </c>
      <c r="BH28" s="258">
        <f>$K28*PIPELINE_UNADJ!BH28</f>
        <v>0</v>
      </c>
      <c r="BI28" s="79"/>
      <c r="BJ28" s="258"/>
      <c r="BK28" s="258"/>
      <c r="BL28" s="258"/>
      <c r="BM28" s="258"/>
      <c r="BN28" s="79"/>
      <c r="BO28" s="258"/>
      <c r="BP28" s="258"/>
      <c r="BQ28" s="258"/>
      <c r="BR28" s="258"/>
      <c r="BS28" s="79"/>
      <c r="BT28" s="258">
        <f>$K28*PIPELINE_UNADJ!BT28</f>
        <v>0</v>
      </c>
      <c r="BU28" s="258">
        <f>$K28*PIPELINE_UNADJ!BU28</f>
        <v>0</v>
      </c>
      <c r="BV28" s="258">
        <f>$K28*PIPELINE_UNADJ!BV28</f>
        <v>0</v>
      </c>
      <c r="BW28" s="258">
        <f>$K28*PIPELINE_UNADJ!BW28</f>
        <v>0</v>
      </c>
      <c r="BX28" s="79">
        <f>$K28*PIPELINE_UNADJ!BX28</f>
        <v>0</v>
      </c>
      <c r="BY28" s="258">
        <f>$K28*PIPELINE_UNADJ!BY28</f>
        <v>0</v>
      </c>
      <c r="BZ28" s="258">
        <f>$K28*PIPELINE_UNADJ!BZ28</f>
        <v>0</v>
      </c>
      <c r="CA28" s="258">
        <f>$K28*PIPELINE_UNADJ!CA28</f>
        <v>0</v>
      </c>
      <c r="CB28" s="258">
        <f>$K28*PIPELINE_UNADJ!CB28</f>
        <v>0</v>
      </c>
      <c r="CC28" s="79">
        <f>$K28*PIPELINE_UNADJ!CC28</f>
        <v>0</v>
      </c>
      <c r="CD28" s="79">
        <f>$K28*PIPELINE_UNADJ!CD28</f>
        <v>0</v>
      </c>
      <c r="CE28" s="79">
        <f>$K28*PIPELINE_UNADJ!CE28</f>
        <v>5</v>
      </c>
      <c r="CF28" s="79">
        <f>$K28*PIPELINE_UNADJ!CF28</f>
        <v>30</v>
      </c>
      <c r="CG28" s="79">
        <f>$K28*PIPELINE_UNADJ!CG28</f>
        <v>60</v>
      </c>
      <c r="CH28" s="79">
        <f>$K28*PIPELINE_UNADJ!CH28</f>
        <v>90</v>
      </c>
    </row>
    <row r="29" spans="1:86" s="76" customFormat="1" ht="13.5">
      <c r="A29" s="85"/>
      <c r="B29" s="85"/>
      <c r="C29" s="85"/>
      <c r="D29" s="85"/>
      <c r="E29" s="85"/>
      <c r="F29" s="85"/>
      <c r="G29" s="85"/>
      <c r="H29" s="564" t="s">
        <v>1025</v>
      </c>
      <c r="I29" s="562"/>
      <c r="J29" s="1008"/>
      <c r="K29" s="705"/>
      <c r="L29" s="258"/>
      <c r="M29" s="258"/>
      <c r="N29" s="258"/>
      <c r="O29" s="258"/>
      <c r="P29" s="79"/>
      <c r="Q29" s="258"/>
      <c r="R29" s="258"/>
      <c r="S29" s="258"/>
      <c r="T29" s="258"/>
      <c r="U29" s="79"/>
      <c r="V29" s="258"/>
      <c r="W29" s="258"/>
      <c r="X29" s="258"/>
      <c r="Y29" s="258"/>
      <c r="Z29" s="79"/>
      <c r="AA29" s="258"/>
      <c r="AB29" s="258"/>
      <c r="AC29" s="258"/>
      <c r="AD29" s="258"/>
      <c r="AE29" s="79"/>
      <c r="AF29" s="258"/>
      <c r="AG29" s="258"/>
      <c r="AH29" s="258"/>
      <c r="AI29" s="258"/>
      <c r="AJ29" s="79"/>
      <c r="AK29" s="258"/>
      <c r="AL29" s="258"/>
      <c r="AM29" s="258"/>
      <c r="AN29" s="258"/>
      <c r="AO29" s="79"/>
      <c r="AP29" s="258"/>
      <c r="AQ29" s="258"/>
      <c r="AR29" s="258"/>
      <c r="AS29" s="258"/>
      <c r="AT29" s="79"/>
      <c r="AU29" s="258"/>
      <c r="AV29" s="258"/>
      <c r="AW29" s="258"/>
      <c r="AX29" s="258"/>
      <c r="AY29" s="79"/>
      <c r="AZ29" s="258"/>
      <c r="BA29" s="258"/>
      <c r="BB29" s="258"/>
      <c r="BC29" s="258"/>
      <c r="BD29" s="79"/>
      <c r="BE29" s="258">
        <f>$K29*PIPELINE_UNADJ!BE29</f>
        <v>0</v>
      </c>
      <c r="BF29" s="258">
        <f>$K29*PIPELINE_UNADJ!BF29</f>
        <v>0</v>
      </c>
      <c r="BG29" s="258">
        <f>$K29*PIPELINE_UNADJ!BG29</f>
        <v>0</v>
      </c>
      <c r="BH29" s="258">
        <f>$K29*PIPELINE_UNADJ!BH29</f>
        <v>0</v>
      </c>
      <c r="BI29" s="79"/>
      <c r="BJ29" s="258"/>
      <c r="BK29" s="258"/>
      <c r="BL29" s="258"/>
      <c r="BM29" s="258"/>
      <c r="BN29" s="79"/>
      <c r="BO29" s="258"/>
      <c r="BP29" s="258"/>
      <c r="BQ29" s="258"/>
      <c r="BR29" s="258"/>
      <c r="BS29" s="79"/>
      <c r="BT29" s="258">
        <f>$K29*PIPELINE_UNADJ!BT29</f>
        <v>0</v>
      </c>
      <c r="BU29" s="258">
        <f>$K29*PIPELINE_UNADJ!BU29</f>
        <v>0</v>
      </c>
      <c r="BV29" s="258">
        <f>$K29*PIPELINE_UNADJ!BV29</f>
        <v>0</v>
      </c>
      <c r="BW29" s="258">
        <f>$K29*PIPELINE_UNADJ!BW29</f>
        <v>0</v>
      </c>
      <c r="BX29" s="79">
        <f>$K29*PIPELINE_UNADJ!BX29</f>
        <v>0</v>
      </c>
      <c r="BY29" s="258">
        <f>$K29*PIPELINE_UNADJ!BY29</f>
        <v>0</v>
      </c>
      <c r="BZ29" s="258">
        <f>$K29*PIPELINE_UNADJ!BZ29</f>
        <v>0</v>
      </c>
      <c r="CA29" s="258">
        <f>$K29*PIPELINE_UNADJ!CA29</f>
        <v>0</v>
      </c>
      <c r="CB29" s="258">
        <f>$K29*PIPELINE_UNADJ!CB29</f>
        <v>0</v>
      </c>
      <c r="CC29" s="264">
        <f t="shared" ref="CC29:CH29" si="8">SUM(CC30:CC31)</f>
        <v>0</v>
      </c>
      <c r="CD29" s="264">
        <f t="shared" si="8"/>
        <v>0</v>
      </c>
      <c r="CE29" s="264">
        <f t="shared" si="8"/>
        <v>16.5</v>
      </c>
      <c r="CF29" s="264">
        <f t="shared" si="8"/>
        <v>75</v>
      </c>
      <c r="CG29" s="264">
        <f t="shared" si="8"/>
        <v>130.80000000000001</v>
      </c>
      <c r="CH29" s="264">
        <f t="shared" si="8"/>
        <v>173.16</v>
      </c>
    </row>
    <row r="30" spans="1:86" s="76" customFormat="1" ht="13.5">
      <c r="A30" s="85"/>
      <c r="B30" s="85"/>
      <c r="C30" s="85"/>
      <c r="D30" s="85"/>
      <c r="E30" s="85"/>
      <c r="F30" s="85"/>
      <c r="G30" s="85"/>
      <c r="H30" s="562" t="s">
        <v>231</v>
      </c>
      <c r="I30" s="562"/>
      <c r="J30" s="1008">
        <v>2</v>
      </c>
      <c r="K30" s="705">
        <v>0.3</v>
      </c>
      <c r="L30" s="258"/>
      <c r="M30" s="258"/>
      <c r="N30" s="258"/>
      <c r="O30" s="258"/>
      <c r="P30" s="79"/>
      <c r="Q30" s="258"/>
      <c r="R30" s="258"/>
      <c r="S30" s="258"/>
      <c r="T30" s="258"/>
      <c r="U30" s="79"/>
      <c r="V30" s="258"/>
      <c r="W30" s="258"/>
      <c r="X30" s="258"/>
      <c r="Y30" s="258"/>
      <c r="Z30" s="79"/>
      <c r="AA30" s="258"/>
      <c r="AB30" s="258"/>
      <c r="AC30" s="258"/>
      <c r="AD30" s="258"/>
      <c r="AE30" s="79"/>
      <c r="AF30" s="258"/>
      <c r="AG30" s="258"/>
      <c r="AH30" s="258"/>
      <c r="AI30" s="258"/>
      <c r="AJ30" s="79"/>
      <c r="AK30" s="258"/>
      <c r="AL30" s="258"/>
      <c r="AM30" s="258"/>
      <c r="AN30" s="258"/>
      <c r="AO30" s="79"/>
      <c r="AP30" s="258"/>
      <c r="AQ30" s="258"/>
      <c r="AR30" s="258"/>
      <c r="AS30" s="258"/>
      <c r="AT30" s="79"/>
      <c r="AU30" s="258"/>
      <c r="AV30" s="258"/>
      <c r="AW30" s="258"/>
      <c r="AX30" s="258"/>
      <c r="AY30" s="79"/>
      <c r="AZ30" s="258"/>
      <c r="BA30" s="258"/>
      <c r="BB30" s="258"/>
      <c r="BC30" s="258"/>
      <c r="BD30" s="79"/>
      <c r="BE30" s="258">
        <f>$K30*PIPELINE_UNADJ!BE30</f>
        <v>0</v>
      </c>
      <c r="BF30" s="258">
        <f>$K30*PIPELINE_UNADJ!BF30</f>
        <v>0</v>
      </c>
      <c r="BG30" s="258">
        <f>$K30*PIPELINE_UNADJ!BG30</f>
        <v>0</v>
      </c>
      <c r="BH30" s="258">
        <f>$K30*PIPELINE_UNADJ!BH30</f>
        <v>0</v>
      </c>
      <c r="BI30" s="79"/>
      <c r="BJ30" s="258"/>
      <c r="BK30" s="258"/>
      <c r="BL30" s="258"/>
      <c r="BM30" s="258"/>
      <c r="BN30" s="79"/>
      <c r="BO30" s="258"/>
      <c r="BP30" s="258"/>
      <c r="BQ30" s="258"/>
      <c r="BR30" s="258"/>
      <c r="BS30" s="79"/>
      <c r="BT30" s="258">
        <f>$K30*PIPELINE_UNADJ!BT30</f>
        <v>0</v>
      </c>
      <c r="BU30" s="258">
        <f>$K30*PIPELINE_UNADJ!BU30</f>
        <v>0</v>
      </c>
      <c r="BV30" s="258">
        <f>$K30*PIPELINE_UNADJ!BV30</f>
        <v>0</v>
      </c>
      <c r="BW30" s="258">
        <f>$K30*PIPELINE_UNADJ!BW30</f>
        <v>0</v>
      </c>
      <c r="BX30" s="79">
        <f>$K30*PIPELINE_UNADJ!BX30</f>
        <v>0</v>
      </c>
      <c r="BY30" s="258">
        <f>$K30*PIPELINE_UNADJ!BY30</f>
        <v>0</v>
      </c>
      <c r="BZ30" s="258">
        <f>$K30*PIPELINE_UNADJ!BZ30</f>
        <v>0</v>
      </c>
      <c r="CA30" s="258">
        <f>$K30*PIPELINE_UNADJ!CA30</f>
        <v>0</v>
      </c>
      <c r="CB30" s="258">
        <f>$K30*PIPELINE_UNADJ!CB30</f>
        <v>0</v>
      </c>
      <c r="CC30" s="79">
        <f>$K30*PIPELINE_UNADJ!CC30</f>
        <v>0</v>
      </c>
      <c r="CD30" s="79">
        <f>$K30*PIPELINE_UNADJ!CD30</f>
        <v>0</v>
      </c>
      <c r="CE30" s="79">
        <f>$K30*PIPELINE_UNADJ!CE30</f>
        <v>12</v>
      </c>
      <c r="CF30" s="79">
        <f>$K30*PIPELINE_UNADJ!CF30</f>
        <v>48</v>
      </c>
      <c r="CG30" s="79">
        <f>$K30*PIPELINE_UNADJ!CG30</f>
        <v>76.8</v>
      </c>
      <c r="CH30" s="79">
        <f>$K30*PIPELINE_UNADJ!CH30</f>
        <v>92.16</v>
      </c>
    </row>
    <row r="31" spans="1:86" s="76" customFormat="1" ht="13.5">
      <c r="A31" s="85"/>
      <c r="B31" s="85"/>
      <c r="C31" s="85"/>
      <c r="D31" s="85"/>
      <c r="E31" s="85"/>
      <c r="F31" s="85"/>
      <c r="G31" s="85"/>
      <c r="H31" s="562" t="s">
        <v>232</v>
      </c>
      <c r="I31" s="562"/>
      <c r="J31" s="1008">
        <v>2</v>
      </c>
      <c r="K31" s="705">
        <v>0.3</v>
      </c>
      <c r="L31" s="258"/>
      <c r="M31" s="258"/>
      <c r="N31" s="258"/>
      <c r="O31" s="258"/>
      <c r="P31" s="79"/>
      <c r="Q31" s="258"/>
      <c r="R31" s="258"/>
      <c r="S31" s="258"/>
      <c r="T31" s="258"/>
      <c r="U31" s="79"/>
      <c r="V31" s="258"/>
      <c r="W31" s="258"/>
      <c r="X31" s="258"/>
      <c r="Y31" s="258"/>
      <c r="Z31" s="79"/>
      <c r="AA31" s="258"/>
      <c r="AB31" s="258"/>
      <c r="AC31" s="258"/>
      <c r="AD31" s="258"/>
      <c r="AE31" s="79"/>
      <c r="AF31" s="258"/>
      <c r="AG31" s="258"/>
      <c r="AH31" s="258"/>
      <c r="AI31" s="258"/>
      <c r="AJ31" s="79"/>
      <c r="AK31" s="258"/>
      <c r="AL31" s="258"/>
      <c r="AM31" s="258"/>
      <c r="AN31" s="258"/>
      <c r="AO31" s="79"/>
      <c r="AP31" s="258"/>
      <c r="AQ31" s="258"/>
      <c r="AR31" s="258"/>
      <c r="AS31" s="258"/>
      <c r="AT31" s="79"/>
      <c r="AU31" s="258"/>
      <c r="AV31" s="258"/>
      <c r="AW31" s="258"/>
      <c r="AX31" s="258"/>
      <c r="AY31" s="79"/>
      <c r="AZ31" s="258"/>
      <c r="BA31" s="258"/>
      <c r="BB31" s="258"/>
      <c r="BC31" s="258"/>
      <c r="BD31" s="79"/>
      <c r="BE31" s="258">
        <f>$K31*PIPELINE_UNADJ!BE31</f>
        <v>0</v>
      </c>
      <c r="BF31" s="258">
        <f>$K31*PIPELINE_UNADJ!BF31</f>
        <v>0</v>
      </c>
      <c r="BG31" s="258">
        <f>$K31*PIPELINE_UNADJ!BG31</f>
        <v>0</v>
      </c>
      <c r="BH31" s="258">
        <f>$K31*PIPELINE_UNADJ!BH31</f>
        <v>0</v>
      </c>
      <c r="BI31" s="79"/>
      <c r="BJ31" s="258"/>
      <c r="BK31" s="258"/>
      <c r="BL31" s="258"/>
      <c r="BM31" s="258"/>
      <c r="BN31" s="79"/>
      <c r="BO31" s="258"/>
      <c r="BP31" s="258"/>
      <c r="BQ31" s="258"/>
      <c r="BR31" s="258"/>
      <c r="BS31" s="79"/>
      <c r="BT31" s="258">
        <f>$K31*PIPELINE_UNADJ!BT31</f>
        <v>0</v>
      </c>
      <c r="BU31" s="258">
        <f>$K31*PIPELINE_UNADJ!BU31</f>
        <v>0</v>
      </c>
      <c r="BV31" s="258">
        <f>$K31*PIPELINE_UNADJ!BV31</f>
        <v>0</v>
      </c>
      <c r="BW31" s="258">
        <f>$K31*PIPELINE_UNADJ!BW31</f>
        <v>0</v>
      </c>
      <c r="BX31" s="79">
        <f>$K31*PIPELINE_UNADJ!BX31</f>
        <v>0</v>
      </c>
      <c r="BY31" s="258">
        <f>$K31*PIPELINE_UNADJ!BY31</f>
        <v>0</v>
      </c>
      <c r="BZ31" s="258">
        <f>$K31*PIPELINE_UNADJ!BZ31</f>
        <v>0</v>
      </c>
      <c r="CA31" s="258">
        <f>$K31*PIPELINE_UNADJ!CA31</f>
        <v>0</v>
      </c>
      <c r="CB31" s="258">
        <f>$K31*PIPELINE_UNADJ!CB31</f>
        <v>0</v>
      </c>
      <c r="CC31" s="79">
        <f>$K31*PIPELINE_UNADJ!CC31</f>
        <v>0</v>
      </c>
      <c r="CD31" s="79">
        <f>$K31*PIPELINE_UNADJ!CD31</f>
        <v>0</v>
      </c>
      <c r="CE31" s="79">
        <f>$K31*PIPELINE_UNADJ!CE31</f>
        <v>4.5</v>
      </c>
      <c r="CF31" s="79">
        <f>$K31*PIPELINE_UNADJ!CF31</f>
        <v>27</v>
      </c>
      <c r="CG31" s="79">
        <f>$K31*PIPELINE_UNADJ!CG31</f>
        <v>54</v>
      </c>
      <c r="CH31" s="79">
        <f>$K31*PIPELINE_UNADJ!CH31</f>
        <v>81</v>
      </c>
    </row>
    <row r="32" spans="1:86" s="247" customFormat="1" ht="13.5">
      <c r="A32" s="246"/>
      <c r="B32" s="246"/>
      <c r="C32" s="246"/>
      <c r="D32" s="246"/>
      <c r="E32" s="246"/>
      <c r="F32" s="246"/>
      <c r="G32" s="246"/>
      <c r="H32" s="564" t="s">
        <v>728</v>
      </c>
      <c r="I32" s="564"/>
      <c r="J32" s="1009"/>
      <c r="K32" s="561"/>
      <c r="L32" s="265"/>
      <c r="M32" s="265"/>
      <c r="N32" s="265"/>
      <c r="O32" s="265"/>
      <c r="P32" s="264"/>
      <c r="Q32" s="265"/>
      <c r="R32" s="265"/>
      <c r="S32" s="265"/>
      <c r="T32" s="265"/>
      <c r="U32" s="264"/>
      <c r="V32" s="265"/>
      <c r="W32" s="265"/>
      <c r="X32" s="265"/>
      <c r="Y32" s="265"/>
      <c r="Z32" s="264"/>
      <c r="AA32" s="265"/>
      <c r="AB32" s="265"/>
      <c r="AC32" s="265"/>
      <c r="AD32" s="265"/>
      <c r="AE32" s="264"/>
      <c r="AF32" s="265"/>
      <c r="AG32" s="265"/>
      <c r="AH32" s="265"/>
      <c r="AI32" s="265"/>
      <c r="AJ32" s="266">
        <f>SUM(AJ33:AJ34)</f>
        <v>0</v>
      </c>
      <c r="AK32" s="265"/>
      <c r="AL32" s="265"/>
      <c r="AM32" s="265"/>
      <c r="AN32" s="265"/>
      <c r="AO32" s="266">
        <f>SUM(AO33:AO34)</f>
        <v>0</v>
      </c>
      <c r="AP32" s="265"/>
      <c r="AQ32" s="265"/>
      <c r="AR32" s="265"/>
      <c r="AS32" s="265"/>
      <c r="AT32" s="266">
        <f>SUM(AT33:AT34)</f>
        <v>0</v>
      </c>
      <c r="AU32" s="265"/>
      <c r="AV32" s="265"/>
      <c r="AW32" s="265"/>
      <c r="AX32" s="265"/>
      <c r="AY32" s="266">
        <f>SUM(AY33:AY34)</f>
        <v>0</v>
      </c>
      <c r="AZ32" s="265"/>
      <c r="BA32" s="265"/>
      <c r="BB32" s="265"/>
      <c r="BC32" s="265"/>
      <c r="BD32" s="264"/>
      <c r="BE32" s="258">
        <f>$K32*PIPELINE_UNADJ!BE32</f>
        <v>0</v>
      </c>
      <c r="BF32" s="258">
        <f>$K32*PIPELINE_UNADJ!BF32</f>
        <v>0</v>
      </c>
      <c r="BG32" s="258">
        <f>$K32*PIPELINE_UNADJ!BG32</f>
        <v>0</v>
      </c>
      <c r="BH32" s="258">
        <f>$K32*PIPELINE_UNADJ!BH32</f>
        <v>0</v>
      </c>
      <c r="BI32" s="79"/>
      <c r="BJ32" s="258"/>
      <c r="BK32" s="258"/>
      <c r="BL32" s="258"/>
      <c r="BM32" s="258"/>
      <c r="BN32" s="79"/>
      <c r="BO32" s="258"/>
      <c r="BP32" s="258"/>
      <c r="BQ32" s="258"/>
      <c r="BR32" s="258"/>
      <c r="BS32" s="79"/>
      <c r="BT32" s="265">
        <f>$K32*PIPELINE_UNADJ!BT32</f>
        <v>0</v>
      </c>
      <c r="BU32" s="265">
        <f>$K32*PIPELINE_UNADJ!BU32</f>
        <v>0</v>
      </c>
      <c r="BV32" s="265">
        <f>$K32*PIPELINE_UNADJ!BV32</f>
        <v>0</v>
      </c>
      <c r="BW32" s="265">
        <f>$K32*PIPELINE_UNADJ!BW32</f>
        <v>0</v>
      </c>
      <c r="BX32" s="79">
        <f>$K32*PIPELINE_UNADJ!BX32</f>
        <v>0</v>
      </c>
      <c r="BY32" s="265">
        <f>$K32*PIPELINE_UNADJ!BY32</f>
        <v>0</v>
      </c>
      <c r="BZ32" s="265">
        <f>$K32*PIPELINE_UNADJ!BZ32</f>
        <v>0</v>
      </c>
      <c r="CA32" s="265">
        <f>$K32*PIPELINE_UNADJ!CA32</f>
        <v>0</v>
      </c>
      <c r="CB32" s="265">
        <f>$K32*PIPELINE_UNADJ!CB32</f>
        <v>0</v>
      </c>
      <c r="CC32" s="264">
        <f t="shared" ref="CC32:CH32" si="9">SUM(CC33:CC34)</f>
        <v>0</v>
      </c>
      <c r="CD32" s="264">
        <f t="shared" si="9"/>
        <v>0</v>
      </c>
      <c r="CE32" s="264">
        <f t="shared" si="9"/>
        <v>0</v>
      </c>
      <c r="CF32" s="264">
        <f t="shared" si="9"/>
        <v>104.864</v>
      </c>
      <c r="CG32" s="264">
        <f t="shared" si="9"/>
        <v>528.13</v>
      </c>
      <c r="CH32" s="264">
        <f t="shared" si="9"/>
        <v>1314.6905000000002</v>
      </c>
    </row>
    <row r="33" spans="1:86" s="76" customFormat="1" ht="13.5">
      <c r="A33" s="85"/>
      <c r="B33" s="85"/>
      <c r="C33" s="85"/>
      <c r="D33" s="85"/>
      <c r="E33" s="85"/>
      <c r="F33" s="85"/>
      <c r="G33" s="85"/>
      <c r="H33" s="565" t="s">
        <v>231</v>
      </c>
      <c r="I33" s="565"/>
      <c r="J33" s="1010"/>
      <c r="K33" s="563"/>
      <c r="L33" s="258"/>
      <c r="M33" s="258"/>
      <c r="N33" s="258"/>
      <c r="O33" s="258"/>
      <c r="P33" s="79"/>
      <c r="Q33" s="258"/>
      <c r="R33" s="258"/>
      <c r="S33" s="258"/>
      <c r="T33" s="258"/>
      <c r="U33" s="79"/>
      <c r="V33" s="258"/>
      <c r="W33" s="258"/>
      <c r="X33" s="258"/>
      <c r="Y33" s="258"/>
      <c r="Z33" s="79"/>
      <c r="AA33" s="258"/>
      <c r="AB33" s="258"/>
      <c r="AC33" s="258"/>
      <c r="AD33" s="258"/>
      <c r="AE33" s="79"/>
      <c r="AF33" s="258"/>
      <c r="AG33" s="258"/>
      <c r="AH33" s="258"/>
      <c r="AI33" s="258"/>
      <c r="AJ33" s="259">
        <f>AJ86</f>
        <v>0</v>
      </c>
      <c r="AK33" s="258"/>
      <c r="AL33" s="258"/>
      <c r="AM33" s="258"/>
      <c r="AN33" s="258"/>
      <c r="AO33" s="259">
        <f>AO86</f>
        <v>0</v>
      </c>
      <c r="AP33" s="258"/>
      <c r="AQ33" s="258"/>
      <c r="AR33" s="258"/>
      <c r="AS33" s="258"/>
      <c r="AT33" s="259">
        <f>AT86</f>
        <v>0</v>
      </c>
      <c r="AU33" s="258"/>
      <c r="AV33" s="258"/>
      <c r="AW33" s="258"/>
      <c r="AX33" s="258"/>
      <c r="AY33" s="259">
        <f>AY86</f>
        <v>0</v>
      </c>
      <c r="AZ33" s="258"/>
      <c r="BA33" s="258"/>
      <c r="BB33" s="258"/>
      <c r="BC33" s="258"/>
      <c r="BD33" s="79"/>
      <c r="BE33" s="258">
        <f>$K33*PIPELINE_UNADJ!BE33</f>
        <v>0</v>
      </c>
      <c r="BF33" s="258">
        <f>$K33*PIPELINE_UNADJ!BF33</f>
        <v>0</v>
      </c>
      <c r="BG33" s="258">
        <f>$K33*PIPELINE_UNADJ!BG33</f>
        <v>0</v>
      </c>
      <c r="BH33" s="258">
        <f>$K33*PIPELINE_UNADJ!BH33</f>
        <v>0</v>
      </c>
      <c r="BI33" s="79"/>
      <c r="BJ33" s="258"/>
      <c r="BK33" s="258"/>
      <c r="BL33" s="258"/>
      <c r="BM33" s="258"/>
      <c r="BN33" s="79"/>
      <c r="BO33" s="258"/>
      <c r="BP33" s="258"/>
      <c r="BQ33" s="258"/>
      <c r="BR33" s="258"/>
      <c r="BS33" s="79"/>
      <c r="BT33" s="258">
        <f t="shared" ref="BT33:CH33" si="10">BT86</f>
        <v>0</v>
      </c>
      <c r="BU33" s="258">
        <f t="shared" si="10"/>
        <v>0</v>
      </c>
      <c r="BV33" s="258">
        <f t="shared" si="10"/>
        <v>0</v>
      </c>
      <c r="BW33" s="258">
        <f t="shared" si="10"/>
        <v>0</v>
      </c>
      <c r="BX33" s="79">
        <f t="shared" si="10"/>
        <v>0</v>
      </c>
      <c r="BY33" s="258">
        <f t="shared" si="10"/>
        <v>0</v>
      </c>
      <c r="BZ33" s="258">
        <f t="shared" si="10"/>
        <v>0</v>
      </c>
      <c r="CA33" s="258">
        <f t="shared" si="10"/>
        <v>0</v>
      </c>
      <c r="CB33" s="258">
        <f t="shared" si="10"/>
        <v>0</v>
      </c>
      <c r="CC33" s="79">
        <f t="shared" si="10"/>
        <v>0</v>
      </c>
      <c r="CD33" s="79">
        <f t="shared" si="10"/>
        <v>0</v>
      </c>
      <c r="CE33" s="79">
        <f t="shared" si="10"/>
        <v>0</v>
      </c>
      <c r="CF33" s="79">
        <f t="shared" si="10"/>
        <v>73.404799999999994</v>
      </c>
      <c r="CG33" s="79">
        <f t="shared" si="10"/>
        <v>369.69099999999997</v>
      </c>
      <c r="CH33" s="79">
        <f t="shared" si="10"/>
        <v>920.28335000000004</v>
      </c>
    </row>
    <row r="34" spans="1:86" s="76" customFormat="1" ht="13.5">
      <c r="A34" s="85"/>
      <c r="B34" s="85"/>
      <c r="C34" s="85"/>
      <c r="D34" s="85"/>
      <c r="E34" s="85"/>
      <c r="F34" s="85"/>
      <c r="G34" s="85"/>
      <c r="H34" s="565" t="s">
        <v>232</v>
      </c>
      <c r="I34" s="565"/>
      <c r="J34" s="1010"/>
      <c r="K34" s="563"/>
      <c r="L34" s="258"/>
      <c r="M34" s="258"/>
      <c r="N34" s="258"/>
      <c r="O34" s="258"/>
      <c r="P34" s="79"/>
      <c r="Q34" s="258"/>
      <c r="R34" s="258"/>
      <c r="S34" s="258"/>
      <c r="T34" s="258"/>
      <c r="U34" s="79"/>
      <c r="V34" s="258"/>
      <c r="W34" s="258"/>
      <c r="X34" s="258"/>
      <c r="Y34" s="258"/>
      <c r="Z34" s="79"/>
      <c r="AA34" s="258"/>
      <c r="AB34" s="258"/>
      <c r="AC34" s="258"/>
      <c r="AD34" s="258"/>
      <c r="AE34" s="79"/>
      <c r="AF34" s="258"/>
      <c r="AG34" s="258"/>
      <c r="AH34" s="258"/>
      <c r="AI34" s="258"/>
      <c r="AJ34" s="259">
        <f>AJ87</f>
        <v>0</v>
      </c>
      <c r="AK34" s="258"/>
      <c r="AL34" s="258"/>
      <c r="AM34" s="258"/>
      <c r="AN34" s="258"/>
      <c r="AO34" s="259">
        <f>AO87</f>
        <v>0</v>
      </c>
      <c r="AP34" s="258"/>
      <c r="AQ34" s="258"/>
      <c r="AR34" s="258"/>
      <c r="AS34" s="258"/>
      <c r="AT34" s="259">
        <f>AT87</f>
        <v>0</v>
      </c>
      <c r="AU34" s="258"/>
      <c r="AV34" s="258"/>
      <c r="AW34" s="258"/>
      <c r="AX34" s="258"/>
      <c r="AY34" s="259">
        <f>AY87</f>
        <v>0</v>
      </c>
      <c r="AZ34" s="258"/>
      <c r="BA34" s="258"/>
      <c r="BB34" s="258"/>
      <c r="BC34" s="258"/>
      <c r="BD34" s="79"/>
      <c r="BE34" s="258">
        <f>$K34*PIPELINE_UNADJ!BE13</f>
        <v>0</v>
      </c>
      <c r="BF34" s="258">
        <f>$K34*PIPELINE_UNADJ!BF13</f>
        <v>0</v>
      </c>
      <c r="BG34" s="258">
        <f>$K34*PIPELINE_UNADJ!BG13</f>
        <v>0</v>
      </c>
      <c r="BH34" s="258">
        <f>$K34*PIPELINE_UNADJ!BH13</f>
        <v>0</v>
      </c>
      <c r="BI34" s="79"/>
      <c r="BJ34" s="258"/>
      <c r="BK34" s="258"/>
      <c r="BL34" s="258"/>
      <c r="BM34" s="258"/>
      <c r="BN34" s="79"/>
      <c r="BO34" s="258"/>
      <c r="BP34" s="258"/>
      <c r="BQ34" s="258"/>
      <c r="BR34" s="258"/>
      <c r="BS34" s="79"/>
      <c r="BT34" s="258">
        <f t="shared" ref="BT34:CH34" si="11">BT87</f>
        <v>0</v>
      </c>
      <c r="BU34" s="258">
        <f t="shared" si="11"/>
        <v>0</v>
      </c>
      <c r="BV34" s="258">
        <f t="shared" si="11"/>
        <v>0</v>
      </c>
      <c r="BW34" s="258">
        <f t="shared" si="11"/>
        <v>0</v>
      </c>
      <c r="BX34" s="79">
        <f t="shared" si="11"/>
        <v>0</v>
      </c>
      <c r="BY34" s="258">
        <f t="shared" si="11"/>
        <v>0</v>
      </c>
      <c r="BZ34" s="258">
        <f t="shared" si="11"/>
        <v>0</v>
      </c>
      <c r="CA34" s="258">
        <f t="shared" si="11"/>
        <v>0</v>
      </c>
      <c r="CB34" s="258">
        <f t="shared" si="11"/>
        <v>0</v>
      </c>
      <c r="CC34" s="79">
        <f t="shared" si="11"/>
        <v>0</v>
      </c>
      <c r="CD34" s="79">
        <f t="shared" si="11"/>
        <v>0</v>
      </c>
      <c r="CE34" s="79">
        <f t="shared" si="11"/>
        <v>0</v>
      </c>
      <c r="CF34" s="79">
        <f t="shared" si="11"/>
        <v>31.45920000000001</v>
      </c>
      <c r="CG34" s="79">
        <f t="shared" si="11"/>
        <v>158.43900000000002</v>
      </c>
      <c r="CH34" s="79">
        <f t="shared" si="11"/>
        <v>394.40715000000012</v>
      </c>
    </row>
    <row r="35" spans="1:86" s="76" customFormat="1" ht="14.25" thickBot="1">
      <c r="A35" s="85"/>
      <c r="B35" s="85"/>
      <c r="C35" s="85"/>
      <c r="D35" s="85"/>
      <c r="E35" s="85"/>
      <c r="F35" s="85"/>
      <c r="G35" s="85"/>
      <c r="H35" s="313" t="s">
        <v>729</v>
      </c>
      <c r="I35" s="313"/>
      <c r="J35" s="566"/>
      <c r="K35" s="566"/>
      <c r="L35" s="308"/>
      <c r="M35" s="308"/>
      <c r="N35" s="308"/>
      <c r="O35" s="308"/>
      <c r="P35" s="309"/>
      <c r="Q35" s="308"/>
      <c r="R35" s="308"/>
      <c r="S35" s="308"/>
      <c r="T35" s="308"/>
      <c r="U35" s="309"/>
      <c r="V35" s="308"/>
      <c r="W35" s="308"/>
      <c r="X35" s="308"/>
      <c r="Y35" s="308"/>
      <c r="Z35" s="309"/>
      <c r="AA35" s="308"/>
      <c r="AB35" s="308"/>
      <c r="AC35" s="308"/>
      <c r="AD35" s="308"/>
      <c r="AE35" s="309"/>
      <c r="AF35" s="308"/>
      <c r="AG35" s="308"/>
      <c r="AH35" s="308"/>
      <c r="AI35" s="308"/>
      <c r="AJ35" s="309"/>
      <c r="AK35" s="308"/>
      <c r="AL35" s="308"/>
      <c r="AM35" s="308"/>
      <c r="AN35" s="308"/>
      <c r="AO35" s="309"/>
      <c r="AP35" s="308"/>
      <c r="AQ35" s="308"/>
      <c r="AR35" s="308"/>
      <c r="AS35" s="308"/>
      <c r="AT35" s="309"/>
      <c r="AU35" s="308"/>
      <c r="AV35" s="308"/>
      <c r="AW35" s="308"/>
      <c r="AX35" s="308"/>
      <c r="AY35" s="309"/>
      <c r="AZ35" s="308"/>
      <c r="BA35" s="308"/>
      <c r="BB35" s="308"/>
      <c r="BC35" s="308"/>
      <c r="BD35" s="309"/>
      <c r="BE35" s="308"/>
      <c r="BF35" s="308"/>
      <c r="BG35" s="308"/>
      <c r="BH35" s="308"/>
      <c r="BI35" s="309"/>
      <c r="BJ35" s="308"/>
      <c r="BK35" s="308"/>
      <c r="BL35" s="308"/>
      <c r="BM35" s="308"/>
      <c r="BN35" s="309"/>
      <c r="BO35" s="308"/>
      <c r="BP35" s="308"/>
      <c r="BQ35" s="308"/>
      <c r="BR35" s="308"/>
      <c r="BS35" s="309"/>
      <c r="BT35" s="308"/>
      <c r="BU35" s="308"/>
      <c r="BV35" s="308"/>
      <c r="BW35" s="308"/>
      <c r="BX35" s="309"/>
      <c r="BY35" s="308">
        <f t="shared" ref="BY35:CG37" si="12">BY20+BY14+BY17+BY11+BY29+BY32+BY23+BY26</f>
        <v>0</v>
      </c>
      <c r="BZ35" s="308">
        <f t="shared" si="12"/>
        <v>0</v>
      </c>
      <c r="CA35" s="308">
        <f t="shared" si="12"/>
        <v>9</v>
      </c>
      <c r="CB35" s="308">
        <f t="shared" si="12"/>
        <v>29</v>
      </c>
      <c r="CC35" s="309">
        <f t="shared" si="12"/>
        <v>38</v>
      </c>
      <c r="CD35" s="309">
        <f t="shared" si="12"/>
        <v>248.52500000000001</v>
      </c>
      <c r="CE35" s="309">
        <f t="shared" si="12"/>
        <v>721.97500000000002</v>
      </c>
      <c r="CF35" s="309">
        <f t="shared" si="12"/>
        <v>1556.4140000000002</v>
      </c>
      <c r="CG35" s="309">
        <f t="shared" si="12"/>
        <v>2708.5974999999999</v>
      </c>
      <c r="CH35" s="309">
        <f>CH20+CH14+CH17+CH11+CH29+CH32+CH23+CH26</f>
        <v>4099.8971250000004</v>
      </c>
    </row>
    <row r="36" spans="1:86" s="76" customFormat="1" ht="13.5">
      <c r="A36" s="85"/>
      <c r="B36" s="85"/>
      <c r="C36" s="85"/>
      <c r="D36" s="85"/>
      <c r="E36" s="85"/>
      <c r="F36" s="85"/>
      <c r="G36" s="85"/>
      <c r="H36" s="562" t="s">
        <v>231</v>
      </c>
      <c r="I36" s="567"/>
      <c r="J36" s="259"/>
      <c r="K36" s="259"/>
      <c r="L36" s="258"/>
      <c r="M36" s="258"/>
      <c r="N36" s="258"/>
      <c r="O36" s="258"/>
      <c r="P36" s="79"/>
      <c r="Q36" s="258"/>
      <c r="R36" s="258"/>
      <c r="S36" s="258"/>
      <c r="T36" s="258"/>
      <c r="U36" s="79"/>
      <c r="V36" s="258"/>
      <c r="W36" s="258"/>
      <c r="X36" s="258"/>
      <c r="Y36" s="258"/>
      <c r="Z36" s="79"/>
      <c r="AA36" s="258"/>
      <c r="AB36" s="258"/>
      <c r="AC36" s="258"/>
      <c r="AD36" s="258"/>
      <c r="AE36" s="79"/>
      <c r="AF36" s="258"/>
      <c r="AG36" s="258"/>
      <c r="AH36" s="258"/>
      <c r="AI36" s="258"/>
      <c r="AJ36" s="79"/>
      <c r="AK36" s="258"/>
      <c r="AL36" s="258"/>
      <c r="AM36" s="258"/>
      <c r="AN36" s="258"/>
      <c r="AO36" s="79"/>
      <c r="AP36" s="258"/>
      <c r="AQ36" s="258"/>
      <c r="AR36" s="258"/>
      <c r="AS36" s="258"/>
      <c r="AT36" s="79"/>
      <c r="AU36" s="258"/>
      <c r="AV36" s="258"/>
      <c r="AW36" s="258"/>
      <c r="AX36" s="258"/>
      <c r="AY36" s="79"/>
      <c r="AZ36" s="258"/>
      <c r="BA36" s="258"/>
      <c r="BB36" s="258"/>
      <c r="BC36" s="258"/>
      <c r="BD36" s="79"/>
      <c r="BE36" s="258"/>
      <c r="BF36" s="258"/>
      <c r="BG36" s="258"/>
      <c r="BH36" s="258"/>
      <c r="BI36" s="79"/>
      <c r="BJ36" s="258"/>
      <c r="BK36" s="258"/>
      <c r="BL36" s="258"/>
      <c r="BM36" s="258"/>
      <c r="BN36" s="79"/>
      <c r="BO36" s="258"/>
      <c r="BP36" s="258"/>
      <c r="BQ36" s="258"/>
      <c r="BR36" s="258"/>
      <c r="BS36" s="79"/>
      <c r="BT36" s="258"/>
      <c r="BU36" s="258"/>
      <c r="BV36" s="258"/>
      <c r="BW36" s="258"/>
      <c r="BX36" s="79"/>
      <c r="BY36" s="258">
        <f t="shared" si="12"/>
        <v>0</v>
      </c>
      <c r="BZ36" s="258">
        <f t="shared" si="12"/>
        <v>0</v>
      </c>
      <c r="CA36" s="258">
        <f t="shared" si="12"/>
        <v>9</v>
      </c>
      <c r="CB36" s="258">
        <f t="shared" si="12"/>
        <v>27</v>
      </c>
      <c r="CC36" s="79">
        <f t="shared" si="12"/>
        <v>36</v>
      </c>
      <c r="CD36" s="79">
        <f t="shared" si="12"/>
        <v>204.1</v>
      </c>
      <c r="CE36" s="79">
        <f t="shared" si="12"/>
        <v>578.1</v>
      </c>
      <c r="CF36" s="79">
        <f t="shared" si="12"/>
        <v>1175.2548000000002</v>
      </c>
      <c r="CG36" s="79">
        <f t="shared" si="12"/>
        <v>1939.0535</v>
      </c>
      <c r="CH36" s="79">
        <f>CH21+CH15+CH18+CH12+CH30+CH33+CH24+CH27</f>
        <v>2852.7214750000003</v>
      </c>
    </row>
    <row r="37" spans="1:86" s="76" customFormat="1" ht="13.5">
      <c r="A37" s="85"/>
      <c r="B37" s="85"/>
      <c r="C37" s="85"/>
      <c r="D37" s="85"/>
      <c r="E37" s="85"/>
      <c r="F37" s="85"/>
      <c r="G37" s="85"/>
      <c r="H37" s="562" t="s">
        <v>232</v>
      </c>
      <c r="I37" s="567"/>
      <c r="J37" s="259"/>
      <c r="K37" s="259"/>
      <c r="L37" s="258"/>
      <c r="M37" s="258"/>
      <c r="N37" s="258"/>
      <c r="O37" s="258"/>
      <c r="P37" s="79"/>
      <c r="Q37" s="258"/>
      <c r="R37" s="258"/>
      <c r="S37" s="258"/>
      <c r="T37" s="258"/>
      <c r="U37" s="79"/>
      <c r="V37" s="258"/>
      <c r="W37" s="258"/>
      <c r="X37" s="258"/>
      <c r="Y37" s="258"/>
      <c r="Z37" s="79"/>
      <c r="AA37" s="258"/>
      <c r="AB37" s="258"/>
      <c r="AC37" s="258"/>
      <c r="AD37" s="258"/>
      <c r="AE37" s="79"/>
      <c r="AF37" s="258"/>
      <c r="AG37" s="258"/>
      <c r="AH37" s="258"/>
      <c r="AI37" s="258"/>
      <c r="AJ37" s="79"/>
      <c r="AK37" s="258"/>
      <c r="AL37" s="258"/>
      <c r="AM37" s="258"/>
      <c r="AN37" s="258"/>
      <c r="AO37" s="79"/>
      <c r="AP37" s="258"/>
      <c r="AQ37" s="258"/>
      <c r="AR37" s="258"/>
      <c r="AS37" s="258"/>
      <c r="AT37" s="79"/>
      <c r="AU37" s="258"/>
      <c r="AV37" s="258"/>
      <c r="AW37" s="258"/>
      <c r="AX37" s="258"/>
      <c r="AY37" s="79"/>
      <c r="AZ37" s="258"/>
      <c r="BA37" s="258"/>
      <c r="BB37" s="258"/>
      <c r="BC37" s="258"/>
      <c r="BD37" s="79"/>
      <c r="BE37" s="258"/>
      <c r="BF37" s="258"/>
      <c r="BG37" s="258"/>
      <c r="BH37" s="258"/>
      <c r="BI37" s="79"/>
      <c r="BJ37" s="258"/>
      <c r="BK37" s="258"/>
      <c r="BL37" s="258"/>
      <c r="BM37" s="258"/>
      <c r="BN37" s="79"/>
      <c r="BO37" s="258"/>
      <c r="BP37" s="258"/>
      <c r="BQ37" s="258"/>
      <c r="BR37" s="258"/>
      <c r="BS37" s="79"/>
      <c r="BT37" s="258"/>
      <c r="BU37" s="258"/>
      <c r="BV37" s="258"/>
      <c r="BW37" s="258"/>
      <c r="BX37" s="79"/>
      <c r="BY37" s="258">
        <f t="shared" si="12"/>
        <v>0</v>
      </c>
      <c r="BZ37" s="258">
        <f t="shared" si="12"/>
        <v>0</v>
      </c>
      <c r="CA37" s="258">
        <f t="shared" si="12"/>
        <v>0</v>
      </c>
      <c r="CB37" s="258">
        <f t="shared" si="12"/>
        <v>2</v>
      </c>
      <c r="CC37" s="79">
        <f t="shared" si="12"/>
        <v>2</v>
      </c>
      <c r="CD37" s="79">
        <f t="shared" si="12"/>
        <v>44.424999999999997</v>
      </c>
      <c r="CE37" s="79">
        <f t="shared" si="12"/>
        <v>143.875</v>
      </c>
      <c r="CF37" s="79">
        <f t="shared" si="12"/>
        <v>381.1592</v>
      </c>
      <c r="CG37" s="79">
        <f t="shared" si="12"/>
        <v>769.5440000000001</v>
      </c>
      <c r="CH37" s="79">
        <f>CH22+CH16+CH19+CH13+CH31+CH34+CH25+CH28</f>
        <v>1247.1756500000001</v>
      </c>
    </row>
    <row r="38" spans="1:86" s="76" customFormat="1" ht="9.75" customHeight="1">
      <c r="A38" s="85"/>
      <c r="B38" s="85"/>
      <c r="C38" s="85"/>
      <c r="D38" s="85"/>
      <c r="E38" s="85"/>
      <c r="F38" s="85"/>
      <c r="G38" s="85"/>
      <c r="H38" s="568"/>
      <c r="I38" s="568"/>
      <c r="J38" s="569"/>
      <c r="K38" s="569"/>
      <c r="L38" s="570"/>
      <c r="M38" s="570"/>
      <c r="N38" s="570"/>
      <c r="O38" s="570"/>
      <c r="P38" s="240"/>
      <c r="Q38" s="570"/>
      <c r="R38" s="570"/>
      <c r="S38" s="570"/>
      <c r="T38" s="570"/>
      <c r="U38" s="240"/>
      <c r="V38" s="570"/>
      <c r="W38" s="570"/>
      <c r="X38" s="570"/>
      <c r="Y38" s="570"/>
      <c r="Z38" s="240"/>
      <c r="AA38" s="570"/>
      <c r="AB38" s="570"/>
      <c r="AC38" s="570"/>
      <c r="AD38" s="570"/>
      <c r="AE38" s="240"/>
      <c r="AF38" s="570"/>
      <c r="AG38" s="570"/>
      <c r="AH38" s="570"/>
      <c r="AI38" s="570"/>
      <c r="AK38" s="570"/>
      <c r="AL38" s="570"/>
      <c r="AM38" s="570"/>
      <c r="AN38" s="570"/>
      <c r="AP38" s="570"/>
      <c r="AQ38" s="570"/>
      <c r="AR38" s="570"/>
      <c r="AS38" s="570"/>
      <c r="AU38" s="570"/>
      <c r="AV38" s="570"/>
      <c r="AW38" s="570"/>
      <c r="AX38" s="570"/>
      <c r="AZ38" s="570"/>
      <c r="BA38" s="570"/>
      <c r="BB38" s="570"/>
      <c r="BC38" s="570"/>
      <c r="BD38" s="240"/>
      <c r="BE38" s="570"/>
      <c r="BF38" s="570"/>
      <c r="BG38" s="570"/>
      <c r="BH38" s="570"/>
      <c r="BI38" s="240"/>
      <c r="BJ38" s="570"/>
      <c r="BK38" s="570"/>
      <c r="BL38" s="570"/>
      <c r="BM38" s="570"/>
      <c r="BN38" s="240"/>
      <c r="BO38" s="570"/>
      <c r="BP38" s="570"/>
      <c r="BQ38" s="570"/>
      <c r="BR38" s="570"/>
      <c r="BS38" s="240"/>
      <c r="BT38" s="570"/>
      <c r="BU38" s="570"/>
      <c r="BV38" s="570"/>
      <c r="BW38" s="570"/>
      <c r="BX38" s="240"/>
      <c r="BY38" s="570"/>
      <c r="BZ38" s="570"/>
      <c r="CA38" s="570"/>
      <c r="CB38" s="570"/>
      <c r="CC38" s="240"/>
      <c r="CD38" s="240"/>
      <c r="CE38" s="240"/>
      <c r="CF38" s="240"/>
      <c r="CG38" s="240"/>
      <c r="CH38" s="240"/>
    </row>
    <row r="39" spans="1:86" s="76" customFormat="1" ht="13.5">
      <c r="A39" s="85"/>
      <c r="B39" s="85"/>
      <c r="C39" s="85"/>
      <c r="D39" s="85"/>
      <c r="E39" s="85"/>
      <c r="F39" s="85"/>
      <c r="G39" s="85"/>
      <c r="H39" s="571" t="s">
        <v>331</v>
      </c>
      <c r="I39" s="571"/>
      <c r="J39" s="572"/>
      <c r="K39" s="572"/>
      <c r="L39" s="143"/>
      <c r="M39" s="143"/>
      <c r="N39" s="143"/>
      <c r="O39" s="143"/>
      <c r="P39" s="80"/>
      <c r="Q39" s="143"/>
      <c r="R39" s="143"/>
      <c r="S39" s="143"/>
      <c r="T39" s="143"/>
      <c r="U39" s="80"/>
      <c r="V39" s="143"/>
      <c r="W39" s="143"/>
      <c r="X39" s="143"/>
      <c r="Y39" s="143"/>
      <c r="Z39" s="80"/>
      <c r="AA39" s="143"/>
      <c r="AB39" s="143"/>
      <c r="AC39" s="143"/>
      <c r="AD39" s="143"/>
      <c r="AE39" s="80"/>
      <c r="AF39" s="143"/>
      <c r="AG39" s="143"/>
      <c r="AH39" s="143"/>
      <c r="AI39" s="143"/>
      <c r="AJ39" s="303"/>
      <c r="AK39" s="143"/>
      <c r="AL39" s="143"/>
      <c r="AM39" s="143"/>
      <c r="AN39" s="143"/>
      <c r="AO39" s="303"/>
      <c r="AP39" s="143"/>
      <c r="AQ39" s="143"/>
      <c r="AR39" s="143"/>
      <c r="AS39" s="143"/>
      <c r="AT39" s="303"/>
      <c r="AU39" s="143"/>
      <c r="AV39" s="143"/>
      <c r="AW39" s="143"/>
      <c r="AX39" s="143"/>
      <c r="AY39" s="303"/>
      <c r="AZ39" s="143"/>
      <c r="BA39" s="143"/>
      <c r="BB39" s="143"/>
      <c r="BC39" s="143"/>
      <c r="BD39" s="80"/>
      <c r="BE39" s="143"/>
      <c r="BF39" s="143"/>
      <c r="BG39" s="143"/>
      <c r="BH39" s="143"/>
      <c r="BI39" s="80"/>
      <c r="BJ39" s="143"/>
      <c r="BK39" s="143"/>
      <c r="BL39" s="143"/>
      <c r="BM39" s="143"/>
      <c r="BN39" s="80"/>
      <c r="BO39" s="143"/>
      <c r="BP39" s="143"/>
      <c r="BQ39" s="143"/>
      <c r="BR39" s="143"/>
      <c r="BS39" s="80"/>
      <c r="BT39" s="143"/>
      <c r="BU39" s="143"/>
      <c r="BV39" s="143"/>
      <c r="BW39" s="143"/>
      <c r="BX39" s="80"/>
      <c r="BY39" s="143">
        <f>'IS-ANNUAL'!BY11</f>
        <v>5700</v>
      </c>
      <c r="BZ39" s="143">
        <f>'IS-ANNUAL'!BZ11</f>
        <v>6017.2599999999993</v>
      </c>
      <c r="CA39" s="143">
        <f>'IS-ANNUAL'!CA11</f>
        <v>6059.8329999999996</v>
      </c>
      <c r="CB39" s="143">
        <f>'IS-ANNUAL'!CB11</f>
        <v>6245.3459999999995</v>
      </c>
      <c r="CC39" s="80">
        <f>'IS-ANNUAL'!CC11</f>
        <v>24022.338999999996</v>
      </c>
      <c r="CD39" s="80">
        <f>'IS-ANNUAL'!CD11</f>
        <v>24592.02145</v>
      </c>
      <c r="CE39" s="80">
        <f>'IS-ANNUAL'!CE11</f>
        <v>25514.011554000001</v>
      </c>
      <c r="CF39" s="80">
        <f>'IS-ANNUAL'!CF11</f>
        <v>26439.738999584999</v>
      </c>
      <c r="CG39" s="80">
        <f>'IS-ANNUAL'!CG11</f>
        <v>27217.601464911932</v>
      </c>
      <c r="CH39" s="80">
        <f>'IS-ANNUAL'!CH11</f>
        <v>28120.927073300889</v>
      </c>
    </row>
    <row r="40" spans="1:86" s="76" customFormat="1" ht="14.25" thickBot="1">
      <c r="A40" s="85"/>
      <c r="B40" s="85"/>
      <c r="C40" s="85"/>
      <c r="D40" s="85"/>
      <c r="E40" s="85"/>
      <c r="F40" s="85"/>
      <c r="G40" s="85"/>
      <c r="H40" s="676" t="s">
        <v>389</v>
      </c>
      <c r="I40" s="676"/>
      <c r="J40" s="677"/>
      <c r="K40" s="677"/>
      <c r="L40" s="678"/>
      <c r="M40" s="678"/>
      <c r="N40" s="678"/>
      <c r="O40" s="678"/>
      <c r="P40" s="679"/>
      <c r="Q40" s="678"/>
      <c r="R40" s="678"/>
      <c r="S40" s="678"/>
      <c r="T40" s="678"/>
      <c r="U40" s="679"/>
      <c r="V40" s="678"/>
      <c r="W40" s="678"/>
      <c r="X40" s="678"/>
      <c r="Y40" s="678"/>
      <c r="Z40" s="679"/>
      <c r="AA40" s="678"/>
      <c r="AB40" s="678"/>
      <c r="AC40" s="678"/>
      <c r="AD40" s="678"/>
      <c r="AE40" s="679"/>
      <c r="AF40" s="678"/>
      <c r="AG40" s="678"/>
      <c r="AH40" s="678"/>
      <c r="AI40" s="678"/>
      <c r="AJ40" s="680"/>
      <c r="AK40" s="678"/>
      <c r="AL40" s="678"/>
      <c r="AM40" s="678"/>
      <c r="AN40" s="678"/>
      <c r="AO40" s="680"/>
      <c r="AP40" s="678"/>
      <c r="AQ40" s="678"/>
      <c r="AR40" s="678"/>
      <c r="AS40" s="678"/>
      <c r="AT40" s="680"/>
      <c r="AU40" s="678"/>
      <c r="AV40" s="678"/>
      <c r="AW40" s="678"/>
      <c r="AX40" s="678"/>
      <c r="AY40" s="680"/>
      <c r="AZ40" s="678"/>
      <c r="BA40" s="678"/>
      <c r="BB40" s="678"/>
      <c r="BC40" s="678"/>
      <c r="BD40" s="679"/>
      <c r="BE40" s="678"/>
      <c r="BF40" s="678"/>
      <c r="BG40" s="678"/>
      <c r="BH40" s="678"/>
      <c r="BI40" s="679"/>
      <c r="BJ40" s="678"/>
      <c r="BK40" s="678"/>
      <c r="BL40" s="678"/>
      <c r="BM40" s="678"/>
      <c r="BN40" s="679"/>
      <c r="BO40" s="678"/>
      <c r="BP40" s="678"/>
      <c r="BQ40" s="678"/>
      <c r="BR40" s="678"/>
      <c r="BS40" s="679"/>
      <c r="BT40" s="678"/>
      <c r="BU40" s="678"/>
      <c r="BV40" s="678"/>
      <c r="BW40" s="678"/>
      <c r="BX40" s="679"/>
      <c r="BY40" s="678">
        <f t="shared" ref="BY40:CH40" si="13">BY35/BY39</f>
        <v>0</v>
      </c>
      <c r="BZ40" s="678">
        <f t="shared" si="13"/>
        <v>0</v>
      </c>
      <c r="CA40" s="678">
        <f t="shared" si="13"/>
        <v>1.4851894433394453E-3</v>
      </c>
      <c r="CB40" s="678">
        <f t="shared" si="13"/>
        <v>4.6434577043449636E-3</v>
      </c>
      <c r="CC40" s="679">
        <f t="shared" si="13"/>
        <v>1.581860950342929E-3</v>
      </c>
      <c r="CD40" s="679">
        <f t="shared" si="13"/>
        <v>1.0105919942583655E-2</v>
      </c>
      <c r="CE40" s="679">
        <f t="shared" si="13"/>
        <v>2.8297196560876026E-2</v>
      </c>
      <c r="CF40" s="679">
        <f t="shared" si="13"/>
        <v>5.8866466118460165E-2</v>
      </c>
      <c r="CG40" s="679">
        <f t="shared" si="13"/>
        <v>9.9516392121908243E-2</v>
      </c>
      <c r="CH40" s="679">
        <f t="shared" si="13"/>
        <v>0.14579523336172667</v>
      </c>
    </row>
    <row r="41" spans="1:86" s="76" customFormat="1" ht="4.5" customHeight="1">
      <c r="A41" s="85"/>
      <c r="B41" s="85"/>
      <c r="C41" s="85"/>
      <c r="D41" s="85"/>
      <c r="E41" s="85"/>
      <c r="F41" s="85"/>
      <c r="G41" s="85"/>
      <c r="H41" s="571"/>
      <c r="I41" s="571"/>
      <c r="J41" s="572"/>
      <c r="K41" s="572"/>
      <c r="L41" s="336"/>
      <c r="M41" s="336"/>
      <c r="N41" s="336"/>
      <c r="O41" s="336"/>
      <c r="P41" s="280"/>
      <c r="Q41" s="336"/>
      <c r="R41" s="336"/>
      <c r="S41" s="336"/>
      <c r="T41" s="336"/>
      <c r="U41" s="280"/>
      <c r="V41" s="336"/>
      <c r="W41" s="336"/>
      <c r="X41" s="336"/>
      <c r="Y41" s="336"/>
      <c r="Z41" s="280"/>
      <c r="AA41" s="336"/>
      <c r="AB41" s="336"/>
      <c r="AC41" s="336"/>
      <c r="AD41" s="336"/>
      <c r="AE41" s="280"/>
      <c r="AF41" s="336"/>
      <c r="AG41" s="336"/>
      <c r="AH41" s="336"/>
      <c r="AI41" s="336"/>
      <c r="AJ41" s="343"/>
      <c r="AK41" s="336"/>
      <c r="AL41" s="336"/>
      <c r="AM41" s="336"/>
      <c r="AN41" s="336"/>
      <c r="AO41" s="343"/>
      <c r="AP41" s="336"/>
      <c r="AQ41" s="336"/>
      <c r="AR41" s="336"/>
      <c r="AS41" s="336"/>
      <c r="AT41" s="343"/>
      <c r="AU41" s="336"/>
      <c r="AV41" s="336"/>
      <c r="AW41" s="336"/>
      <c r="AX41" s="336"/>
      <c r="AY41" s="343"/>
      <c r="AZ41" s="336"/>
      <c r="BA41" s="336"/>
      <c r="BB41" s="336"/>
      <c r="BC41" s="336"/>
      <c r="BD41" s="280"/>
      <c r="BE41" s="336"/>
      <c r="BF41" s="336"/>
      <c r="BG41" s="336"/>
      <c r="BH41" s="336"/>
      <c r="BI41" s="280"/>
      <c r="BJ41" s="336"/>
      <c r="BK41" s="336"/>
      <c r="BL41" s="336"/>
      <c r="BM41" s="336"/>
      <c r="BN41" s="280"/>
      <c r="BO41" s="336"/>
      <c r="BP41" s="336"/>
      <c r="BQ41" s="336"/>
      <c r="BR41" s="336"/>
      <c r="BS41" s="280"/>
      <c r="BT41" s="336"/>
      <c r="BU41" s="336"/>
      <c r="BV41" s="336"/>
      <c r="BW41" s="336"/>
      <c r="BX41" s="280"/>
      <c r="BY41" s="336"/>
      <c r="BZ41" s="336"/>
      <c r="CA41" s="336"/>
      <c r="CB41" s="336"/>
      <c r="CC41" s="280"/>
      <c r="CD41" s="280"/>
      <c r="CE41" s="280"/>
      <c r="CF41" s="280"/>
      <c r="CG41" s="280"/>
      <c r="CH41" s="280"/>
    </row>
    <row r="42" spans="1:86" s="76" customFormat="1" ht="13.5">
      <c r="A42" s="85"/>
      <c r="B42" s="85"/>
      <c r="C42" s="85"/>
      <c r="D42" s="85"/>
      <c r="E42" s="85"/>
      <c r="F42" s="85"/>
      <c r="G42" s="85"/>
      <c r="H42" s="571" t="s">
        <v>1028</v>
      </c>
      <c r="I42" s="571"/>
      <c r="J42" s="572"/>
      <c r="K42" s="572"/>
      <c r="L42" s="336"/>
      <c r="M42" s="336"/>
      <c r="N42" s="336"/>
      <c r="O42" s="336"/>
      <c r="P42" s="280"/>
      <c r="Q42" s="336"/>
      <c r="R42" s="336"/>
      <c r="S42" s="336"/>
      <c r="T42" s="336"/>
      <c r="U42" s="280"/>
      <c r="V42" s="336"/>
      <c r="W42" s="336"/>
      <c r="X42" s="336"/>
      <c r="Y42" s="336"/>
      <c r="Z42" s="280"/>
      <c r="AA42" s="336"/>
      <c r="AB42" s="336"/>
      <c r="AC42" s="336"/>
      <c r="AD42" s="336"/>
      <c r="AE42" s="280"/>
      <c r="AF42" s="336"/>
      <c r="AG42" s="336"/>
      <c r="AH42" s="336"/>
      <c r="AI42" s="336"/>
      <c r="AJ42" s="343"/>
      <c r="AK42" s="336"/>
      <c r="AL42" s="336"/>
      <c r="AM42" s="336"/>
      <c r="AN42" s="336"/>
      <c r="AO42" s="343"/>
      <c r="AP42" s="336"/>
      <c r="AQ42" s="336"/>
      <c r="AR42" s="336"/>
      <c r="AS42" s="336"/>
      <c r="AT42" s="343"/>
      <c r="AU42" s="336"/>
      <c r="AV42" s="336"/>
      <c r="AW42" s="336"/>
      <c r="AX42" s="336"/>
      <c r="AY42" s="343"/>
      <c r="AZ42" s="336"/>
      <c r="BA42" s="336"/>
      <c r="BB42" s="336"/>
      <c r="BC42" s="336"/>
      <c r="BD42" s="280"/>
      <c r="BE42" s="336"/>
      <c r="BF42" s="336"/>
      <c r="BG42" s="336"/>
      <c r="BH42" s="336"/>
      <c r="BI42" s="280"/>
      <c r="BJ42" s="336"/>
      <c r="BK42" s="336"/>
      <c r="BL42" s="336"/>
      <c r="BM42" s="336"/>
      <c r="BN42" s="280"/>
      <c r="BO42" s="336"/>
      <c r="BP42" s="336"/>
      <c r="BQ42" s="336"/>
      <c r="BR42" s="336"/>
      <c r="BS42" s="280"/>
      <c r="BT42" s="336"/>
      <c r="BU42" s="336"/>
      <c r="BV42" s="336"/>
      <c r="BW42" s="336"/>
      <c r="BX42" s="280"/>
      <c r="BY42" s="336"/>
      <c r="BZ42" s="336"/>
      <c r="CA42" s="336"/>
      <c r="CB42" s="336"/>
      <c r="CC42" s="280"/>
      <c r="CD42" s="280"/>
      <c r="CE42" s="280"/>
      <c r="CF42" s="280"/>
      <c r="CG42" s="280"/>
      <c r="CH42" s="280"/>
    </row>
    <row r="43" spans="1:86" s="76" customFormat="1" ht="13.5">
      <c r="A43" s="85"/>
      <c r="B43" s="85"/>
      <c r="C43" s="85"/>
      <c r="D43" s="85"/>
      <c r="E43" s="85"/>
      <c r="F43" s="85"/>
      <c r="G43" s="85"/>
      <c r="H43" s="571"/>
      <c r="I43" s="571"/>
      <c r="J43" s="572"/>
      <c r="K43" s="572"/>
      <c r="L43" s="336"/>
      <c r="M43" s="336"/>
      <c r="N43" s="336"/>
      <c r="O43" s="336"/>
      <c r="P43" s="280"/>
      <c r="Q43" s="336"/>
      <c r="R43" s="336"/>
      <c r="S43" s="336"/>
      <c r="T43" s="336"/>
      <c r="U43" s="280"/>
      <c r="V43" s="336"/>
      <c r="W43" s="336"/>
      <c r="X43" s="336"/>
      <c r="Y43" s="336"/>
      <c r="Z43" s="280"/>
      <c r="AA43" s="336"/>
      <c r="AB43" s="336"/>
      <c r="AC43" s="336"/>
      <c r="AD43" s="336"/>
      <c r="AE43" s="280"/>
      <c r="AF43" s="336"/>
      <c r="AG43" s="336"/>
      <c r="AH43" s="336"/>
      <c r="AI43" s="336"/>
      <c r="AJ43" s="343"/>
      <c r="AK43" s="336"/>
      <c r="AL43" s="336"/>
      <c r="AM43" s="336"/>
      <c r="AN43" s="336"/>
      <c r="AO43" s="343"/>
      <c r="AP43" s="336"/>
      <c r="AQ43" s="336"/>
      <c r="AR43" s="336"/>
      <c r="AS43" s="336"/>
      <c r="AT43" s="343"/>
      <c r="AU43" s="336"/>
      <c r="AV43" s="336"/>
      <c r="AW43" s="336"/>
      <c r="AX43" s="336"/>
      <c r="AY43" s="343"/>
      <c r="AZ43" s="336"/>
      <c r="BA43" s="336"/>
      <c r="BB43" s="336"/>
      <c r="BC43" s="336"/>
      <c r="BD43" s="280"/>
      <c r="BE43" s="336"/>
      <c r="BF43" s="336"/>
      <c r="BG43" s="336"/>
      <c r="BH43" s="336"/>
      <c r="BI43" s="280"/>
      <c r="BJ43" s="336"/>
      <c r="BK43" s="336"/>
      <c r="BL43" s="336"/>
      <c r="BM43" s="336"/>
      <c r="BN43" s="280"/>
      <c r="BO43" s="336"/>
      <c r="BP43" s="336"/>
      <c r="BQ43" s="336"/>
      <c r="BR43" s="336"/>
      <c r="BS43" s="280"/>
      <c r="BT43" s="336"/>
      <c r="BU43" s="336"/>
      <c r="BV43" s="336"/>
      <c r="BW43" s="336"/>
      <c r="BX43" s="280"/>
      <c r="BY43" s="336"/>
      <c r="BZ43" s="336"/>
      <c r="CA43" s="336"/>
      <c r="CB43" s="336"/>
      <c r="CC43" s="280"/>
      <c r="CD43" s="280"/>
      <c r="CE43" s="280"/>
      <c r="CF43" s="280"/>
      <c r="CG43" s="280"/>
      <c r="CH43" s="280"/>
    </row>
    <row r="44" spans="1:86" s="76" customFormat="1" ht="2.25" customHeight="1">
      <c r="A44" s="85"/>
      <c r="B44" s="85"/>
      <c r="C44" s="85"/>
      <c r="D44" s="85"/>
      <c r="E44" s="85"/>
      <c r="F44" s="85"/>
      <c r="G44" s="85"/>
      <c r="H44" s="571"/>
      <c r="I44" s="571"/>
      <c r="J44" s="572"/>
      <c r="K44" s="572"/>
      <c r="L44" s="336"/>
      <c r="M44" s="336"/>
      <c r="N44" s="336"/>
      <c r="O44" s="336"/>
      <c r="P44" s="280"/>
      <c r="Q44" s="336"/>
      <c r="R44" s="336"/>
      <c r="S44" s="336"/>
      <c r="T44" s="336"/>
      <c r="U44" s="280"/>
      <c r="V44" s="336"/>
      <c r="W44" s="336"/>
      <c r="X44" s="336"/>
      <c r="Y44" s="336"/>
      <c r="Z44" s="280"/>
      <c r="AA44" s="336"/>
      <c r="AB44" s="336"/>
      <c r="AC44" s="336"/>
      <c r="AD44" s="336"/>
      <c r="AE44" s="280"/>
      <c r="AF44" s="336"/>
      <c r="AG44" s="336"/>
      <c r="AH44" s="336"/>
      <c r="AI44" s="336"/>
      <c r="AJ44" s="343"/>
      <c r="AK44" s="336"/>
      <c r="AL44" s="336"/>
      <c r="AM44" s="336"/>
      <c r="AN44" s="336"/>
      <c r="AO44" s="343"/>
      <c r="AP44" s="336"/>
      <c r="AQ44" s="336"/>
      <c r="AR44" s="336"/>
      <c r="AS44" s="336"/>
      <c r="AT44" s="343"/>
      <c r="AU44" s="336"/>
      <c r="AV44" s="336"/>
      <c r="AW44" s="336"/>
      <c r="AX44" s="336"/>
      <c r="AY44" s="343"/>
      <c r="AZ44" s="336"/>
      <c r="BA44" s="336"/>
      <c r="BB44" s="336"/>
      <c r="BC44" s="336"/>
      <c r="BD44" s="280"/>
      <c r="BE44" s="336"/>
      <c r="BF44" s="336"/>
      <c r="BG44" s="336"/>
      <c r="BH44" s="336"/>
      <c r="BI44" s="280"/>
      <c r="BJ44" s="336"/>
      <c r="BK44" s="336"/>
      <c r="BL44" s="336"/>
      <c r="BM44" s="336"/>
      <c r="BN44" s="280"/>
      <c r="BO44" s="336"/>
      <c r="BP44" s="336"/>
      <c r="BQ44" s="336"/>
      <c r="BR44" s="336"/>
      <c r="BS44" s="280"/>
      <c r="BT44" s="336"/>
      <c r="BU44" s="336"/>
      <c r="BV44" s="336"/>
      <c r="BW44" s="336"/>
      <c r="BX44" s="280"/>
      <c r="BY44" s="336"/>
      <c r="BZ44" s="336"/>
      <c r="CA44" s="336"/>
      <c r="CB44" s="336"/>
      <c r="CC44" s="280"/>
      <c r="CD44" s="280"/>
      <c r="CE44" s="280"/>
      <c r="CF44" s="280"/>
      <c r="CG44" s="280"/>
      <c r="CH44" s="280"/>
    </row>
    <row r="45" spans="1:86" s="76" customFormat="1" ht="4.5" customHeight="1">
      <c r="A45" s="85"/>
      <c r="B45" s="85"/>
      <c r="C45" s="85"/>
      <c r="D45" s="85"/>
      <c r="E45" s="85"/>
      <c r="F45" s="85"/>
      <c r="G45" s="85"/>
      <c r="H45" s="571"/>
      <c r="I45" s="571"/>
      <c r="J45" s="572"/>
      <c r="K45" s="572"/>
      <c r="L45" s="336"/>
      <c r="M45" s="336"/>
      <c r="N45" s="336"/>
      <c r="O45" s="336"/>
      <c r="P45" s="280"/>
      <c r="Q45" s="336"/>
      <c r="R45" s="336"/>
      <c r="S45" s="336"/>
      <c r="T45" s="336"/>
      <c r="U45" s="280"/>
      <c r="V45" s="336"/>
      <c r="W45" s="336"/>
      <c r="X45" s="336"/>
      <c r="Y45" s="336"/>
      <c r="Z45" s="280"/>
      <c r="AA45" s="336"/>
      <c r="AB45" s="336"/>
      <c r="AC45" s="336"/>
      <c r="AD45" s="336"/>
      <c r="AE45" s="280"/>
      <c r="AF45" s="336"/>
      <c r="AG45" s="336"/>
      <c r="AH45" s="336"/>
      <c r="AI45" s="336"/>
      <c r="AJ45" s="343"/>
      <c r="AK45" s="336"/>
      <c r="AL45" s="336"/>
      <c r="AM45" s="336"/>
      <c r="AN45" s="336"/>
      <c r="AO45" s="343"/>
      <c r="AP45" s="336"/>
      <c r="AQ45" s="336"/>
      <c r="AR45" s="336"/>
      <c r="AS45" s="336"/>
      <c r="AT45" s="343"/>
      <c r="AU45" s="336"/>
      <c r="AV45" s="336"/>
      <c r="AW45" s="336"/>
      <c r="AX45" s="336"/>
      <c r="AY45" s="343"/>
      <c r="AZ45" s="336"/>
      <c r="BA45" s="336"/>
      <c r="BB45" s="336"/>
      <c r="BC45" s="336"/>
      <c r="BD45" s="280"/>
      <c r="BE45" s="336"/>
      <c r="BF45" s="336"/>
      <c r="BG45" s="336"/>
      <c r="BH45" s="336"/>
      <c r="BI45" s="280"/>
      <c r="BJ45" s="336"/>
      <c r="BK45" s="336"/>
      <c r="BL45" s="336"/>
      <c r="BM45" s="336"/>
      <c r="BN45" s="280"/>
      <c r="BO45" s="336"/>
      <c r="BP45" s="336"/>
      <c r="BQ45" s="336"/>
      <c r="BR45" s="336"/>
      <c r="BS45" s="280"/>
      <c r="BT45" s="336"/>
      <c r="BU45" s="336"/>
      <c r="BV45" s="336"/>
      <c r="BW45" s="336"/>
      <c r="BX45" s="280"/>
      <c r="BY45" s="336"/>
      <c r="BZ45" s="336"/>
      <c r="CA45" s="336"/>
      <c r="CB45" s="336"/>
      <c r="CC45" s="280"/>
      <c r="CD45" s="280"/>
      <c r="CE45" s="280"/>
      <c r="CF45" s="280"/>
      <c r="CG45" s="280"/>
      <c r="CH45" s="280"/>
    </row>
    <row r="46" spans="1:86" s="76" customFormat="1" ht="14.25" thickBot="1">
      <c r="A46" s="85"/>
      <c r="B46" s="85"/>
      <c r="C46" s="85"/>
      <c r="D46" s="85"/>
      <c r="E46" s="85"/>
      <c r="F46" s="85"/>
      <c r="G46" s="85"/>
      <c r="H46" s="574" t="s">
        <v>480</v>
      </c>
      <c r="I46" s="574"/>
      <c r="J46" s="575"/>
      <c r="K46" s="575"/>
      <c r="L46" s="43" t="str">
        <f>"1Q:" &amp; RIGHT(YEAR(L$4),2) &amp; IF(L$4&lt;=LatestRpQ, "A", "E")</f>
        <v>1Q:05A</v>
      </c>
      <c r="M46" s="43" t="str">
        <f>"2Q:" &amp; RIGHT(YEAR(M$4),2) &amp; IF(M$4&lt;=LatestRpQ, "A", "E")</f>
        <v>2Q:05A</v>
      </c>
      <c r="N46" s="43" t="str">
        <f>"3Q:" &amp; RIGHT(YEAR(N$4),2) &amp; IF(N$4&lt;=LatestRpQ, "A", "E")</f>
        <v>3Q:05A</v>
      </c>
      <c r="O46" s="43" t="str">
        <f>"4Q:" &amp; RIGHT(YEAR(O$4),2) &amp; IF(O$4&lt;=LatestRpQ, "A", "E")</f>
        <v>4Q:05A</v>
      </c>
      <c r="P46" s="44" t="str">
        <f>YEAR(P$4) &amp; IF(P$4&lt;=LatestRpQ, "A", "E")</f>
        <v>2005A</v>
      </c>
      <c r="Q46" s="43" t="str">
        <f>"1Q:" &amp; RIGHT(YEAR(Q$4),2) &amp; IF(Q$4&lt;=LatestRpQ, "A", "E")</f>
        <v>1Q:06A</v>
      </c>
      <c r="R46" s="43" t="str">
        <f>"2Q:" &amp; RIGHT(YEAR(R$4),2) &amp; IF(R$4&lt;=LatestRpQ, "A", "E")</f>
        <v>2Q:06A</v>
      </c>
      <c r="S46" s="43" t="str">
        <f>"3Q:" &amp; RIGHT(YEAR(S$4),2) &amp; IF(S$4&lt;=LatestRpQ, "A", "E")</f>
        <v>3Q:06A</v>
      </c>
      <c r="T46" s="43" t="str">
        <f>"4Q:" &amp; RIGHT(YEAR(T$4),2) &amp; IF(T$4&lt;=LatestRpQ, "A", "E")</f>
        <v>4Q:06A</v>
      </c>
      <c r="U46" s="44" t="str">
        <f>YEAR(U$4) &amp; IF(U$4&lt;=LatestRpQ, "A", "E")</f>
        <v>2006A</v>
      </c>
      <c r="V46" s="43" t="str">
        <f>"1Q:" &amp; RIGHT(YEAR(V$4),2) &amp; IF(V$4&lt;=LatestRpQ, "A", "E")</f>
        <v>1Q:07A</v>
      </c>
      <c r="W46" s="43" t="str">
        <f>"2Q:" &amp; RIGHT(YEAR(W$4),2) &amp; IF(W$4&lt;=LatestRpQ, "A", "E")</f>
        <v>2Q:07A</v>
      </c>
      <c r="X46" s="43" t="str">
        <f>"3Q:" &amp; RIGHT(YEAR(X$4),2) &amp; IF(X$4&lt;=LatestRpQ, "A", "E")</f>
        <v>3Q:07A</v>
      </c>
      <c r="Y46" s="43" t="str">
        <f>"4Q:" &amp; RIGHT(YEAR(Y$4),2) &amp; IF(Y$4&lt;=LatestRpQ, "A", "E")</f>
        <v>4Q:07A</v>
      </c>
      <c r="Z46" s="44" t="str">
        <f>YEAR(Z$4) &amp; IF(Z$4&lt;=LatestRpQ, "A", "E")</f>
        <v>2007A</v>
      </c>
      <c r="AA46" s="43" t="str">
        <f>"1Q:" &amp; RIGHT(YEAR(AA$4),2) &amp; IF(AA$4&lt;=LatestRpQ, "A", "E")</f>
        <v>1Q:08A</v>
      </c>
      <c r="AB46" s="43" t="str">
        <f>"2Q:" &amp; RIGHT(YEAR(AB$4),2) &amp; IF(AB$4&lt;=LatestRpQ, "A", "E")</f>
        <v>2Q:08A</v>
      </c>
      <c r="AC46" s="43" t="str">
        <f>"3Q:" &amp; RIGHT(YEAR(AC$4),2) &amp; IF(AC$4&lt;=LatestRpQ, "A", "E")</f>
        <v>3Q:08A</v>
      </c>
      <c r="AD46" s="43" t="str">
        <f>"4Q:" &amp; RIGHT(YEAR(AD$4),2) &amp; IF(AD$4&lt;=LatestRpQ, "A", "E")</f>
        <v>4Q:08A</v>
      </c>
      <c r="AE46" s="44" t="str">
        <f>YEAR(AE$4) &amp; IF(AE$4&lt;=LatestRpQ, "A", "E")</f>
        <v>2008A</v>
      </c>
      <c r="AF46" s="43" t="str">
        <f>"1Q:" &amp; RIGHT(YEAR(AF$4),2) &amp; IF(AF$4&lt;=LatestRpQ, "A", "E")</f>
        <v>1Q:09A</v>
      </c>
      <c r="AG46" s="43" t="str">
        <f>"2Q:" &amp; RIGHT(YEAR(AG$4),2) &amp; IF(AG$4&lt;=LatestRpQ, "A", "E")</f>
        <v>2Q:09A</v>
      </c>
      <c r="AH46" s="43" t="str">
        <f>"3Q:" &amp; RIGHT(YEAR(AH$4),2) &amp; IF(AH$4&lt;=LatestRpQ, "A", "E")</f>
        <v>3Q:09A</v>
      </c>
      <c r="AI46" s="43" t="str">
        <f>"4Q:" &amp; RIGHT(YEAR(AI$4),2) &amp; IF(AI$4&lt;=LatestRpQ, "A", "E")</f>
        <v>4Q:09A</v>
      </c>
      <c r="AJ46" s="44" t="str">
        <f>YEAR(AJ$4) &amp; IF(AJ$4&lt;=LatestRpQ, "A", "E")</f>
        <v>2009A</v>
      </c>
      <c r="AK46" s="43" t="str">
        <f>"1Q:" &amp; RIGHT(YEAR(AK$4),2) &amp; IF(AK$4&lt;=LatestRpQ, "A", "E")</f>
        <v>1Q:10A</v>
      </c>
      <c r="AL46" s="43" t="str">
        <f>"2Q:" &amp; RIGHT(YEAR(AL$4),2) &amp; IF(AL$4&lt;=LatestRpQ, "A", "E")</f>
        <v>2Q:10A</v>
      </c>
      <c r="AM46" s="43" t="str">
        <f>"3Q:" &amp; RIGHT(YEAR(AM$4),2) &amp; IF(AM$4&lt;=LatestRpQ, "A", "E")</f>
        <v>3Q:10A</v>
      </c>
      <c r="AN46" s="43" t="str">
        <f>"4Q:" &amp; RIGHT(YEAR(AN$4),2) &amp; IF(AN$4&lt;=LatestRpQ, "A", "E")</f>
        <v>4Q:10A</v>
      </c>
      <c r="AO46" s="44" t="str">
        <f>YEAR(AO$4) &amp; IF(AO$4&lt;=LatestRpQ, "A", "E")</f>
        <v>2010A</v>
      </c>
      <c r="AP46" s="43" t="str">
        <f>"1Q:" &amp; RIGHT(YEAR(AP$4),2) &amp; IF(AP$4&lt;=LatestRpQ, "A", "E")</f>
        <v>1Q:11A</v>
      </c>
      <c r="AQ46" s="43" t="str">
        <f>"2Q:" &amp; RIGHT(YEAR(AQ$4),2) &amp; IF(AQ$4&lt;=LatestRpQ, "A", "E")</f>
        <v>2Q:11A</v>
      </c>
      <c r="AR46" s="43" t="str">
        <f>"3Q:" &amp; RIGHT(YEAR(AR$4),2) &amp; IF(AR$4&lt;=LatestRpQ, "A", "E")</f>
        <v>3Q:11A</v>
      </c>
      <c r="AS46" s="43" t="str">
        <f>"4Q:" &amp; RIGHT(YEAR(AS$4),2) &amp; IF(AS$4&lt;=LatestRpQ, "A", "E")</f>
        <v>4Q:11A</v>
      </c>
      <c r="AT46" s="44" t="str">
        <f>YEAR(AT$4) &amp; IF(AT$4&lt;=LatestRpQ, "A", "E")</f>
        <v>2011A</v>
      </c>
      <c r="AU46" s="43" t="str">
        <f>"1Q:" &amp; RIGHT(YEAR(AU$4),2) &amp; IF(AU$4&lt;=LatestRpQ, "A", "E")</f>
        <v>1Q:12A</v>
      </c>
      <c r="AV46" s="43" t="str">
        <f>"2Q:" &amp; RIGHT(YEAR(AV$4),2) &amp; IF(AV$4&lt;=LatestRpQ, "A", "E")</f>
        <v>2Q:12A</v>
      </c>
      <c r="AW46" s="43" t="str">
        <f>"3Q:" &amp; RIGHT(YEAR(AW$4),2) &amp; IF(AW$4&lt;=LatestRpQ, "A", "E")</f>
        <v>3Q:12A</v>
      </c>
      <c r="AX46" s="43" t="str">
        <f>"4Q:" &amp; RIGHT(YEAR(AX$4),2) &amp; IF(AX$4&lt;=LatestRpQ, "A", "E")</f>
        <v>4Q:12A</v>
      </c>
      <c r="AY46" s="44" t="str">
        <f>YEAR(AY$4) &amp; IF(AY$4&lt;=LatestRpQ, "A", "E")</f>
        <v>2012A</v>
      </c>
      <c r="AZ46" s="43" t="str">
        <f>"1Q:" &amp; RIGHT(YEAR(AZ$4),2) &amp; IF(AZ$4&lt;=LatestRpQ, "A", "E")</f>
        <v>1Q:13A</v>
      </c>
      <c r="BA46" s="43" t="str">
        <f>"2Q:" &amp; RIGHT(YEAR(BA$4),2) &amp; IF(BA$4&lt;=LatestRpQ, "A", "E")</f>
        <v>2Q:13A</v>
      </c>
      <c r="BB46" s="43" t="str">
        <f>"3Q:" &amp; RIGHT(YEAR(BB$4),2) &amp; IF(BB$4&lt;=LatestRpQ, "A", "E")</f>
        <v>3Q:13A</v>
      </c>
      <c r="BC46" s="43" t="str">
        <f>"4Q:" &amp; RIGHT(YEAR(BC$4),2) &amp; IF(BC$4&lt;=LatestRpQ, "A", "E")</f>
        <v>4Q:13A</v>
      </c>
      <c r="BD46" s="44" t="str">
        <f>YEAR(BD$4) &amp; IF(BD$4&lt;=LatestRpQ, "A", "E")</f>
        <v>2013A</v>
      </c>
      <c r="BE46" s="43" t="str">
        <f>"1Q:" &amp; RIGHT(YEAR(BE$4),2) &amp; IF(BE$4&lt;=LatestRpQ, "A", "E")</f>
        <v>1Q:14A</v>
      </c>
      <c r="BF46" s="43" t="str">
        <f>"2Q:" &amp; RIGHT(YEAR(BF$4),2) &amp; IF(BF$4&lt;=LatestRpQ, "A", "E")</f>
        <v>2Q:14A</v>
      </c>
      <c r="BG46" s="43" t="str">
        <f>"3Q:" &amp; RIGHT(YEAR(BG$4),2) &amp; IF(BG$4&lt;=LatestRpQ, "A", "E")</f>
        <v>3Q:14A</v>
      </c>
      <c r="BH46" s="43" t="str">
        <f>"4Q:" &amp; RIGHT(YEAR(BH$4),2) &amp; IF(BH$4&lt;=LatestRpQ, "A", "E")</f>
        <v>4Q:14A</v>
      </c>
      <c r="BI46" s="44" t="str">
        <f>YEAR(BI$4) &amp; IF(BI$4&lt;=LatestRpQ, "A", "E")</f>
        <v>2014A</v>
      </c>
      <c r="BJ46" s="43" t="str">
        <f>"1Q:" &amp; RIGHT(YEAR(BJ$4),2) &amp; IF(BJ$4&lt;=LatestRpQ, "A", "E")</f>
        <v>1Q:15A</v>
      </c>
      <c r="BK46" s="43" t="str">
        <f>"2Q:" &amp; RIGHT(YEAR(BK$4),2) &amp; IF(BK$4&lt;=LatestRpQ, "A", "E")</f>
        <v>2Q:15A</v>
      </c>
      <c r="BL46" s="43" t="str">
        <f>"3Q:" &amp; RIGHT(YEAR(BL$4),2) &amp; IF(BL$4&lt;=LatestRpQ, "A", "E")</f>
        <v>3Q:15A</v>
      </c>
      <c r="BM46" s="43" t="str">
        <f>"4Q:" &amp; RIGHT(YEAR(BM$4),2) &amp; IF(BM$4&lt;=LatestRpQ, "A", "E")</f>
        <v>4Q:15A</v>
      </c>
      <c r="BN46" s="44"/>
      <c r="BO46" s="43" t="str">
        <f>"1Q:" &amp; RIGHT(YEAR(BO$4),2) &amp; IF(BO$4&lt;=LatestRpQ, "A", "E")</f>
        <v>1Q:16A</v>
      </c>
      <c r="BP46" s="43" t="str">
        <f>"2Q:" &amp; RIGHT(YEAR(BP$4),2) &amp; IF(BP$4&lt;=LatestRpQ, "A", "E")</f>
        <v>2Q:16A</v>
      </c>
      <c r="BQ46" s="43" t="str">
        <f>"3Q:" &amp; RIGHT(YEAR(BQ$4),2) &amp; IF(BQ$4&lt;=LatestRpQ, "A", "E")</f>
        <v>3Q:16A</v>
      </c>
      <c r="BR46" s="43" t="str">
        <f>"4Q:" &amp; RIGHT(YEAR(BR$4),2) &amp; IF(BR$4&lt;=LatestRpQ, "A", "E")</f>
        <v>4Q:16A</v>
      </c>
      <c r="BS46" s="44" t="str">
        <f>YEAR(BS$4) &amp; IF(BS$4&lt;=LatestRpQ, "A", "E")</f>
        <v>2016A</v>
      </c>
      <c r="BT46" s="43" t="str">
        <f>"1Q:" &amp; RIGHT(YEAR(BT$4),2) &amp; IF(BT$4&lt;=LatestRpQ, "A", "E")</f>
        <v>1Q:17A</v>
      </c>
      <c r="BU46" s="43" t="str">
        <f>"2Q:" &amp; RIGHT(YEAR(BU$4),2) &amp; IF(BU$4&lt;=LatestRpQ, "A", "E")</f>
        <v>2Q:17A</v>
      </c>
      <c r="BV46" s="43" t="str">
        <f>"3Q:" &amp; RIGHT(YEAR(BV$4),2) &amp; IF(BV$4&lt;=LatestRpQ, "A", "E")</f>
        <v>3Q:17A</v>
      </c>
      <c r="BW46" s="43" t="str">
        <f>"4Q:" &amp; RIGHT(YEAR(BW$4),2) &amp; IF(BW$4&lt;=LatestRpQ, "A", "E")</f>
        <v>4Q:17A</v>
      </c>
      <c r="BX46" s="44" t="str">
        <f>YEAR(BX$4) &amp; IF(BX$4&lt;=LatestRpQ, "A", "E")</f>
        <v>2017A</v>
      </c>
      <c r="BY46" s="43" t="str">
        <f>"1Q:" &amp; RIGHT(YEAR(BY$4),2) &amp; IF(BY$4&lt;=LatestRpQ, "A", "E")</f>
        <v>1Q:18A</v>
      </c>
      <c r="BZ46" s="43" t="str">
        <f>"2Q:" &amp; RIGHT(YEAR(BZ$4),2) &amp; IF(BZ$4&lt;=LatestRpQ, "A", "E")</f>
        <v>2Q:18E</v>
      </c>
      <c r="CA46" s="43" t="str">
        <f>"3Q:" &amp; RIGHT(YEAR(CA$4),2) &amp; IF(CA$4&lt;=LatestRpQ, "A", "E")</f>
        <v>3Q:18E</v>
      </c>
      <c r="CB46" s="43" t="str">
        <f>"4Q:" &amp; RIGHT(YEAR(CB$4),2) &amp; IF(CB$4&lt;=LatestRpQ, "A", "E")</f>
        <v>4Q:18E</v>
      </c>
      <c r="CC46" s="44" t="str">
        <f t="shared" ref="CC46:CH46" si="14">YEAR(CC$4) &amp; IF(CC$4&lt;=LatestRpQ, "A", "E")</f>
        <v>2018E</v>
      </c>
      <c r="CD46" s="44" t="str">
        <f t="shared" si="14"/>
        <v>2019E</v>
      </c>
      <c r="CE46" s="44" t="str">
        <f t="shared" si="14"/>
        <v>2020E</v>
      </c>
      <c r="CF46" s="44" t="str">
        <f t="shared" si="14"/>
        <v>2021E</v>
      </c>
      <c r="CG46" s="44" t="str">
        <f t="shared" si="14"/>
        <v>2022E</v>
      </c>
      <c r="CH46" s="44" t="str">
        <f t="shared" si="14"/>
        <v>2023E</v>
      </c>
    </row>
    <row r="47" spans="1:86" s="76" customFormat="1" ht="5.25" customHeight="1">
      <c r="A47" s="85"/>
      <c r="B47" s="85"/>
      <c r="C47" s="85"/>
      <c r="D47" s="85"/>
      <c r="E47" s="85"/>
      <c r="F47" s="85"/>
      <c r="G47" s="85"/>
      <c r="H47" s="576"/>
      <c r="I47" s="576"/>
      <c r="J47" s="79"/>
      <c r="K47" s="79"/>
      <c r="L47" s="258"/>
      <c r="M47" s="258"/>
      <c r="N47" s="258"/>
      <c r="O47" s="258"/>
      <c r="P47" s="79"/>
      <c r="Q47" s="258"/>
      <c r="R47" s="258"/>
      <c r="S47" s="258"/>
      <c r="T47" s="258"/>
      <c r="U47" s="79"/>
      <c r="V47" s="258"/>
      <c r="W47" s="258"/>
      <c r="X47" s="258"/>
      <c r="Y47" s="258"/>
      <c r="Z47" s="79"/>
      <c r="AA47" s="258"/>
      <c r="AB47" s="258"/>
      <c r="AC47" s="258"/>
      <c r="AD47" s="258"/>
      <c r="AE47" s="79"/>
      <c r="AF47" s="577"/>
      <c r="AG47" s="577"/>
      <c r="AH47" s="577"/>
      <c r="AI47" s="577"/>
      <c r="AJ47" s="578"/>
      <c r="AK47" s="577"/>
      <c r="AL47" s="577"/>
      <c r="AM47" s="577"/>
      <c r="AN47" s="577"/>
      <c r="AO47" s="578"/>
      <c r="AP47" s="577"/>
      <c r="AQ47" s="577"/>
      <c r="AR47" s="577"/>
      <c r="AS47" s="577"/>
      <c r="AT47" s="578"/>
      <c r="AU47" s="577"/>
      <c r="AV47" s="577"/>
      <c r="AW47" s="577"/>
      <c r="AX47" s="577"/>
      <c r="AY47" s="578"/>
      <c r="AZ47" s="577"/>
      <c r="BA47" s="577"/>
      <c r="BB47" s="577"/>
      <c r="BC47" s="577"/>
      <c r="BD47" s="578"/>
      <c r="BE47" s="577"/>
      <c r="BF47" s="577"/>
      <c r="BG47" s="577"/>
      <c r="BH47" s="577"/>
      <c r="BI47" s="578"/>
      <c r="BJ47" s="577"/>
      <c r="BK47" s="577"/>
      <c r="BL47" s="577"/>
      <c r="BM47" s="577"/>
      <c r="BN47" s="578"/>
      <c r="BO47" s="577"/>
      <c r="BP47" s="577"/>
      <c r="BQ47" s="577"/>
      <c r="BR47" s="577"/>
      <c r="BS47" s="578"/>
      <c r="BT47" s="577"/>
      <c r="BU47" s="577"/>
      <c r="BV47" s="577"/>
      <c r="BW47" s="577"/>
      <c r="BX47" s="578"/>
      <c r="BY47" s="577"/>
      <c r="BZ47" s="577"/>
      <c r="CA47" s="577"/>
      <c r="CB47" s="577"/>
      <c r="CC47" s="578"/>
      <c r="CD47" s="578"/>
      <c r="CE47" s="578"/>
      <c r="CF47" s="578"/>
      <c r="CG47" s="578"/>
      <c r="CH47" s="578"/>
    </row>
    <row r="48" spans="1:86" s="76" customFormat="1" ht="13.5">
      <c r="A48" s="85"/>
      <c r="B48" s="85"/>
      <c r="C48" s="85"/>
      <c r="D48" s="85"/>
      <c r="E48" s="85"/>
      <c r="F48" s="85"/>
      <c r="G48" s="85"/>
      <c r="H48" s="564" t="s">
        <v>935</v>
      </c>
      <c r="I48" s="562"/>
      <c r="J48" s="79"/>
      <c r="K48" s="79"/>
      <c r="L48" s="258"/>
      <c r="M48" s="258"/>
      <c r="N48" s="258"/>
      <c r="O48" s="258"/>
      <c r="P48" s="79"/>
      <c r="Q48" s="258"/>
      <c r="R48" s="258"/>
      <c r="S48" s="258"/>
      <c r="T48" s="258"/>
      <c r="U48" s="79"/>
      <c r="V48" s="258"/>
      <c r="W48" s="258"/>
      <c r="X48" s="258"/>
      <c r="Y48" s="258"/>
      <c r="Z48" s="79"/>
      <c r="AA48" s="258"/>
      <c r="AB48" s="258"/>
      <c r="AC48" s="258"/>
      <c r="AD48" s="258"/>
      <c r="AE48" s="79"/>
      <c r="AF48" s="581"/>
      <c r="AG48" s="581"/>
      <c r="AH48" s="581"/>
      <c r="AI48" s="581"/>
      <c r="AJ48" s="582"/>
      <c r="AK48" s="581"/>
      <c r="AL48" s="581"/>
      <c r="AM48" s="581"/>
      <c r="AN48" s="581"/>
      <c r="AO48" s="582"/>
      <c r="AP48" s="581"/>
      <c r="AQ48" s="581"/>
      <c r="AR48" s="581"/>
      <c r="AS48" s="581"/>
      <c r="AT48" s="582"/>
      <c r="AU48" s="581"/>
      <c r="AV48" s="581"/>
      <c r="AW48" s="581"/>
      <c r="AX48" s="581"/>
      <c r="AY48" s="582"/>
      <c r="AZ48" s="581"/>
      <c r="BA48" s="581"/>
      <c r="BB48" s="581"/>
      <c r="BC48" s="581"/>
      <c r="BD48" s="582"/>
      <c r="BE48" s="581"/>
      <c r="BF48" s="581"/>
      <c r="BG48" s="581"/>
      <c r="BH48" s="581"/>
      <c r="BI48" s="582"/>
      <c r="BJ48" s="581"/>
      <c r="BK48" s="581"/>
      <c r="BL48" s="581"/>
      <c r="BM48" s="581"/>
      <c r="BN48" s="582"/>
      <c r="BO48" s="581"/>
      <c r="BP48" s="581"/>
      <c r="BQ48" s="581"/>
      <c r="BR48" s="581"/>
      <c r="BS48" s="582"/>
      <c r="BT48" s="581"/>
      <c r="BU48" s="581"/>
      <c r="BV48" s="581"/>
      <c r="BW48" s="581"/>
      <c r="BX48" s="582"/>
      <c r="BY48" s="581"/>
      <c r="BZ48" s="581"/>
      <c r="CA48" s="581"/>
      <c r="CB48" s="581"/>
      <c r="CC48" s="582"/>
      <c r="CD48" s="580">
        <f t="shared" ref="CD48:CH50" si="15">CD11/CC11-1</f>
        <v>5.4545454545454541</v>
      </c>
      <c r="CE48" s="580">
        <f t="shared" si="15"/>
        <v>1.25</v>
      </c>
      <c r="CF48" s="580">
        <f t="shared" si="15"/>
        <v>0.52957746478873258</v>
      </c>
      <c r="CG48" s="580">
        <f t="shared" si="15"/>
        <v>0.26187845303867396</v>
      </c>
      <c r="CH48" s="580">
        <f t="shared" si="15"/>
        <v>0.13432574430823108</v>
      </c>
    </row>
    <row r="49" spans="1:86" s="76" customFormat="1" ht="13.5">
      <c r="A49" s="85"/>
      <c r="B49" s="85"/>
      <c r="C49" s="85"/>
      <c r="D49" s="85"/>
      <c r="E49" s="85"/>
      <c r="F49" s="85"/>
      <c r="G49" s="85"/>
      <c r="H49" s="562" t="s">
        <v>231</v>
      </c>
      <c r="I49" s="562"/>
      <c r="J49" s="79"/>
      <c r="K49" s="79"/>
      <c r="L49" s="258"/>
      <c r="M49" s="258"/>
      <c r="N49" s="258"/>
      <c r="O49" s="258"/>
      <c r="P49" s="79"/>
      <c r="Q49" s="258"/>
      <c r="R49" s="258"/>
      <c r="S49" s="258"/>
      <c r="T49" s="258"/>
      <c r="U49" s="79"/>
      <c r="V49" s="258"/>
      <c r="W49" s="258"/>
      <c r="X49" s="258"/>
      <c r="Y49" s="258"/>
      <c r="Z49" s="79"/>
      <c r="AA49" s="258"/>
      <c r="AB49" s="258"/>
      <c r="AC49" s="258"/>
      <c r="AD49" s="258"/>
      <c r="AE49" s="79"/>
      <c r="AF49" s="581"/>
      <c r="AG49" s="581"/>
      <c r="AH49" s="581"/>
      <c r="AI49" s="581"/>
      <c r="AJ49" s="582"/>
      <c r="AK49" s="581"/>
      <c r="AL49" s="581"/>
      <c r="AM49" s="581"/>
      <c r="AN49" s="581"/>
      <c r="AO49" s="582"/>
      <c r="AP49" s="581"/>
      <c r="AQ49" s="581"/>
      <c r="AR49" s="581"/>
      <c r="AS49" s="581"/>
      <c r="AT49" s="582"/>
      <c r="AU49" s="581"/>
      <c r="AV49" s="581"/>
      <c r="AW49" s="581"/>
      <c r="AX49" s="581"/>
      <c r="AY49" s="582"/>
      <c r="AZ49" s="581"/>
      <c r="BA49" s="581"/>
      <c r="BB49" s="581"/>
      <c r="BC49" s="581"/>
      <c r="BD49" s="582"/>
      <c r="BE49" s="581"/>
      <c r="BF49" s="581"/>
      <c r="BG49" s="581"/>
      <c r="BH49" s="581"/>
      <c r="BI49" s="582"/>
      <c r="BJ49" s="581"/>
      <c r="BK49" s="581"/>
      <c r="BL49" s="581"/>
      <c r="BM49" s="581"/>
      <c r="BN49" s="582"/>
      <c r="BO49" s="581"/>
      <c r="BP49" s="581"/>
      <c r="BQ49" s="581"/>
      <c r="BR49" s="581"/>
      <c r="BS49" s="582"/>
      <c r="BT49" s="581"/>
      <c r="BU49" s="581"/>
      <c r="BV49" s="581"/>
      <c r="BW49" s="581"/>
      <c r="BX49" s="582"/>
      <c r="BY49" s="581"/>
      <c r="BZ49" s="581"/>
      <c r="CA49" s="581"/>
      <c r="CB49" s="581"/>
      <c r="CC49" s="582"/>
      <c r="CD49" s="582">
        <f t="shared" si="15"/>
        <v>4</v>
      </c>
      <c r="CE49" s="582">
        <f t="shared" si="15"/>
        <v>1.25</v>
      </c>
      <c r="CF49" s="582">
        <f t="shared" si="15"/>
        <v>0.5</v>
      </c>
      <c r="CG49" s="582">
        <f t="shared" si="15"/>
        <v>0.19999999999999996</v>
      </c>
      <c r="CH49" s="582">
        <f t="shared" si="15"/>
        <v>0.10000000000000009</v>
      </c>
    </row>
    <row r="50" spans="1:86" s="76" customFormat="1" ht="13.5">
      <c r="A50" s="85"/>
      <c r="B50" s="85"/>
      <c r="C50" s="85"/>
      <c r="D50" s="85"/>
      <c r="E50" s="85"/>
      <c r="F50" s="85"/>
      <c r="G50" s="85"/>
      <c r="H50" s="562" t="s">
        <v>232</v>
      </c>
      <c r="I50" s="562"/>
      <c r="J50" s="79"/>
      <c r="K50" s="79"/>
      <c r="L50" s="258"/>
      <c r="M50" s="258"/>
      <c r="N50" s="258"/>
      <c r="O50" s="258"/>
      <c r="P50" s="79"/>
      <c r="Q50" s="258"/>
      <c r="R50" s="258"/>
      <c r="S50" s="258"/>
      <c r="T50" s="258"/>
      <c r="U50" s="79"/>
      <c r="V50" s="258"/>
      <c r="W50" s="258"/>
      <c r="X50" s="258"/>
      <c r="Y50" s="258"/>
      <c r="Z50" s="79"/>
      <c r="AA50" s="258"/>
      <c r="AB50" s="258"/>
      <c r="AC50" s="258"/>
      <c r="AD50" s="258"/>
      <c r="AE50" s="79"/>
      <c r="AF50" s="581"/>
      <c r="AG50" s="581"/>
      <c r="AH50" s="581"/>
      <c r="AI50" s="581"/>
      <c r="AJ50" s="582"/>
      <c r="AK50" s="581"/>
      <c r="AL50" s="581"/>
      <c r="AM50" s="581"/>
      <c r="AN50" s="581"/>
      <c r="AO50" s="582"/>
      <c r="AP50" s="581"/>
      <c r="AQ50" s="581"/>
      <c r="AR50" s="581"/>
      <c r="AS50" s="581"/>
      <c r="AT50" s="582"/>
      <c r="AU50" s="581"/>
      <c r="AV50" s="581"/>
      <c r="AW50" s="581"/>
      <c r="AX50" s="581"/>
      <c r="AY50" s="582"/>
      <c r="AZ50" s="581"/>
      <c r="BA50" s="581"/>
      <c r="BB50" s="581"/>
      <c r="BC50" s="581"/>
      <c r="BD50" s="582"/>
      <c r="BE50" s="581"/>
      <c r="BF50" s="581"/>
      <c r="BG50" s="581"/>
      <c r="BH50" s="581"/>
      <c r="BI50" s="582"/>
      <c r="BJ50" s="581"/>
      <c r="BK50" s="581"/>
      <c r="BL50" s="581"/>
      <c r="BM50" s="581"/>
      <c r="BN50" s="582"/>
      <c r="BO50" s="581"/>
      <c r="BP50" s="581"/>
      <c r="BQ50" s="581"/>
      <c r="BR50" s="581"/>
      <c r="BS50" s="582"/>
      <c r="BT50" s="581"/>
      <c r="BU50" s="581"/>
      <c r="BV50" s="581"/>
      <c r="BW50" s="581"/>
      <c r="BX50" s="582"/>
      <c r="BY50" s="581"/>
      <c r="BZ50" s="581"/>
      <c r="CA50" s="581"/>
      <c r="CB50" s="581"/>
      <c r="CC50" s="582"/>
      <c r="CD50" s="582">
        <f t="shared" si="15"/>
        <v>20</v>
      </c>
      <c r="CE50" s="582">
        <f t="shared" si="15"/>
        <v>1.25</v>
      </c>
      <c r="CF50" s="582">
        <f t="shared" si="15"/>
        <v>0.60000000000000009</v>
      </c>
      <c r="CG50" s="582">
        <f t="shared" si="15"/>
        <v>0.39999999999999991</v>
      </c>
      <c r="CH50" s="582">
        <f t="shared" si="15"/>
        <v>0.19999999999999996</v>
      </c>
    </row>
    <row r="51" spans="1:86" s="76" customFormat="1" ht="13.5">
      <c r="A51" s="85"/>
      <c r="B51" s="85"/>
      <c r="C51" s="85"/>
      <c r="D51" s="85"/>
      <c r="E51" s="85"/>
      <c r="F51" s="85"/>
      <c r="G51" s="85"/>
      <c r="H51" s="564" t="s">
        <v>1011</v>
      </c>
      <c r="I51" s="564"/>
      <c r="J51" s="79"/>
      <c r="K51" s="79"/>
      <c r="L51" s="258"/>
      <c r="M51" s="258"/>
      <c r="N51" s="258"/>
      <c r="O51" s="258"/>
      <c r="P51" s="79"/>
      <c r="Q51" s="258"/>
      <c r="R51" s="258"/>
      <c r="S51" s="258"/>
      <c r="T51" s="258"/>
      <c r="U51" s="79"/>
      <c r="V51" s="258"/>
      <c r="W51" s="258"/>
      <c r="X51" s="258"/>
      <c r="Y51" s="258"/>
      <c r="Z51" s="79"/>
      <c r="AA51" s="258"/>
      <c r="AB51" s="258"/>
      <c r="AC51" s="258"/>
      <c r="AD51" s="258"/>
      <c r="AE51" s="79"/>
      <c r="AF51" s="579"/>
      <c r="AG51" s="579"/>
      <c r="AH51" s="579"/>
      <c r="AI51" s="579"/>
      <c r="AJ51" s="580" t="str">
        <f>IF(PIPELINE_UNADJ!AJ54=0, " ", IF(AJ14=0," ",PIPELINE_UNADJ!AJ54))</f>
        <v xml:space="preserve"> </v>
      </c>
      <c r="AK51" s="579"/>
      <c r="AL51" s="579"/>
      <c r="AM51" s="579"/>
      <c r="AN51" s="579"/>
      <c r="AO51" s="580" t="str">
        <f>IF(PIPELINE_UNADJ!AO54=0, " ", IF(AO14=0," ",PIPELINE_UNADJ!AO54))</f>
        <v xml:space="preserve"> </v>
      </c>
      <c r="AP51" s="579"/>
      <c r="AQ51" s="579"/>
      <c r="AR51" s="579"/>
      <c r="AS51" s="579"/>
      <c r="AT51" s="580" t="str">
        <f>IF(PIPELINE_UNADJ!AT54=0, " ", IF(AT14=0," ",PIPELINE_UNADJ!AT54))</f>
        <v xml:space="preserve"> </v>
      </c>
      <c r="AU51" s="579"/>
      <c r="AV51" s="579"/>
      <c r="AW51" s="579"/>
      <c r="AX51" s="579"/>
      <c r="AY51" s="580" t="str">
        <f>IF(PIPELINE_UNADJ!AY54=0, " ", IF(AY14=0," ",PIPELINE_UNADJ!AY54))</f>
        <v xml:space="preserve"> </v>
      </c>
      <c r="AZ51" s="579"/>
      <c r="BA51" s="579"/>
      <c r="BB51" s="579"/>
      <c r="BC51" s="579"/>
      <c r="BD51" s="580" t="str">
        <f>IF(PIPELINE_UNADJ!BD54=0, " ", IF(BD14=0," ",PIPELINE_UNADJ!BD54))</f>
        <v xml:space="preserve"> </v>
      </c>
      <c r="BE51" s="579"/>
      <c r="BF51" s="579"/>
      <c r="BG51" s="579"/>
      <c r="BH51" s="579"/>
      <c r="BI51" s="580"/>
      <c r="BJ51" s="579"/>
      <c r="BK51" s="579"/>
      <c r="BL51" s="579"/>
      <c r="BM51" s="579"/>
      <c r="BN51" s="580"/>
      <c r="BO51" s="579"/>
      <c r="BP51" s="579"/>
      <c r="BQ51" s="579"/>
      <c r="BR51" s="579"/>
      <c r="BS51" s="580"/>
      <c r="BT51" s="579"/>
      <c r="BU51" s="579"/>
      <c r="BV51" s="579"/>
      <c r="BW51" s="579"/>
      <c r="BX51" s="580"/>
      <c r="BY51" s="579"/>
      <c r="BZ51" s="579"/>
      <c r="CA51" s="579"/>
      <c r="CB51" s="579"/>
      <c r="CC51" s="580"/>
      <c r="CD51" s="580"/>
      <c r="CE51" s="580">
        <f t="shared" ref="CE51:CH56" si="16">CE14/CD14-1</f>
        <v>8.0769230769230766</v>
      </c>
      <c r="CF51" s="580">
        <f t="shared" si="16"/>
        <v>1.3199152542372881</v>
      </c>
      <c r="CG51" s="580">
        <f t="shared" si="16"/>
        <v>0.57534246575342474</v>
      </c>
      <c r="CH51" s="580">
        <f t="shared" si="16"/>
        <v>0.23347826086956536</v>
      </c>
    </row>
    <row r="52" spans="1:86" s="76" customFormat="1" ht="13.5">
      <c r="A52" s="85"/>
      <c r="B52" s="85"/>
      <c r="C52" s="85"/>
      <c r="D52" s="85"/>
      <c r="E52" s="85"/>
      <c r="F52" s="85"/>
      <c r="G52" s="85"/>
      <c r="H52" s="565" t="s">
        <v>231</v>
      </c>
      <c r="I52" s="565"/>
      <c r="J52" s="79"/>
      <c r="K52" s="79"/>
      <c r="L52" s="258"/>
      <c r="M52" s="258"/>
      <c r="N52" s="258"/>
      <c r="O52" s="258"/>
      <c r="P52" s="79"/>
      <c r="Q52" s="258"/>
      <c r="R52" s="258"/>
      <c r="S52" s="258"/>
      <c r="T52" s="258"/>
      <c r="U52" s="79"/>
      <c r="V52" s="258"/>
      <c r="W52" s="258"/>
      <c r="X52" s="258"/>
      <c r="Y52" s="258"/>
      <c r="Z52" s="79"/>
      <c r="AA52" s="258"/>
      <c r="AB52" s="258"/>
      <c r="AC52" s="258"/>
      <c r="AD52" s="258"/>
      <c r="AE52" s="79"/>
      <c r="AF52" s="581"/>
      <c r="AG52" s="581"/>
      <c r="AH52" s="581"/>
      <c r="AI52" s="581"/>
      <c r="AJ52" s="582" t="str">
        <f>IF(PIPELINE_UNADJ!AJ55=0, " ", IF(AJ15=0," ",PIPELINE_UNADJ!AJ55))</f>
        <v xml:space="preserve"> </v>
      </c>
      <c r="AK52" s="581"/>
      <c r="AL52" s="581"/>
      <c r="AM52" s="581"/>
      <c r="AN52" s="581"/>
      <c r="AO52" s="582" t="str">
        <f>IF(PIPELINE_UNADJ!AO55=0, " ", IF(AO15=0," ",PIPELINE_UNADJ!AO55))</f>
        <v xml:space="preserve"> </v>
      </c>
      <c r="AP52" s="581"/>
      <c r="AQ52" s="581"/>
      <c r="AR52" s="581"/>
      <c r="AS52" s="581"/>
      <c r="AT52" s="582" t="str">
        <f>IF(PIPELINE_UNADJ!AT55=0, " ", IF(AT15=0," ",PIPELINE_UNADJ!AT55))</f>
        <v xml:space="preserve"> </v>
      </c>
      <c r="AU52" s="581"/>
      <c r="AV52" s="581"/>
      <c r="AW52" s="581"/>
      <c r="AX52" s="581"/>
      <c r="AY52" s="582" t="str">
        <f>IF(PIPELINE_UNADJ!AY55=0, " ", IF(AY15=0," ",PIPELINE_UNADJ!AY55))</f>
        <v xml:space="preserve"> </v>
      </c>
      <c r="AZ52" s="581"/>
      <c r="BA52" s="581"/>
      <c r="BB52" s="581"/>
      <c r="BC52" s="581"/>
      <c r="BD52" s="582" t="str">
        <f>IF(PIPELINE_UNADJ!BD55=0, " ", IF(BD15=0," ",PIPELINE_UNADJ!BD55))</f>
        <v xml:space="preserve"> </v>
      </c>
      <c r="BE52" s="581"/>
      <c r="BF52" s="581"/>
      <c r="BG52" s="581"/>
      <c r="BH52" s="581"/>
      <c r="BI52" s="582"/>
      <c r="BJ52" s="581"/>
      <c r="BK52" s="581"/>
      <c r="BL52" s="581"/>
      <c r="BM52" s="581"/>
      <c r="BN52" s="582"/>
      <c r="BO52" s="581"/>
      <c r="BP52" s="581"/>
      <c r="BQ52" s="581"/>
      <c r="BR52" s="581"/>
      <c r="BS52" s="582"/>
      <c r="BT52" s="581"/>
      <c r="BU52" s="581"/>
      <c r="BV52" s="581"/>
      <c r="BW52" s="581"/>
      <c r="BX52" s="582"/>
      <c r="BY52" s="581"/>
      <c r="BZ52" s="581"/>
      <c r="CA52" s="581"/>
      <c r="CB52" s="581"/>
      <c r="CC52" s="582"/>
      <c r="CD52" s="582"/>
      <c r="CE52" s="582">
        <f t="shared" si="16"/>
        <v>7.5</v>
      </c>
      <c r="CF52" s="582">
        <f t="shared" si="16"/>
        <v>1.25</v>
      </c>
      <c r="CG52" s="582">
        <f t="shared" si="16"/>
        <v>0.5</v>
      </c>
      <c r="CH52" s="582">
        <f t="shared" si="16"/>
        <v>0.20000000000000018</v>
      </c>
    </row>
    <row r="53" spans="1:86" s="76" customFormat="1" ht="13.5">
      <c r="A53" s="85"/>
      <c r="B53" s="85"/>
      <c r="C53" s="85"/>
      <c r="D53" s="85"/>
      <c r="E53" s="85"/>
      <c r="F53" s="85"/>
      <c r="G53" s="85"/>
      <c r="H53" s="565" t="s">
        <v>232</v>
      </c>
      <c r="I53" s="565"/>
      <c r="J53" s="79"/>
      <c r="K53" s="79"/>
      <c r="L53" s="258"/>
      <c r="M53" s="258"/>
      <c r="N53" s="258"/>
      <c r="O53" s="258"/>
      <c r="P53" s="79"/>
      <c r="Q53" s="258"/>
      <c r="R53" s="258"/>
      <c r="S53" s="258"/>
      <c r="T53" s="258"/>
      <c r="U53" s="79"/>
      <c r="V53" s="258"/>
      <c r="W53" s="258"/>
      <c r="X53" s="258"/>
      <c r="Y53" s="258"/>
      <c r="Z53" s="79"/>
      <c r="AA53" s="258"/>
      <c r="AB53" s="258"/>
      <c r="AC53" s="258"/>
      <c r="AD53" s="258"/>
      <c r="AE53" s="79"/>
      <c r="AF53" s="581"/>
      <c r="AG53" s="581"/>
      <c r="AH53" s="581"/>
      <c r="AI53" s="581"/>
      <c r="AJ53" s="582" t="str">
        <f>IF(PIPELINE_UNADJ!AJ56=0, " ", IF(AJ16=0," ",PIPELINE_UNADJ!AJ56))</f>
        <v xml:space="preserve"> </v>
      </c>
      <c r="AK53" s="581"/>
      <c r="AL53" s="581"/>
      <c r="AM53" s="581"/>
      <c r="AN53" s="581"/>
      <c r="AO53" s="582" t="str">
        <f>IF(PIPELINE_UNADJ!AO56=0, " ", IF(AO16=0," ",PIPELINE_UNADJ!AO56))</f>
        <v xml:space="preserve"> </v>
      </c>
      <c r="AP53" s="581"/>
      <c r="AQ53" s="581"/>
      <c r="AR53" s="581"/>
      <c r="AS53" s="581"/>
      <c r="AT53" s="582" t="str">
        <f>IF(PIPELINE_UNADJ!AT56=0, " ", IF(AT16=0," ",PIPELINE_UNADJ!AT56))</f>
        <v xml:space="preserve"> </v>
      </c>
      <c r="AU53" s="581"/>
      <c r="AV53" s="581"/>
      <c r="AW53" s="581"/>
      <c r="AX53" s="581"/>
      <c r="AY53" s="582" t="str">
        <f>IF(PIPELINE_UNADJ!AY56=0, " ", IF(AY16=0," ",PIPELINE_UNADJ!AY56))</f>
        <v xml:space="preserve"> </v>
      </c>
      <c r="AZ53" s="581"/>
      <c r="BA53" s="581"/>
      <c r="BB53" s="581"/>
      <c r="BC53" s="581"/>
      <c r="BD53" s="582" t="str">
        <f>IF(PIPELINE_UNADJ!BD56=0, " ", IF(BD16=0," ",PIPELINE_UNADJ!BD56))</f>
        <v xml:space="preserve"> </v>
      </c>
      <c r="BE53" s="581"/>
      <c r="BF53" s="581"/>
      <c r="BG53" s="581"/>
      <c r="BH53" s="581"/>
      <c r="BI53" s="582"/>
      <c r="BJ53" s="581"/>
      <c r="BK53" s="581"/>
      <c r="BL53" s="581"/>
      <c r="BM53" s="581"/>
      <c r="BN53" s="582"/>
      <c r="BO53" s="581"/>
      <c r="BP53" s="581"/>
      <c r="BQ53" s="581"/>
      <c r="BR53" s="581"/>
      <c r="BS53" s="582"/>
      <c r="BT53" s="581"/>
      <c r="BU53" s="581"/>
      <c r="BV53" s="581"/>
      <c r="BW53" s="581"/>
      <c r="BX53" s="582"/>
      <c r="BY53" s="581"/>
      <c r="BZ53" s="581"/>
      <c r="CA53" s="581"/>
      <c r="CB53" s="581"/>
      <c r="CC53" s="582"/>
      <c r="CD53" s="582"/>
      <c r="CE53" s="582">
        <f t="shared" si="16"/>
        <v>10</v>
      </c>
      <c r="CF53" s="582">
        <f t="shared" si="16"/>
        <v>1.5</v>
      </c>
      <c r="CG53" s="582">
        <f t="shared" si="16"/>
        <v>0.75</v>
      </c>
      <c r="CH53" s="582">
        <f t="shared" si="16"/>
        <v>0.30000000000000004</v>
      </c>
    </row>
    <row r="54" spans="1:86" s="76" customFormat="1" ht="13.5">
      <c r="A54" s="85"/>
      <c r="B54" s="85"/>
      <c r="C54" s="85"/>
      <c r="D54" s="85"/>
      <c r="E54" s="85"/>
      <c r="F54" s="85"/>
      <c r="G54" s="85"/>
      <c r="H54" s="564" t="s">
        <v>1013</v>
      </c>
      <c r="I54" s="564"/>
      <c r="J54" s="79"/>
      <c r="K54" s="79"/>
      <c r="L54" s="258"/>
      <c r="M54" s="258"/>
      <c r="N54" s="258"/>
      <c r="O54" s="258"/>
      <c r="P54" s="79"/>
      <c r="Q54" s="258"/>
      <c r="R54" s="258"/>
      <c r="S54" s="258"/>
      <c r="T54" s="258"/>
      <c r="U54" s="79"/>
      <c r="V54" s="258"/>
      <c r="W54" s="258"/>
      <c r="X54" s="258"/>
      <c r="Y54" s="258"/>
      <c r="Z54" s="79"/>
      <c r="AA54" s="258"/>
      <c r="AB54" s="258"/>
      <c r="AC54" s="258"/>
      <c r="AD54" s="258"/>
      <c r="AE54" s="79"/>
      <c r="AF54" s="579"/>
      <c r="AG54" s="579"/>
      <c r="AH54" s="579"/>
      <c r="AI54" s="579"/>
      <c r="AJ54" s="580" t="str">
        <f>IF(PIPELINE_UNADJ!AJ57=0, " ", IF(AJ17=0," ",PIPELINE_UNADJ!AJ57))</f>
        <v xml:space="preserve"> </v>
      </c>
      <c r="AK54" s="579"/>
      <c r="AL54" s="579"/>
      <c r="AM54" s="579"/>
      <c r="AN54" s="579"/>
      <c r="AO54" s="580" t="str">
        <f>IF(PIPELINE_UNADJ!AO57=0, " ", IF(AO17=0," ",PIPELINE_UNADJ!AO57))</f>
        <v xml:space="preserve"> </v>
      </c>
      <c r="AP54" s="579"/>
      <c r="AQ54" s="579"/>
      <c r="AR54" s="579"/>
      <c r="AS54" s="579"/>
      <c r="AT54" s="580" t="str">
        <f>IF(PIPELINE_UNADJ!AT57=0, " ", IF(AT17=0," ",PIPELINE_UNADJ!AT57))</f>
        <v xml:space="preserve"> </v>
      </c>
      <c r="AU54" s="579"/>
      <c r="AV54" s="579"/>
      <c r="AW54" s="579"/>
      <c r="AX54" s="579"/>
      <c r="AY54" s="580" t="str">
        <f>IF(PIPELINE_UNADJ!AY57=0, " ", IF(AY17=0," ",PIPELINE_UNADJ!AY57))</f>
        <v xml:space="preserve"> </v>
      </c>
      <c r="AZ54" s="579"/>
      <c r="BA54" s="579"/>
      <c r="BB54" s="579"/>
      <c r="BC54" s="579"/>
      <c r="BD54" s="580" t="str">
        <f>IF(PIPELINE_UNADJ!BD57=0, " ", IF(BN17=0," ",PIPELINE_UNADJ!BD57))</f>
        <v xml:space="preserve"> </v>
      </c>
      <c r="BE54" s="579"/>
      <c r="BF54" s="579"/>
      <c r="BG54" s="579"/>
      <c r="BH54" s="579"/>
      <c r="BI54" s="580"/>
      <c r="BJ54" s="579"/>
      <c r="BK54" s="579"/>
      <c r="BL54" s="579"/>
      <c r="BM54" s="579"/>
      <c r="BN54" s="580"/>
      <c r="BO54" s="579"/>
      <c r="BP54" s="579"/>
      <c r="BQ54" s="579"/>
      <c r="BR54" s="579"/>
      <c r="BS54" s="580"/>
      <c r="BT54" s="579"/>
      <c r="BU54" s="579"/>
      <c r="BV54" s="579"/>
      <c r="BW54" s="579"/>
      <c r="BX54" s="580"/>
      <c r="BY54" s="579"/>
      <c r="BZ54" s="579"/>
      <c r="CA54" s="579"/>
      <c r="CB54" s="579"/>
      <c r="CC54" s="580"/>
      <c r="CD54" s="580"/>
      <c r="CE54" s="580">
        <f t="shared" si="16"/>
        <v>170</v>
      </c>
      <c r="CF54" s="580">
        <f t="shared" si="16"/>
        <v>1.9403508771929827</v>
      </c>
      <c r="CG54" s="580">
        <f t="shared" si="16"/>
        <v>0.75000000000000022</v>
      </c>
      <c r="CH54" s="580">
        <f t="shared" si="16"/>
        <v>0.2699681782020682</v>
      </c>
    </row>
    <row r="55" spans="1:86" s="76" customFormat="1" ht="13.5">
      <c r="A55" s="85"/>
      <c r="B55" s="85"/>
      <c r="C55" s="85"/>
      <c r="D55" s="85"/>
      <c r="E55" s="85"/>
      <c r="F55" s="85"/>
      <c r="G55" s="85"/>
      <c r="H55" s="565" t="s">
        <v>231</v>
      </c>
      <c r="I55" s="565"/>
      <c r="J55" s="79"/>
      <c r="K55" s="79"/>
      <c r="L55" s="258"/>
      <c r="M55" s="258"/>
      <c r="N55" s="258"/>
      <c r="O55" s="258"/>
      <c r="P55" s="79"/>
      <c r="Q55" s="258"/>
      <c r="R55" s="258"/>
      <c r="S55" s="258"/>
      <c r="T55" s="258"/>
      <c r="U55" s="79"/>
      <c r="V55" s="258"/>
      <c r="W55" s="258"/>
      <c r="X55" s="258"/>
      <c r="Y55" s="258"/>
      <c r="Z55" s="79"/>
      <c r="AA55" s="258"/>
      <c r="AB55" s="258"/>
      <c r="AC55" s="258"/>
      <c r="AD55" s="258"/>
      <c r="AE55" s="79"/>
      <c r="AF55" s="581"/>
      <c r="AG55" s="581"/>
      <c r="AH55" s="581"/>
      <c r="AI55" s="581"/>
      <c r="AJ55" s="582" t="str">
        <f>IF(PIPELINE_UNADJ!AJ58=0, " ", IF(AJ18=0," ",PIPELINE_UNADJ!AJ58))</f>
        <v xml:space="preserve"> </v>
      </c>
      <c r="AK55" s="581"/>
      <c r="AL55" s="581"/>
      <c r="AM55" s="581"/>
      <c r="AN55" s="581"/>
      <c r="AO55" s="582" t="str">
        <f>IF(PIPELINE_UNADJ!AO58=0, " ", IF(AO18=0," ",PIPELINE_UNADJ!AO58))</f>
        <v xml:space="preserve"> </v>
      </c>
      <c r="AP55" s="581"/>
      <c r="AQ55" s="581"/>
      <c r="AR55" s="581"/>
      <c r="AS55" s="581"/>
      <c r="AT55" s="582" t="str">
        <f>IF(PIPELINE_UNADJ!AT58=0, " ", IF(AT18=0," ",PIPELINE_UNADJ!AT58))</f>
        <v xml:space="preserve"> </v>
      </c>
      <c r="AU55" s="581"/>
      <c r="AV55" s="581"/>
      <c r="AW55" s="581"/>
      <c r="AX55" s="581"/>
      <c r="AY55" s="582" t="str">
        <f>IF(PIPELINE_UNADJ!AY58=0, " ", IF(AY18=0," ",PIPELINE_UNADJ!AY58))</f>
        <v xml:space="preserve"> </v>
      </c>
      <c r="AZ55" s="581"/>
      <c r="BA55" s="581"/>
      <c r="BB55" s="581"/>
      <c r="BC55" s="581"/>
      <c r="BD55" s="582" t="str">
        <f>IF(PIPELINE_UNADJ!BD58=0, " ", IF(BN18=0," ",PIPELINE_UNADJ!BD58))</f>
        <v xml:space="preserve"> </v>
      </c>
      <c r="BE55" s="581"/>
      <c r="BF55" s="581"/>
      <c r="BG55" s="581"/>
      <c r="BH55" s="581"/>
      <c r="BI55" s="582"/>
      <c r="BJ55" s="581"/>
      <c r="BK55" s="581"/>
      <c r="BL55" s="581"/>
      <c r="BM55" s="581"/>
      <c r="BN55" s="582"/>
      <c r="BO55" s="581"/>
      <c r="BP55" s="581"/>
      <c r="BQ55" s="581"/>
      <c r="BR55" s="581"/>
      <c r="BS55" s="582"/>
      <c r="BT55" s="581"/>
      <c r="BU55" s="581"/>
      <c r="BV55" s="581"/>
      <c r="BW55" s="581"/>
      <c r="BX55" s="582"/>
      <c r="BY55" s="581"/>
      <c r="BZ55" s="581"/>
      <c r="CA55" s="581"/>
      <c r="CB55" s="581"/>
      <c r="CC55" s="582"/>
      <c r="CD55" s="582"/>
      <c r="CE55" s="582">
        <f t="shared" si="16"/>
        <v>150</v>
      </c>
      <c r="CF55" s="582">
        <f t="shared" si="16"/>
        <v>1.4999999999999996</v>
      </c>
      <c r="CG55" s="582">
        <f t="shared" si="16"/>
        <v>0.75</v>
      </c>
      <c r="CH55" s="582">
        <f t="shared" si="16"/>
        <v>0.25</v>
      </c>
    </row>
    <row r="56" spans="1:86" s="76" customFormat="1" ht="13.5">
      <c r="A56" s="85"/>
      <c r="B56" s="85"/>
      <c r="C56" s="85"/>
      <c r="D56" s="85"/>
      <c r="E56" s="85"/>
      <c r="F56" s="85"/>
      <c r="G56" s="85"/>
      <c r="H56" s="565" t="s">
        <v>232</v>
      </c>
      <c r="I56" s="565"/>
      <c r="J56" s="79"/>
      <c r="K56" s="79"/>
      <c r="L56" s="258"/>
      <c r="M56" s="258"/>
      <c r="N56" s="258"/>
      <c r="O56" s="258"/>
      <c r="P56" s="79"/>
      <c r="Q56" s="258"/>
      <c r="R56" s="258"/>
      <c r="S56" s="258"/>
      <c r="T56" s="258"/>
      <c r="U56" s="79"/>
      <c r="V56" s="258"/>
      <c r="W56" s="258"/>
      <c r="X56" s="258"/>
      <c r="Y56" s="258"/>
      <c r="Z56" s="79"/>
      <c r="AA56" s="258"/>
      <c r="AB56" s="258"/>
      <c r="AC56" s="258"/>
      <c r="AD56" s="258"/>
      <c r="AE56" s="79"/>
      <c r="AF56" s="581"/>
      <c r="AG56" s="581"/>
      <c r="AH56" s="581"/>
      <c r="AI56" s="581"/>
      <c r="AJ56" s="582" t="str">
        <f>IF(PIPELINE_UNADJ!AJ59=0, " ", IF(AJ19=0," ",PIPELINE_UNADJ!AJ59))</f>
        <v xml:space="preserve"> </v>
      </c>
      <c r="AK56" s="581"/>
      <c r="AL56" s="581"/>
      <c r="AM56" s="581"/>
      <c r="AN56" s="581"/>
      <c r="AO56" s="582" t="str">
        <f>IF(PIPELINE_UNADJ!AO59=0, " ", IF(AO19=0," ",PIPELINE_UNADJ!AO59))</f>
        <v xml:space="preserve"> </v>
      </c>
      <c r="AP56" s="581"/>
      <c r="AQ56" s="581"/>
      <c r="AR56" s="581"/>
      <c r="AS56" s="581"/>
      <c r="AT56" s="582" t="str">
        <f>IF(PIPELINE_UNADJ!AT59=0, " ", IF(AT19=0," ",PIPELINE_UNADJ!AT59))</f>
        <v xml:space="preserve"> </v>
      </c>
      <c r="AU56" s="581"/>
      <c r="AV56" s="581"/>
      <c r="AW56" s="581"/>
      <c r="AX56" s="581"/>
      <c r="AY56" s="582" t="str">
        <f>IF(PIPELINE_UNADJ!AY59=0, " ", IF(AY19=0," ",PIPELINE_UNADJ!AY59))</f>
        <v xml:space="preserve"> </v>
      </c>
      <c r="AZ56" s="581"/>
      <c r="BA56" s="581"/>
      <c r="BB56" s="581"/>
      <c r="BC56" s="581"/>
      <c r="BD56" s="582" t="str">
        <f>IF(PIPELINE_UNADJ!BD59=0, " ", IF(BN19=0," ",PIPELINE_UNADJ!BD59))</f>
        <v xml:space="preserve"> </v>
      </c>
      <c r="BE56" s="581"/>
      <c r="BF56" s="581"/>
      <c r="BG56" s="581"/>
      <c r="BH56" s="581"/>
      <c r="BI56" s="582"/>
      <c r="BJ56" s="581"/>
      <c r="BK56" s="581"/>
      <c r="BL56" s="581"/>
      <c r="BM56" s="581"/>
      <c r="BN56" s="582"/>
      <c r="BO56" s="581"/>
      <c r="BP56" s="581"/>
      <c r="BQ56" s="581"/>
      <c r="BR56" s="581"/>
      <c r="BS56" s="582"/>
      <c r="BT56" s="581"/>
      <c r="BU56" s="581"/>
      <c r="BV56" s="581"/>
      <c r="BW56" s="581"/>
      <c r="BX56" s="582"/>
      <c r="BY56" s="581"/>
      <c r="BZ56" s="581"/>
      <c r="CA56" s="581"/>
      <c r="CB56" s="581"/>
      <c r="CC56" s="582"/>
      <c r="CD56" s="582"/>
      <c r="CE56" s="582">
        <f t="shared" si="16"/>
        <v>250</v>
      </c>
      <c r="CF56" s="582">
        <f t="shared" si="16"/>
        <v>3</v>
      </c>
      <c r="CG56" s="582">
        <f t="shared" si="16"/>
        <v>0.75</v>
      </c>
      <c r="CH56" s="582">
        <f t="shared" si="16"/>
        <v>0.29999999999999982</v>
      </c>
    </row>
    <row r="57" spans="1:86" s="76" customFormat="1" ht="13.5">
      <c r="A57" s="85"/>
      <c r="B57" s="85"/>
      <c r="C57" s="85"/>
      <c r="D57" s="85"/>
      <c r="E57" s="85"/>
      <c r="F57" s="85"/>
      <c r="G57" s="85"/>
      <c r="H57" s="564" t="s">
        <v>1052</v>
      </c>
      <c r="I57" s="564"/>
      <c r="J57" s="79"/>
      <c r="K57" s="79"/>
      <c r="L57" s="258"/>
      <c r="M57" s="258"/>
      <c r="N57" s="258"/>
      <c r="O57" s="258"/>
      <c r="P57" s="79"/>
      <c r="Q57" s="258"/>
      <c r="R57" s="258"/>
      <c r="S57" s="258"/>
      <c r="T57" s="258"/>
      <c r="U57" s="79"/>
      <c r="V57" s="258"/>
      <c r="W57" s="258"/>
      <c r="X57" s="258"/>
      <c r="Y57" s="258"/>
      <c r="Z57" s="79"/>
      <c r="AA57" s="258"/>
      <c r="AB57" s="258"/>
      <c r="AC57" s="258"/>
      <c r="AD57" s="258"/>
      <c r="AE57" s="79"/>
      <c r="AF57" s="579"/>
      <c r="AG57" s="579"/>
      <c r="AH57" s="579"/>
      <c r="AI57" s="579"/>
      <c r="AJ57" s="580" t="str">
        <f>IF(PIPELINE_UNADJ!AJ60=0, " ", IF(AJ20=0," ",PIPELINE_UNADJ!AJ60))</f>
        <v xml:space="preserve"> </v>
      </c>
      <c r="AK57" s="579"/>
      <c r="AL57" s="579"/>
      <c r="AM57" s="579"/>
      <c r="AN57" s="579"/>
      <c r="AO57" s="580" t="str">
        <f>IF(PIPELINE_UNADJ!AO60=0, " ", IF(AO20=0," ",PIPELINE_UNADJ!AO60))</f>
        <v xml:space="preserve"> </v>
      </c>
      <c r="AP57" s="579"/>
      <c r="AQ57" s="579"/>
      <c r="AR57" s="579"/>
      <c r="AS57" s="579"/>
      <c r="AT57" s="580" t="str">
        <f>IF(PIPELINE_UNADJ!AT60=0, " ", IF(AT20=0," ",PIPELINE_UNADJ!AT60))</f>
        <v xml:space="preserve"> </v>
      </c>
      <c r="AU57" s="579"/>
      <c r="AV57" s="579"/>
      <c r="AW57" s="579"/>
      <c r="AX57" s="579"/>
      <c r="AY57" s="580" t="str">
        <f>IF(PIPELINE_UNADJ!AY60=0, " ", IF(AY20=0," ",PIPELINE_UNADJ!AY60))</f>
        <v xml:space="preserve"> </v>
      </c>
      <c r="AZ57" s="579"/>
      <c r="BA57" s="579"/>
      <c r="BB57" s="579"/>
      <c r="BC57" s="579"/>
      <c r="BD57" s="580" t="str">
        <f>IF(PIPELINE_UNADJ!BD60=0, " ", IF(BD20=0," ",PIPELINE_UNADJ!BD60))</f>
        <v xml:space="preserve"> </v>
      </c>
      <c r="BE57" s="579"/>
      <c r="BF57" s="579"/>
      <c r="BG57" s="579"/>
      <c r="BH57" s="579"/>
      <c r="BI57" s="580" t="str">
        <f>IF(PIPELINE_UNADJ!BI60=0, " ", IF(BI20=0," ",PIPELINE_UNADJ!BI60))</f>
        <v xml:space="preserve"> </v>
      </c>
      <c r="BJ57" s="579"/>
      <c r="BK57" s="579"/>
      <c r="BL57" s="579"/>
      <c r="BM57" s="579"/>
      <c r="BN57" s="580"/>
      <c r="BO57" s="579"/>
      <c r="BP57" s="579"/>
      <c r="BQ57" s="579"/>
      <c r="BR57" s="579"/>
      <c r="BS57" s="580"/>
      <c r="BT57" s="579"/>
      <c r="BU57" s="579"/>
      <c r="BV57" s="579"/>
      <c r="BW57" s="579"/>
      <c r="BX57" s="580"/>
      <c r="BY57" s="579"/>
      <c r="BZ57" s="579"/>
      <c r="CA57" s="579"/>
      <c r="CB57" s="579"/>
      <c r="CC57" s="580"/>
      <c r="CD57" s="580"/>
      <c r="CE57" s="580"/>
      <c r="CF57" s="580">
        <f t="shared" ref="CF57:CH58" si="17">CF20/CE20-1</f>
        <v>0.60000000000000009</v>
      </c>
      <c r="CG57" s="580">
        <f t="shared" si="17"/>
        <v>0.25</v>
      </c>
      <c r="CH57" s="580">
        <f t="shared" si="17"/>
        <v>0.15000000000000013</v>
      </c>
    </row>
    <row r="58" spans="1:86" s="76" customFormat="1" ht="13.5">
      <c r="A58" s="85"/>
      <c r="B58" s="85"/>
      <c r="C58" s="85"/>
      <c r="D58" s="85"/>
      <c r="E58" s="85"/>
      <c r="F58" s="85"/>
      <c r="G58" s="85"/>
      <c r="H58" s="562" t="s">
        <v>1181</v>
      </c>
      <c r="I58" s="562"/>
      <c r="J58" s="79"/>
      <c r="K58" s="79"/>
      <c r="L58" s="258"/>
      <c r="M58" s="258"/>
      <c r="N58" s="258"/>
      <c r="O58" s="258"/>
      <c r="P58" s="79"/>
      <c r="Q58" s="258"/>
      <c r="R58" s="258"/>
      <c r="S58" s="258"/>
      <c r="T58" s="258"/>
      <c r="U58" s="79"/>
      <c r="V58" s="258"/>
      <c r="W58" s="258"/>
      <c r="X58" s="258"/>
      <c r="Y58" s="258"/>
      <c r="Z58" s="79"/>
      <c r="AA58" s="258"/>
      <c r="AB58" s="258"/>
      <c r="AC58" s="258"/>
      <c r="AD58" s="258"/>
      <c r="AE58" s="79"/>
      <c r="AF58" s="581"/>
      <c r="AG58" s="581"/>
      <c r="AH58" s="581"/>
      <c r="AI58" s="581"/>
      <c r="AJ58" s="582" t="str">
        <f>IF(PIPELINE_UNADJ!AJ61=0, " ", IF(AJ21=0," ",PIPELINE_UNADJ!AJ61))</f>
        <v xml:space="preserve"> </v>
      </c>
      <c r="AK58" s="581"/>
      <c r="AL58" s="581"/>
      <c r="AM58" s="581"/>
      <c r="AN58" s="581"/>
      <c r="AO58" s="582" t="str">
        <f>IF(PIPELINE_UNADJ!AO61=0, " ", IF(AO21=0," ",PIPELINE_UNADJ!AO61))</f>
        <v xml:space="preserve"> </v>
      </c>
      <c r="AP58" s="581"/>
      <c r="AQ58" s="581"/>
      <c r="AR58" s="581"/>
      <c r="AS58" s="581"/>
      <c r="AT58" s="582" t="str">
        <f>IF(PIPELINE_UNADJ!AT61=0, " ", IF(AT21=0," ",PIPELINE_UNADJ!AT61))</f>
        <v xml:space="preserve"> </v>
      </c>
      <c r="AU58" s="581"/>
      <c r="AV58" s="581"/>
      <c r="AW58" s="581"/>
      <c r="AX58" s="581"/>
      <c r="AY58" s="582" t="str">
        <f>IF(PIPELINE_UNADJ!AY61=0, " ", IF(AY21=0," ",PIPELINE_UNADJ!AY61))</f>
        <v xml:space="preserve"> </v>
      </c>
      <c r="AZ58" s="581"/>
      <c r="BA58" s="581"/>
      <c r="BB58" s="581"/>
      <c r="BC58" s="581"/>
      <c r="BD58" s="582" t="str">
        <f>IF(PIPELINE_UNADJ!BD61=0, " ", IF(BD21=0," ",PIPELINE_UNADJ!BD61))</f>
        <v xml:space="preserve"> </v>
      </c>
      <c r="BE58" s="581"/>
      <c r="BF58" s="581"/>
      <c r="BG58" s="581"/>
      <c r="BH58" s="581"/>
      <c r="BI58" s="582" t="str">
        <f>IF(PIPELINE_UNADJ!BI61=0, " ", IF(BI21=0," ",PIPELINE_UNADJ!BI61))</f>
        <v xml:space="preserve"> </v>
      </c>
      <c r="BJ58" s="581"/>
      <c r="BK58" s="581"/>
      <c r="BL58" s="581"/>
      <c r="BM58" s="581"/>
      <c r="BN58" s="582"/>
      <c r="BO58" s="581"/>
      <c r="BP58" s="581"/>
      <c r="BQ58" s="581"/>
      <c r="BR58" s="581"/>
      <c r="BS58" s="582"/>
      <c r="BT58" s="581"/>
      <c r="BU58" s="581"/>
      <c r="BV58" s="581"/>
      <c r="BW58" s="581"/>
      <c r="BX58" s="582"/>
      <c r="BY58" s="581"/>
      <c r="BZ58" s="581"/>
      <c r="CA58" s="581"/>
      <c r="CB58" s="581"/>
      <c r="CC58" s="582"/>
      <c r="CD58" s="582"/>
      <c r="CE58" s="582"/>
      <c r="CF58" s="582">
        <f t="shared" si="17"/>
        <v>0.60000000000000009</v>
      </c>
      <c r="CG58" s="582">
        <f t="shared" si="17"/>
        <v>0.25</v>
      </c>
      <c r="CH58" s="582">
        <f t="shared" si="17"/>
        <v>0.15000000000000013</v>
      </c>
    </row>
    <row r="59" spans="1:86" s="76" customFormat="1" ht="13.5">
      <c r="A59" s="85"/>
      <c r="B59" s="85"/>
      <c r="C59" s="85"/>
      <c r="D59" s="85"/>
      <c r="E59" s="85"/>
      <c r="F59" s="85"/>
      <c r="G59" s="85"/>
      <c r="H59" s="562" t="s">
        <v>232</v>
      </c>
      <c r="I59" s="562"/>
      <c r="J59" s="79"/>
      <c r="K59" s="79"/>
      <c r="L59" s="258"/>
      <c r="M59" s="258"/>
      <c r="N59" s="258"/>
      <c r="O59" s="258"/>
      <c r="P59" s="79"/>
      <c r="Q59" s="258"/>
      <c r="R59" s="258"/>
      <c r="S59" s="258"/>
      <c r="T59" s="258"/>
      <c r="U59" s="79"/>
      <c r="V59" s="258"/>
      <c r="W59" s="258"/>
      <c r="X59" s="258"/>
      <c r="Y59" s="258"/>
      <c r="Z59" s="79"/>
      <c r="AA59" s="258"/>
      <c r="AB59" s="258"/>
      <c r="AC59" s="258"/>
      <c r="AD59" s="258"/>
      <c r="AE59" s="79"/>
      <c r="AF59" s="581"/>
      <c r="AG59" s="581"/>
      <c r="AH59" s="581"/>
      <c r="AI59" s="581"/>
      <c r="AJ59" s="582" t="str">
        <f>IF(PIPELINE_UNADJ!AJ62=0, " ", IF(AJ22=0," ",PIPELINE_UNADJ!AJ62))</f>
        <v xml:space="preserve"> </v>
      </c>
      <c r="AK59" s="581"/>
      <c r="AL59" s="581"/>
      <c r="AM59" s="581"/>
      <c r="AN59" s="581"/>
      <c r="AO59" s="582" t="str">
        <f>IF(PIPELINE_UNADJ!AO62=0, " ", IF(AO22=0," ",PIPELINE_UNADJ!AO62))</f>
        <v xml:space="preserve"> </v>
      </c>
      <c r="AP59" s="581"/>
      <c r="AQ59" s="581"/>
      <c r="AR59" s="581"/>
      <c r="AS59" s="581"/>
      <c r="AT59" s="582" t="str">
        <f>IF(PIPELINE_UNADJ!AT62=0, " ", IF(AT22=0," ",PIPELINE_UNADJ!AT62))</f>
        <v xml:space="preserve"> </v>
      </c>
      <c r="AU59" s="581"/>
      <c r="AV59" s="581"/>
      <c r="AW59" s="581"/>
      <c r="AX59" s="581"/>
      <c r="AY59" s="582" t="str">
        <f>IF(PIPELINE_UNADJ!AY62=0, " ", IF(AY22=0," ",PIPELINE_UNADJ!AY62))</f>
        <v xml:space="preserve"> </v>
      </c>
      <c r="AZ59" s="581"/>
      <c r="BA59" s="581"/>
      <c r="BB59" s="581"/>
      <c r="BC59" s="581"/>
      <c r="BD59" s="582" t="str">
        <f>IF(PIPELINE_UNADJ!BD62=0, " ", IF(BD22=0," ",PIPELINE_UNADJ!BD62))</f>
        <v xml:space="preserve"> </v>
      </c>
      <c r="BE59" s="581"/>
      <c r="BF59" s="581"/>
      <c r="BG59" s="581"/>
      <c r="BH59" s="581"/>
      <c r="BI59" s="582" t="str">
        <f>IF(PIPELINE_UNADJ!BI62=0, " ", IF(BI22=0," ",PIPELINE_UNADJ!BI62))</f>
        <v xml:space="preserve"> </v>
      </c>
      <c r="BJ59" s="581"/>
      <c r="BK59" s="581"/>
      <c r="BL59" s="581"/>
      <c r="BM59" s="581"/>
      <c r="BN59" s="582"/>
      <c r="BO59" s="581"/>
      <c r="BP59" s="581"/>
      <c r="BQ59" s="581"/>
      <c r="BR59" s="581"/>
      <c r="BS59" s="582"/>
      <c r="BT59" s="581"/>
      <c r="BU59" s="581"/>
      <c r="BV59" s="581"/>
      <c r="BW59" s="581"/>
      <c r="BX59" s="582"/>
      <c r="BY59" s="581"/>
      <c r="BZ59" s="581"/>
      <c r="CA59" s="581"/>
      <c r="CB59" s="581"/>
      <c r="CC59" s="582"/>
      <c r="CD59" s="582"/>
      <c r="CE59" s="582"/>
      <c r="CF59" s="582"/>
      <c r="CG59" s="582"/>
      <c r="CH59" s="582"/>
    </row>
    <row r="60" spans="1:86" s="76" customFormat="1" ht="13.5">
      <c r="A60" s="85"/>
      <c r="B60" s="85"/>
      <c r="C60" s="85"/>
      <c r="D60" s="85"/>
      <c r="E60" s="85"/>
      <c r="F60" s="85"/>
      <c r="G60" s="85"/>
      <c r="H60" s="564" t="s">
        <v>1089</v>
      </c>
      <c r="I60" s="562"/>
      <c r="J60" s="79"/>
      <c r="K60" s="79"/>
      <c r="L60" s="258"/>
      <c r="M60" s="258"/>
      <c r="N60" s="258"/>
      <c r="O60" s="258"/>
      <c r="P60" s="79"/>
      <c r="Q60" s="258"/>
      <c r="R60" s="258"/>
      <c r="S60" s="258"/>
      <c r="T60" s="258"/>
      <c r="U60" s="79"/>
      <c r="V60" s="258"/>
      <c r="W60" s="258"/>
      <c r="X60" s="258"/>
      <c r="Y60" s="258"/>
      <c r="Z60" s="79"/>
      <c r="AA60" s="258"/>
      <c r="AB60" s="258"/>
      <c r="AC60" s="258"/>
      <c r="AD60" s="258"/>
      <c r="AE60" s="79"/>
      <c r="AF60" s="581"/>
      <c r="AG60" s="581"/>
      <c r="AH60" s="581"/>
      <c r="AI60" s="581"/>
      <c r="AJ60" s="582"/>
      <c r="AK60" s="581"/>
      <c r="AL60" s="581"/>
      <c r="AM60" s="581"/>
      <c r="AN60" s="581"/>
      <c r="AO60" s="582"/>
      <c r="AP60" s="581"/>
      <c r="AQ60" s="581"/>
      <c r="AR60" s="581"/>
      <c r="AS60" s="581"/>
      <c r="AT60" s="582"/>
      <c r="AU60" s="581"/>
      <c r="AV60" s="581"/>
      <c r="AW60" s="581"/>
      <c r="AX60" s="581"/>
      <c r="AY60" s="582"/>
      <c r="AZ60" s="581"/>
      <c r="BA60" s="581"/>
      <c r="BB60" s="581"/>
      <c r="BC60" s="581"/>
      <c r="BD60" s="582"/>
      <c r="BE60" s="581"/>
      <c r="BF60" s="581"/>
      <c r="BG60" s="581"/>
      <c r="BH60" s="581"/>
      <c r="BI60" s="582"/>
      <c r="BJ60" s="581"/>
      <c r="BK60" s="581"/>
      <c r="BL60" s="581"/>
      <c r="BM60" s="581"/>
      <c r="BN60" s="582"/>
      <c r="BO60" s="581"/>
      <c r="BP60" s="581"/>
      <c r="BQ60" s="581"/>
      <c r="BR60" s="581"/>
      <c r="BS60" s="582"/>
      <c r="BT60" s="581"/>
      <c r="BU60" s="581"/>
      <c r="BV60" s="581"/>
      <c r="BW60" s="581"/>
      <c r="BX60" s="582"/>
      <c r="BY60" s="581"/>
      <c r="BZ60" s="581"/>
      <c r="CA60" s="581"/>
      <c r="CB60" s="581"/>
      <c r="CC60" s="582"/>
      <c r="CD60" s="580"/>
      <c r="CE60" s="580"/>
      <c r="CF60" s="580">
        <f t="shared" ref="CF60:CH68" si="18">CF23/CE23-1</f>
        <v>4.4210526315789469</v>
      </c>
      <c r="CG60" s="580">
        <f t="shared" si="18"/>
        <v>1.1359223300970873</v>
      </c>
      <c r="CH60" s="580">
        <f t="shared" si="18"/>
        <v>0.57954545454545459</v>
      </c>
    </row>
    <row r="61" spans="1:86" s="76" customFormat="1" ht="13.5">
      <c r="A61" s="85"/>
      <c r="B61" s="85"/>
      <c r="C61" s="85"/>
      <c r="D61" s="85"/>
      <c r="E61" s="85"/>
      <c r="F61" s="85"/>
      <c r="G61" s="85"/>
      <c r="H61" s="562" t="s">
        <v>231</v>
      </c>
      <c r="I61" s="562"/>
      <c r="J61" s="79"/>
      <c r="K61" s="79"/>
      <c r="L61" s="258"/>
      <c r="M61" s="258"/>
      <c r="N61" s="258"/>
      <c r="O61" s="258"/>
      <c r="P61" s="79"/>
      <c r="Q61" s="258"/>
      <c r="R61" s="258"/>
      <c r="S61" s="258"/>
      <c r="T61" s="258"/>
      <c r="U61" s="79"/>
      <c r="V61" s="258"/>
      <c r="W61" s="258"/>
      <c r="X61" s="258"/>
      <c r="Y61" s="258"/>
      <c r="Z61" s="79"/>
      <c r="AA61" s="258"/>
      <c r="AB61" s="258"/>
      <c r="AC61" s="258"/>
      <c r="AD61" s="258"/>
      <c r="AE61" s="79"/>
      <c r="AF61" s="581"/>
      <c r="AG61" s="581"/>
      <c r="AH61" s="581"/>
      <c r="AI61" s="581"/>
      <c r="AJ61" s="582"/>
      <c r="AK61" s="581"/>
      <c r="AL61" s="581"/>
      <c r="AM61" s="581"/>
      <c r="AN61" s="581"/>
      <c r="AO61" s="582"/>
      <c r="AP61" s="581"/>
      <c r="AQ61" s="581"/>
      <c r="AR61" s="581"/>
      <c r="AS61" s="581"/>
      <c r="AT61" s="582"/>
      <c r="AU61" s="581"/>
      <c r="AV61" s="581"/>
      <c r="AW61" s="581"/>
      <c r="AX61" s="581"/>
      <c r="AY61" s="582"/>
      <c r="AZ61" s="581"/>
      <c r="BA61" s="581"/>
      <c r="BB61" s="581"/>
      <c r="BC61" s="581"/>
      <c r="BD61" s="582"/>
      <c r="BE61" s="581"/>
      <c r="BF61" s="581"/>
      <c r="BG61" s="581"/>
      <c r="BH61" s="581"/>
      <c r="BI61" s="582"/>
      <c r="BJ61" s="581"/>
      <c r="BK61" s="581"/>
      <c r="BL61" s="581"/>
      <c r="BM61" s="581"/>
      <c r="BN61" s="582"/>
      <c r="BO61" s="581"/>
      <c r="BP61" s="581"/>
      <c r="BQ61" s="581"/>
      <c r="BR61" s="581"/>
      <c r="BS61" s="582"/>
      <c r="BT61" s="581"/>
      <c r="BU61" s="581"/>
      <c r="BV61" s="581"/>
      <c r="BW61" s="581"/>
      <c r="BX61" s="582"/>
      <c r="BY61" s="581"/>
      <c r="BZ61" s="581"/>
      <c r="CA61" s="581"/>
      <c r="CB61" s="581"/>
      <c r="CC61" s="582"/>
      <c r="CD61" s="582"/>
      <c r="CE61" s="582"/>
      <c r="CF61" s="582">
        <f t="shared" si="18"/>
        <v>4</v>
      </c>
      <c r="CG61" s="582">
        <f t="shared" si="18"/>
        <v>1</v>
      </c>
      <c r="CH61" s="582">
        <f t="shared" si="18"/>
        <v>0.5</v>
      </c>
    </row>
    <row r="62" spans="1:86" s="76" customFormat="1" ht="13.5">
      <c r="A62" s="85"/>
      <c r="B62" s="85"/>
      <c r="C62" s="85"/>
      <c r="D62" s="85"/>
      <c r="E62" s="85"/>
      <c r="F62" s="85"/>
      <c r="G62" s="85"/>
      <c r="H62" s="562" t="s">
        <v>232</v>
      </c>
      <c r="I62" s="562"/>
      <c r="J62" s="79"/>
      <c r="K62" s="79"/>
      <c r="L62" s="258"/>
      <c r="M62" s="258"/>
      <c r="N62" s="258"/>
      <c r="O62" s="258"/>
      <c r="P62" s="79"/>
      <c r="Q62" s="258"/>
      <c r="R62" s="258"/>
      <c r="S62" s="258"/>
      <c r="T62" s="258"/>
      <c r="U62" s="79"/>
      <c r="V62" s="258"/>
      <c r="W62" s="258"/>
      <c r="X62" s="258"/>
      <c r="Y62" s="258"/>
      <c r="Z62" s="79"/>
      <c r="AA62" s="258"/>
      <c r="AB62" s="258"/>
      <c r="AC62" s="258"/>
      <c r="AD62" s="258"/>
      <c r="AE62" s="79"/>
      <c r="AF62" s="581"/>
      <c r="AG62" s="581"/>
      <c r="AH62" s="581"/>
      <c r="AI62" s="581"/>
      <c r="AJ62" s="582"/>
      <c r="AK62" s="581"/>
      <c r="AL62" s="581"/>
      <c r="AM62" s="581"/>
      <c r="AN62" s="581"/>
      <c r="AO62" s="582"/>
      <c r="AP62" s="581"/>
      <c r="AQ62" s="581"/>
      <c r="AR62" s="581"/>
      <c r="AS62" s="581"/>
      <c r="AT62" s="582"/>
      <c r="AU62" s="581"/>
      <c r="AV62" s="581"/>
      <c r="AW62" s="581"/>
      <c r="AX62" s="581"/>
      <c r="AY62" s="582"/>
      <c r="AZ62" s="581"/>
      <c r="BA62" s="581"/>
      <c r="BB62" s="581"/>
      <c r="BC62" s="581"/>
      <c r="BD62" s="582"/>
      <c r="BE62" s="581"/>
      <c r="BF62" s="581"/>
      <c r="BG62" s="581"/>
      <c r="BH62" s="581"/>
      <c r="BI62" s="582"/>
      <c r="BJ62" s="581"/>
      <c r="BK62" s="581"/>
      <c r="BL62" s="581"/>
      <c r="BM62" s="581"/>
      <c r="BN62" s="582"/>
      <c r="BO62" s="581"/>
      <c r="BP62" s="581"/>
      <c r="BQ62" s="581"/>
      <c r="BR62" s="581"/>
      <c r="BS62" s="582"/>
      <c r="BT62" s="581"/>
      <c r="BU62" s="581"/>
      <c r="BV62" s="581"/>
      <c r="BW62" s="581"/>
      <c r="BX62" s="582"/>
      <c r="BY62" s="581"/>
      <c r="BZ62" s="581"/>
      <c r="CA62" s="581"/>
      <c r="CB62" s="581"/>
      <c r="CC62" s="582"/>
      <c r="CD62" s="582"/>
      <c r="CE62" s="582"/>
      <c r="CF62" s="582">
        <f t="shared" si="18"/>
        <v>6</v>
      </c>
      <c r="CG62" s="582">
        <f t="shared" si="18"/>
        <v>1.5</v>
      </c>
      <c r="CH62" s="582">
        <f t="shared" si="18"/>
        <v>0.75</v>
      </c>
    </row>
    <row r="63" spans="1:86" s="76" customFormat="1" ht="13.5">
      <c r="A63" s="85"/>
      <c r="B63" s="85"/>
      <c r="C63" s="85"/>
      <c r="D63" s="85"/>
      <c r="E63" s="85"/>
      <c r="F63" s="85"/>
      <c r="G63" s="85"/>
      <c r="H63" s="564" t="s">
        <v>1026</v>
      </c>
      <c r="I63" s="562"/>
      <c r="J63" s="79"/>
      <c r="K63" s="79"/>
      <c r="L63" s="258"/>
      <c r="M63" s="258"/>
      <c r="N63" s="258"/>
      <c r="O63" s="258"/>
      <c r="P63" s="79"/>
      <c r="Q63" s="258"/>
      <c r="R63" s="258"/>
      <c r="S63" s="258"/>
      <c r="T63" s="258"/>
      <c r="U63" s="79"/>
      <c r="V63" s="258"/>
      <c r="W63" s="258"/>
      <c r="X63" s="258"/>
      <c r="Y63" s="258"/>
      <c r="Z63" s="79"/>
      <c r="AA63" s="258"/>
      <c r="AB63" s="258"/>
      <c r="AC63" s="258"/>
      <c r="AD63" s="258"/>
      <c r="AE63" s="79"/>
      <c r="AF63" s="581"/>
      <c r="AG63" s="581"/>
      <c r="AH63" s="581"/>
      <c r="AI63" s="581"/>
      <c r="AJ63" s="582"/>
      <c r="AK63" s="581"/>
      <c r="AL63" s="581"/>
      <c r="AM63" s="581"/>
      <c r="AN63" s="581"/>
      <c r="AO63" s="582"/>
      <c r="AP63" s="581"/>
      <c r="AQ63" s="581"/>
      <c r="AR63" s="581"/>
      <c r="AS63" s="581"/>
      <c r="AT63" s="582"/>
      <c r="AU63" s="581"/>
      <c r="AV63" s="581"/>
      <c r="AW63" s="581"/>
      <c r="AX63" s="581"/>
      <c r="AY63" s="582"/>
      <c r="AZ63" s="581"/>
      <c r="BA63" s="581"/>
      <c r="BB63" s="581"/>
      <c r="BC63" s="581"/>
      <c r="BD63" s="582"/>
      <c r="BE63" s="581"/>
      <c r="BF63" s="581"/>
      <c r="BG63" s="581"/>
      <c r="BH63" s="581"/>
      <c r="BI63" s="582"/>
      <c r="BJ63" s="581"/>
      <c r="BK63" s="581"/>
      <c r="BL63" s="581"/>
      <c r="BM63" s="581"/>
      <c r="BN63" s="582"/>
      <c r="BO63" s="581"/>
      <c r="BP63" s="581"/>
      <c r="BQ63" s="581"/>
      <c r="BR63" s="581"/>
      <c r="BS63" s="582"/>
      <c r="BT63" s="581"/>
      <c r="BU63" s="581"/>
      <c r="BV63" s="581"/>
      <c r="BW63" s="581"/>
      <c r="BX63" s="582"/>
      <c r="BY63" s="581"/>
      <c r="BZ63" s="581"/>
      <c r="CA63" s="581"/>
      <c r="CB63" s="581"/>
      <c r="CC63" s="582"/>
      <c r="CD63" s="580"/>
      <c r="CE63" s="580"/>
      <c r="CF63" s="580">
        <f t="shared" si="18"/>
        <v>2.75</v>
      </c>
      <c r="CG63" s="580">
        <f t="shared" si="18"/>
        <v>1</v>
      </c>
      <c r="CH63" s="580">
        <f t="shared" si="18"/>
        <v>0.5</v>
      </c>
    </row>
    <row r="64" spans="1:86" s="76" customFormat="1" ht="13.5">
      <c r="A64" s="85"/>
      <c r="B64" s="85"/>
      <c r="C64" s="85"/>
      <c r="D64" s="85"/>
      <c r="E64" s="85"/>
      <c r="F64" s="85"/>
      <c r="G64" s="85"/>
      <c r="H64" s="562" t="s">
        <v>231</v>
      </c>
      <c r="I64" s="562"/>
      <c r="J64" s="79"/>
      <c r="K64" s="79"/>
      <c r="L64" s="258"/>
      <c r="M64" s="258"/>
      <c r="N64" s="258"/>
      <c r="O64" s="258"/>
      <c r="P64" s="79"/>
      <c r="Q64" s="258"/>
      <c r="R64" s="258"/>
      <c r="S64" s="258"/>
      <c r="T64" s="258"/>
      <c r="U64" s="79"/>
      <c r="V64" s="258"/>
      <c r="W64" s="258"/>
      <c r="X64" s="258"/>
      <c r="Y64" s="258"/>
      <c r="Z64" s="79"/>
      <c r="AA64" s="258"/>
      <c r="AB64" s="258"/>
      <c r="AC64" s="258"/>
      <c r="AD64" s="258"/>
      <c r="AE64" s="79"/>
      <c r="AF64" s="581"/>
      <c r="AG64" s="581"/>
      <c r="AH64" s="581"/>
      <c r="AI64" s="581"/>
      <c r="AJ64" s="582"/>
      <c r="AK64" s="581"/>
      <c r="AL64" s="581"/>
      <c r="AM64" s="581"/>
      <c r="AN64" s="581"/>
      <c r="AO64" s="582"/>
      <c r="AP64" s="581"/>
      <c r="AQ64" s="581"/>
      <c r="AR64" s="581"/>
      <c r="AS64" s="581"/>
      <c r="AT64" s="582"/>
      <c r="AU64" s="581"/>
      <c r="AV64" s="581"/>
      <c r="AW64" s="581"/>
      <c r="AX64" s="581"/>
      <c r="AY64" s="582"/>
      <c r="AZ64" s="581"/>
      <c r="BA64" s="581"/>
      <c r="BB64" s="581"/>
      <c r="BC64" s="581"/>
      <c r="BD64" s="582"/>
      <c r="BE64" s="581"/>
      <c r="BF64" s="581"/>
      <c r="BG64" s="581"/>
      <c r="BH64" s="581"/>
      <c r="BI64" s="582"/>
      <c r="BJ64" s="581"/>
      <c r="BK64" s="581"/>
      <c r="BL64" s="581"/>
      <c r="BM64" s="581"/>
      <c r="BN64" s="582"/>
      <c r="BO64" s="581"/>
      <c r="BP64" s="581"/>
      <c r="BQ64" s="581"/>
      <c r="BR64" s="581"/>
      <c r="BS64" s="582"/>
      <c r="BT64" s="581"/>
      <c r="BU64" s="581"/>
      <c r="BV64" s="581"/>
      <c r="BW64" s="581"/>
      <c r="BX64" s="582"/>
      <c r="BY64" s="581"/>
      <c r="BZ64" s="581"/>
      <c r="CA64" s="581"/>
      <c r="CB64" s="581"/>
      <c r="CC64" s="582"/>
      <c r="CD64" s="582"/>
      <c r="CE64" s="582"/>
      <c r="CF64" s="582">
        <f t="shared" si="18"/>
        <v>2</v>
      </c>
      <c r="CG64" s="582">
        <f t="shared" si="18"/>
        <v>1</v>
      </c>
      <c r="CH64" s="582">
        <f t="shared" si="18"/>
        <v>0.5</v>
      </c>
    </row>
    <row r="65" spans="1:86" s="76" customFormat="1" ht="13.5">
      <c r="A65" s="85"/>
      <c r="B65" s="85"/>
      <c r="C65" s="85"/>
      <c r="D65" s="85"/>
      <c r="E65" s="85"/>
      <c r="F65" s="85"/>
      <c r="G65" s="85"/>
      <c r="H65" s="562" t="s">
        <v>232</v>
      </c>
      <c r="I65" s="562"/>
      <c r="J65" s="79"/>
      <c r="K65" s="79"/>
      <c r="L65" s="258"/>
      <c r="M65" s="258"/>
      <c r="N65" s="258"/>
      <c r="O65" s="258"/>
      <c r="P65" s="79"/>
      <c r="Q65" s="258"/>
      <c r="R65" s="258"/>
      <c r="S65" s="258"/>
      <c r="T65" s="258"/>
      <c r="U65" s="79"/>
      <c r="V65" s="258"/>
      <c r="W65" s="258"/>
      <c r="X65" s="258"/>
      <c r="Y65" s="258"/>
      <c r="Z65" s="79"/>
      <c r="AA65" s="258"/>
      <c r="AB65" s="258"/>
      <c r="AC65" s="258"/>
      <c r="AD65" s="258"/>
      <c r="AE65" s="79"/>
      <c r="AF65" s="581"/>
      <c r="AG65" s="581"/>
      <c r="AH65" s="581"/>
      <c r="AI65" s="581"/>
      <c r="AJ65" s="582"/>
      <c r="AK65" s="581"/>
      <c r="AL65" s="581"/>
      <c r="AM65" s="581"/>
      <c r="AN65" s="581"/>
      <c r="AO65" s="582"/>
      <c r="AP65" s="581"/>
      <c r="AQ65" s="581"/>
      <c r="AR65" s="581"/>
      <c r="AS65" s="581"/>
      <c r="AT65" s="582"/>
      <c r="AU65" s="581"/>
      <c r="AV65" s="581"/>
      <c r="AW65" s="581"/>
      <c r="AX65" s="581"/>
      <c r="AY65" s="582"/>
      <c r="AZ65" s="581"/>
      <c r="BA65" s="581"/>
      <c r="BB65" s="581"/>
      <c r="BC65" s="581"/>
      <c r="BD65" s="582"/>
      <c r="BE65" s="581"/>
      <c r="BF65" s="581"/>
      <c r="BG65" s="581"/>
      <c r="BH65" s="581"/>
      <c r="BI65" s="582"/>
      <c r="BJ65" s="581"/>
      <c r="BK65" s="581"/>
      <c r="BL65" s="581"/>
      <c r="BM65" s="581"/>
      <c r="BN65" s="582"/>
      <c r="BO65" s="581"/>
      <c r="BP65" s="581"/>
      <c r="BQ65" s="581"/>
      <c r="BR65" s="581"/>
      <c r="BS65" s="582"/>
      <c r="BT65" s="581"/>
      <c r="BU65" s="581"/>
      <c r="BV65" s="581"/>
      <c r="BW65" s="581"/>
      <c r="BX65" s="582"/>
      <c r="BY65" s="581"/>
      <c r="BZ65" s="581"/>
      <c r="CA65" s="581"/>
      <c r="CB65" s="581"/>
      <c r="CC65" s="582"/>
      <c r="CD65" s="582"/>
      <c r="CE65" s="582"/>
      <c r="CF65" s="582">
        <f t="shared" si="18"/>
        <v>5</v>
      </c>
      <c r="CG65" s="582">
        <f t="shared" si="18"/>
        <v>1</v>
      </c>
      <c r="CH65" s="582">
        <f t="shared" si="18"/>
        <v>0.5</v>
      </c>
    </row>
    <row r="66" spans="1:86" s="76" customFormat="1" ht="13.5">
      <c r="A66" s="85"/>
      <c r="B66" s="85"/>
      <c r="C66" s="85"/>
      <c r="D66" s="85"/>
      <c r="E66" s="85"/>
      <c r="F66" s="85"/>
      <c r="G66" s="85"/>
      <c r="H66" s="564" t="s">
        <v>1025</v>
      </c>
      <c r="I66" s="562"/>
      <c r="J66" s="79"/>
      <c r="K66" s="79"/>
      <c r="L66" s="258"/>
      <c r="M66" s="258"/>
      <c r="N66" s="258"/>
      <c r="O66" s="258"/>
      <c r="P66" s="79"/>
      <c r="Q66" s="258"/>
      <c r="R66" s="258"/>
      <c r="S66" s="258"/>
      <c r="T66" s="258"/>
      <c r="U66" s="79"/>
      <c r="V66" s="258"/>
      <c r="W66" s="258"/>
      <c r="X66" s="258"/>
      <c r="Y66" s="258"/>
      <c r="Z66" s="79"/>
      <c r="AA66" s="258"/>
      <c r="AB66" s="258"/>
      <c r="AC66" s="258"/>
      <c r="AD66" s="258"/>
      <c r="AE66" s="79"/>
      <c r="AF66" s="581"/>
      <c r="AG66" s="581"/>
      <c r="AH66" s="581"/>
      <c r="AI66" s="581"/>
      <c r="AJ66" s="582"/>
      <c r="AK66" s="581"/>
      <c r="AL66" s="581"/>
      <c r="AM66" s="581"/>
      <c r="AN66" s="581"/>
      <c r="AO66" s="582"/>
      <c r="AP66" s="581"/>
      <c r="AQ66" s="581"/>
      <c r="AR66" s="581"/>
      <c r="AS66" s="581"/>
      <c r="AT66" s="582"/>
      <c r="AU66" s="581"/>
      <c r="AV66" s="581"/>
      <c r="AW66" s="581"/>
      <c r="AX66" s="581"/>
      <c r="AY66" s="582"/>
      <c r="AZ66" s="581"/>
      <c r="BA66" s="581"/>
      <c r="BB66" s="581"/>
      <c r="BC66" s="581"/>
      <c r="BD66" s="582"/>
      <c r="BE66" s="581"/>
      <c r="BF66" s="581"/>
      <c r="BG66" s="581"/>
      <c r="BH66" s="581"/>
      <c r="BI66" s="582"/>
      <c r="BJ66" s="581"/>
      <c r="BK66" s="581"/>
      <c r="BL66" s="581"/>
      <c r="BM66" s="581"/>
      <c r="BN66" s="582"/>
      <c r="BO66" s="581"/>
      <c r="BP66" s="581"/>
      <c r="BQ66" s="581"/>
      <c r="BR66" s="581"/>
      <c r="BS66" s="582"/>
      <c r="BT66" s="581"/>
      <c r="BU66" s="581"/>
      <c r="BV66" s="581"/>
      <c r="BW66" s="581"/>
      <c r="BX66" s="582"/>
      <c r="BY66" s="581"/>
      <c r="BZ66" s="581"/>
      <c r="CA66" s="581"/>
      <c r="CB66" s="581"/>
      <c r="CC66" s="582"/>
      <c r="CD66" s="580"/>
      <c r="CE66" s="580"/>
      <c r="CF66" s="580">
        <f t="shared" si="18"/>
        <v>3.5454545454545459</v>
      </c>
      <c r="CG66" s="580">
        <f t="shared" si="18"/>
        <v>0.74400000000000022</v>
      </c>
      <c r="CH66" s="580">
        <f t="shared" si="18"/>
        <v>0.32385321100917408</v>
      </c>
    </row>
    <row r="67" spans="1:86" s="76" customFormat="1" ht="13.5">
      <c r="A67" s="85"/>
      <c r="B67" s="85"/>
      <c r="C67" s="85"/>
      <c r="D67" s="85"/>
      <c r="E67" s="85"/>
      <c r="F67" s="85"/>
      <c r="G67" s="85"/>
      <c r="H67" s="562" t="s">
        <v>231</v>
      </c>
      <c r="I67" s="562"/>
      <c r="J67" s="79"/>
      <c r="K67" s="79"/>
      <c r="L67" s="258"/>
      <c r="M67" s="258"/>
      <c r="N67" s="258"/>
      <c r="O67" s="258"/>
      <c r="P67" s="79"/>
      <c r="Q67" s="258"/>
      <c r="R67" s="258"/>
      <c r="S67" s="258"/>
      <c r="T67" s="258"/>
      <c r="U67" s="79"/>
      <c r="V67" s="258"/>
      <c r="W67" s="258"/>
      <c r="X67" s="258"/>
      <c r="Y67" s="258"/>
      <c r="Z67" s="79"/>
      <c r="AA67" s="258"/>
      <c r="AB67" s="258"/>
      <c r="AC67" s="258"/>
      <c r="AD67" s="258"/>
      <c r="AE67" s="79"/>
      <c r="AF67" s="581"/>
      <c r="AG67" s="581"/>
      <c r="AH67" s="581"/>
      <c r="AI67" s="581"/>
      <c r="AJ67" s="582"/>
      <c r="AK67" s="581"/>
      <c r="AL67" s="581"/>
      <c r="AM67" s="581"/>
      <c r="AN67" s="581"/>
      <c r="AO67" s="582"/>
      <c r="AP67" s="581"/>
      <c r="AQ67" s="581"/>
      <c r="AR67" s="581"/>
      <c r="AS67" s="581"/>
      <c r="AT67" s="582"/>
      <c r="AU67" s="581"/>
      <c r="AV67" s="581"/>
      <c r="AW67" s="581"/>
      <c r="AX67" s="581"/>
      <c r="AY67" s="582"/>
      <c r="AZ67" s="581"/>
      <c r="BA67" s="581"/>
      <c r="BB67" s="581"/>
      <c r="BC67" s="581"/>
      <c r="BD67" s="582"/>
      <c r="BE67" s="581"/>
      <c r="BF67" s="581"/>
      <c r="BG67" s="581"/>
      <c r="BH67" s="581"/>
      <c r="BI67" s="582"/>
      <c r="BJ67" s="581"/>
      <c r="BK67" s="581"/>
      <c r="BL67" s="581"/>
      <c r="BM67" s="581"/>
      <c r="BN67" s="582"/>
      <c r="BO67" s="581"/>
      <c r="BP67" s="581"/>
      <c r="BQ67" s="581"/>
      <c r="BR67" s="581"/>
      <c r="BS67" s="582"/>
      <c r="BT67" s="581"/>
      <c r="BU67" s="581"/>
      <c r="BV67" s="581"/>
      <c r="BW67" s="581"/>
      <c r="BX67" s="582"/>
      <c r="BY67" s="581"/>
      <c r="BZ67" s="581"/>
      <c r="CA67" s="581"/>
      <c r="CB67" s="581"/>
      <c r="CC67" s="582"/>
      <c r="CD67" s="582"/>
      <c r="CE67" s="582"/>
      <c r="CF67" s="582">
        <f t="shared" si="18"/>
        <v>3</v>
      </c>
      <c r="CG67" s="582">
        <f t="shared" si="18"/>
        <v>0.59999999999999987</v>
      </c>
      <c r="CH67" s="582">
        <f t="shared" si="18"/>
        <v>0.19999999999999996</v>
      </c>
    </row>
    <row r="68" spans="1:86" s="76" customFormat="1" ht="13.5">
      <c r="A68" s="85"/>
      <c r="B68" s="85"/>
      <c r="C68" s="85"/>
      <c r="D68" s="85"/>
      <c r="E68" s="85"/>
      <c r="F68" s="85"/>
      <c r="G68" s="85"/>
      <c r="H68" s="562" t="s">
        <v>232</v>
      </c>
      <c r="I68" s="562"/>
      <c r="J68" s="79"/>
      <c r="K68" s="79"/>
      <c r="L68" s="258"/>
      <c r="M68" s="258"/>
      <c r="N68" s="258"/>
      <c r="O68" s="258"/>
      <c r="P68" s="79"/>
      <c r="Q68" s="258"/>
      <c r="R68" s="258"/>
      <c r="S68" s="258"/>
      <c r="T68" s="258"/>
      <c r="U68" s="79"/>
      <c r="V68" s="258"/>
      <c r="W68" s="258"/>
      <c r="X68" s="258"/>
      <c r="Y68" s="258"/>
      <c r="Z68" s="79"/>
      <c r="AA68" s="258"/>
      <c r="AB68" s="258"/>
      <c r="AC68" s="258"/>
      <c r="AD68" s="258"/>
      <c r="AE68" s="79"/>
      <c r="AF68" s="581"/>
      <c r="AG68" s="581"/>
      <c r="AH68" s="581"/>
      <c r="AI68" s="581"/>
      <c r="AJ68" s="582"/>
      <c r="AK68" s="581"/>
      <c r="AL68" s="581"/>
      <c r="AM68" s="581"/>
      <c r="AN68" s="581"/>
      <c r="AO68" s="582"/>
      <c r="AP68" s="581"/>
      <c r="AQ68" s="581"/>
      <c r="AR68" s="581"/>
      <c r="AS68" s="581"/>
      <c r="AT68" s="582"/>
      <c r="AU68" s="581"/>
      <c r="AV68" s="581"/>
      <c r="AW68" s="581"/>
      <c r="AX68" s="581"/>
      <c r="AY68" s="582"/>
      <c r="AZ68" s="581"/>
      <c r="BA68" s="581"/>
      <c r="BB68" s="581"/>
      <c r="BC68" s="581"/>
      <c r="BD68" s="582"/>
      <c r="BE68" s="581"/>
      <c r="BF68" s="581"/>
      <c r="BG68" s="581"/>
      <c r="BH68" s="581"/>
      <c r="BI68" s="582"/>
      <c r="BJ68" s="581"/>
      <c r="BK68" s="581"/>
      <c r="BL68" s="581"/>
      <c r="BM68" s="581"/>
      <c r="BN68" s="582"/>
      <c r="BO68" s="581"/>
      <c r="BP68" s="581"/>
      <c r="BQ68" s="581"/>
      <c r="BR68" s="581"/>
      <c r="BS68" s="582"/>
      <c r="BT68" s="581"/>
      <c r="BU68" s="581"/>
      <c r="BV68" s="581"/>
      <c r="BW68" s="581"/>
      <c r="BX68" s="582"/>
      <c r="BY68" s="581"/>
      <c r="BZ68" s="581"/>
      <c r="CA68" s="581"/>
      <c r="CB68" s="581"/>
      <c r="CC68" s="582"/>
      <c r="CD68" s="582"/>
      <c r="CE68" s="582"/>
      <c r="CF68" s="582">
        <f t="shared" si="18"/>
        <v>5</v>
      </c>
      <c r="CG68" s="582">
        <f t="shared" si="18"/>
        <v>1</v>
      </c>
      <c r="CH68" s="582">
        <f t="shared" si="18"/>
        <v>0.5</v>
      </c>
    </row>
    <row r="69" spans="1:86" s="76" customFormat="1" ht="13.5">
      <c r="A69" s="85"/>
      <c r="B69" s="85"/>
      <c r="C69" s="85"/>
      <c r="D69" s="85"/>
      <c r="E69" s="85"/>
      <c r="F69" s="85"/>
      <c r="G69" s="85"/>
      <c r="H69" s="564" t="s">
        <v>728</v>
      </c>
      <c r="I69" s="564"/>
      <c r="J69" s="79"/>
      <c r="K69" s="79"/>
      <c r="L69" s="258"/>
      <c r="M69" s="258"/>
      <c r="N69" s="258"/>
      <c r="O69" s="258"/>
      <c r="P69" s="79"/>
      <c r="Q69" s="258"/>
      <c r="R69" s="258"/>
      <c r="S69" s="258"/>
      <c r="T69" s="258"/>
      <c r="U69" s="79"/>
      <c r="V69" s="258"/>
      <c r="W69" s="258"/>
      <c r="X69" s="258"/>
      <c r="Y69" s="258"/>
      <c r="Z69" s="79"/>
      <c r="AA69" s="258"/>
      <c r="AB69" s="258"/>
      <c r="AC69" s="258"/>
      <c r="AD69" s="258"/>
      <c r="AE69" s="79"/>
      <c r="AF69" s="579"/>
      <c r="AG69" s="579"/>
      <c r="AH69" s="579"/>
      <c r="AI69" s="579"/>
      <c r="AJ69" s="580"/>
      <c r="AK69" s="579"/>
      <c r="AL69" s="579"/>
      <c r="AM69" s="579"/>
      <c r="AN69" s="579"/>
      <c r="AO69" s="580"/>
      <c r="AP69" s="579"/>
      <c r="AQ69" s="579"/>
      <c r="AR69" s="579"/>
      <c r="AS69" s="579"/>
      <c r="AT69" s="580"/>
      <c r="AU69" s="579"/>
      <c r="AV69" s="579"/>
      <c r="AW69" s="579"/>
      <c r="AX69" s="579"/>
      <c r="AY69" s="580"/>
      <c r="AZ69" s="579"/>
      <c r="BA69" s="579"/>
      <c r="BB69" s="579"/>
      <c r="BC69" s="579"/>
      <c r="BD69" s="580"/>
      <c r="BE69" s="579"/>
      <c r="BF69" s="579"/>
      <c r="BG69" s="579"/>
      <c r="BH69" s="579"/>
      <c r="BI69" s="580"/>
      <c r="BJ69" s="579"/>
      <c r="BK69" s="579"/>
      <c r="BL69" s="579"/>
      <c r="BM69" s="579"/>
      <c r="BN69" s="580"/>
      <c r="BO69" s="579"/>
      <c r="BP69" s="579"/>
      <c r="BQ69" s="579"/>
      <c r="BR69" s="579"/>
      <c r="BS69" s="580"/>
      <c r="BT69" s="579"/>
      <c r="BU69" s="579"/>
      <c r="BV69" s="579"/>
      <c r="BW69" s="579"/>
      <c r="BX69" s="580"/>
      <c r="BY69" s="579"/>
      <c r="BZ69" s="579"/>
      <c r="CA69" s="579"/>
      <c r="CB69" s="579"/>
      <c r="CC69" s="580"/>
      <c r="CD69" s="580"/>
      <c r="CE69" s="580"/>
      <c r="CF69" s="580"/>
      <c r="CG69" s="580">
        <f t="shared" ref="CG69:CH71" si="19">CG32/CF32-1</f>
        <v>4.0363327738785468</v>
      </c>
      <c r="CH69" s="580">
        <f t="shared" si="19"/>
        <v>1.4893312252665067</v>
      </c>
    </row>
    <row r="70" spans="1:86" s="76" customFormat="1" ht="13.5">
      <c r="A70" s="85"/>
      <c r="B70" s="85"/>
      <c r="C70" s="85"/>
      <c r="D70" s="85"/>
      <c r="E70" s="85"/>
      <c r="F70" s="85"/>
      <c r="G70" s="85"/>
      <c r="H70" s="565" t="s">
        <v>231</v>
      </c>
      <c r="I70" s="565"/>
      <c r="J70" s="79"/>
      <c r="K70" s="79"/>
      <c r="L70" s="258"/>
      <c r="M70" s="258"/>
      <c r="N70" s="258"/>
      <c r="O70" s="258"/>
      <c r="P70" s="79"/>
      <c r="Q70" s="258"/>
      <c r="R70" s="258"/>
      <c r="S70" s="258"/>
      <c r="T70" s="258"/>
      <c r="U70" s="79"/>
      <c r="V70" s="258"/>
      <c r="W70" s="258"/>
      <c r="X70" s="258"/>
      <c r="Y70" s="258"/>
      <c r="Z70" s="79"/>
      <c r="AA70" s="258"/>
      <c r="AB70" s="258"/>
      <c r="AC70" s="258"/>
      <c r="AD70" s="258"/>
      <c r="AE70" s="79"/>
      <c r="AF70" s="581"/>
      <c r="AG70" s="581"/>
      <c r="AH70" s="581"/>
      <c r="AI70" s="581"/>
      <c r="AJ70" s="582"/>
      <c r="AK70" s="581"/>
      <c r="AL70" s="581"/>
      <c r="AM70" s="581"/>
      <c r="AN70" s="581"/>
      <c r="AO70" s="582"/>
      <c r="AP70" s="581"/>
      <c r="AQ70" s="581"/>
      <c r="AR70" s="581"/>
      <c r="AS70" s="581"/>
      <c r="AT70" s="582"/>
      <c r="AU70" s="581"/>
      <c r="AV70" s="581"/>
      <c r="AW70" s="581"/>
      <c r="AX70" s="581"/>
      <c r="AY70" s="582"/>
      <c r="AZ70" s="581"/>
      <c r="BA70" s="581"/>
      <c r="BB70" s="581"/>
      <c r="BC70" s="581"/>
      <c r="BD70" s="582"/>
      <c r="BE70" s="581"/>
      <c r="BF70" s="581"/>
      <c r="BG70" s="581"/>
      <c r="BH70" s="581"/>
      <c r="BI70" s="582"/>
      <c r="BJ70" s="581"/>
      <c r="BK70" s="581"/>
      <c r="BL70" s="581"/>
      <c r="BM70" s="581"/>
      <c r="BN70" s="582"/>
      <c r="BO70" s="581"/>
      <c r="BP70" s="581"/>
      <c r="BQ70" s="581"/>
      <c r="BR70" s="581"/>
      <c r="BS70" s="582"/>
      <c r="BT70" s="581"/>
      <c r="BU70" s="581"/>
      <c r="BV70" s="581"/>
      <c r="BW70" s="581"/>
      <c r="BX70" s="582"/>
      <c r="BY70" s="581"/>
      <c r="BZ70" s="581"/>
      <c r="CA70" s="581"/>
      <c r="CB70" s="581"/>
      <c r="CC70" s="582"/>
      <c r="CD70" s="582"/>
      <c r="CE70" s="582"/>
      <c r="CF70" s="582"/>
      <c r="CG70" s="582">
        <f t="shared" si="19"/>
        <v>4.0363327738785477</v>
      </c>
      <c r="CH70" s="582">
        <f t="shared" si="19"/>
        <v>1.4893312252665067</v>
      </c>
    </row>
    <row r="71" spans="1:86" s="76" customFormat="1" ht="13.5">
      <c r="A71" s="85"/>
      <c r="B71" s="85"/>
      <c r="C71" s="85"/>
      <c r="D71" s="85"/>
      <c r="E71" s="85"/>
      <c r="F71" s="85"/>
      <c r="G71" s="85"/>
      <c r="H71" s="565" t="s">
        <v>232</v>
      </c>
      <c r="I71" s="565"/>
      <c r="J71" s="79"/>
      <c r="K71" s="79"/>
      <c r="L71" s="258"/>
      <c r="M71" s="258"/>
      <c r="N71" s="258"/>
      <c r="O71" s="258"/>
      <c r="P71" s="79"/>
      <c r="Q71" s="258"/>
      <c r="R71" s="258"/>
      <c r="S71" s="258"/>
      <c r="T71" s="258"/>
      <c r="U71" s="79"/>
      <c r="V71" s="258"/>
      <c r="W71" s="258"/>
      <c r="X71" s="258"/>
      <c r="Y71" s="258"/>
      <c r="Z71" s="79"/>
      <c r="AA71" s="258"/>
      <c r="AB71" s="258"/>
      <c r="AC71" s="258"/>
      <c r="AD71" s="258"/>
      <c r="AE71" s="79"/>
      <c r="AF71" s="581"/>
      <c r="AG71" s="581"/>
      <c r="AH71" s="581"/>
      <c r="AI71" s="581"/>
      <c r="AJ71" s="582"/>
      <c r="AK71" s="581"/>
      <c r="AL71" s="581"/>
      <c r="AM71" s="581"/>
      <c r="AN71" s="581"/>
      <c r="AO71" s="582"/>
      <c r="AP71" s="581"/>
      <c r="AQ71" s="581"/>
      <c r="AR71" s="581"/>
      <c r="AS71" s="581"/>
      <c r="AT71" s="582"/>
      <c r="AU71" s="581"/>
      <c r="AV71" s="581"/>
      <c r="AW71" s="581"/>
      <c r="AX71" s="581"/>
      <c r="AY71" s="582"/>
      <c r="AZ71" s="581"/>
      <c r="BA71" s="581"/>
      <c r="BB71" s="581"/>
      <c r="BC71" s="581"/>
      <c r="BD71" s="582"/>
      <c r="BE71" s="581"/>
      <c r="BF71" s="581"/>
      <c r="BG71" s="581"/>
      <c r="BH71" s="581"/>
      <c r="BI71" s="582"/>
      <c r="BJ71" s="581"/>
      <c r="BK71" s="581"/>
      <c r="BL71" s="581"/>
      <c r="BM71" s="581"/>
      <c r="BN71" s="582"/>
      <c r="BO71" s="581"/>
      <c r="BP71" s="581"/>
      <c r="BQ71" s="581"/>
      <c r="BR71" s="581"/>
      <c r="BS71" s="582"/>
      <c r="BT71" s="581"/>
      <c r="BU71" s="581"/>
      <c r="BV71" s="581"/>
      <c r="BW71" s="581"/>
      <c r="BX71" s="582"/>
      <c r="BY71" s="581"/>
      <c r="BZ71" s="581"/>
      <c r="CA71" s="581"/>
      <c r="CB71" s="581"/>
      <c r="CC71" s="582"/>
      <c r="CD71" s="582"/>
      <c r="CE71" s="582"/>
      <c r="CF71" s="582"/>
      <c r="CG71" s="582">
        <f t="shared" si="19"/>
        <v>4.0363327738785468</v>
      </c>
      <c r="CH71" s="582">
        <f t="shared" si="19"/>
        <v>1.4893312252665067</v>
      </c>
    </row>
    <row r="72" spans="1:86" s="76" customFormat="1" ht="14.25" thickBot="1">
      <c r="A72" s="85"/>
      <c r="B72" s="85"/>
      <c r="C72" s="85"/>
      <c r="D72" s="85"/>
      <c r="E72" s="85"/>
      <c r="F72" s="85"/>
      <c r="G72" s="85"/>
      <c r="H72" s="313" t="s">
        <v>729</v>
      </c>
      <c r="I72" s="313"/>
      <c r="J72" s="313"/>
      <c r="K72" s="313"/>
      <c r="L72" s="583"/>
      <c r="M72" s="583"/>
      <c r="N72" s="583"/>
      <c r="O72" s="583"/>
      <c r="P72" s="584"/>
      <c r="Q72" s="583"/>
      <c r="R72" s="583"/>
      <c r="S72" s="583"/>
      <c r="T72" s="583"/>
      <c r="U72" s="584"/>
      <c r="V72" s="583"/>
      <c r="W72" s="583"/>
      <c r="X72" s="583"/>
      <c r="Y72" s="583"/>
      <c r="Z72" s="584"/>
      <c r="AA72" s="583"/>
      <c r="AB72" s="583"/>
      <c r="AC72" s="583"/>
      <c r="AD72" s="583"/>
      <c r="AE72" s="584"/>
      <c r="AF72" s="367"/>
      <c r="AG72" s="367"/>
      <c r="AH72" s="367"/>
      <c r="AI72" s="367"/>
      <c r="AJ72" s="368"/>
      <c r="AK72" s="367"/>
      <c r="AL72" s="367"/>
      <c r="AM72" s="367"/>
      <c r="AN72" s="367"/>
      <c r="AO72" s="368"/>
      <c r="AP72" s="367"/>
      <c r="AQ72" s="367"/>
      <c r="AR72" s="367"/>
      <c r="AS72" s="367"/>
      <c r="AT72" s="368" t="str">
        <f>IF(AO35=0,"*",AT35/AO35-1)</f>
        <v>*</v>
      </c>
      <c r="AU72" s="367"/>
      <c r="AV72" s="367"/>
      <c r="AW72" s="367"/>
      <c r="AX72" s="367"/>
      <c r="AY72" s="368" t="str">
        <f>IF(AT35=0,"*",AY35/AT35-1)</f>
        <v>*</v>
      </c>
      <c r="AZ72" s="367"/>
      <c r="BA72" s="367"/>
      <c r="BB72" s="367"/>
      <c r="BC72" s="367"/>
      <c r="BD72" s="368"/>
      <c r="BE72" s="367"/>
      <c r="BF72" s="367"/>
      <c r="BG72" s="367"/>
      <c r="BH72" s="367"/>
      <c r="BI72" s="368"/>
      <c r="BJ72" s="367"/>
      <c r="BK72" s="367"/>
      <c r="BL72" s="367"/>
      <c r="BM72" s="367"/>
      <c r="BN72" s="368"/>
      <c r="BO72" s="367"/>
      <c r="BP72" s="367"/>
      <c r="BQ72" s="367"/>
      <c r="BR72" s="367"/>
      <c r="BS72" s="368"/>
      <c r="BT72" s="367"/>
      <c r="BU72" s="367"/>
      <c r="BV72" s="367"/>
      <c r="BW72" s="367"/>
      <c r="BX72" s="368"/>
      <c r="BY72" s="367"/>
      <c r="BZ72" s="367"/>
      <c r="CA72" s="367"/>
      <c r="CB72" s="367"/>
      <c r="CC72" s="368" t="str">
        <f>IF(BX35=0,"*",CC35/BX35-1)</f>
        <v>*</v>
      </c>
      <c r="CD72" s="368">
        <f t="shared" ref="CD72:CH74" si="20">IF(CC35=0,"*",CD35/CC35-1)</f>
        <v>5.5401315789473689</v>
      </c>
      <c r="CE72" s="368">
        <f t="shared" si="20"/>
        <v>1.9050397344331556</v>
      </c>
      <c r="CF72" s="368">
        <f t="shared" si="20"/>
        <v>1.1557727068111778</v>
      </c>
      <c r="CG72" s="368">
        <f t="shared" si="20"/>
        <v>0.74028086357485834</v>
      </c>
      <c r="CH72" s="368">
        <f t="shared" si="20"/>
        <v>0.51366052911146842</v>
      </c>
    </row>
    <row r="73" spans="1:86" s="76" customFormat="1" ht="13.5">
      <c r="A73" s="85"/>
      <c r="B73" s="85"/>
      <c r="C73" s="85"/>
      <c r="D73" s="85"/>
      <c r="E73" s="85"/>
      <c r="F73" s="85"/>
      <c r="G73" s="85"/>
      <c r="H73" s="562" t="s">
        <v>231</v>
      </c>
      <c r="I73" s="567"/>
      <c r="J73" s="79"/>
      <c r="K73" s="79"/>
      <c r="L73" s="258"/>
      <c r="M73" s="258"/>
      <c r="N73" s="258"/>
      <c r="O73" s="258"/>
      <c r="P73" s="79"/>
      <c r="Q73" s="258"/>
      <c r="R73" s="258"/>
      <c r="S73" s="258"/>
      <c r="T73" s="258"/>
      <c r="U73" s="79"/>
      <c r="V73" s="258"/>
      <c r="W73" s="258"/>
      <c r="X73" s="258"/>
      <c r="Y73" s="258"/>
      <c r="Z73" s="79"/>
      <c r="AA73" s="258"/>
      <c r="AB73" s="258"/>
      <c r="AC73" s="258"/>
      <c r="AD73" s="258"/>
      <c r="AE73" s="79"/>
      <c r="AF73" s="369"/>
      <c r="AG73" s="369"/>
      <c r="AH73" s="369"/>
      <c r="AI73" s="369"/>
      <c r="AJ73" s="344"/>
      <c r="AK73" s="369"/>
      <c r="AL73" s="369"/>
      <c r="AM73" s="369"/>
      <c r="AN73" s="369"/>
      <c r="AO73" s="344"/>
      <c r="AP73" s="369"/>
      <c r="AQ73" s="369"/>
      <c r="AR73" s="369"/>
      <c r="AS73" s="369"/>
      <c r="AT73" s="344" t="str">
        <f>IF(AO36=0,"*",AT36/AO36-1)</f>
        <v>*</v>
      </c>
      <c r="AU73" s="369"/>
      <c r="AV73" s="369"/>
      <c r="AW73" s="369"/>
      <c r="AX73" s="369"/>
      <c r="AY73" s="344" t="str">
        <f>IF(AT36=0,"*",AY36/AT36-1)</f>
        <v>*</v>
      </c>
      <c r="AZ73" s="369"/>
      <c r="BA73" s="369"/>
      <c r="BB73" s="369"/>
      <c r="BC73" s="369"/>
      <c r="BD73" s="344"/>
      <c r="BE73" s="369"/>
      <c r="BF73" s="369"/>
      <c r="BG73" s="369"/>
      <c r="BH73" s="369"/>
      <c r="BI73" s="344"/>
      <c r="BJ73" s="369"/>
      <c r="BK73" s="369"/>
      <c r="BL73" s="369"/>
      <c r="BM73" s="369"/>
      <c r="BN73" s="344"/>
      <c r="BO73" s="369"/>
      <c r="BP73" s="369"/>
      <c r="BQ73" s="369"/>
      <c r="BR73" s="369"/>
      <c r="BS73" s="344"/>
      <c r="BT73" s="369"/>
      <c r="BU73" s="369"/>
      <c r="BV73" s="369"/>
      <c r="BW73" s="369"/>
      <c r="BX73" s="344"/>
      <c r="BY73" s="369"/>
      <c r="BZ73" s="369"/>
      <c r="CA73" s="369"/>
      <c r="CB73" s="369"/>
      <c r="CC73" s="344" t="str">
        <f>IF(BX36=0,"*",CC36/BX36-1)</f>
        <v>*</v>
      </c>
      <c r="CD73" s="344">
        <f t="shared" si="20"/>
        <v>4.6694444444444443</v>
      </c>
      <c r="CE73" s="344">
        <f t="shared" si="20"/>
        <v>1.8324350808427243</v>
      </c>
      <c r="CF73" s="344">
        <f t="shared" si="20"/>
        <v>1.0329610793980284</v>
      </c>
      <c r="CG73" s="344">
        <f t="shared" si="20"/>
        <v>0.64990051519040781</v>
      </c>
      <c r="CH73" s="344">
        <f t="shared" si="20"/>
        <v>0.47119276234513396</v>
      </c>
    </row>
    <row r="74" spans="1:86" s="76" customFormat="1" ht="13.5">
      <c r="A74" s="85"/>
      <c r="B74" s="85"/>
      <c r="C74" s="85"/>
      <c r="D74" s="85"/>
      <c r="E74" s="85"/>
      <c r="F74" s="85"/>
      <c r="G74" s="85"/>
      <c r="H74" s="562" t="s">
        <v>232</v>
      </c>
      <c r="I74" s="567"/>
      <c r="J74" s="79"/>
      <c r="K74" s="79"/>
      <c r="L74" s="258"/>
      <c r="M74" s="258"/>
      <c r="N74" s="258"/>
      <c r="O74" s="258"/>
      <c r="P74" s="79"/>
      <c r="Q74" s="258"/>
      <c r="R74" s="258"/>
      <c r="S74" s="258"/>
      <c r="T74" s="258"/>
      <c r="U74" s="79"/>
      <c r="V74" s="258"/>
      <c r="W74" s="258"/>
      <c r="X74" s="258"/>
      <c r="Y74" s="258"/>
      <c r="Z74" s="79"/>
      <c r="AA74" s="258"/>
      <c r="AB74" s="258"/>
      <c r="AC74" s="258"/>
      <c r="AD74" s="258"/>
      <c r="AE74" s="79"/>
      <c r="AF74" s="369"/>
      <c r="AG74" s="369"/>
      <c r="AH74" s="369"/>
      <c r="AI74" s="369"/>
      <c r="AJ74" s="344"/>
      <c r="AK74" s="369"/>
      <c r="AL74" s="369"/>
      <c r="AM74" s="369"/>
      <c r="AN74" s="369"/>
      <c r="AO74" s="344"/>
      <c r="AP74" s="369"/>
      <c r="AQ74" s="369"/>
      <c r="AR74" s="369"/>
      <c r="AS74" s="369"/>
      <c r="AT74" s="344" t="str">
        <f>IF(AO37=0,"",AT37/AO37-1)</f>
        <v/>
      </c>
      <c r="AU74" s="369"/>
      <c r="AV74" s="369"/>
      <c r="AW74" s="369"/>
      <c r="AX74" s="369"/>
      <c r="AY74" s="344" t="str">
        <f>IF(AT37=0,"*",AY37/AT37-1)</f>
        <v>*</v>
      </c>
      <c r="AZ74" s="369"/>
      <c r="BA74" s="369"/>
      <c r="BB74" s="369"/>
      <c r="BC74" s="369"/>
      <c r="BD74" s="344"/>
      <c r="BE74" s="369"/>
      <c r="BF74" s="369"/>
      <c r="BG74" s="369"/>
      <c r="BH74" s="369"/>
      <c r="BI74" s="344"/>
      <c r="BJ74" s="369"/>
      <c r="BK74" s="369"/>
      <c r="BL74" s="369"/>
      <c r="BM74" s="369"/>
      <c r="BN74" s="344"/>
      <c r="BO74" s="369"/>
      <c r="BP74" s="369"/>
      <c r="BQ74" s="369"/>
      <c r="BR74" s="369"/>
      <c r="BS74" s="344"/>
      <c r="BT74" s="369"/>
      <c r="BU74" s="369"/>
      <c r="BV74" s="369"/>
      <c r="BW74" s="369"/>
      <c r="BX74" s="344"/>
      <c r="BY74" s="369"/>
      <c r="BZ74" s="369"/>
      <c r="CA74" s="369"/>
      <c r="CB74" s="369"/>
      <c r="CC74" s="344" t="str">
        <f>IF(BX37=0,"*",CC37/BX37-1)</f>
        <v>*</v>
      </c>
      <c r="CD74" s="344">
        <f t="shared" si="20"/>
        <v>21.212499999999999</v>
      </c>
      <c r="CE74" s="344">
        <f t="shared" si="20"/>
        <v>2.2386043894203715</v>
      </c>
      <c r="CF74" s="344">
        <f t="shared" si="20"/>
        <v>1.6492385751520415</v>
      </c>
      <c r="CG74" s="344">
        <f t="shared" si="20"/>
        <v>1.0189569082944874</v>
      </c>
      <c r="CH74" s="344">
        <f t="shared" si="20"/>
        <v>0.62066840882392693</v>
      </c>
    </row>
    <row r="75" spans="1:86" s="76" customFormat="1" ht="8.25" customHeight="1">
      <c r="A75" s="85"/>
      <c r="B75" s="85"/>
      <c r="C75" s="85"/>
      <c r="D75" s="85"/>
      <c r="E75" s="85"/>
      <c r="F75" s="85"/>
      <c r="G75" s="85"/>
      <c r="H75" s="567"/>
      <c r="I75" s="567"/>
      <c r="J75" s="79"/>
      <c r="K75" s="79"/>
      <c r="L75" s="258"/>
      <c r="M75" s="258"/>
      <c r="N75" s="258"/>
      <c r="O75" s="258"/>
      <c r="P75" s="79"/>
      <c r="Q75" s="258"/>
      <c r="R75" s="258"/>
      <c r="S75" s="258"/>
      <c r="T75" s="258"/>
      <c r="U75" s="79"/>
      <c r="V75" s="258"/>
      <c r="W75" s="258"/>
      <c r="X75" s="258"/>
      <c r="Y75" s="258"/>
      <c r="Z75" s="79"/>
      <c r="AA75" s="258"/>
      <c r="AB75" s="258"/>
      <c r="AC75" s="258"/>
      <c r="AD75" s="258"/>
      <c r="AE75" s="79"/>
      <c r="AF75" s="369"/>
      <c r="AG75" s="369"/>
      <c r="AH75" s="369"/>
      <c r="AI75" s="369"/>
      <c r="AJ75" s="344"/>
      <c r="AK75" s="369"/>
      <c r="AL75" s="369"/>
      <c r="AM75" s="369"/>
      <c r="AN75" s="369"/>
      <c r="AO75" s="344"/>
      <c r="AP75" s="369"/>
      <c r="AQ75" s="369"/>
      <c r="AR75" s="369"/>
      <c r="AS75" s="369"/>
      <c r="AT75" s="344"/>
      <c r="AU75" s="369"/>
      <c r="AV75" s="369"/>
      <c r="AW75" s="369"/>
      <c r="AX75" s="369"/>
      <c r="AY75" s="344"/>
      <c r="AZ75" s="369"/>
      <c r="BA75" s="369"/>
      <c r="BB75" s="369"/>
      <c r="BC75" s="369"/>
      <c r="BD75" s="344"/>
      <c r="BE75" s="369"/>
      <c r="BF75" s="369"/>
      <c r="BG75" s="369"/>
      <c r="BH75" s="369"/>
      <c r="BI75" s="344"/>
      <c r="BJ75" s="369"/>
      <c r="BK75" s="369"/>
      <c r="BL75" s="369"/>
      <c r="BM75" s="369"/>
      <c r="BN75" s="344"/>
      <c r="BO75" s="369"/>
      <c r="BP75" s="369"/>
      <c r="BQ75" s="369"/>
      <c r="BR75" s="369"/>
      <c r="BS75" s="344"/>
      <c r="BT75" s="369"/>
      <c r="BU75" s="369"/>
      <c r="BV75" s="369"/>
      <c r="BW75" s="369"/>
      <c r="BX75" s="344"/>
      <c r="BY75" s="369"/>
      <c r="BZ75" s="369"/>
      <c r="CA75" s="369"/>
      <c r="CB75" s="369"/>
      <c r="CC75" s="344"/>
      <c r="CD75" s="344"/>
      <c r="CE75" s="344"/>
      <c r="CF75" s="344"/>
      <c r="CG75" s="344"/>
      <c r="CH75" s="344"/>
    </row>
    <row r="76" spans="1:86" s="76" customFormat="1" ht="13.5" hidden="1">
      <c r="A76" s="85"/>
      <c r="B76" s="85"/>
      <c r="C76" s="85"/>
      <c r="D76" s="85"/>
      <c r="E76" s="85"/>
      <c r="F76" s="85"/>
      <c r="G76" s="85"/>
      <c r="H76" s="571" t="s">
        <v>331</v>
      </c>
      <c r="I76" s="571"/>
      <c r="J76" s="79"/>
      <c r="K76" s="79"/>
      <c r="L76" s="258"/>
      <c r="M76" s="258"/>
      <c r="N76" s="258"/>
      <c r="O76" s="258"/>
      <c r="P76" s="79"/>
      <c r="Q76" s="258"/>
      <c r="R76" s="258"/>
      <c r="S76" s="258"/>
      <c r="T76" s="258"/>
      <c r="U76" s="79"/>
      <c r="V76" s="258"/>
      <c r="W76" s="258"/>
      <c r="X76" s="258"/>
      <c r="Y76" s="258"/>
      <c r="Z76" s="79"/>
      <c r="AA76" s="258"/>
      <c r="AB76" s="258"/>
      <c r="AC76" s="258"/>
      <c r="AD76" s="258"/>
      <c r="AE76" s="79"/>
      <c r="AF76" s="369"/>
      <c r="AG76" s="369"/>
      <c r="AH76" s="369"/>
      <c r="AI76" s="369"/>
      <c r="AJ76" s="344"/>
      <c r="AK76" s="369"/>
      <c r="AL76" s="369"/>
      <c r="AM76" s="369"/>
      <c r="AN76" s="369"/>
      <c r="AO76" s="344" t="str">
        <f>IF(AJ39=0,"*",AO39/AJ39-1)</f>
        <v>*</v>
      </c>
      <c r="AP76" s="369"/>
      <c r="AQ76" s="369"/>
      <c r="AR76" s="369"/>
      <c r="AS76" s="369"/>
      <c r="AT76" s="344" t="str">
        <f>IF(AO39=0,"*",AT39/AO39-1)</f>
        <v>*</v>
      </c>
      <c r="AU76" s="369"/>
      <c r="AV76" s="369"/>
      <c r="AW76" s="369"/>
      <c r="AX76" s="369"/>
      <c r="AY76" s="344" t="str">
        <f>IF(AT39=0,"*",AY39/AT39-1)</f>
        <v>*</v>
      </c>
      <c r="AZ76" s="369"/>
      <c r="BA76" s="369"/>
      <c r="BB76" s="369"/>
      <c r="BC76" s="369"/>
      <c r="BD76" s="344" t="str">
        <f>IF(AY39=0,"*",BD39/AY39-1)</f>
        <v>*</v>
      </c>
      <c r="BE76" s="369"/>
      <c r="BF76" s="369"/>
      <c r="BG76" s="369"/>
      <c r="BH76" s="369"/>
      <c r="BI76" s="344" t="str">
        <f>IF(BD39=0,"*",BI39/BD39-1)</f>
        <v>*</v>
      </c>
      <c r="BJ76" s="369"/>
      <c r="BK76" s="369"/>
      <c r="BL76" s="369"/>
      <c r="BM76" s="369"/>
      <c r="BN76" s="344" t="str">
        <f>IF(BI39=0,"*",BN39/BI39-1)</f>
        <v>*</v>
      </c>
      <c r="BO76" s="369"/>
      <c r="BP76" s="369"/>
      <c r="BQ76" s="369"/>
      <c r="BR76" s="369"/>
      <c r="BS76" s="344" t="str">
        <f>IF(BN39=0,"*",BS39/BN39-1)</f>
        <v>*</v>
      </c>
      <c r="BT76" s="369"/>
      <c r="BU76" s="369"/>
      <c r="BV76" s="369"/>
      <c r="BW76" s="369"/>
      <c r="BX76" s="344" t="str">
        <f>IF(BS39=0,"*",BX39/BS39-1)</f>
        <v>*</v>
      </c>
      <c r="BY76" s="369"/>
      <c r="BZ76" s="369"/>
      <c r="CA76" s="369"/>
      <c r="CB76" s="369"/>
      <c r="CC76" s="344" t="str">
        <f>IF(BX39=0,"*",CC39/BX39-1)</f>
        <v>*</v>
      </c>
      <c r="CD76" s="344">
        <f>IF(CC39=0,"*",CD39/CC39-1)</f>
        <v>2.3714695309228873E-2</v>
      </c>
      <c r="CE76" s="344">
        <f>IF(CD39=0,"*",CE39/CD39-1)</f>
        <v>3.7491432165288829E-2</v>
      </c>
      <c r="CF76" s="344">
        <f>IF(CE39=0,"*",CF39/CE39-1)</f>
        <v>3.6283100508350596E-2</v>
      </c>
      <c r="CG76" s="344">
        <f>IF(CF39=0,"*",CG39/CF39-1)</f>
        <v>2.9420202118452865E-2</v>
      </c>
      <c r="CH76" s="344">
        <f>IF(CG39=0,"*",CH39/CG39-1)</f>
        <v>3.3189023270602913E-2</v>
      </c>
    </row>
    <row r="77" spans="1:86" hidden="1">
      <c r="A77" s="302"/>
      <c r="B77" s="302"/>
      <c r="C77" s="302"/>
      <c r="D77" s="302"/>
      <c r="E77" s="302"/>
      <c r="F77" s="302"/>
      <c r="G77" s="302"/>
    </row>
    <row r="78" spans="1:86" s="76" customFormat="1" ht="13.5">
      <c r="A78" s="85"/>
      <c r="B78" s="85"/>
      <c r="C78" s="85"/>
      <c r="D78" s="85"/>
      <c r="E78" s="85"/>
      <c r="F78" s="85"/>
      <c r="G78" s="85"/>
      <c r="H78" s="585" t="s">
        <v>10</v>
      </c>
      <c r="I78" s="585"/>
      <c r="J78" s="586"/>
      <c r="K78" s="586"/>
      <c r="L78" s="586"/>
      <c r="M78" s="586"/>
      <c r="N78" s="586"/>
      <c r="O78" s="586"/>
      <c r="P78" s="578"/>
      <c r="Q78" s="586"/>
      <c r="R78" s="586"/>
      <c r="S78" s="586"/>
      <c r="T78" s="586"/>
      <c r="U78" s="578"/>
      <c r="V78" s="586"/>
      <c r="W78" s="586"/>
      <c r="X78" s="586"/>
      <c r="Y78" s="586"/>
      <c r="Z78" s="578"/>
      <c r="AA78" s="586"/>
      <c r="AB78" s="586"/>
      <c r="AC78" s="586"/>
      <c r="AD78" s="586"/>
      <c r="AE78" s="578"/>
      <c r="AF78" s="243"/>
      <c r="AG78" s="243"/>
      <c r="AH78" s="243"/>
      <c r="AI78" s="243"/>
      <c r="AJ78" s="587"/>
      <c r="AK78" s="243"/>
      <c r="AL78" s="243"/>
      <c r="AM78" s="243"/>
      <c r="AN78" s="243"/>
      <c r="AO78" s="587"/>
      <c r="AP78" s="243"/>
      <c r="AQ78" s="243"/>
      <c r="AR78" s="243"/>
      <c r="AS78" s="243"/>
      <c r="AT78" s="587"/>
      <c r="AU78" s="243"/>
      <c r="AV78" s="243"/>
      <c r="AW78" s="243"/>
      <c r="AX78" s="243"/>
      <c r="AY78" s="587"/>
      <c r="AZ78" s="243"/>
      <c r="BA78" s="243"/>
      <c r="BB78" s="243"/>
      <c r="BC78" s="243"/>
      <c r="BD78" s="244"/>
      <c r="BE78" s="243"/>
      <c r="BF78" s="243"/>
      <c r="BG78" s="243"/>
      <c r="BH78" s="243"/>
      <c r="BI78" s="244"/>
      <c r="BJ78" s="243"/>
      <c r="BK78" s="243"/>
      <c r="BL78" s="243"/>
      <c r="BM78" s="243"/>
      <c r="BN78" s="244"/>
      <c r="BO78" s="243"/>
      <c r="BP78" s="243"/>
      <c r="BQ78" s="243"/>
      <c r="BR78" s="243"/>
      <c r="BS78" s="244"/>
      <c r="BT78" s="243"/>
      <c r="BU78" s="243"/>
      <c r="BV78" s="243"/>
      <c r="BW78" s="243"/>
      <c r="BX78" s="244"/>
      <c r="BY78" s="243"/>
      <c r="BZ78" s="243"/>
      <c r="CA78" s="243"/>
      <c r="CB78" s="243"/>
      <c r="CC78" s="244"/>
      <c r="CD78" s="244"/>
      <c r="CE78" s="244"/>
      <c r="CF78" s="244"/>
      <c r="CG78" s="244"/>
      <c r="CH78" s="244"/>
    </row>
    <row r="79" spans="1:86" s="76" customFormat="1" ht="13.5">
      <c r="A79" s="85"/>
      <c r="B79" s="85"/>
      <c r="C79" s="85"/>
      <c r="D79" s="85"/>
      <c r="E79" s="85"/>
      <c r="F79" s="85"/>
      <c r="G79" s="85"/>
      <c r="H79" s="573"/>
      <c r="I79" s="573"/>
      <c r="J79" s="588"/>
      <c r="K79" s="588"/>
      <c r="L79" s="588"/>
      <c r="M79" s="588"/>
      <c r="N79" s="588"/>
      <c r="O79" s="588"/>
      <c r="P79" s="588"/>
      <c r="Q79" s="588"/>
      <c r="R79" s="588"/>
      <c r="S79" s="588"/>
      <c r="T79" s="588"/>
      <c r="U79" s="588"/>
      <c r="V79" s="588"/>
      <c r="W79" s="588"/>
      <c r="X79" s="588"/>
      <c r="Y79" s="588"/>
      <c r="Z79" s="588"/>
      <c r="AA79" s="588"/>
      <c r="AB79" s="588"/>
      <c r="AC79" s="588"/>
      <c r="AD79" s="588"/>
      <c r="AE79" s="588"/>
      <c r="AF79" s="589"/>
      <c r="AG79" s="589"/>
      <c r="AH79" s="589"/>
      <c r="AI79" s="589"/>
      <c r="AJ79" s="588"/>
      <c r="AK79" s="589"/>
      <c r="AL79" s="589"/>
      <c r="AM79" s="589"/>
      <c r="AN79" s="589"/>
      <c r="AO79" s="588"/>
      <c r="AP79" s="589"/>
      <c r="AQ79" s="589"/>
      <c r="AR79" s="589"/>
      <c r="AS79" s="589"/>
      <c r="AT79" s="588"/>
      <c r="AU79" s="589"/>
      <c r="AV79" s="589"/>
      <c r="AW79" s="589"/>
      <c r="AX79" s="589"/>
      <c r="AY79" s="588"/>
      <c r="AZ79" s="589"/>
      <c r="BA79" s="589"/>
      <c r="BB79" s="589"/>
      <c r="BC79" s="589"/>
      <c r="BD79" s="588"/>
      <c r="BE79" s="589"/>
      <c r="BF79" s="589"/>
      <c r="BG79" s="589"/>
      <c r="BH79" s="589"/>
      <c r="BI79" s="588"/>
      <c r="BJ79" s="589"/>
      <c r="BK79" s="589"/>
      <c r="BL79" s="589"/>
      <c r="BM79" s="589"/>
      <c r="BN79" s="588"/>
      <c r="BO79" s="589"/>
      <c r="BP79" s="589"/>
      <c r="BQ79" s="589"/>
      <c r="BR79" s="589"/>
      <c r="BS79" s="588"/>
      <c r="BT79" s="589"/>
      <c r="BU79" s="589"/>
      <c r="BV79" s="589"/>
      <c r="BW79" s="589"/>
      <c r="BX79" s="588"/>
      <c r="BY79" s="589"/>
      <c r="BZ79" s="589"/>
      <c r="CA79" s="589"/>
      <c r="CB79" s="589"/>
      <c r="CC79" s="588"/>
      <c r="CD79" s="588"/>
      <c r="CE79" s="588"/>
      <c r="CF79" s="588"/>
      <c r="CG79" s="588"/>
      <c r="CH79" s="588"/>
    </row>
    <row r="80" spans="1:86" s="76" customFormat="1" ht="13.5">
      <c r="A80" s="85"/>
      <c r="B80" s="85"/>
      <c r="C80" s="85"/>
      <c r="D80" s="85"/>
      <c r="E80" s="85"/>
      <c r="F80" s="85"/>
      <c r="G80" s="85"/>
      <c r="H80" s="590" t="s">
        <v>72</v>
      </c>
      <c r="I80" s="590"/>
      <c r="J80" s="588"/>
      <c r="K80" s="588"/>
      <c r="L80" s="588"/>
      <c r="M80" s="588"/>
      <c r="N80" s="588"/>
      <c r="O80" s="588"/>
      <c r="P80" s="588"/>
      <c r="Q80" s="588"/>
      <c r="R80" s="588"/>
      <c r="S80" s="588"/>
      <c r="T80" s="588"/>
      <c r="U80" s="588"/>
      <c r="V80" s="588"/>
      <c r="W80" s="588"/>
      <c r="X80" s="588"/>
      <c r="Y80" s="588"/>
      <c r="Z80" s="588"/>
      <c r="AA80" s="588"/>
      <c r="AB80" s="588"/>
      <c r="AC80" s="588"/>
      <c r="AD80" s="588"/>
      <c r="AE80" s="588"/>
      <c r="AF80" s="589"/>
      <c r="AG80" s="589"/>
      <c r="AH80" s="589"/>
      <c r="AI80" s="589"/>
      <c r="AJ80" s="588"/>
      <c r="AK80" s="589"/>
      <c r="AL80" s="589"/>
      <c r="AM80" s="589"/>
      <c r="AN80" s="589"/>
      <c r="AO80" s="588"/>
      <c r="AP80" s="589"/>
      <c r="AQ80" s="589"/>
      <c r="AR80" s="589"/>
      <c r="AS80" s="589"/>
      <c r="AT80" s="588"/>
      <c r="AU80" s="589"/>
      <c r="AV80" s="589"/>
      <c r="AW80" s="589"/>
      <c r="AX80" s="589"/>
      <c r="AY80" s="588"/>
      <c r="AZ80" s="589"/>
      <c r="BA80" s="589"/>
      <c r="BB80" s="589"/>
      <c r="BC80" s="589"/>
      <c r="BD80" s="588"/>
      <c r="BE80" s="589"/>
      <c r="BF80" s="589"/>
      <c r="BG80" s="589"/>
      <c r="BH80" s="589"/>
      <c r="BI80" s="588"/>
      <c r="BJ80" s="589"/>
      <c r="BK80" s="589"/>
      <c r="BL80" s="589"/>
      <c r="BM80" s="589"/>
      <c r="BN80" s="588"/>
      <c r="BO80" s="589"/>
      <c r="BP80" s="589"/>
      <c r="BQ80" s="589"/>
      <c r="BR80" s="589"/>
      <c r="BS80" s="588"/>
      <c r="BT80" s="589"/>
      <c r="BU80" s="589"/>
      <c r="BV80" s="589"/>
      <c r="BW80" s="589"/>
      <c r="BX80" s="588"/>
      <c r="BY80" s="589"/>
      <c r="BZ80" s="589"/>
      <c r="CA80" s="589"/>
      <c r="CB80" s="589"/>
      <c r="CC80" s="588"/>
      <c r="CD80" s="588"/>
      <c r="CE80" s="588"/>
      <c r="CF80" s="588"/>
      <c r="CG80" s="588"/>
      <c r="CH80" s="588"/>
    </row>
    <row r="81" spans="1:86" s="76" customFormat="1" ht="13.5">
      <c r="A81" s="85"/>
      <c r="B81" s="85"/>
      <c r="C81" s="85"/>
      <c r="D81" s="85"/>
      <c r="E81" s="85"/>
      <c r="F81" s="85"/>
      <c r="G81" s="85"/>
      <c r="H81" s="591" t="s">
        <v>73</v>
      </c>
      <c r="I81" s="591"/>
      <c r="J81" s="592"/>
      <c r="K81" s="592"/>
      <c r="L81" s="592"/>
      <c r="M81" s="592"/>
      <c r="N81" s="592"/>
      <c r="O81" s="592"/>
      <c r="P81" s="592"/>
      <c r="Q81" s="592"/>
      <c r="R81" s="592"/>
      <c r="S81" s="592"/>
      <c r="T81" s="592"/>
      <c r="U81" s="592"/>
      <c r="V81" s="592"/>
      <c r="W81" s="592"/>
      <c r="X81" s="592"/>
      <c r="Y81" s="592"/>
      <c r="Z81" s="592"/>
      <c r="AA81" s="592"/>
      <c r="AB81" s="592"/>
      <c r="AC81" s="592"/>
      <c r="AD81" s="592"/>
      <c r="AE81" s="592"/>
      <c r="AF81" s="593"/>
      <c r="AG81" s="593"/>
      <c r="AH81" s="593"/>
      <c r="AI81" s="593"/>
      <c r="AJ81" s="592"/>
      <c r="AK81" s="593"/>
      <c r="AL81" s="593"/>
      <c r="AM81" s="593"/>
      <c r="AN81" s="593"/>
      <c r="AO81" s="594" t="str">
        <f>AO9</f>
        <v>2010A</v>
      </c>
      <c r="AP81" s="593"/>
      <c r="AQ81" s="593"/>
      <c r="AR81" s="593"/>
      <c r="AS81" s="593"/>
      <c r="AT81" s="594" t="str">
        <f>AT9</f>
        <v>2011A</v>
      </c>
      <c r="AU81" s="593"/>
      <c r="AV81" s="593"/>
      <c r="AW81" s="593"/>
      <c r="AX81" s="593"/>
      <c r="AY81" s="594" t="str">
        <f>AY9</f>
        <v>2012A</v>
      </c>
      <c r="AZ81" s="593"/>
      <c r="BA81" s="593"/>
      <c r="BB81" s="593"/>
      <c r="BC81" s="593"/>
      <c r="BD81" s="594" t="str">
        <f>BD9</f>
        <v>2013A</v>
      </c>
      <c r="BE81" s="593"/>
      <c r="BF81" s="593"/>
      <c r="BG81" s="593"/>
      <c r="BH81" s="593"/>
      <c r="BI81" s="594" t="str">
        <f>BI9</f>
        <v>2014A</v>
      </c>
      <c r="BJ81" s="593"/>
      <c r="BK81" s="593"/>
      <c r="BL81" s="593"/>
      <c r="BM81" s="593"/>
      <c r="BN81" s="594"/>
      <c r="BO81" s="593"/>
      <c r="BP81" s="593"/>
      <c r="BQ81" s="593"/>
      <c r="BR81" s="593"/>
      <c r="BS81" s="594" t="str">
        <f t="shared" ref="BS81:CB81" si="21">BS9</f>
        <v>2016A</v>
      </c>
      <c r="BT81" s="593"/>
      <c r="BU81" s="593"/>
      <c r="BV81" s="593"/>
      <c r="BW81" s="593"/>
      <c r="BX81" s="594"/>
      <c r="BY81" s="593" t="str">
        <f t="shared" si="21"/>
        <v>1Q:18A</v>
      </c>
      <c r="BZ81" s="593" t="str">
        <f t="shared" si="21"/>
        <v>2Q:18E</v>
      </c>
      <c r="CA81" s="593" t="str">
        <f t="shared" si="21"/>
        <v>3Q:18E</v>
      </c>
      <c r="CB81" s="593" t="str">
        <f t="shared" si="21"/>
        <v>4Q:18E</v>
      </c>
      <c r="CC81" s="594" t="str">
        <f t="shared" ref="CC81:CH81" si="22">CC9</f>
        <v>2018E</v>
      </c>
      <c r="CD81" s="594" t="str">
        <f t="shared" si="22"/>
        <v>2019E</v>
      </c>
      <c r="CE81" s="594" t="str">
        <f t="shared" si="22"/>
        <v>2020E</v>
      </c>
      <c r="CF81" s="594" t="str">
        <f t="shared" si="22"/>
        <v>2021E</v>
      </c>
      <c r="CG81" s="594" t="str">
        <f t="shared" si="22"/>
        <v>2022E</v>
      </c>
      <c r="CH81" s="594" t="str">
        <f t="shared" si="22"/>
        <v>2023E</v>
      </c>
    </row>
    <row r="82" spans="1:86" s="76" customFormat="1" ht="13.5">
      <c r="A82" s="85"/>
      <c r="B82" s="85"/>
      <c r="C82" s="85"/>
      <c r="D82" s="85"/>
      <c r="E82" s="85"/>
      <c r="F82" s="85"/>
      <c r="G82" s="85"/>
      <c r="H82" s="595" t="s">
        <v>74</v>
      </c>
      <c r="I82" s="595"/>
      <c r="J82" s="596"/>
      <c r="K82" s="596"/>
      <c r="L82" s="596"/>
      <c r="M82" s="596"/>
      <c r="N82" s="596"/>
      <c r="O82" s="596"/>
      <c r="P82" s="596"/>
      <c r="Q82" s="596"/>
      <c r="R82" s="596"/>
      <c r="S82" s="596"/>
      <c r="T82" s="596"/>
      <c r="U82" s="596"/>
      <c r="V82" s="596"/>
      <c r="W82" s="596"/>
      <c r="X82" s="596"/>
      <c r="Y82" s="596"/>
      <c r="Z82" s="596"/>
      <c r="AA82" s="596"/>
      <c r="AB82" s="596"/>
      <c r="AC82" s="596"/>
      <c r="AD82" s="596"/>
      <c r="AE82" s="596"/>
      <c r="AF82" s="597"/>
      <c r="AG82" s="597"/>
      <c r="AH82" s="597"/>
      <c r="AI82" s="597"/>
      <c r="AJ82" s="596"/>
      <c r="AK82" s="597"/>
      <c r="AL82" s="597"/>
      <c r="AM82" s="597"/>
      <c r="AN82" s="597"/>
      <c r="AO82" s="598" t="s">
        <v>408</v>
      </c>
      <c r="AP82" s="597"/>
      <c r="AQ82" s="597"/>
      <c r="AR82" s="597"/>
      <c r="AS82" s="597"/>
      <c r="AT82" s="598" t="s">
        <v>409</v>
      </c>
      <c r="AU82" s="597"/>
      <c r="AV82" s="597"/>
      <c r="AW82" s="597"/>
      <c r="AX82" s="597"/>
      <c r="AY82" s="598" t="s">
        <v>75</v>
      </c>
      <c r="AZ82" s="597"/>
      <c r="BA82" s="597"/>
      <c r="BB82" s="597"/>
      <c r="BC82" s="597"/>
      <c r="BD82" s="598" t="s">
        <v>76</v>
      </c>
      <c r="BE82" s="597"/>
      <c r="BF82" s="597"/>
      <c r="BG82" s="597"/>
      <c r="BH82" s="597"/>
      <c r="BI82" s="598" t="s">
        <v>741</v>
      </c>
      <c r="BJ82" s="597"/>
      <c r="BK82" s="597"/>
      <c r="BL82" s="597"/>
      <c r="BM82" s="597"/>
      <c r="BN82" s="598"/>
      <c r="BO82" s="597"/>
      <c r="BP82" s="597"/>
      <c r="BQ82" s="597"/>
      <c r="BR82" s="597"/>
      <c r="BS82" s="598" t="s">
        <v>325</v>
      </c>
      <c r="BT82" s="597"/>
      <c r="BU82" s="597"/>
      <c r="BV82" s="597"/>
      <c r="BW82" s="597"/>
      <c r="BX82" s="598"/>
      <c r="BY82" s="597" t="s">
        <v>655</v>
      </c>
      <c r="BZ82" s="597" t="s">
        <v>655</v>
      </c>
      <c r="CA82" s="597" t="s">
        <v>655</v>
      </c>
      <c r="CB82" s="597" t="s">
        <v>655</v>
      </c>
      <c r="CC82" s="598" t="s">
        <v>655</v>
      </c>
      <c r="CD82" s="598" t="s">
        <v>528</v>
      </c>
      <c r="CE82" s="598" t="s">
        <v>519</v>
      </c>
      <c r="CF82" s="598" t="s">
        <v>519</v>
      </c>
      <c r="CG82" s="598" t="s">
        <v>519</v>
      </c>
      <c r="CH82" s="598" t="s">
        <v>519</v>
      </c>
    </row>
    <row r="83" spans="1:86" s="76" customFormat="1" ht="13.5">
      <c r="A83" s="85"/>
      <c r="B83" s="85"/>
      <c r="C83" s="85"/>
      <c r="D83" s="85"/>
      <c r="E83" s="85"/>
      <c r="F83" s="85"/>
      <c r="G83" s="85"/>
      <c r="H83" s="599" t="s">
        <v>369</v>
      </c>
      <c r="I83" s="599"/>
      <c r="J83" s="588"/>
      <c r="K83" s="588"/>
      <c r="L83" s="588"/>
      <c r="M83" s="588"/>
      <c r="N83" s="588"/>
      <c r="O83" s="588"/>
      <c r="P83" s="588"/>
      <c r="Q83" s="588"/>
      <c r="R83" s="588"/>
      <c r="S83" s="588"/>
      <c r="T83" s="588"/>
      <c r="U83" s="588"/>
      <c r="V83" s="588"/>
      <c r="W83" s="588"/>
      <c r="X83" s="588"/>
      <c r="Y83" s="588"/>
      <c r="Z83" s="588"/>
      <c r="AA83" s="588"/>
      <c r="AB83" s="588"/>
      <c r="AC83" s="588"/>
      <c r="AD83" s="588"/>
      <c r="AE83" s="588"/>
      <c r="AF83" s="143"/>
      <c r="AG83" s="143"/>
      <c r="AH83" s="143"/>
      <c r="AI83" s="143"/>
      <c r="AJ83" s="588"/>
      <c r="AK83" s="143"/>
      <c r="AL83" s="143"/>
      <c r="AM83" s="143"/>
      <c r="AN83" s="143"/>
      <c r="AO83" s="80">
        <f>'IS-ANNUAL'!P28</f>
        <v>3025.5</v>
      </c>
      <c r="AP83" s="143"/>
      <c r="AQ83" s="143"/>
      <c r="AR83" s="143"/>
      <c r="AS83" s="143"/>
      <c r="AT83" s="80">
        <f>'IS-ANNUAL'!U28</f>
        <v>3129.3</v>
      </c>
      <c r="AU83" s="143"/>
      <c r="AV83" s="143"/>
      <c r="AW83" s="143"/>
      <c r="AX83" s="143"/>
      <c r="AY83" s="80">
        <f>'IS-ANNUAL'!Z28</f>
        <v>3486.7</v>
      </c>
      <c r="AZ83" s="143"/>
      <c r="BA83" s="143"/>
      <c r="BB83" s="143"/>
      <c r="BC83" s="143"/>
      <c r="BD83" s="80">
        <f>'IS-ANNUAL'!AE28</f>
        <v>4005.3</v>
      </c>
      <c r="BE83" s="143"/>
      <c r="BF83" s="143"/>
      <c r="BG83" s="143"/>
      <c r="BH83" s="143"/>
      <c r="BI83" s="80">
        <f>'IS-ANNUAL'!AJ28</f>
        <v>4326.5</v>
      </c>
      <c r="BJ83" s="143"/>
      <c r="BK83" s="143"/>
      <c r="BL83" s="143"/>
      <c r="BM83" s="143"/>
      <c r="BN83" s="80"/>
      <c r="BO83" s="143"/>
      <c r="BP83" s="143"/>
      <c r="BQ83" s="143"/>
      <c r="BR83" s="143"/>
      <c r="BS83" s="80">
        <f>'IS-ANNUAL'!AT28</f>
        <v>5020.8</v>
      </c>
      <c r="BT83" s="143"/>
      <c r="BU83" s="143"/>
      <c r="BV83" s="143"/>
      <c r="BW83" s="143"/>
      <c r="BX83" s="80"/>
      <c r="BY83" s="143">
        <f>'IS-ANNUAL'!AZ28</f>
        <v>1348.1</v>
      </c>
      <c r="BZ83" s="143">
        <f>'IS-ANNUAL'!BA28</f>
        <v>1330.3999999999999</v>
      </c>
      <c r="CA83" s="143">
        <f>'IS-ANNUAL'!BB28</f>
        <v>1377.4</v>
      </c>
      <c r="CB83" s="143">
        <f>'IS-ANNUAL'!BC28</f>
        <v>1475.4</v>
      </c>
      <c r="CC83" s="80">
        <f>'IS-ANNUAL'!BD28</f>
        <v>5531.3</v>
      </c>
      <c r="CD83" s="80">
        <f>'IS-ANNUAL'!BI28</f>
        <v>4732.3</v>
      </c>
      <c r="CE83" s="80">
        <f>'IS-ANNUAL'!BN28</f>
        <v>4822.3</v>
      </c>
      <c r="CF83" s="80">
        <f>'IS-ANNUAL'!BS28</f>
        <v>5243.2</v>
      </c>
      <c r="CG83" s="80">
        <f>'IS-ANNUAL'!BX28</f>
        <v>5281.3</v>
      </c>
      <c r="CH83" s="80">
        <f>'IS-ANNUAL'!CC28</f>
        <v>5258.7620000000006</v>
      </c>
    </row>
    <row r="84" spans="1:86" s="76" customFormat="1" ht="14.25" thickBot="1">
      <c r="A84" s="85"/>
      <c r="B84" s="85"/>
      <c r="C84" s="85"/>
      <c r="D84" s="85"/>
      <c r="E84" s="85"/>
      <c r="F84" s="85"/>
      <c r="G84" s="85"/>
      <c r="H84" s="599" t="s">
        <v>370</v>
      </c>
      <c r="I84" s="599"/>
      <c r="J84" s="588"/>
      <c r="K84" s="588"/>
      <c r="L84" s="588"/>
      <c r="M84" s="588"/>
      <c r="N84" s="588"/>
      <c r="O84" s="588"/>
      <c r="P84" s="588"/>
      <c r="Q84" s="588"/>
      <c r="R84" s="588"/>
      <c r="S84" s="588"/>
      <c r="T84" s="588"/>
      <c r="U84" s="588"/>
      <c r="V84" s="588"/>
      <c r="W84" s="588"/>
      <c r="X84" s="588"/>
      <c r="Y84" s="588"/>
      <c r="Z84" s="588"/>
      <c r="AA84" s="588"/>
      <c r="AB84" s="588"/>
      <c r="AC84" s="588"/>
      <c r="AD84" s="588"/>
      <c r="AE84" s="588"/>
      <c r="AF84" s="281"/>
      <c r="AG84" s="281"/>
      <c r="AH84" s="281"/>
      <c r="AI84" s="281"/>
      <c r="AJ84" s="588"/>
      <c r="AK84" s="281"/>
      <c r="AL84" s="281"/>
      <c r="AM84" s="281"/>
      <c r="AN84" s="281"/>
      <c r="AO84" s="282">
        <v>0</v>
      </c>
      <c r="AP84" s="281"/>
      <c r="AQ84" s="281"/>
      <c r="AR84" s="281"/>
      <c r="AS84" s="281"/>
      <c r="AT84" s="282">
        <v>0</v>
      </c>
      <c r="AU84" s="281"/>
      <c r="AV84" s="281"/>
      <c r="AW84" s="281"/>
      <c r="AX84" s="281"/>
      <c r="AY84" s="282">
        <v>0</v>
      </c>
      <c r="AZ84" s="281"/>
      <c r="BA84" s="281"/>
      <c r="BB84" s="281"/>
      <c r="BC84" s="281"/>
      <c r="BD84" s="282">
        <v>0</v>
      </c>
      <c r="BE84" s="281"/>
      <c r="BF84" s="281"/>
      <c r="BG84" s="281"/>
      <c r="BH84" s="281"/>
      <c r="BI84" s="282">
        <v>0</v>
      </c>
      <c r="BJ84" s="281"/>
      <c r="BK84" s="281"/>
      <c r="BL84" s="281"/>
      <c r="BM84" s="281"/>
      <c r="BN84" s="282"/>
      <c r="BO84" s="281"/>
      <c r="BP84" s="281"/>
      <c r="BQ84" s="281"/>
      <c r="BR84" s="281"/>
      <c r="BS84" s="282">
        <v>0</v>
      </c>
      <c r="BT84" s="281"/>
      <c r="BU84" s="281"/>
      <c r="BV84" s="281"/>
      <c r="BW84" s="281"/>
      <c r="BX84" s="282"/>
      <c r="BY84" s="281">
        <v>0</v>
      </c>
      <c r="BZ84" s="281">
        <v>0</v>
      </c>
      <c r="CA84" s="281">
        <v>0</v>
      </c>
      <c r="CB84" s="281">
        <v>0</v>
      </c>
      <c r="CC84" s="282">
        <v>0</v>
      </c>
      <c r="CD84" s="282">
        <v>0</v>
      </c>
      <c r="CE84" s="282">
        <v>0</v>
      </c>
      <c r="CF84" s="282">
        <v>0.02</v>
      </c>
      <c r="CG84" s="282">
        <v>0.1</v>
      </c>
      <c r="CH84" s="282">
        <v>0.25</v>
      </c>
    </row>
    <row r="85" spans="1:86" s="76" customFormat="1" ht="14.25" thickBot="1">
      <c r="A85" s="85"/>
      <c r="B85" s="85"/>
      <c r="C85" s="85"/>
      <c r="D85" s="85"/>
      <c r="E85" s="85"/>
      <c r="F85" s="85"/>
      <c r="G85" s="85"/>
      <c r="H85" s="600" t="s">
        <v>419</v>
      </c>
      <c r="I85" s="600"/>
      <c r="J85" s="601"/>
      <c r="K85" s="601"/>
      <c r="L85" s="601"/>
      <c r="M85" s="601"/>
      <c r="N85" s="601"/>
      <c r="O85" s="601"/>
      <c r="P85" s="601"/>
      <c r="Q85" s="601"/>
      <c r="R85" s="601"/>
      <c r="S85" s="601"/>
      <c r="T85" s="601"/>
      <c r="U85" s="601"/>
      <c r="V85" s="601"/>
      <c r="W85" s="601"/>
      <c r="X85" s="601"/>
      <c r="Y85" s="601"/>
      <c r="Z85" s="601"/>
      <c r="AA85" s="601"/>
      <c r="AB85" s="601"/>
      <c r="AC85" s="601"/>
      <c r="AD85" s="601"/>
      <c r="AE85" s="601"/>
      <c r="AF85" s="602"/>
      <c r="AG85" s="602"/>
      <c r="AH85" s="602"/>
      <c r="AI85" s="602"/>
      <c r="AJ85" s="601"/>
      <c r="AK85" s="602"/>
      <c r="AL85" s="602"/>
      <c r="AM85" s="602"/>
      <c r="AN85" s="602"/>
      <c r="AO85" s="603">
        <f>AO83*AO84</f>
        <v>0</v>
      </c>
      <c r="AP85" s="602"/>
      <c r="AQ85" s="602"/>
      <c r="AR85" s="602"/>
      <c r="AS85" s="602"/>
      <c r="AT85" s="603">
        <f>AT83*AT84</f>
        <v>0</v>
      </c>
      <c r="AU85" s="602"/>
      <c r="AV85" s="602"/>
      <c r="AW85" s="602"/>
      <c r="AX85" s="602"/>
      <c r="AY85" s="603">
        <f>AY83*AY84</f>
        <v>0</v>
      </c>
      <c r="AZ85" s="602"/>
      <c r="BA85" s="602"/>
      <c r="BB85" s="602"/>
      <c r="BC85" s="602"/>
      <c r="BD85" s="603">
        <f>BD83*BD84</f>
        <v>0</v>
      </c>
      <c r="BE85" s="602"/>
      <c r="BF85" s="602"/>
      <c r="BG85" s="602"/>
      <c r="BH85" s="602"/>
      <c r="BI85" s="603">
        <f>BI83*BI84</f>
        <v>0</v>
      </c>
      <c r="BJ85" s="602"/>
      <c r="BK85" s="602"/>
      <c r="BL85" s="602"/>
      <c r="BM85" s="602"/>
      <c r="BN85" s="603">
        <f>BN83*BN84</f>
        <v>0</v>
      </c>
      <c r="BO85" s="602"/>
      <c r="BP85" s="602"/>
      <c r="BQ85" s="602"/>
      <c r="BR85" s="602"/>
      <c r="BS85" s="603">
        <f>BS83*BS84</f>
        <v>0</v>
      </c>
      <c r="BT85" s="602"/>
      <c r="BU85" s="602"/>
      <c r="BV85" s="602"/>
      <c r="BW85" s="602"/>
      <c r="BX85" s="603"/>
      <c r="BY85" s="602">
        <f t="shared" ref="BY85:CH85" si="23">BY83*BY84</f>
        <v>0</v>
      </c>
      <c r="BZ85" s="602">
        <f t="shared" si="23"/>
        <v>0</v>
      </c>
      <c r="CA85" s="602">
        <f t="shared" si="23"/>
        <v>0</v>
      </c>
      <c r="CB85" s="602">
        <f t="shared" si="23"/>
        <v>0</v>
      </c>
      <c r="CC85" s="603">
        <f t="shared" si="23"/>
        <v>0</v>
      </c>
      <c r="CD85" s="603">
        <f t="shared" si="23"/>
        <v>0</v>
      </c>
      <c r="CE85" s="603">
        <f t="shared" si="23"/>
        <v>0</v>
      </c>
      <c r="CF85" s="603">
        <f t="shared" si="23"/>
        <v>104.864</v>
      </c>
      <c r="CG85" s="603">
        <f t="shared" si="23"/>
        <v>528.13</v>
      </c>
      <c r="CH85" s="603">
        <f t="shared" si="23"/>
        <v>1314.6905000000002</v>
      </c>
    </row>
    <row r="86" spans="1:86" s="76" customFormat="1" ht="13.5">
      <c r="A86" s="85"/>
      <c r="B86" s="85"/>
      <c r="C86" s="85"/>
      <c r="D86" s="85"/>
      <c r="E86" s="85"/>
      <c r="F86" s="85"/>
      <c r="G86" s="85"/>
      <c r="H86" s="604" t="s">
        <v>91</v>
      </c>
      <c r="I86" s="604"/>
      <c r="J86" s="588"/>
      <c r="K86" s="588"/>
      <c r="L86" s="588"/>
      <c r="M86" s="588"/>
      <c r="N86" s="588"/>
      <c r="O86" s="588"/>
      <c r="P86" s="588"/>
      <c r="Q86" s="588"/>
      <c r="R86" s="588"/>
      <c r="S86" s="588"/>
      <c r="T86" s="588"/>
      <c r="U86" s="588"/>
      <c r="V86" s="588"/>
      <c r="W86" s="588"/>
      <c r="X86" s="588"/>
      <c r="Y86" s="588"/>
      <c r="Z86" s="588"/>
      <c r="AA86" s="588"/>
      <c r="AB86" s="588"/>
      <c r="AC86" s="588"/>
      <c r="AD86" s="588"/>
      <c r="AE86" s="588"/>
      <c r="AF86" s="605"/>
      <c r="AG86" s="605"/>
      <c r="AH86" s="605"/>
      <c r="AI86" s="605"/>
      <c r="AJ86" s="588"/>
      <c r="AK86" s="605"/>
      <c r="AL86" s="605"/>
      <c r="AM86" s="605"/>
      <c r="AN86" s="605"/>
      <c r="AO86" s="606">
        <f>AO85*0.7</f>
        <v>0</v>
      </c>
      <c r="AP86" s="605"/>
      <c r="AQ86" s="605"/>
      <c r="AR86" s="605"/>
      <c r="AS86" s="605"/>
      <c r="AT86" s="606">
        <f>AT85*0.7</f>
        <v>0</v>
      </c>
      <c r="AU86" s="605"/>
      <c r="AV86" s="605"/>
      <c r="AW86" s="605"/>
      <c r="AX86" s="605"/>
      <c r="AY86" s="606">
        <f>AY85*0.7</f>
        <v>0</v>
      </c>
      <c r="AZ86" s="605"/>
      <c r="BA86" s="605"/>
      <c r="BB86" s="605"/>
      <c r="BC86" s="605"/>
      <c r="BD86" s="607">
        <f>BD85*0.7</f>
        <v>0</v>
      </c>
      <c r="BE86" s="605"/>
      <c r="BF86" s="605"/>
      <c r="BG86" s="605"/>
      <c r="BH86" s="605"/>
      <c r="BI86" s="607">
        <f>BI85*0.7</f>
        <v>0</v>
      </c>
      <c r="BJ86" s="605"/>
      <c r="BK86" s="605"/>
      <c r="BL86" s="605"/>
      <c r="BM86" s="605"/>
      <c r="BN86" s="607">
        <f>BN85*0.7</f>
        <v>0</v>
      </c>
      <c r="BO86" s="605"/>
      <c r="BP86" s="605"/>
      <c r="BQ86" s="605"/>
      <c r="BR86" s="605"/>
      <c r="BS86" s="607">
        <f>BS85*0.7</f>
        <v>0</v>
      </c>
      <c r="BT86" s="605"/>
      <c r="BU86" s="605"/>
      <c r="BV86" s="605"/>
      <c r="BW86" s="605"/>
      <c r="BX86" s="607"/>
      <c r="BY86" s="1251">
        <f t="shared" ref="BY86:CH86" si="24">BY85*0.7</f>
        <v>0</v>
      </c>
      <c r="BZ86" s="1251">
        <f t="shared" si="24"/>
        <v>0</v>
      </c>
      <c r="CA86" s="1251">
        <f t="shared" si="24"/>
        <v>0</v>
      </c>
      <c r="CB86" s="1251">
        <f t="shared" si="24"/>
        <v>0</v>
      </c>
      <c r="CC86" s="607">
        <f t="shared" si="24"/>
        <v>0</v>
      </c>
      <c r="CD86" s="607">
        <f t="shared" si="24"/>
        <v>0</v>
      </c>
      <c r="CE86" s="607">
        <f t="shared" si="24"/>
        <v>0</v>
      </c>
      <c r="CF86" s="607">
        <f t="shared" si="24"/>
        <v>73.404799999999994</v>
      </c>
      <c r="CG86" s="607">
        <f t="shared" si="24"/>
        <v>369.69099999999997</v>
      </c>
      <c r="CH86" s="607">
        <f t="shared" si="24"/>
        <v>920.28335000000004</v>
      </c>
    </row>
    <row r="87" spans="1:86" s="76" customFormat="1" ht="13.5">
      <c r="A87" s="85"/>
      <c r="B87" s="85"/>
      <c r="C87" s="85"/>
      <c r="D87" s="85"/>
      <c r="E87" s="85"/>
      <c r="F87" s="85"/>
      <c r="G87" s="85"/>
      <c r="H87" s="604" t="s">
        <v>232</v>
      </c>
      <c r="I87" s="604"/>
      <c r="J87" s="588"/>
      <c r="K87" s="588"/>
      <c r="L87" s="588"/>
      <c r="M87" s="588"/>
      <c r="N87" s="588"/>
      <c r="O87" s="588"/>
      <c r="P87" s="588"/>
      <c r="Q87" s="588"/>
      <c r="R87" s="588"/>
      <c r="S87" s="588"/>
      <c r="T87" s="588"/>
      <c r="U87" s="588"/>
      <c r="V87" s="588"/>
      <c r="W87" s="588"/>
      <c r="X87" s="588"/>
      <c r="Y87" s="588"/>
      <c r="Z87" s="588"/>
      <c r="AA87" s="588"/>
      <c r="AB87" s="588"/>
      <c r="AC87" s="588"/>
      <c r="AD87" s="588"/>
      <c r="AE87" s="588"/>
      <c r="AF87" s="605"/>
      <c r="AG87" s="605"/>
      <c r="AH87" s="605"/>
      <c r="AI87" s="605"/>
      <c r="AJ87" s="588"/>
      <c r="AK87" s="605"/>
      <c r="AL87" s="605"/>
      <c r="AM87" s="605"/>
      <c r="AN87" s="605"/>
      <c r="AO87" s="141">
        <f>AO85-AO86</f>
        <v>0</v>
      </c>
      <c r="AP87" s="605"/>
      <c r="AQ87" s="605"/>
      <c r="AR87" s="605"/>
      <c r="AS87" s="605"/>
      <c r="AT87" s="141">
        <f>AT85-AT86</f>
        <v>0</v>
      </c>
      <c r="AU87" s="605"/>
      <c r="AV87" s="605"/>
      <c r="AW87" s="605"/>
      <c r="AX87" s="605"/>
      <c r="AY87" s="141">
        <f>AY85-AY86</f>
        <v>0</v>
      </c>
      <c r="AZ87" s="605"/>
      <c r="BA87" s="605"/>
      <c r="BB87" s="605"/>
      <c r="BC87" s="605"/>
      <c r="BD87" s="80">
        <f>BD85-BD86</f>
        <v>0</v>
      </c>
      <c r="BE87" s="605"/>
      <c r="BF87" s="605"/>
      <c r="BG87" s="605"/>
      <c r="BH87" s="605"/>
      <c r="BI87" s="80">
        <f>BI85-BI86</f>
        <v>0</v>
      </c>
      <c r="BJ87" s="605"/>
      <c r="BK87" s="605"/>
      <c r="BL87" s="605"/>
      <c r="BM87" s="605"/>
      <c r="BN87" s="80">
        <f>BN85-BN86</f>
        <v>0</v>
      </c>
      <c r="BO87" s="605"/>
      <c r="BP87" s="605"/>
      <c r="BQ87" s="605"/>
      <c r="BR87" s="605"/>
      <c r="BS87" s="80">
        <f>BS85-BS86</f>
        <v>0</v>
      </c>
      <c r="BT87" s="605"/>
      <c r="BU87" s="605"/>
      <c r="BV87" s="605"/>
      <c r="BW87" s="605"/>
      <c r="BX87" s="80"/>
      <c r="BY87" s="1252">
        <f t="shared" ref="BY87:CH87" si="25">BY85-BY86</f>
        <v>0</v>
      </c>
      <c r="BZ87" s="1252">
        <f t="shared" si="25"/>
        <v>0</v>
      </c>
      <c r="CA87" s="1252">
        <f t="shared" si="25"/>
        <v>0</v>
      </c>
      <c r="CB87" s="1252">
        <f t="shared" si="25"/>
        <v>0</v>
      </c>
      <c r="CC87" s="80">
        <f t="shared" si="25"/>
        <v>0</v>
      </c>
      <c r="CD87" s="80">
        <f t="shared" si="25"/>
        <v>0</v>
      </c>
      <c r="CE87" s="80">
        <f t="shared" si="25"/>
        <v>0</v>
      </c>
      <c r="CF87" s="80">
        <f t="shared" si="25"/>
        <v>31.45920000000001</v>
      </c>
      <c r="CG87" s="80">
        <f t="shared" si="25"/>
        <v>158.43900000000002</v>
      </c>
      <c r="CH87" s="80">
        <f t="shared" si="25"/>
        <v>394.40715000000012</v>
      </c>
    </row>
    <row r="88" spans="1:86" s="76" customFormat="1" ht="5.25" customHeight="1">
      <c r="A88" s="85"/>
      <c r="B88" s="85"/>
      <c r="C88" s="85"/>
      <c r="D88" s="85"/>
      <c r="E88" s="85"/>
      <c r="F88" s="85"/>
      <c r="G88" s="85"/>
      <c r="H88" s="599"/>
      <c r="I88" s="599"/>
      <c r="J88" s="588"/>
      <c r="K88" s="588"/>
      <c r="L88" s="588"/>
      <c r="M88" s="588"/>
      <c r="N88" s="588"/>
      <c r="O88" s="588"/>
      <c r="P88" s="588"/>
      <c r="Q88" s="588"/>
      <c r="R88" s="588"/>
      <c r="S88" s="588"/>
      <c r="T88" s="588"/>
      <c r="U88" s="588"/>
      <c r="V88" s="588"/>
      <c r="W88" s="588"/>
      <c r="X88" s="588"/>
      <c r="Y88" s="588"/>
      <c r="Z88" s="588"/>
      <c r="AA88" s="588"/>
      <c r="AB88" s="588"/>
      <c r="AC88" s="588"/>
      <c r="AD88" s="588"/>
      <c r="AE88" s="588"/>
      <c r="AF88" s="588"/>
      <c r="AG88" s="588"/>
      <c r="AH88" s="588"/>
      <c r="AI88" s="588"/>
      <c r="AJ88" s="588"/>
      <c r="AK88" s="588"/>
      <c r="AL88" s="588"/>
      <c r="AM88" s="588"/>
      <c r="AN88" s="588"/>
      <c r="AO88" s="588"/>
      <c r="AP88" s="588"/>
      <c r="AQ88" s="588"/>
      <c r="AR88" s="588"/>
      <c r="AS88" s="588"/>
      <c r="AT88" s="588"/>
      <c r="AU88" s="588"/>
      <c r="AV88" s="588"/>
      <c r="AW88" s="588"/>
      <c r="AX88" s="588"/>
      <c r="AY88" s="588"/>
      <c r="AZ88" s="588"/>
      <c r="BA88" s="588"/>
      <c r="BB88" s="588"/>
      <c r="BC88" s="588"/>
      <c r="BD88" s="588"/>
      <c r="BE88" s="588"/>
      <c r="BF88" s="588"/>
      <c r="BG88" s="588"/>
      <c r="BH88" s="588"/>
      <c r="BI88" s="588"/>
      <c r="BJ88" s="588"/>
      <c r="BK88" s="588"/>
      <c r="BL88" s="588"/>
      <c r="BM88" s="588"/>
      <c r="BN88" s="588"/>
      <c r="BO88" s="588"/>
      <c r="BP88" s="588"/>
      <c r="BQ88" s="588"/>
      <c r="BR88" s="588"/>
      <c r="BS88" s="588"/>
      <c r="BT88" s="588"/>
      <c r="BU88" s="588"/>
      <c r="BV88" s="588"/>
      <c r="BW88" s="588"/>
      <c r="BX88" s="588"/>
      <c r="BY88" s="588"/>
      <c r="BZ88" s="588"/>
      <c r="CA88" s="588"/>
      <c r="CB88" s="588"/>
      <c r="CC88" s="588"/>
      <c r="CD88" s="588"/>
      <c r="CE88" s="588"/>
      <c r="CF88" s="588"/>
      <c r="CG88" s="588"/>
      <c r="CH88" s="588"/>
    </row>
    <row r="89" spans="1:86" s="76" customFormat="1" ht="13.5">
      <c r="A89" s="85"/>
      <c r="B89" s="85"/>
      <c r="C89" s="85"/>
      <c r="D89" s="85"/>
      <c r="E89" s="85"/>
      <c r="F89" s="85"/>
      <c r="G89" s="85"/>
      <c r="H89" s="564" t="s">
        <v>348</v>
      </c>
      <c r="I89" s="564"/>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row>
    <row r="90" spans="1:86" s="76" customFormat="1" ht="12" customHeight="1">
      <c r="A90" s="85"/>
      <c r="B90" s="85"/>
      <c r="C90" s="85"/>
      <c r="D90" s="85"/>
      <c r="E90" s="85"/>
      <c r="F90" s="85"/>
      <c r="G90" s="85"/>
      <c r="H90" s="576" t="s">
        <v>607</v>
      </c>
      <c r="I90" s="576"/>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row>
    <row r="91" spans="1:86" s="76" customFormat="1" ht="11.25" customHeight="1">
      <c r="A91" s="85"/>
      <c r="B91" s="85"/>
      <c r="C91" s="85"/>
      <c r="D91" s="85"/>
      <c r="E91" s="85"/>
      <c r="F91" s="85"/>
      <c r="G91" s="85"/>
      <c r="H91" s="576" t="s">
        <v>355</v>
      </c>
      <c r="I91" s="576"/>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row>
  </sheetData>
  <phoneticPr fontId="3" type="noConversion"/>
  <conditionalFormatting sqref="L9:CH9 L46:CH46">
    <cfRule type="expression" dxfId="44" priority="4" stopIfTrue="1">
      <formula>L$4&lt;=$J$5</formula>
    </cfRule>
  </conditionalFormatting>
  <dataValidations count="1">
    <dataValidation type="list" allowBlank="1" showInputMessage="1" showErrorMessage="1" sqref="K12:K13 K15:K16 K30:K31 K24:K25 K18:K22 K27:K28">
      <formula1>"5%, 30%, 50%, 80%, 100%"</formula1>
    </dataValidation>
  </dataValidations>
  <pageMargins left="0" right="0" top="0" bottom="0" header="0" footer="0"/>
  <pageSetup paperSize="5" scale="56" orientation="landscape" horizontalDpi="1200" verticalDpi="1200" r:id="rId1"/>
  <headerFooter alignWithMargins="0"/>
  <rowBreaks count="2" manualBreakCount="2">
    <brk id="43" min="7" max="85" man="1"/>
    <brk id="78" min="7" max="85"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tabColor indexed="46"/>
  </sheetPr>
  <dimension ref="A1:EX73"/>
  <sheetViews>
    <sheetView topLeftCell="H5" zoomScaleNormal="100" workbookViewId="0"/>
  </sheetViews>
  <sheetFormatPr defaultRowHeight="12.75" outlineLevelRow="1" outlineLevelCol="1"/>
  <cols>
    <col min="1" max="6" width="9.140625" style="240" hidden="1" customWidth="1" outlineLevel="1"/>
    <col min="7" max="7" width="2.7109375" style="240" hidden="1" customWidth="1" outlineLevel="1"/>
    <col min="8" max="8" width="2.7109375" style="76" customWidth="1" collapsed="1"/>
    <col min="9" max="9" width="25" style="76" customWidth="1"/>
    <col min="10" max="10" width="1.28515625" style="76" customWidth="1"/>
    <col min="11" max="11" width="2.140625" style="76" customWidth="1"/>
    <col min="12" max="14" width="6.85546875" style="76" hidden="1" customWidth="1" outlineLevel="1"/>
    <col min="15" max="15" width="7.5703125" style="76" hidden="1" customWidth="1" outlineLevel="1"/>
    <col min="16" max="16" width="7.5703125" style="76" hidden="1" customWidth="1" collapsed="1"/>
    <col min="17" max="19" width="6.85546875" style="76" hidden="1" customWidth="1" outlineLevel="1"/>
    <col min="20" max="20" width="7.5703125" style="76" hidden="1" customWidth="1" outlineLevel="1"/>
    <col min="21" max="21" width="7.5703125" style="76" hidden="1" customWidth="1" collapsed="1"/>
    <col min="22" max="24" width="6.85546875" style="76" hidden="1" customWidth="1" outlineLevel="1"/>
    <col min="25" max="25" width="7.5703125" style="76" hidden="1" customWidth="1" outlineLevel="1"/>
    <col min="26" max="26" width="7.5703125" style="76" hidden="1" customWidth="1" collapsed="1"/>
    <col min="27" max="29" width="6.85546875" style="76" hidden="1" customWidth="1" outlineLevel="1"/>
    <col min="30" max="30" width="7.5703125" style="76" hidden="1" customWidth="1" outlineLevel="1"/>
    <col min="31" max="31" width="7.5703125" style="76" hidden="1" customWidth="1" collapsed="1"/>
    <col min="32" max="35" width="6" style="76" hidden="1" customWidth="1" outlineLevel="1"/>
    <col min="36" max="36" width="6" style="76" hidden="1" customWidth="1" collapsed="1"/>
    <col min="37" max="40" width="6" style="76" hidden="1" customWidth="1" outlineLevel="1"/>
    <col min="41" max="41" width="6" style="76" hidden="1" customWidth="1" collapsed="1"/>
    <col min="42" max="45" width="6" style="76" hidden="1" customWidth="1" outlineLevel="1"/>
    <col min="46" max="46" width="6" style="76" hidden="1" customWidth="1" collapsed="1"/>
    <col min="47" max="50" width="6" style="76" hidden="1" customWidth="1" outlineLevel="1"/>
    <col min="51" max="51" width="6" style="76" hidden="1" customWidth="1" collapsed="1"/>
    <col min="52" max="55" width="6" style="76" hidden="1" customWidth="1" outlineLevel="1"/>
    <col min="56" max="56" width="6" style="76" hidden="1" customWidth="1" collapsed="1"/>
    <col min="57" max="60" width="6" style="76" hidden="1" customWidth="1" outlineLevel="1"/>
    <col min="61" max="61" width="6" style="76" hidden="1" customWidth="1" collapsed="1"/>
    <col min="62" max="65" width="6" style="76" hidden="1" customWidth="1" outlineLevel="1"/>
    <col min="66" max="66" width="6" style="76" hidden="1" customWidth="1" collapsed="1"/>
    <col min="67" max="70" width="6" style="76" hidden="1" customWidth="1" outlineLevel="1"/>
    <col min="71" max="71" width="6" style="76" hidden="1" customWidth="1" collapsed="1"/>
    <col min="72" max="75" width="6" style="76" hidden="1" customWidth="1" outlineLevel="1"/>
    <col min="76" max="76" width="6" style="76" hidden="1" customWidth="1" collapsed="1"/>
    <col min="77" max="81" width="6" style="76" customWidth="1"/>
    <col min="82" max="86" width="6" style="76" customWidth="1" collapsed="1"/>
    <col min="87" max="16384" width="9.140625" style="76"/>
  </cols>
  <sheetData>
    <row r="1" spans="1:154" s="240" customFormat="1" hidden="1" outlineLevel="1">
      <c r="A1" s="85"/>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F1" s="85"/>
      <c r="CG1" s="85"/>
      <c r="CH1" s="85"/>
      <c r="EX1" s="240" t="s">
        <v>1120</v>
      </c>
    </row>
    <row r="2" spans="1:154" s="240" customFormat="1" hidden="1" outlineLevel="1">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85"/>
      <c r="BS2" s="85"/>
      <c r="BT2" s="85"/>
      <c r="BU2" s="85"/>
      <c r="BV2" s="85"/>
      <c r="BW2" s="85"/>
      <c r="BX2" s="85"/>
      <c r="BY2" s="85"/>
      <c r="BZ2" s="85"/>
      <c r="CA2" s="85"/>
      <c r="CB2" s="85"/>
      <c r="CC2" s="85"/>
      <c r="CD2" s="85"/>
      <c r="CE2" s="85"/>
      <c r="CF2" s="85"/>
      <c r="CG2" s="85"/>
      <c r="CH2" s="85"/>
    </row>
    <row r="3" spans="1:154" s="240" customFormat="1" hidden="1" outlineLevel="1">
      <c r="A3" s="85"/>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85"/>
      <c r="AZ3" s="85"/>
      <c r="BA3" s="85"/>
      <c r="BB3" s="85"/>
      <c r="BC3" s="85"/>
      <c r="BD3" s="85"/>
      <c r="BE3" s="85"/>
      <c r="BF3" s="85"/>
      <c r="BG3" s="85"/>
      <c r="BH3" s="85"/>
      <c r="BI3" s="85"/>
      <c r="BJ3" s="85"/>
      <c r="BK3" s="85"/>
      <c r="BL3" s="85"/>
      <c r="BM3" s="85"/>
      <c r="BN3" s="85"/>
      <c r="BO3" s="85"/>
      <c r="BP3" s="85"/>
      <c r="BQ3" s="85"/>
      <c r="BR3" s="85"/>
      <c r="BS3" s="85"/>
      <c r="BT3" s="85"/>
      <c r="BU3" s="85"/>
      <c r="BV3" s="85"/>
      <c r="BW3" s="85"/>
      <c r="BX3" s="85"/>
      <c r="BY3" s="85"/>
      <c r="BZ3" s="85"/>
      <c r="CA3" s="85"/>
      <c r="CB3" s="85"/>
      <c r="CC3" s="85"/>
      <c r="CD3" s="85"/>
      <c r="CE3" s="85"/>
      <c r="CF3" s="85"/>
      <c r="CG3" s="85"/>
      <c r="CH3" s="85"/>
    </row>
    <row r="4" spans="1:154" s="240" customFormat="1" ht="13.5" hidden="1" collapsed="1">
      <c r="A4" s="85"/>
      <c r="B4" s="85"/>
      <c r="C4" s="85"/>
      <c r="D4" s="85"/>
      <c r="E4" s="85"/>
      <c r="F4" s="85"/>
      <c r="G4" s="85"/>
      <c r="H4" s="85"/>
      <c r="I4" s="85"/>
      <c r="J4" s="85"/>
      <c r="K4" s="85"/>
      <c r="L4" s="12">
        <v>38442</v>
      </c>
      <c r="M4" s="12">
        <v>38533</v>
      </c>
      <c r="N4" s="12">
        <v>38625</v>
      </c>
      <c r="O4" s="12">
        <v>38717</v>
      </c>
      <c r="P4" s="12">
        <v>38717</v>
      </c>
      <c r="Q4" s="12">
        <v>38807</v>
      </c>
      <c r="R4" s="12">
        <v>38898</v>
      </c>
      <c r="S4" s="12">
        <v>38990</v>
      </c>
      <c r="T4" s="12">
        <v>39082</v>
      </c>
      <c r="U4" s="12">
        <v>39082</v>
      </c>
      <c r="V4" s="12">
        <v>39172</v>
      </c>
      <c r="W4" s="12">
        <v>39263</v>
      </c>
      <c r="X4" s="12">
        <v>39355</v>
      </c>
      <c r="Y4" s="12">
        <v>39447</v>
      </c>
      <c r="Z4" s="12">
        <v>39447</v>
      </c>
      <c r="AA4" s="12">
        <v>39538</v>
      </c>
      <c r="AB4" s="12">
        <v>39629</v>
      </c>
      <c r="AC4" s="12">
        <v>39721</v>
      </c>
      <c r="AD4" s="12">
        <v>39813</v>
      </c>
      <c r="AE4" s="12">
        <v>39813</v>
      </c>
      <c r="AF4" s="12">
        <v>39903</v>
      </c>
      <c r="AG4" s="12">
        <v>39994</v>
      </c>
      <c r="AH4" s="12">
        <v>40086</v>
      </c>
      <c r="AI4" s="12">
        <v>40178</v>
      </c>
      <c r="AJ4" s="12">
        <v>40178</v>
      </c>
      <c r="AK4" s="12">
        <v>40268</v>
      </c>
      <c r="AL4" s="12">
        <v>40359</v>
      </c>
      <c r="AM4" s="12">
        <v>40451</v>
      </c>
      <c r="AN4" s="12">
        <v>40543</v>
      </c>
      <c r="AO4" s="12">
        <v>40543</v>
      </c>
      <c r="AP4" s="12">
        <v>40633</v>
      </c>
      <c r="AQ4" s="12">
        <v>40724</v>
      </c>
      <c r="AR4" s="12">
        <v>40816</v>
      </c>
      <c r="AS4" s="12">
        <v>40908</v>
      </c>
      <c r="AT4" s="12">
        <v>40908</v>
      </c>
      <c r="AU4" s="12">
        <v>40999</v>
      </c>
      <c r="AV4" s="12">
        <v>41090</v>
      </c>
      <c r="AW4" s="12">
        <v>41182</v>
      </c>
      <c r="AX4" s="12">
        <v>41274</v>
      </c>
      <c r="AY4" s="12">
        <v>41274</v>
      </c>
      <c r="AZ4" s="12">
        <v>41364</v>
      </c>
      <c r="BA4" s="12">
        <v>41455</v>
      </c>
      <c r="BB4" s="12">
        <v>41547</v>
      </c>
      <c r="BC4" s="12">
        <v>41639</v>
      </c>
      <c r="BD4" s="12">
        <v>41639</v>
      </c>
      <c r="BE4" s="12">
        <v>41729</v>
      </c>
      <c r="BF4" s="12">
        <v>41820</v>
      </c>
      <c r="BG4" s="12">
        <v>41912</v>
      </c>
      <c r="BH4" s="12">
        <v>42004</v>
      </c>
      <c r="BI4" s="12">
        <v>42004</v>
      </c>
      <c r="BJ4" s="12">
        <v>42094</v>
      </c>
      <c r="BK4" s="12">
        <v>42185</v>
      </c>
      <c r="BL4" s="12">
        <v>42277</v>
      </c>
      <c r="BM4" s="12">
        <v>42369</v>
      </c>
      <c r="BN4" s="12">
        <v>42369</v>
      </c>
      <c r="BO4" s="12">
        <v>42460</v>
      </c>
      <c r="BP4" s="12">
        <v>42551</v>
      </c>
      <c r="BQ4" s="12">
        <v>42643</v>
      </c>
      <c r="BR4" s="12">
        <v>42735</v>
      </c>
      <c r="BS4" s="12">
        <v>42735</v>
      </c>
      <c r="BT4" s="12">
        <v>42825</v>
      </c>
      <c r="BU4" s="12">
        <v>42916</v>
      </c>
      <c r="BV4" s="12">
        <v>43008</v>
      </c>
      <c r="BW4" s="12">
        <v>43100</v>
      </c>
      <c r="BX4" s="12">
        <v>43100</v>
      </c>
      <c r="BY4" s="12">
        <v>43190</v>
      </c>
      <c r="BZ4" s="12">
        <v>43281</v>
      </c>
      <c r="CA4" s="12">
        <v>43373</v>
      </c>
      <c r="CB4" s="12">
        <v>43465</v>
      </c>
      <c r="CC4" s="12">
        <v>43465</v>
      </c>
      <c r="CD4" s="12">
        <v>43830</v>
      </c>
      <c r="CE4" s="12">
        <v>44196</v>
      </c>
      <c r="CF4" s="12">
        <v>44561</v>
      </c>
      <c r="CG4" s="12">
        <v>44926</v>
      </c>
      <c r="CH4" s="12">
        <v>45291</v>
      </c>
    </row>
    <row r="5" spans="1:154" ht="15.75">
      <c r="A5" s="85"/>
      <c r="B5" s="85"/>
      <c r="C5" s="85"/>
      <c r="D5" s="85"/>
      <c r="E5" s="85"/>
      <c r="F5" s="85"/>
      <c r="G5" s="85"/>
      <c r="H5" s="64" t="str">
        <f>CompanyName</f>
        <v>Eli Lilly &amp; Co.</v>
      </c>
      <c r="I5" s="242"/>
      <c r="J5" s="11">
        <f>LatestRpQ</f>
        <v>43190</v>
      </c>
      <c r="K5" s="24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row>
    <row r="6" spans="1:154" ht="15.75">
      <c r="A6" s="85"/>
      <c r="B6" s="85"/>
      <c r="C6" s="85"/>
      <c r="D6" s="85"/>
      <c r="E6" s="85"/>
      <c r="F6" s="85"/>
      <c r="G6" s="85"/>
      <c r="H6" s="64" t="s">
        <v>349</v>
      </c>
      <c r="I6" s="242"/>
      <c r="J6" s="11">
        <f>LatestFiledQ</f>
        <v>43100</v>
      </c>
      <c r="K6" s="242"/>
      <c r="L6" s="242"/>
      <c r="M6" s="242"/>
      <c r="N6" s="242"/>
      <c r="O6" s="242"/>
      <c r="P6" s="242"/>
      <c r="Q6" s="242"/>
      <c r="R6" s="242"/>
      <c r="S6" s="242"/>
      <c r="T6" s="242"/>
      <c r="U6" s="242"/>
      <c r="V6" s="242"/>
      <c r="W6" s="242"/>
      <c r="X6" s="242"/>
      <c r="Y6" s="242"/>
      <c r="Z6" s="242"/>
      <c r="AA6" s="242"/>
      <c r="AB6" s="242"/>
      <c r="AC6" s="242"/>
      <c r="AD6" s="242"/>
      <c r="AE6" s="242"/>
      <c r="AF6" s="242"/>
      <c r="AG6" s="242"/>
      <c r="AH6" s="242"/>
      <c r="AI6" s="242"/>
      <c r="AJ6" s="242"/>
      <c r="AK6" s="242"/>
      <c r="AL6" s="242"/>
      <c r="AM6" s="242"/>
      <c r="AN6" s="242"/>
      <c r="AO6" s="242"/>
      <c r="AP6" s="242"/>
      <c r="AQ6" s="242"/>
      <c r="AR6" s="242"/>
      <c r="AS6" s="242"/>
      <c r="AT6" s="242"/>
      <c r="AU6" s="242"/>
      <c r="AV6" s="242"/>
      <c r="AW6" s="242"/>
      <c r="AX6" s="242"/>
      <c r="AY6" s="242"/>
      <c r="AZ6" s="242"/>
      <c r="BA6" s="242"/>
      <c r="BB6" s="242"/>
      <c r="BC6" s="242"/>
      <c r="BD6" s="242"/>
      <c r="BE6" s="242"/>
      <c r="BF6" s="242"/>
      <c r="BG6" s="242"/>
      <c r="BH6" s="242"/>
      <c r="BI6" s="242"/>
      <c r="BJ6" s="242"/>
      <c r="BK6" s="242"/>
      <c r="BL6" s="242"/>
      <c r="BM6" s="242"/>
      <c r="BN6" s="242"/>
      <c r="BO6" s="242"/>
      <c r="BP6" s="242"/>
      <c r="BQ6" s="242"/>
      <c r="BR6" s="242"/>
      <c r="BS6" s="242"/>
      <c r="BT6" s="242"/>
      <c r="BU6" s="242"/>
      <c r="BV6" s="242"/>
      <c r="BW6" s="242"/>
      <c r="BX6" s="242"/>
      <c r="BY6" s="242"/>
      <c r="BZ6" s="242"/>
      <c r="CA6" s="242"/>
      <c r="CB6" s="242"/>
      <c r="CC6" s="242"/>
      <c r="CD6" s="242"/>
      <c r="CE6" s="242"/>
      <c r="CF6" s="242"/>
      <c r="CG6" s="242"/>
      <c r="CH6" s="242"/>
    </row>
    <row r="7" spans="1:154" ht="4.5" customHeight="1">
      <c r="A7" s="85"/>
      <c r="B7" s="85"/>
      <c r="C7" s="85"/>
      <c r="D7" s="85"/>
      <c r="E7" s="85"/>
      <c r="F7" s="85"/>
      <c r="G7" s="85"/>
      <c r="H7" s="609"/>
      <c r="K7" s="240"/>
      <c r="BD7" s="240"/>
      <c r="BE7" s="240"/>
      <c r="BF7" s="240"/>
      <c r="BG7" s="240"/>
      <c r="BH7" s="240"/>
      <c r="BI7" s="240"/>
      <c r="BJ7" s="240"/>
      <c r="BK7" s="240"/>
      <c r="BL7" s="240"/>
      <c r="BM7" s="240"/>
      <c r="BN7" s="240"/>
      <c r="BO7" s="240"/>
      <c r="BP7" s="240"/>
      <c r="BQ7" s="240"/>
      <c r="BR7" s="240"/>
      <c r="BS7" s="240"/>
      <c r="BT7" s="240"/>
      <c r="BU7" s="240"/>
      <c r="BV7" s="240"/>
      <c r="BW7" s="240"/>
      <c r="BX7" s="240"/>
      <c r="BY7" s="240"/>
      <c r="BZ7" s="240"/>
      <c r="CA7" s="240"/>
      <c r="CB7" s="240"/>
      <c r="CC7" s="240"/>
      <c r="CD7" s="240"/>
      <c r="CE7" s="240"/>
      <c r="CF7" s="240"/>
      <c r="CG7" s="240"/>
      <c r="CH7" s="240"/>
    </row>
    <row r="8" spans="1:154" ht="4.5" customHeight="1">
      <c r="A8" s="85"/>
      <c r="B8" s="85"/>
      <c r="C8" s="85"/>
      <c r="D8" s="85"/>
      <c r="E8" s="85"/>
      <c r="F8" s="85"/>
      <c r="G8" s="85"/>
      <c r="H8" s="610"/>
      <c r="K8" s="240"/>
      <c r="BD8" s="240"/>
      <c r="BE8" s="240"/>
      <c r="BF8" s="240"/>
      <c r="BG8" s="240"/>
      <c r="BH8" s="240"/>
      <c r="BI8" s="240"/>
      <c r="BJ8" s="240"/>
      <c r="BK8" s="240"/>
      <c r="BL8" s="240"/>
      <c r="BM8" s="240"/>
      <c r="BN8" s="240"/>
      <c r="BO8" s="240"/>
      <c r="BP8" s="240"/>
      <c r="BQ8" s="240"/>
      <c r="BR8" s="240"/>
      <c r="BS8" s="240"/>
      <c r="BT8" s="240"/>
      <c r="BU8" s="240"/>
      <c r="BV8" s="240"/>
      <c r="BW8" s="240"/>
      <c r="BX8" s="240"/>
      <c r="BY8" s="240"/>
      <c r="BZ8" s="240"/>
      <c r="CA8" s="240"/>
      <c r="CB8" s="240"/>
      <c r="CC8" s="240"/>
      <c r="CD8" s="240"/>
      <c r="CE8" s="240"/>
      <c r="CF8" s="240"/>
      <c r="CG8" s="240"/>
      <c r="CH8" s="240"/>
    </row>
    <row r="9" spans="1:154" ht="14.25" thickBot="1">
      <c r="A9" s="85"/>
      <c r="B9" s="85"/>
      <c r="C9" s="85"/>
      <c r="D9" s="85"/>
      <c r="E9" s="85"/>
      <c r="F9" s="85"/>
      <c r="G9" s="85"/>
      <c r="H9" s="611" t="str">
        <f>PIPELINE!H9</f>
        <v>($M)</v>
      </c>
      <c r="I9" s="373"/>
      <c r="J9" s="373"/>
      <c r="K9" s="115"/>
      <c r="L9" s="43" t="str">
        <f>"1Q:" &amp; RIGHT(YEAR(L$4),2) &amp; IF(L$4&lt;=LatestRpQ, "A", "E")</f>
        <v>1Q:05A</v>
      </c>
      <c r="M9" s="43" t="str">
        <f>"2Q:" &amp; RIGHT(YEAR(M$4),2) &amp; IF(M$4&lt;=LatestRpQ, "A", "E")</f>
        <v>2Q:05A</v>
      </c>
      <c r="N9" s="43" t="str">
        <f>"3Q:" &amp; RIGHT(YEAR(N$4),2) &amp; IF(N$4&lt;=LatestRpQ, "A", "E")</f>
        <v>3Q:05A</v>
      </c>
      <c r="O9" s="43" t="str">
        <f>"4Q:" &amp; RIGHT(YEAR(O$4),2) &amp; IF(O$4&lt;=LatestRpQ, "A", "E")</f>
        <v>4Q:05A</v>
      </c>
      <c r="P9" s="44" t="str">
        <f>YEAR(P$4) &amp; IF(P$4&lt;=LatestRpQ, "A", "E")</f>
        <v>2005A</v>
      </c>
      <c r="Q9" s="43" t="str">
        <f>"1Q:" &amp; RIGHT(YEAR(Q$4),2) &amp; IF(Q$4&lt;=LatestRpQ, "A", "E")</f>
        <v>1Q:06A</v>
      </c>
      <c r="R9" s="43" t="str">
        <f>"2Q:" &amp; RIGHT(YEAR(R$4),2) &amp; IF(R$4&lt;=LatestRpQ, "A", "E")</f>
        <v>2Q:06A</v>
      </c>
      <c r="S9" s="43" t="str">
        <f>"3Q:" &amp; RIGHT(YEAR(S$4),2) &amp; IF(S$4&lt;=LatestRpQ, "A", "E")</f>
        <v>3Q:06A</v>
      </c>
      <c r="T9" s="43" t="str">
        <f>"4Q:" &amp; RIGHT(YEAR(T$4),2) &amp; IF(T$4&lt;=LatestRpQ, "A", "E")</f>
        <v>4Q:06A</v>
      </c>
      <c r="U9" s="44" t="str">
        <f>YEAR(U$4) &amp; IF(U$4&lt;=LatestRpQ, "A", "E")</f>
        <v>2006A</v>
      </c>
      <c r="V9" s="43" t="str">
        <f>"1Q:" &amp; RIGHT(YEAR(V$4),2) &amp; IF(V$4&lt;=LatestRpQ, "A", "E")</f>
        <v>1Q:07A</v>
      </c>
      <c r="W9" s="43" t="str">
        <f>"2Q:" &amp; RIGHT(YEAR(W$4),2) &amp; IF(W$4&lt;=LatestRpQ, "A", "E")</f>
        <v>2Q:07A</v>
      </c>
      <c r="X9" s="43" t="str">
        <f>"3Q:" &amp; RIGHT(YEAR(X$4),2) &amp; IF(X$4&lt;=LatestRpQ, "A", "E")</f>
        <v>3Q:07A</v>
      </c>
      <c r="Y9" s="43" t="str">
        <f>"4Q:" &amp; RIGHT(YEAR(Y$4),2) &amp; IF(Y$4&lt;=LatestRpQ, "A", "E")</f>
        <v>4Q:07A</v>
      </c>
      <c r="Z9" s="44" t="str">
        <f>YEAR(Z$4) &amp; IF(Z$4&lt;=LatestRpQ, "A", "E")</f>
        <v>2007A</v>
      </c>
      <c r="AA9" s="43" t="str">
        <f>"1Q:" &amp; RIGHT(YEAR(AA$4),2) &amp; IF(AA$4&lt;=LatestRpQ, "A", "E")</f>
        <v>1Q:08A</v>
      </c>
      <c r="AB9" s="43" t="str">
        <f>"2Q:" &amp; RIGHT(YEAR(AB$4),2) &amp; IF(AB$4&lt;=LatestRpQ, "A", "E")</f>
        <v>2Q:08A</v>
      </c>
      <c r="AC9" s="43" t="str">
        <f>"3Q:" &amp; RIGHT(YEAR(AC$4),2) &amp; IF(AC$4&lt;=LatestRpQ, "A", "E")</f>
        <v>3Q:08A</v>
      </c>
      <c r="AD9" s="43" t="str">
        <f>"4Q:" &amp; RIGHT(YEAR(AD$4),2) &amp; IF(AD$4&lt;=LatestRpQ, "A", "E")</f>
        <v>4Q:08A</v>
      </c>
      <c r="AE9" s="44" t="str">
        <f>YEAR(AE$4) &amp; IF(AE$4&lt;=LatestRpQ, "A", "E")</f>
        <v>2008A</v>
      </c>
      <c r="AF9" s="43" t="str">
        <f>"1Q:" &amp; RIGHT(YEAR(AF$4),2) &amp; IF(AF$4&lt;=LatestRpQ, "A", "E")</f>
        <v>1Q:09A</v>
      </c>
      <c r="AG9" s="43" t="str">
        <f>"2Q:" &amp; RIGHT(YEAR(AG$4),2) &amp; IF(AG$4&lt;=LatestRpQ, "A", "E")</f>
        <v>2Q:09A</v>
      </c>
      <c r="AH9" s="43" t="str">
        <f>"3Q:" &amp; RIGHT(YEAR(AH$4),2) &amp; IF(AH$4&lt;=LatestRpQ, "A", "E")</f>
        <v>3Q:09A</v>
      </c>
      <c r="AI9" s="43" t="str">
        <f>"4Q:" &amp; RIGHT(YEAR(AI$4),2) &amp; IF(AI$4&lt;=LatestRpQ, "A", "E")</f>
        <v>4Q:09A</v>
      </c>
      <c r="AJ9" s="44" t="str">
        <f>YEAR(AJ$4) &amp; IF(AJ$4&lt;=LatestRpQ, "A", "E")</f>
        <v>2009A</v>
      </c>
      <c r="AK9" s="43" t="str">
        <f>"1Q:" &amp; RIGHT(YEAR(AK$4),2) &amp; IF(AK$4&lt;=LatestRpQ, "A", "E")</f>
        <v>1Q:10A</v>
      </c>
      <c r="AL9" s="43" t="str">
        <f>"2Q:" &amp; RIGHT(YEAR(AL$4),2) &amp; IF(AL$4&lt;=LatestRpQ, "A", "E")</f>
        <v>2Q:10A</v>
      </c>
      <c r="AM9" s="43" t="str">
        <f>"3Q:" &amp; RIGHT(YEAR(AM$4),2) &amp; IF(AM$4&lt;=LatestRpQ, "A", "E")</f>
        <v>3Q:10A</v>
      </c>
      <c r="AN9" s="43" t="str">
        <f>"4Q:" &amp; RIGHT(YEAR(AN$4),2) &amp; IF(AN$4&lt;=LatestRpQ, "A", "E")</f>
        <v>4Q:10A</v>
      </c>
      <c r="AO9" s="44" t="str">
        <f>YEAR(AO$4) &amp; IF(AO$4&lt;=LatestRpQ, "A", "E")</f>
        <v>2010A</v>
      </c>
      <c r="AP9" s="43" t="str">
        <f>"1Q:" &amp; RIGHT(YEAR(AP$4),2) &amp; IF(AP$4&lt;=LatestRpQ, "A", "E")</f>
        <v>1Q:11A</v>
      </c>
      <c r="AQ9" s="43" t="str">
        <f>"2Q:" &amp; RIGHT(YEAR(AQ$4),2) &amp; IF(AQ$4&lt;=LatestRpQ, "A", "E")</f>
        <v>2Q:11A</v>
      </c>
      <c r="AR9" s="43" t="str">
        <f>"3Q:" &amp; RIGHT(YEAR(AR$4),2) &amp; IF(AR$4&lt;=LatestRpQ, "A", "E")</f>
        <v>3Q:11A</v>
      </c>
      <c r="AS9" s="43" t="str">
        <f>"4Q:" &amp; RIGHT(YEAR(AS$4),2) &amp; IF(AS$4&lt;=LatestRpQ, "A", "E")</f>
        <v>4Q:11A</v>
      </c>
      <c r="AT9" s="44" t="str">
        <f>YEAR(AT$4) &amp; IF(AT$4&lt;=LatestRpQ, "A", "E")</f>
        <v>2011A</v>
      </c>
      <c r="AU9" s="43" t="str">
        <f>"1Q:" &amp; RIGHT(YEAR(AU$4),2) &amp; IF(AU$4&lt;=LatestRpQ, "A", "E")</f>
        <v>1Q:12A</v>
      </c>
      <c r="AV9" s="43" t="str">
        <f>"2Q:" &amp; RIGHT(YEAR(AV$4),2) &amp; IF(AV$4&lt;=LatestRpQ, "A", "E")</f>
        <v>2Q:12A</v>
      </c>
      <c r="AW9" s="43" t="str">
        <f>"3Q:" &amp; RIGHT(YEAR(AW$4),2) &amp; IF(AW$4&lt;=LatestRpQ, "A", "E")</f>
        <v>3Q:12A</v>
      </c>
      <c r="AX9" s="43" t="str">
        <f>"4Q:" &amp; RIGHT(YEAR(AX$4),2) &amp; IF(AX$4&lt;=LatestRpQ, "A", "E")</f>
        <v>4Q:12A</v>
      </c>
      <c r="AY9" s="44" t="str">
        <f>YEAR(AY$4) &amp; IF(AY$4&lt;=LatestRpQ, "A", "E")</f>
        <v>2012A</v>
      </c>
      <c r="AZ9" s="43" t="str">
        <f>"1Q:" &amp; RIGHT(YEAR(AZ$4),2) &amp; IF(AZ$4&lt;=LatestRpQ, "A", "E")</f>
        <v>1Q:13A</v>
      </c>
      <c r="BA9" s="43" t="str">
        <f>"2Q:" &amp; RIGHT(YEAR(BA$4),2) &amp; IF(BA$4&lt;=LatestRpQ, "A", "E")</f>
        <v>2Q:13A</v>
      </c>
      <c r="BB9" s="43" t="str">
        <f>"3Q:" &amp; RIGHT(YEAR(BB$4),2) &amp; IF(BB$4&lt;=LatestRpQ, "A", "E")</f>
        <v>3Q:13A</v>
      </c>
      <c r="BC9" s="43" t="str">
        <f>"4Q:" &amp; RIGHT(YEAR(BC$4),2) &amp; IF(BC$4&lt;=LatestRpQ, "A", "E")</f>
        <v>4Q:13A</v>
      </c>
      <c r="BD9" s="44" t="str">
        <f>YEAR(BD$4) &amp; IF(BD$4&lt;=LatestRpQ, "A", "E")</f>
        <v>2013A</v>
      </c>
      <c r="BE9" s="43" t="str">
        <f>"1Q:" &amp; RIGHT(YEAR(BE$4),2) &amp; IF(BE$4&lt;=LatestRpQ, "A", "E")</f>
        <v>1Q:14A</v>
      </c>
      <c r="BF9" s="43" t="str">
        <f>"2Q:" &amp; RIGHT(YEAR(BF$4),2) &amp; IF(BF$4&lt;=LatestRpQ, "A", "E")</f>
        <v>2Q:14A</v>
      </c>
      <c r="BG9" s="43" t="str">
        <f>"3Q:" &amp; RIGHT(YEAR(BG$4),2) &amp; IF(BG$4&lt;=LatestRpQ, "A", "E")</f>
        <v>3Q:14A</v>
      </c>
      <c r="BH9" s="43" t="str">
        <f>"4Q:" &amp; RIGHT(YEAR(BH$4),2) &amp; IF(BH$4&lt;=LatestRpQ, "A", "E")</f>
        <v>4Q:14A</v>
      </c>
      <c r="BI9" s="44" t="str">
        <f>YEAR(BI$4) &amp; IF(BI$4&lt;=LatestRpQ, "A", "E")</f>
        <v>2014A</v>
      </c>
      <c r="BJ9" s="43" t="str">
        <f>"1Q:" &amp; RIGHT(YEAR(BJ$4),2) &amp; IF(BJ$4&lt;=LatestRpQ, "A", "E")</f>
        <v>1Q:15A</v>
      </c>
      <c r="BK9" s="43" t="str">
        <f>"2Q:" &amp; RIGHT(YEAR(BK$4),2) &amp; IF(BK$4&lt;=LatestRpQ, "A", "E")</f>
        <v>2Q:15A</v>
      </c>
      <c r="BL9" s="43" t="str">
        <f>"3Q:" &amp; RIGHT(YEAR(BL$4),2) &amp; IF(BL$4&lt;=LatestRpQ, "A", "E")</f>
        <v>3Q:15A</v>
      </c>
      <c r="BM9" s="43" t="str">
        <f>"4Q:" &amp; RIGHT(YEAR(BM$4),2) &amp; IF(BM$4&lt;=LatestRpQ, "A", "E")</f>
        <v>4Q:15A</v>
      </c>
      <c r="BN9" s="44" t="str">
        <f>YEAR(BN$4) &amp; IF(BN$4&lt;=LatestRpQ, "A", "E")</f>
        <v>2015A</v>
      </c>
      <c r="BO9" s="43" t="str">
        <f>"1Q:" &amp; RIGHT(YEAR(BO$4),2) &amp; IF(BO$4&lt;=LatestRpQ, "A", "E")</f>
        <v>1Q:16A</v>
      </c>
      <c r="BP9" s="43" t="str">
        <f>"2Q:" &amp; RIGHT(YEAR(BP$4),2) &amp; IF(BP$4&lt;=LatestRpQ, "A", "E")</f>
        <v>2Q:16A</v>
      </c>
      <c r="BQ9" s="43" t="str">
        <f>"3Q:" &amp; RIGHT(YEAR(BQ$4),2) &amp; IF(BQ$4&lt;=LatestRpQ, "A", "E")</f>
        <v>3Q:16A</v>
      </c>
      <c r="BR9" s="43" t="str">
        <f>"4Q:" &amp; RIGHT(YEAR(BR$4),2) &amp; IF(BR$4&lt;=LatestRpQ, "A", "E")</f>
        <v>4Q:16A</v>
      </c>
      <c r="BS9" s="44" t="str">
        <f>YEAR(BS$4) &amp; IF(BS$4&lt;=LatestRpQ, "A", "E")</f>
        <v>2016A</v>
      </c>
      <c r="BT9" s="43" t="str">
        <f>"1Q:" &amp; RIGHT(YEAR(BT$4),2) &amp; IF(BT$4&lt;=LatestRpQ, "A", "E")</f>
        <v>1Q:17A</v>
      </c>
      <c r="BU9" s="43" t="str">
        <f>"2Q:" &amp; RIGHT(YEAR(BU$4),2) &amp; IF(BU$4&lt;=LatestRpQ, "A", "E")</f>
        <v>2Q:17A</v>
      </c>
      <c r="BV9" s="43" t="str">
        <f>"3Q:" &amp; RIGHT(YEAR(BV$4),2) &amp; IF(BV$4&lt;=LatestRpQ, "A", "E")</f>
        <v>3Q:17A</v>
      </c>
      <c r="BW9" s="43" t="str">
        <f>"4Q:" &amp; RIGHT(YEAR(BW$4),2) &amp; IF(BW$4&lt;=LatestRpQ, "A", "E")</f>
        <v>4Q:17A</v>
      </c>
      <c r="BX9" s="44" t="str">
        <f>YEAR(BX$4) &amp; IF(BX$4&lt;=LatestRpQ, "A", "E")</f>
        <v>2017A</v>
      </c>
      <c r="BY9" s="43" t="str">
        <f>"1Q:" &amp; RIGHT(YEAR(BY$4),2) &amp; IF(BY$4&lt;=LatestRpQ, "A", "E")</f>
        <v>1Q:18A</v>
      </c>
      <c r="BZ9" s="43" t="str">
        <f>"2Q:" &amp; RIGHT(YEAR(BZ$4),2) &amp; IF(BZ$4&lt;=LatestRpQ, "A", "E")</f>
        <v>2Q:18E</v>
      </c>
      <c r="CA9" s="43" t="str">
        <f>"3Q:" &amp; RIGHT(YEAR(CA$4),2) &amp; IF(CA$4&lt;=LatestRpQ, "A", "E")</f>
        <v>3Q:18E</v>
      </c>
      <c r="CB9" s="43" t="str">
        <f>"4Q:" &amp; RIGHT(YEAR(CB$4),2) &amp; IF(CB$4&lt;=LatestRpQ, "A", "E")</f>
        <v>4Q:18E</v>
      </c>
      <c r="CC9" s="44" t="str">
        <f t="shared" ref="CC9:CH9" si="0">YEAR(CC$4) &amp; IF(CC$4&lt;=LatestRpQ, "A", "E")</f>
        <v>2018E</v>
      </c>
      <c r="CD9" s="44" t="str">
        <f t="shared" si="0"/>
        <v>2019E</v>
      </c>
      <c r="CE9" s="44" t="str">
        <f t="shared" si="0"/>
        <v>2020E</v>
      </c>
      <c r="CF9" s="44" t="str">
        <f t="shared" si="0"/>
        <v>2021E</v>
      </c>
      <c r="CG9" s="44" t="str">
        <f t="shared" si="0"/>
        <v>2022E</v>
      </c>
      <c r="CH9" s="44" t="str">
        <f t="shared" si="0"/>
        <v>2023E</v>
      </c>
    </row>
    <row r="10" spans="1:154" ht="4.5" customHeight="1">
      <c r="A10" s="85"/>
      <c r="B10" s="85"/>
      <c r="C10" s="85"/>
      <c r="D10" s="85"/>
      <c r="E10" s="85"/>
      <c r="F10" s="85"/>
      <c r="G10" s="85"/>
      <c r="H10" s="560"/>
      <c r="I10" s="371"/>
      <c r="J10" s="371"/>
      <c r="K10" s="97"/>
      <c r="L10" s="243"/>
      <c r="M10" s="243"/>
      <c r="N10" s="243"/>
      <c r="O10" s="243"/>
      <c r="P10" s="244"/>
      <c r="Q10" s="243"/>
      <c r="R10" s="243"/>
      <c r="S10" s="243"/>
      <c r="T10" s="243"/>
      <c r="U10" s="244"/>
      <c r="V10" s="243"/>
      <c r="W10" s="243"/>
      <c r="X10" s="243"/>
      <c r="Y10" s="243"/>
      <c r="Z10" s="244"/>
      <c r="AA10" s="243"/>
      <c r="AB10" s="243"/>
      <c r="AC10" s="243"/>
      <c r="AD10" s="243"/>
      <c r="AE10" s="244"/>
      <c r="AF10" s="243"/>
      <c r="AG10" s="243"/>
      <c r="AH10" s="243"/>
      <c r="AI10" s="243"/>
      <c r="AJ10" s="244"/>
      <c r="AK10" s="243"/>
      <c r="AL10" s="243"/>
      <c r="AM10" s="243"/>
      <c r="AN10" s="243"/>
      <c r="AO10" s="244"/>
      <c r="AP10" s="243"/>
      <c r="AQ10" s="243"/>
      <c r="AR10" s="243"/>
      <c r="AS10" s="243"/>
      <c r="AT10" s="244"/>
      <c r="AU10" s="243"/>
      <c r="AV10" s="243"/>
      <c r="AW10" s="243"/>
      <c r="AX10" s="243"/>
      <c r="AY10" s="244"/>
      <c r="AZ10" s="243"/>
      <c r="BA10" s="243"/>
      <c r="BB10" s="243"/>
      <c r="BC10" s="243"/>
      <c r="BD10" s="244"/>
      <c r="BE10" s="243"/>
      <c r="BF10" s="243"/>
      <c r="BG10" s="243"/>
      <c r="BH10" s="243"/>
      <c r="BI10" s="244"/>
      <c r="BJ10" s="243"/>
      <c r="BK10" s="243"/>
      <c r="BL10" s="243"/>
      <c r="BM10" s="243"/>
      <c r="BN10" s="244"/>
      <c r="BO10" s="243"/>
      <c r="BP10" s="243"/>
      <c r="BQ10" s="243"/>
      <c r="BR10" s="243"/>
      <c r="BS10" s="244"/>
      <c r="BT10" s="243"/>
      <c r="BU10" s="243"/>
      <c r="BV10" s="243"/>
      <c r="BW10" s="243"/>
      <c r="BX10" s="244"/>
      <c r="BY10" s="243"/>
      <c r="BZ10" s="243"/>
      <c r="CA10" s="243"/>
      <c r="CB10" s="243"/>
      <c r="CC10" s="244"/>
      <c r="CD10" s="244"/>
      <c r="CE10" s="244"/>
      <c r="CF10" s="244"/>
      <c r="CG10" s="244"/>
      <c r="CH10" s="244"/>
    </row>
    <row r="11" spans="1:154" s="63" customFormat="1" ht="13.5">
      <c r="A11" s="302"/>
      <c r="B11" s="302"/>
      <c r="C11" s="302"/>
      <c r="D11" s="302"/>
      <c r="E11" s="302"/>
      <c r="F11" s="302"/>
      <c r="G11" s="302"/>
      <c r="H11" s="612" t="s">
        <v>935</v>
      </c>
      <c r="BE11" s="996"/>
      <c r="BF11" s="996"/>
      <c r="BG11" s="996"/>
      <c r="BH11" s="996"/>
      <c r="BJ11" s="258"/>
      <c r="BK11" s="258"/>
      <c r="BL11" s="258"/>
      <c r="BM11" s="258"/>
      <c r="BO11" s="258"/>
      <c r="BP11" s="258"/>
      <c r="BQ11" s="258"/>
      <c r="BR11" s="258"/>
      <c r="BT11" s="258"/>
      <c r="BU11" s="258"/>
      <c r="BV11" s="258"/>
      <c r="BW11" s="258"/>
      <c r="BY11" s="1100">
        <f t="shared" ref="BY11:CH11" si="1">BY12+BY13</f>
        <v>0</v>
      </c>
      <c r="BZ11" s="1100">
        <f t="shared" si="1"/>
        <v>0</v>
      </c>
      <c r="CA11" s="1100">
        <f t="shared" si="1"/>
        <v>5</v>
      </c>
      <c r="CB11" s="1100">
        <f t="shared" si="1"/>
        <v>17</v>
      </c>
      <c r="CC11" s="264">
        <f t="shared" si="1"/>
        <v>22</v>
      </c>
      <c r="CD11" s="264">
        <f t="shared" si="1"/>
        <v>142</v>
      </c>
      <c r="CE11" s="264">
        <f t="shared" si="1"/>
        <v>319.5</v>
      </c>
      <c r="CF11" s="264">
        <f t="shared" si="1"/>
        <v>488.70000000000005</v>
      </c>
      <c r="CG11" s="264">
        <f t="shared" si="1"/>
        <v>616.68000000000006</v>
      </c>
      <c r="CH11" s="264">
        <f t="shared" si="1"/>
        <v>699.51600000000008</v>
      </c>
    </row>
    <row r="12" spans="1:154" s="63" customFormat="1" ht="13.5">
      <c r="A12" s="302"/>
      <c r="B12" s="302"/>
      <c r="C12" s="302"/>
      <c r="D12" s="302"/>
      <c r="E12" s="302"/>
      <c r="F12" s="302"/>
      <c r="G12" s="302"/>
      <c r="H12" s="613" t="s">
        <v>231</v>
      </c>
      <c r="BE12" s="996"/>
      <c r="BF12" s="996"/>
      <c r="BG12" s="996"/>
      <c r="BH12" s="996"/>
      <c r="BJ12" s="258"/>
      <c r="BK12" s="258"/>
      <c r="BL12" s="258"/>
      <c r="BM12" s="258"/>
      <c r="BO12" s="258"/>
      <c r="BP12" s="258"/>
      <c r="BQ12" s="258"/>
      <c r="BR12" s="258"/>
      <c r="BT12" s="258"/>
      <c r="BU12" s="258"/>
      <c r="BV12" s="258"/>
      <c r="BW12" s="258"/>
      <c r="BY12" s="1101"/>
      <c r="BZ12" s="1101"/>
      <c r="CA12" s="1101">
        <v>5</v>
      </c>
      <c r="CB12" s="1101">
        <v>15</v>
      </c>
      <c r="CC12" s="79">
        <f>SUM(BY12:CB12)</f>
        <v>20</v>
      </c>
      <c r="CD12" s="79">
        <f t="shared" ref="CD12:CH13" si="2">CC12*(1+CD52)</f>
        <v>100</v>
      </c>
      <c r="CE12" s="79">
        <f t="shared" si="2"/>
        <v>225</v>
      </c>
      <c r="CF12" s="79">
        <f t="shared" si="2"/>
        <v>337.5</v>
      </c>
      <c r="CG12" s="79">
        <f t="shared" si="2"/>
        <v>405</v>
      </c>
      <c r="CH12" s="79">
        <f t="shared" si="2"/>
        <v>445.50000000000006</v>
      </c>
    </row>
    <row r="13" spans="1:154" s="63" customFormat="1" ht="13.5">
      <c r="A13" s="302"/>
      <c r="B13" s="302"/>
      <c r="C13" s="302"/>
      <c r="D13" s="302"/>
      <c r="E13" s="302"/>
      <c r="F13" s="302"/>
      <c r="G13" s="302"/>
      <c r="H13" s="613" t="s">
        <v>232</v>
      </c>
      <c r="BE13" s="996"/>
      <c r="BF13" s="996"/>
      <c r="BG13" s="996"/>
      <c r="BH13" s="996"/>
      <c r="BJ13" s="258"/>
      <c r="BK13" s="258"/>
      <c r="BL13" s="258"/>
      <c r="BM13" s="258"/>
      <c r="BO13" s="258"/>
      <c r="BP13" s="258"/>
      <c r="BQ13" s="258"/>
      <c r="BR13" s="258"/>
      <c r="BT13" s="258"/>
      <c r="BU13" s="258"/>
      <c r="BV13" s="258"/>
      <c r="BW13" s="258"/>
      <c r="BY13" s="1101"/>
      <c r="BZ13" s="1101"/>
      <c r="CA13" s="1101"/>
      <c r="CB13" s="1101">
        <v>2</v>
      </c>
      <c r="CC13" s="79">
        <f>SUM(BY13:CB13)</f>
        <v>2</v>
      </c>
      <c r="CD13" s="79">
        <f t="shared" si="2"/>
        <v>42</v>
      </c>
      <c r="CE13" s="79">
        <f t="shared" si="2"/>
        <v>94.5</v>
      </c>
      <c r="CF13" s="79">
        <f t="shared" si="2"/>
        <v>151.20000000000002</v>
      </c>
      <c r="CG13" s="79">
        <f t="shared" si="2"/>
        <v>211.68</v>
      </c>
      <c r="CH13" s="79">
        <f t="shared" si="2"/>
        <v>254.01599999999999</v>
      </c>
    </row>
    <row r="14" spans="1:154" ht="13.5">
      <c r="A14" s="85"/>
      <c r="B14" s="85"/>
      <c r="C14" s="85"/>
      <c r="D14" s="85"/>
      <c r="E14" s="85"/>
      <c r="F14" s="85"/>
      <c r="G14" s="85"/>
      <c r="H14" s="612" t="s">
        <v>1011</v>
      </c>
      <c r="I14" s="266"/>
      <c r="J14" s="266"/>
      <c r="K14" s="264"/>
      <c r="L14" s="265"/>
      <c r="M14" s="265"/>
      <c r="N14" s="265"/>
      <c r="O14" s="265"/>
      <c r="P14" s="264"/>
      <c r="Q14" s="265"/>
      <c r="R14" s="265"/>
      <c r="S14" s="265"/>
      <c r="T14" s="265"/>
      <c r="U14" s="264"/>
      <c r="V14" s="265"/>
      <c r="W14" s="265"/>
      <c r="X14" s="265"/>
      <c r="Y14" s="265"/>
      <c r="Z14" s="264"/>
      <c r="AA14" s="265"/>
      <c r="AB14" s="265"/>
      <c r="AC14" s="265"/>
      <c r="AD14" s="265"/>
      <c r="AE14" s="264"/>
      <c r="AF14" s="265"/>
      <c r="AG14" s="265"/>
      <c r="AH14" s="265"/>
      <c r="AI14" s="265"/>
      <c r="AJ14" s="266"/>
      <c r="AK14" s="265"/>
      <c r="AL14" s="265"/>
      <c r="AM14" s="265"/>
      <c r="AN14" s="265"/>
      <c r="AO14" s="264"/>
      <c r="AP14" s="265"/>
      <c r="AQ14" s="265"/>
      <c r="AR14" s="265"/>
      <c r="AS14" s="265"/>
      <c r="AT14" s="266"/>
      <c r="AU14" s="265"/>
      <c r="AV14" s="265"/>
      <c r="AW14" s="265"/>
      <c r="AX14" s="265"/>
      <c r="AY14" s="266"/>
      <c r="AZ14" s="265"/>
      <c r="BA14" s="265"/>
      <c r="BB14" s="265"/>
      <c r="BC14" s="265"/>
      <c r="BD14" s="264"/>
      <c r="BE14" s="265"/>
      <c r="BF14" s="265"/>
      <c r="BG14" s="265"/>
      <c r="BH14" s="265"/>
      <c r="BI14" s="264"/>
      <c r="BJ14" s="265"/>
      <c r="BK14" s="265"/>
      <c r="BL14" s="265"/>
      <c r="BM14" s="265"/>
      <c r="BN14" s="264"/>
      <c r="BO14" s="265"/>
      <c r="BP14" s="265"/>
      <c r="BQ14" s="265"/>
      <c r="BR14" s="265"/>
      <c r="BS14" s="264"/>
      <c r="BT14" s="265"/>
      <c r="BU14" s="265"/>
      <c r="BV14" s="265"/>
      <c r="BW14" s="265"/>
      <c r="BX14" s="264"/>
      <c r="BY14" s="1100"/>
      <c r="BZ14" s="1100"/>
      <c r="CA14" s="1100"/>
      <c r="CB14" s="1100"/>
      <c r="CC14" s="264"/>
      <c r="CD14" s="264">
        <f>CD15+CD16</f>
        <v>13</v>
      </c>
      <c r="CE14" s="264">
        <f>CE15+CE16</f>
        <v>118</v>
      </c>
      <c r="CF14" s="264">
        <f>CF15+CF16</f>
        <v>273.75</v>
      </c>
      <c r="CG14" s="264">
        <f>CG15+CG16</f>
        <v>431.25</v>
      </c>
      <c r="CH14" s="264">
        <f>CH15+CH16</f>
        <v>531.9375</v>
      </c>
    </row>
    <row r="15" spans="1:154" ht="13.5">
      <c r="A15" s="85"/>
      <c r="B15" s="85"/>
      <c r="C15" s="85"/>
      <c r="D15" s="85"/>
      <c r="E15" s="85"/>
      <c r="F15" s="85"/>
      <c r="G15" s="85"/>
      <c r="H15" s="613" t="s">
        <v>231</v>
      </c>
      <c r="I15" s="259"/>
      <c r="J15" s="259"/>
      <c r="K15" s="79"/>
      <c r="L15" s="258"/>
      <c r="M15" s="258"/>
      <c r="N15" s="258"/>
      <c r="O15" s="258"/>
      <c r="P15" s="79"/>
      <c r="Q15" s="258"/>
      <c r="R15" s="258"/>
      <c r="S15" s="258"/>
      <c r="T15" s="258"/>
      <c r="U15" s="79"/>
      <c r="V15" s="258"/>
      <c r="W15" s="258"/>
      <c r="X15" s="258"/>
      <c r="Y15" s="258"/>
      <c r="Z15" s="79"/>
      <c r="AA15" s="258"/>
      <c r="AB15" s="258"/>
      <c r="AC15" s="258"/>
      <c r="AD15" s="258"/>
      <c r="AE15" s="79"/>
      <c r="AF15" s="258"/>
      <c r="AG15" s="258"/>
      <c r="AH15" s="258"/>
      <c r="AI15" s="258"/>
      <c r="AJ15" s="259"/>
      <c r="AK15" s="258"/>
      <c r="AL15" s="258"/>
      <c r="AM15" s="258"/>
      <c r="AN15" s="258"/>
      <c r="AO15" s="79"/>
      <c r="AP15" s="258"/>
      <c r="AQ15" s="258"/>
      <c r="AR15" s="258"/>
      <c r="AS15" s="258"/>
      <c r="AT15" s="78"/>
      <c r="AU15" s="258"/>
      <c r="AV15" s="258"/>
      <c r="AW15" s="258"/>
      <c r="AX15" s="258"/>
      <c r="AY15" s="78"/>
      <c r="AZ15" s="258"/>
      <c r="BA15" s="258"/>
      <c r="BB15" s="258"/>
      <c r="BC15" s="258"/>
      <c r="BD15" s="78"/>
      <c r="BE15" s="258"/>
      <c r="BF15" s="258"/>
      <c r="BG15" s="258"/>
      <c r="BH15" s="258"/>
      <c r="BI15" s="79"/>
      <c r="BJ15" s="258"/>
      <c r="BK15" s="258"/>
      <c r="BL15" s="258"/>
      <c r="BM15" s="258"/>
      <c r="BN15" s="79"/>
      <c r="BO15" s="258"/>
      <c r="BP15" s="258"/>
      <c r="BQ15" s="258"/>
      <c r="BR15" s="258"/>
      <c r="BS15" s="79"/>
      <c r="BT15" s="258"/>
      <c r="BU15" s="258"/>
      <c r="BV15" s="258"/>
      <c r="BW15" s="258"/>
      <c r="BX15" s="79"/>
      <c r="BY15" s="1101"/>
      <c r="BZ15" s="1101"/>
      <c r="CA15" s="1101"/>
      <c r="CB15" s="1101"/>
      <c r="CC15" s="78"/>
      <c r="CD15" s="78">
        <v>10</v>
      </c>
      <c r="CE15" s="79">
        <f t="shared" ref="CE15:CH16" si="3">CD15*(1+CE55)</f>
        <v>85</v>
      </c>
      <c r="CF15" s="79">
        <f t="shared" si="3"/>
        <v>191.25</v>
      </c>
      <c r="CG15" s="79">
        <f t="shared" si="3"/>
        <v>286.875</v>
      </c>
      <c r="CH15" s="79">
        <f t="shared" si="3"/>
        <v>344.25</v>
      </c>
    </row>
    <row r="16" spans="1:154" ht="13.5">
      <c r="A16" s="85"/>
      <c r="B16" s="85"/>
      <c r="C16" s="85"/>
      <c r="D16" s="85"/>
      <c r="E16" s="85"/>
      <c r="F16" s="85"/>
      <c r="G16" s="85"/>
      <c r="H16" s="613" t="s">
        <v>232</v>
      </c>
      <c r="I16" s="259"/>
      <c r="J16" s="259"/>
      <c r="K16" s="79"/>
      <c r="L16" s="258"/>
      <c r="M16" s="258"/>
      <c r="N16" s="258"/>
      <c r="O16" s="258"/>
      <c r="P16" s="79"/>
      <c r="Q16" s="258"/>
      <c r="R16" s="258"/>
      <c r="S16" s="258"/>
      <c r="T16" s="258"/>
      <c r="U16" s="79"/>
      <c r="V16" s="258"/>
      <c r="W16" s="258"/>
      <c r="X16" s="258"/>
      <c r="Y16" s="258"/>
      <c r="Z16" s="79"/>
      <c r="AA16" s="258"/>
      <c r="AB16" s="258"/>
      <c r="AC16" s="258"/>
      <c r="AD16" s="258"/>
      <c r="AE16" s="79"/>
      <c r="AF16" s="258"/>
      <c r="AG16" s="258"/>
      <c r="AH16" s="258"/>
      <c r="AI16" s="258"/>
      <c r="AJ16" s="259"/>
      <c r="AK16" s="258"/>
      <c r="AL16" s="258"/>
      <c r="AM16" s="258"/>
      <c r="AN16" s="258"/>
      <c r="AO16" s="79"/>
      <c r="AP16" s="258"/>
      <c r="AQ16" s="258"/>
      <c r="AR16" s="258"/>
      <c r="AS16" s="258"/>
      <c r="AT16" s="78"/>
      <c r="AU16" s="258"/>
      <c r="AV16" s="258"/>
      <c r="AW16" s="258"/>
      <c r="AX16" s="258"/>
      <c r="AY16" s="78"/>
      <c r="AZ16" s="258"/>
      <c r="BA16" s="258"/>
      <c r="BB16" s="258"/>
      <c r="BC16" s="258"/>
      <c r="BD16" s="78"/>
      <c r="BE16" s="258"/>
      <c r="BF16" s="258"/>
      <c r="BG16" s="258"/>
      <c r="BH16" s="258"/>
      <c r="BI16" s="79"/>
      <c r="BJ16" s="258"/>
      <c r="BK16" s="258"/>
      <c r="BL16" s="258"/>
      <c r="BM16" s="258"/>
      <c r="BN16" s="79"/>
      <c r="BO16" s="258"/>
      <c r="BP16" s="258"/>
      <c r="BQ16" s="258"/>
      <c r="BR16" s="258"/>
      <c r="BS16" s="79"/>
      <c r="BT16" s="258"/>
      <c r="BU16" s="258"/>
      <c r="BV16" s="258"/>
      <c r="BW16" s="258"/>
      <c r="BX16" s="79"/>
      <c r="BY16" s="1101"/>
      <c r="BZ16" s="1101"/>
      <c r="CA16" s="1101"/>
      <c r="CB16" s="1101"/>
      <c r="CC16" s="78"/>
      <c r="CD16" s="78">
        <v>3</v>
      </c>
      <c r="CE16" s="79">
        <f t="shared" si="3"/>
        <v>33</v>
      </c>
      <c r="CF16" s="79">
        <f t="shared" si="3"/>
        <v>82.5</v>
      </c>
      <c r="CG16" s="79">
        <f t="shared" si="3"/>
        <v>144.375</v>
      </c>
      <c r="CH16" s="79">
        <f t="shared" si="3"/>
        <v>187.6875</v>
      </c>
    </row>
    <row r="17" spans="1:86" ht="13.5">
      <c r="A17" s="85"/>
      <c r="B17" s="85"/>
      <c r="C17" s="85"/>
      <c r="D17" s="85"/>
      <c r="E17" s="85"/>
      <c r="F17" s="85"/>
      <c r="G17" s="85"/>
      <c r="H17" s="612" t="s">
        <v>1013</v>
      </c>
      <c r="I17" s="266"/>
      <c r="J17" s="266"/>
      <c r="K17" s="264"/>
      <c r="L17" s="265"/>
      <c r="M17" s="265"/>
      <c r="N17" s="265"/>
      <c r="O17" s="265"/>
      <c r="P17" s="264"/>
      <c r="Q17" s="265"/>
      <c r="R17" s="265"/>
      <c r="S17" s="265"/>
      <c r="T17" s="265"/>
      <c r="U17" s="264"/>
      <c r="V17" s="265"/>
      <c r="W17" s="265"/>
      <c r="X17" s="265"/>
      <c r="Y17" s="265"/>
      <c r="Z17" s="264"/>
      <c r="AA17" s="265"/>
      <c r="AB17" s="265"/>
      <c r="AC17" s="265"/>
      <c r="AD17" s="265"/>
      <c r="AE17" s="264"/>
      <c r="AF17" s="265"/>
      <c r="AG17" s="265"/>
      <c r="AH17" s="265"/>
      <c r="AI17" s="265"/>
      <c r="AJ17" s="266"/>
      <c r="AK17" s="265"/>
      <c r="AL17" s="265"/>
      <c r="AM17" s="265"/>
      <c r="AN17" s="265"/>
      <c r="AO17" s="264"/>
      <c r="AP17" s="265"/>
      <c r="AQ17" s="265"/>
      <c r="AR17" s="265"/>
      <c r="AS17" s="265"/>
      <c r="AT17" s="266"/>
      <c r="AU17" s="265"/>
      <c r="AV17" s="265"/>
      <c r="AW17" s="265"/>
      <c r="AX17" s="265"/>
      <c r="AY17" s="266"/>
      <c r="AZ17" s="265"/>
      <c r="BA17" s="265"/>
      <c r="BB17" s="265"/>
      <c r="BC17" s="265"/>
      <c r="BD17" s="264"/>
      <c r="BE17" s="265"/>
      <c r="BF17" s="265"/>
      <c r="BG17" s="265"/>
      <c r="BH17" s="265"/>
      <c r="BI17" s="264"/>
      <c r="BJ17" s="265"/>
      <c r="BK17" s="265"/>
      <c r="BL17" s="265"/>
      <c r="BM17" s="265"/>
      <c r="BN17" s="264"/>
      <c r="BO17" s="265"/>
      <c r="BP17" s="265"/>
      <c r="BQ17" s="265"/>
      <c r="BR17" s="265"/>
      <c r="BS17" s="264"/>
      <c r="BT17" s="265"/>
      <c r="BU17" s="265"/>
      <c r="BV17" s="265"/>
      <c r="BW17" s="265"/>
      <c r="BX17" s="264"/>
      <c r="BY17" s="1100"/>
      <c r="BZ17" s="1100"/>
      <c r="CA17" s="1100"/>
      <c r="CB17" s="1100"/>
      <c r="CC17" s="264"/>
      <c r="CD17" s="264">
        <f>CD18+CD19</f>
        <v>5</v>
      </c>
      <c r="CE17" s="264">
        <f>CE18+CE19</f>
        <v>855</v>
      </c>
      <c r="CF17" s="264">
        <f>CF18+CF19</f>
        <v>2514</v>
      </c>
      <c r="CG17" s="264">
        <f>CG18+CG19</f>
        <v>4399.5</v>
      </c>
      <c r="CH17" s="264">
        <f>CH18+CH19</f>
        <v>5587.2250000000004</v>
      </c>
    </row>
    <row r="18" spans="1:86" ht="13.5">
      <c r="A18" s="85"/>
      <c r="B18" s="85"/>
      <c r="C18" s="85"/>
      <c r="D18" s="85"/>
      <c r="E18" s="85"/>
      <c r="F18" s="85"/>
      <c r="G18" s="85"/>
      <c r="H18" s="613" t="s">
        <v>231</v>
      </c>
      <c r="I18" s="259"/>
      <c r="J18" s="259"/>
      <c r="K18" s="79"/>
      <c r="L18" s="258"/>
      <c r="M18" s="258"/>
      <c r="N18" s="258"/>
      <c r="O18" s="258"/>
      <c r="P18" s="79"/>
      <c r="Q18" s="258"/>
      <c r="R18" s="258"/>
      <c r="S18" s="258"/>
      <c r="T18" s="258"/>
      <c r="U18" s="79"/>
      <c r="V18" s="258"/>
      <c r="W18" s="258"/>
      <c r="X18" s="258"/>
      <c r="Y18" s="258"/>
      <c r="Z18" s="79"/>
      <c r="AA18" s="258"/>
      <c r="AB18" s="258"/>
      <c r="AC18" s="258"/>
      <c r="AD18" s="258"/>
      <c r="AE18" s="79"/>
      <c r="AF18" s="258"/>
      <c r="AG18" s="258"/>
      <c r="AH18" s="258"/>
      <c r="AI18" s="258"/>
      <c r="AJ18" s="259"/>
      <c r="AK18" s="258"/>
      <c r="AL18" s="258"/>
      <c r="AM18" s="258"/>
      <c r="AN18" s="258"/>
      <c r="AO18" s="79"/>
      <c r="AP18" s="258"/>
      <c r="AQ18" s="258"/>
      <c r="AR18" s="258"/>
      <c r="AS18" s="258"/>
      <c r="AT18" s="78"/>
      <c r="AU18" s="258"/>
      <c r="AV18" s="258"/>
      <c r="AW18" s="258"/>
      <c r="AX18" s="258"/>
      <c r="AY18" s="78"/>
      <c r="AZ18" s="258"/>
      <c r="BA18" s="258"/>
      <c r="BB18" s="258"/>
      <c r="BC18" s="258"/>
      <c r="BD18" s="78"/>
      <c r="BE18" s="258"/>
      <c r="BF18" s="258"/>
      <c r="BG18" s="258"/>
      <c r="BH18" s="258"/>
      <c r="BI18" s="79"/>
      <c r="BJ18" s="258"/>
      <c r="BK18" s="258"/>
      <c r="BL18" s="258"/>
      <c r="BM18" s="258"/>
      <c r="BN18" s="79"/>
      <c r="BO18" s="258"/>
      <c r="BP18" s="258"/>
      <c r="BQ18" s="258"/>
      <c r="BR18" s="258"/>
      <c r="BS18" s="79"/>
      <c r="BT18" s="258"/>
      <c r="BU18" s="258"/>
      <c r="BV18" s="258"/>
      <c r="BW18" s="258"/>
      <c r="BX18" s="79"/>
      <c r="BY18" s="1101"/>
      <c r="BZ18" s="1101"/>
      <c r="CA18" s="1101"/>
      <c r="CB18" s="1101"/>
      <c r="CC18" s="78"/>
      <c r="CD18" s="78">
        <v>4</v>
      </c>
      <c r="CE18" s="79">
        <f t="shared" ref="CE18:CH19" si="4">CD18*(1+CE58)</f>
        <v>604</v>
      </c>
      <c r="CF18" s="79">
        <f t="shared" si="4"/>
        <v>1510</v>
      </c>
      <c r="CG18" s="79">
        <f t="shared" si="4"/>
        <v>2642.5</v>
      </c>
      <c r="CH18" s="79">
        <f t="shared" si="4"/>
        <v>3303.125</v>
      </c>
    </row>
    <row r="19" spans="1:86" ht="13.5">
      <c r="A19" s="85"/>
      <c r="B19" s="85"/>
      <c r="C19" s="85"/>
      <c r="D19" s="85"/>
      <c r="E19" s="85"/>
      <c r="F19" s="85"/>
      <c r="G19" s="85"/>
      <c r="H19" s="613" t="s">
        <v>232</v>
      </c>
      <c r="I19" s="259"/>
      <c r="J19" s="259"/>
      <c r="K19" s="79"/>
      <c r="L19" s="258"/>
      <c r="M19" s="258"/>
      <c r="N19" s="258"/>
      <c r="O19" s="258"/>
      <c r="P19" s="79"/>
      <c r="Q19" s="258"/>
      <c r="R19" s="258"/>
      <c r="S19" s="258"/>
      <c r="T19" s="258"/>
      <c r="U19" s="79"/>
      <c r="V19" s="258"/>
      <c r="W19" s="258"/>
      <c r="X19" s="258"/>
      <c r="Y19" s="258"/>
      <c r="Z19" s="79"/>
      <c r="AA19" s="258"/>
      <c r="AB19" s="258"/>
      <c r="AC19" s="258"/>
      <c r="AD19" s="258"/>
      <c r="AE19" s="79"/>
      <c r="AF19" s="258"/>
      <c r="AG19" s="258"/>
      <c r="AH19" s="258"/>
      <c r="AI19" s="258"/>
      <c r="AJ19" s="259"/>
      <c r="AK19" s="258"/>
      <c r="AL19" s="258"/>
      <c r="AM19" s="258"/>
      <c r="AN19" s="258"/>
      <c r="AO19" s="79"/>
      <c r="AP19" s="258"/>
      <c r="AQ19" s="258"/>
      <c r="AR19" s="258"/>
      <c r="AS19" s="258"/>
      <c r="AT19" s="78"/>
      <c r="AU19" s="258"/>
      <c r="AV19" s="258"/>
      <c r="AW19" s="258"/>
      <c r="AX19" s="258"/>
      <c r="AY19" s="78"/>
      <c r="AZ19" s="258"/>
      <c r="BA19" s="258"/>
      <c r="BB19" s="258"/>
      <c r="BC19" s="258"/>
      <c r="BD19" s="78"/>
      <c r="BE19" s="258"/>
      <c r="BF19" s="258"/>
      <c r="BG19" s="258"/>
      <c r="BH19" s="258"/>
      <c r="BI19" s="79"/>
      <c r="BJ19" s="258"/>
      <c r="BK19" s="258"/>
      <c r="BL19" s="258"/>
      <c r="BM19" s="258"/>
      <c r="BN19" s="79"/>
      <c r="BO19" s="258"/>
      <c r="BP19" s="258"/>
      <c r="BQ19" s="258"/>
      <c r="BR19" s="258"/>
      <c r="BS19" s="79"/>
      <c r="BT19" s="258"/>
      <c r="BU19" s="258"/>
      <c r="BV19" s="258"/>
      <c r="BW19" s="258"/>
      <c r="BX19" s="79"/>
      <c r="BY19" s="1101"/>
      <c r="BZ19" s="1101"/>
      <c r="CA19" s="1101"/>
      <c r="CB19" s="1101"/>
      <c r="CC19" s="78"/>
      <c r="CD19" s="78">
        <v>1</v>
      </c>
      <c r="CE19" s="79">
        <f t="shared" si="4"/>
        <v>251</v>
      </c>
      <c r="CF19" s="79">
        <f t="shared" si="4"/>
        <v>1004</v>
      </c>
      <c r="CG19" s="79">
        <f t="shared" si="4"/>
        <v>1757</v>
      </c>
      <c r="CH19" s="79">
        <f t="shared" si="4"/>
        <v>2284.1</v>
      </c>
    </row>
    <row r="20" spans="1:86" ht="13.5">
      <c r="A20" s="85"/>
      <c r="B20" s="85"/>
      <c r="C20" s="85"/>
      <c r="D20" s="85"/>
      <c r="E20" s="85"/>
      <c r="F20" s="85"/>
      <c r="G20" s="85"/>
      <c r="H20" s="612" t="s">
        <v>1052</v>
      </c>
      <c r="I20" s="264"/>
      <c r="J20" s="264"/>
      <c r="K20" s="264"/>
      <c r="L20" s="265"/>
      <c r="M20" s="265"/>
      <c r="N20" s="265"/>
      <c r="O20" s="265"/>
      <c r="P20" s="264"/>
      <c r="Q20" s="265"/>
      <c r="R20" s="265"/>
      <c r="S20" s="265"/>
      <c r="T20" s="265"/>
      <c r="U20" s="264"/>
      <c r="V20" s="265"/>
      <c r="W20" s="265"/>
      <c r="X20" s="265"/>
      <c r="Y20" s="265"/>
      <c r="Z20" s="264"/>
      <c r="AA20" s="265"/>
      <c r="AB20" s="265"/>
      <c r="AC20" s="265"/>
      <c r="AD20" s="265"/>
      <c r="AE20" s="264"/>
      <c r="AF20" s="265"/>
      <c r="AG20" s="265"/>
      <c r="AH20" s="265"/>
      <c r="AI20" s="265"/>
      <c r="AJ20" s="264"/>
      <c r="AK20" s="265"/>
      <c r="AL20" s="265"/>
      <c r="AM20" s="265"/>
      <c r="AN20" s="265"/>
      <c r="AO20" s="264"/>
      <c r="AP20" s="265"/>
      <c r="AQ20" s="265"/>
      <c r="AR20" s="265"/>
      <c r="AS20" s="265"/>
      <c r="AT20" s="264"/>
      <c r="AU20" s="265"/>
      <c r="AV20" s="265"/>
      <c r="AW20" s="265"/>
      <c r="AX20" s="265"/>
      <c r="AY20" s="264"/>
      <c r="AZ20" s="265"/>
      <c r="BA20" s="265"/>
      <c r="BB20" s="265"/>
      <c r="BC20" s="265"/>
      <c r="BD20" s="264"/>
      <c r="BE20" s="265"/>
      <c r="BF20" s="265"/>
      <c r="BG20" s="265"/>
      <c r="BH20" s="265"/>
      <c r="BI20" s="264"/>
      <c r="BJ20" s="258"/>
      <c r="BK20" s="258"/>
      <c r="BL20" s="258"/>
      <c r="BM20" s="258"/>
      <c r="BN20" s="264"/>
      <c r="BO20" s="258"/>
      <c r="BP20" s="258"/>
      <c r="BQ20" s="258"/>
      <c r="BR20" s="1100"/>
      <c r="BS20" s="264"/>
      <c r="BT20" s="258"/>
      <c r="BU20" s="258"/>
      <c r="BV20" s="258"/>
      <c r="BW20" s="258"/>
      <c r="BX20" s="264"/>
      <c r="BY20" s="1100"/>
      <c r="BZ20" s="1100"/>
      <c r="CA20" s="1100">
        <f t="shared" ref="CA20:CH20" si="5">CA21+CA22</f>
        <v>5</v>
      </c>
      <c r="CB20" s="1100">
        <f t="shared" si="5"/>
        <v>15</v>
      </c>
      <c r="CC20" s="264">
        <f t="shared" si="5"/>
        <v>20</v>
      </c>
      <c r="CD20" s="264">
        <f t="shared" si="5"/>
        <v>120</v>
      </c>
      <c r="CE20" s="264">
        <f t="shared" si="5"/>
        <v>270</v>
      </c>
      <c r="CF20" s="264">
        <f t="shared" si="5"/>
        <v>432</v>
      </c>
      <c r="CG20" s="264">
        <f t="shared" si="5"/>
        <v>540</v>
      </c>
      <c r="CH20" s="264">
        <f t="shared" si="5"/>
        <v>621</v>
      </c>
    </row>
    <row r="21" spans="1:86" ht="13.5">
      <c r="A21" s="85"/>
      <c r="B21" s="85"/>
      <c r="C21" s="85"/>
      <c r="D21" s="85"/>
      <c r="E21" s="85"/>
      <c r="F21" s="85"/>
      <c r="G21" s="85"/>
      <c r="H21" s="613" t="s">
        <v>231</v>
      </c>
      <c r="I21" s="259"/>
      <c r="J21" s="259"/>
      <c r="K21" s="79"/>
      <c r="L21" s="269"/>
      <c r="M21" s="269"/>
      <c r="N21" s="269"/>
      <c r="O21" s="269"/>
      <c r="P21" s="78"/>
      <c r="Q21" s="269"/>
      <c r="R21" s="269"/>
      <c r="S21" s="269"/>
      <c r="T21" s="269"/>
      <c r="U21" s="78"/>
      <c r="V21" s="269"/>
      <c r="W21" s="269"/>
      <c r="X21" s="269"/>
      <c r="Y21" s="269"/>
      <c r="Z21" s="78"/>
      <c r="AA21" s="269"/>
      <c r="AB21" s="269"/>
      <c r="AC21" s="269"/>
      <c r="AD21" s="269"/>
      <c r="AE21" s="78"/>
      <c r="AF21" s="269"/>
      <c r="AG21" s="269"/>
      <c r="AH21" s="269"/>
      <c r="AI21" s="269"/>
      <c r="AJ21" s="78"/>
      <c r="AK21" s="269"/>
      <c r="AL21" s="269"/>
      <c r="AM21" s="269"/>
      <c r="AN21" s="269"/>
      <c r="AO21" s="79"/>
      <c r="AP21" s="269"/>
      <c r="AQ21" s="269"/>
      <c r="AR21" s="269"/>
      <c r="AS21" s="269"/>
      <c r="AT21" s="78"/>
      <c r="AU21" s="269"/>
      <c r="AV21" s="269"/>
      <c r="AW21" s="269"/>
      <c r="AX21" s="269"/>
      <c r="AY21" s="79"/>
      <c r="AZ21" s="269"/>
      <c r="BA21" s="269"/>
      <c r="BB21" s="269"/>
      <c r="BC21" s="269"/>
      <c r="BD21" s="79"/>
      <c r="BE21" s="269"/>
      <c r="BF21" s="269"/>
      <c r="BG21" s="269"/>
      <c r="BH21" s="269"/>
      <c r="BI21" s="78"/>
      <c r="BJ21" s="258"/>
      <c r="BK21" s="258"/>
      <c r="BL21" s="258"/>
      <c r="BM21" s="258"/>
      <c r="BN21" s="78"/>
      <c r="BO21" s="258"/>
      <c r="BP21" s="258"/>
      <c r="BQ21" s="258"/>
      <c r="BR21" s="1101"/>
      <c r="BS21" s="79"/>
      <c r="BT21" s="258"/>
      <c r="BU21" s="258"/>
      <c r="BV21" s="1039"/>
      <c r="BW21" s="1039"/>
      <c r="BX21" s="79"/>
      <c r="BY21" s="1101"/>
      <c r="BZ21" s="1101"/>
      <c r="CA21" s="1101">
        <v>5</v>
      </c>
      <c r="CB21" s="1101">
        <v>15</v>
      </c>
      <c r="CC21" s="79">
        <f>SUM(BY21:CB21)</f>
        <v>20</v>
      </c>
      <c r="CD21" s="79">
        <f>CC21*(1+CD61)</f>
        <v>120</v>
      </c>
      <c r="CE21" s="79">
        <f>CD21*(1+CE61)</f>
        <v>270</v>
      </c>
      <c r="CF21" s="79">
        <f>CE21*(1+CF61)</f>
        <v>432</v>
      </c>
      <c r="CG21" s="79">
        <f>CF21*(1+CG61)</f>
        <v>540</v>
      </c>
      <c r="CH21" s="79">
        <f>CG21*(1+CH61)</f>
        <v>621</v>
      </c>
    </row>
    <row r="22" spans="1:86" ht="13.5">
      <c r="A22" s="85"/>
      <c r="B22" s="85"/>
      <c r="C22" s="85"/>
      <c r="D22" s="85"/>
      <c r="E22" s="85"/>
      <c r="F22" s="85"/>
      <c r="G22" s="85"/>
      <c r="H22" s="613" t="s">
        <v>232</v>
      </c>
      <c r="I22" s="259"/>
      <c r="J22" s="259"/>
      <c r="K22" s="79"/>
      <c r="L22" s="269"/>
      <c r="M22" s="269"/>
      <c r="N22" s="269"/>
      <c r="O22" s="269"/>
      <c r="P22" s="78"/>
      <c r="Q22" s="269"/>
      <c r="R22" s="269"/>
      <c r="S22" s="269"/>
      <c r="T22" s="269"/>
      <c r="U22" s="78"/>
      <c r="V22" s="269"/>
      <c r="W22" s="269"/>
      <c r="X22" s="269"/>
      <c r="Y22" s="269"/>
      <c r="Z22" s="78"/>
      <c r="AA22" s="269"/>
      <c r="AB22" s="269"/>
      <c r="AC22" s="269"/>
      <c r="AD22" s="269"/>
      <c r="AE22" s="78"/>
      <c r="AF22" s="269"/>
      <c r="AG22" s="269"/>
      <c r="AH22" s="269"/>
      <c r="AI22" s="269"/>
      <c r="AJ22" s="78"/>
      <c r="AK22" s="269"/>
      <c r="AL22" s="269"/>
      <c r="AM22" s="269"/>
      <c r="AN22" s="269"/>
      <c r="AO22" s="79"/>
      <c r="AP22" s="269"/>
      <c r="AQ22" s="269"/>
      <c r="AR22" s="269"/>
      <c r="AS22" s="269"/>
      <c r="AT22" s="78"/>
      <c r="AU22" s="269"/>
      <c r="AV22" s="269"/>
      <c r="AW22" s="269"/>
      <c r="AX22" s="269"/>
      <c r="AY22" s="79"/>
      <c r="AZ22" s="269"/>
      <c r="BA22" s="269"/>
      <c r="BB22" s="269"/>
      <c r="BC22" s="269"/>
      <c r="BD22" s="79"/>
      <c r="BE22" s="269"/>
      <c r="BF22" s="269"/>
      <c r="BG22" s="269"/>
      <c r="BH22" s="269"/>
      <c r="BI22" s="78"/>
      <c r="BJ22" s="258"/>
      <c r="BK22" s="258"/>
      <c r="BL22" s="258"/>
      <c r="BM22" s="258"/>
      <c r="BN22" s="78"/>
      <c r="BO22" s="258"/>
      <c r="BP22" s="258"/>
      <c r="BQ22" s="258"/>
      <c r="BR22" s="1101"/>
      <c r="BS22" s="79"/>
      <c r="BT22" s="258"/>
      <c r="BU22" s="258"/>
      <c r="BV22" s="1039"/>
      <c r="BW22" s="1039"/>
      <c r="BX22" s="79"/>
      <c r="BY22" s="1217"/>
      <c r="BZ22" s="1217"/>
      <c r="CA22" s="1217"/>
      <c r="CB22" s="1217"/>
      <c r="CC22" s="79"/>
      <c r="CD22" s="79"/>
      <c r="CE22" s="79"/>
      <c r="CF22" s="79"/>
      <c r="CG22" s="79"/>
      <c r="CH22" s="79"/>
    </row>
    <row r="23" spans="1:86" s="63" customFormat="1" ht="13.5">
      <c r="A23" s="302"/>
      <c r="B23" s="302"/>
      <c r="C23" s="302"/>
      <c r="D23" s="302"/>
      <c r="E23" s="302"/>
      <c r="F23" s="302"/>
      <c r="G23" s="302"/>
      <c r="H23" s="1253" t="s">
        <v>1089</v>
      </c>
      <c r="BE23" s="996"/>
      <c r="BF23" s="996"/>
      <c r="BG23" s="996"/>
      <c r="BH23" s="996"/>
      <c r="BJ23" s="258"/>
      <c r="BK23" s="258"/>
      <c r="BL23" s="258"/>
      <c r="BM23" s="258"/>
      <c r="BO23" s="258"/>
      <c r="BP23" s="258"/>
      <c r="BQ23" s="258"/>
      <c r="BR23" s="258"/>
      <c r="BT23" s="258"/>
      <c r="BU23" s="258"/>
      <c r="BV23" s="258"/>
      <c r="BW23" s="258"/>
      <c r="BY23" s="258"/>
      <c r="BZ23" s="258"/>
      <c r="CA23" s="258"/>
      <c r="CB23" s="258"/>
      <c r="CC23" s="264"/>
      <c r="CD23" s="264"/>
      <c r="CE23" s="264">
        <f>CE24+CE25</f>
        <v>95</v>
      </c>
      <c r="CF23" s="264">
        <f>CF24+CF25</f>
        <v>515</v>
      </c>
      <c r="CG23" s="264">
        <f>CG24+CG25</f>
        <v>1100</v>
      </c>
      <c r="CH23" s="264">
        <f>CH24+CH25</f>
        <v>1737.5</v>
      </c>
    </row>
    <row r="24" spans="1:86" s="63" customFormat="1" ht="13.5">
      <c r="A24" s="302"/>
      <c r="B24" s="302"/>
      <c r="C24" s="302"/>
      <c r="D24" s="302"/>
      <c r="E24" s="302"/>
      <c r="F24" s="302"/>
      <c r="G24" s="302"/>
      <c r="H24" s="613" t="s">
        <v>231</v>
      </c>
      <c r="BE24" s="996"/>
      <c r="BF24" s="996"/>
      <c r="BG24" s="996"/>
      <c r="BH24" s="996"/>
      <c r="BJ24" s="258"/>
      <c r="BK24" s="258"/>
      <c r="BL24" s="258"/>
      <c r="BM24" s="258"/>
      <c r="BO24" s="258"/>
      <c r="BP24" s="258"/>
      <c r="BQ24" s="258"/>
      <c r="BR24" s="258"/>
      <c r="BT24" s="258"/>
      <c r="BU24" s="258"/>
      <c r="BV24" s="258"/>
      <c r="BW24" s="258"/>
      <c r="BY24" s="258"/>
      <c r="BZ24" s="258"/>
      <c r="CA24" s="258"/>
      <c r="CB24" s="258"/>
      <c r="CC24" s="78"/>
      <c r="CD24" s="79"/>
      <c r="CE24" s="1254">
        <v>75</v>
      </c>
      <c r="CF24" s="79">
        <f t="shared" ref="CF24:CH25" si="6">CE24*(1+CF64)</f>
        <v>375</v>
      </c>
      <c r="CG24" s="79">
        <f t="shared" si="6"/>
        <v>750</v>
      </c>
      <c r="CH24" s="79">
        <f t="shared" si="6"/>
        <v>1125</v>
      </c>
    </row>
    <row r="25" spans="1:86" s="63" customFormat="1" ht="13.5">
      <c r="A25" s="302"/>
      <c r="B25" s="302"/>
      <c r="C25" s="302"/>
      <c r="D25" s="302"/>
      <c r="E25" s="302"/>
      <c r="F25" s="302"/>
      <c r="G25" s="302"/>
      <c r="H25" s="613" t="s">
        <v>232</v>
      </c>
      <c r="BE25" s="996"/>
      <c r="BF25" s="996"/>
      <c r="BG25" s="996"/>
      <c r="BH25" s="996"/>
      <c r="BJ25" s="258"/>
      <c r="BK25" s="258"/>
      <c r="BL25" s="258"/>
      <c r="BM25" s="258"/>
      <c r="BO25" s="258"/>
      <c r="BP25" s="258"/>
      <c r="BQ25" s="258"/>
      <c r="BR25" s="258"/>
      <c r="BT25" s="258"/>
      <c r="BU25" s="258"/>
      <c r="BV25" s="258"/>
      <c r="BW25" s="258"/>
      <c r="BY25" s="258"/>
      <c r="BZ25" s="258"/>
      <c r="CA25" s="258"/>
      <c r="CB25" s="258"/>
      <c r="CC25" s="78"/>
      <c r="CD25" s="79"/>
      <c r="CE25" s="1254">
        <v>20</v>
      </c>
      <c r="CF25" s="79">
        <f t="shared" si="6"/>
        <v>140</v>
      </c>
      <c r="CG25" s="79">
        <f t="shared" si="6"/>
        <v>350</v>
      </c>
      <c r="CH25" s="79">
        <f t="shared" si="6"/>
        <v>612.5</v>
      </c>
    </row>
    <row r="26" spans="1:86" s="63" customFormat="1" ht="13.5">
      <c r="A26" s="302"/>
      <c r="B26" s="302"/>
      <c r="C26" s="302"/>
      <c r="D26" s="302"/>
      <c r="E26" s="302"/>
      <c r="F26" s="302"/>
      <c r="G26" s="302"/>
      <c r="H26" s="612" t="s">
        <v>1026</v>
      </c>
      <c r="BE26" s="996"/>
      <c r="BF26" s="996"/>
      <c r="BG26" s="996"/>
      <c r="BH26" s="996"/>
      <c r="BJ26" s="258"/>
      <c r="BK26" s="258"/>
      <c r="BL26" s="258"/>
      <c r="BM26" s="258"/>
      <c r="BO26" s="258"/>
      <c r="BP26" s="258"/>
      <c r="BQ26" s="258"/>
      <c r="BR26" s="258"/>
      <c r="BT26" s="258"/>
      <c r="BU26" s="258"/>
      <c r="BV26" s="258"/>
      <c r="BW26" s="258"/>
      <c r="BY26" s="258"/>
      <c r="BZ26" s="258"/>
      <c r="CA26" s="258"/>
      <c r="CB26" s="258"/>
      <c r="CC26" s="264"/>
      <c r="CD26" s="264"/>
      <c r="CE26" s="264">
        <f>CE27+CE28</f>
        <v>400</v>
      </c>
      <c r="CF26" s="264">
        <f>CF27+CF28</f>
        <v>1500</v>
      </c>
      <c r="CG26" s="264">
        <f>CG27+CG28</f>
        <v>3000</v>
      </c>
      <c r="CH26" s="264">
        <f>CH27+CH28</f>
        <v>4500</v>
      </c>
    </row>
    <row r="27" spans="1:86" s="63" customFormat="1" ht="13.5">
      <c r="A27" s="302"/>
      <c r="B27" s="302"/>
      <c r="C27" s="302"/>
      <c r="D27" s="302"/>
      <c r="E27" s="302"/>
      <c r="F27" s="302"/>
      <c r="G27" s="302"/>
      <c r="H27" s="613" t="s">
        <v>231</v>
      </c>
      <c r="BE27" s="996"/>
      <c r="BF27" s="996"/>
      <c r="BG27" s="996"/>
      <c r="BH27" s="996"/>
      <c r="BJ27" s="258"/>
      <c r="BK27" s="258"/>
      <c r="BL27" s="258"/>
      <c r="BM27" s="258"/>
      <c r="BO27" s="258"/>
      <c r="BP27" s="258"/>
      <c r="BQ27" s="258"/>
      <c r="BR27" s="258"/>
      <c r="BT27" s="258"/>
      <c r="BU27" s="258"/>
      <c r="BV27" s="258"/>
      <c r="BW27" s="258"/>
      <c r="BY27" s="258"/>
      <c r="BZ27" s="258"/>
      <c r="CA27" s="258"/>
      <c r="CB27" s="258"/>
      <c r="CC27" s="78"/>
      <c r="CD27" s="79"/>
      <c r="CE27" s="78">
        <v>300</v>
      </c>
      <c r="CF27" s="79">
        <f t="shared" ref="CF27:CH28" si="7">CE27*(1+CF67)</f>
        <v>900</v>
      </c>
      <c r="CG27" s="79">
        <f t="shared" si="7"/>
        <v>1800</v>
      </c>
      <c r="CH27" s="79">
        <f t="shared" si="7"/>
        <v>2700</v>
      </c>
    </row>
    <row r="28" spans="1:86" s="63" customFormat="1" ht="13.5">
      <c r="A28" s="302"/>
      <c r="B28" s="302"/>
      <c r="C28" s="302"/>
      <c r="D28" s="302"/>
      <c r="E28" s="302"/>
      <c r="F28" s="302"/>
      <c r="G28" s="302"/>
      <c r="H28" s="613" t="s">
        <v>232</v>
      </c>
      <c r="BE28" s="996"/>
      <c r="BF28" s="996"/>
      <c r="BG28" s="996"/>
      <c r="BH28" s="996"/>
      <c r="BJ28" s="258"/>
      <c r="BK28" s="258"/>
      <c r="BL28" s="258"/>
      <c r="BM28" s="258"/>
      <c r="BO28" s="258"/>
      <c r="BP28" s="258"/>
      <c r="BQ28" s="258"/>
      <c r="BR28" s="258"/>
      <c r="BT28" s="258"/>
      <c r="BU28" s="258"/>
      <c r="BV28" s="258"/>
      <c r="BW28" s="258"/>
      <c r="BY28" s="258"/>
      <c r="BZ28" s="258"/>
      <c r="CA28" s="258"/>
      <c r="CB28" s="258"/>
      <c r="CC28" s="78"/>
      <c r="CD28" s="79"/>
      <c r="CE28" s="78">
        <v>100</v>
      </c>
      <c r="CF28" s="79">
        <f t="shared" si="7"/>
        <v>600</v>
      </c>
      <c r="CG28" s="79">
        <f t="shared" si="7"/>
        <v>1200</v>
      </c>
      <c r="CH28" s="79">
        <f t="shared" si="7"/>
        <v>1800</v>
      </c>
    </row>
    <row r="29" spans="1:86" s="63" customFormat="1" ht="13.5">
      <c r="A29" s="302"/>
      <c r="B29" s="302"/>
      <c r="C29" s="302"/>
      <c r="D29" s="302"/>
      <c r="E29" s="302"/>
      <c r="F29" s="302"/>
      <c r="G29" s="302"/>
      <c r="H29" s="612" t="s">
        <v>1025</v>
      </c>
      <c r="BE29" s="996"/>
      <c r="BF29" s="996"/>
      <c r="BG29" s="996"/>
      <c r="BH29" s="996"/>
      <c r="BJ29" s="258"/>
      <c r="BK29" s="258"/>
      <c r="BL29" s="258"/>
      <c r="BM29" s="258"/>
      <c r="BO29" s="258"/>
      <c r="BP29" s="258"/>
      <c r="BQ29" s="258"/>
      <c r="BR29" s="258"/>
      <c r="BT29" s="258"/>
      <c r="BU29" s="258"/>
      <c r="BV29" s="258"/>
      <c r="BW29" s="258"/>
      <c r="BY29" s="258"/>
      <c r="BZ29" s="258"/>
      <c r="CA29" s="258"/>
      <c r="CB29" s="258"/>
      <c r="CC29" s="264"/>
      <c r="CD29" s="264"/>
      <c r="CE29" s="264">
        <f>CE30+CE31</f>
        <v>55</v>
      </c>
      <c r="CF29" s="264">
        <f>CF30+CF31</f>
        <v>250</v>
      </c>
      <c r="CG29" s="264">
        <f>CG30+CG31</f>
        <v>436</v>
      </c>
      <c r="CH29" s="264">
        <f>CH30+CH31</f>
        <v>577.20000000000005</v>
      </c>
    </row>
    <row r="30" spans="1:86" s="63" customFormat="1" ht="13.5">
      <c r="A30" s="302"/>
      <c r="B30" s="302"/>
      <c r="C30" s="302"/>
      <c r="D30" s="302"/>
      <c r="E30" s="302"/>
      <c r="F30" s="302"/>
      <c r="G30" s="302"/>
      <c r="H30" s="613" t="s">
        <v>231</v>
      </c>
      <c r="BE30" s="996"/>
      <c r="BF30" s="996"/>
      <c r="BG30" s="996"/>
      <c r="BH30" s="996"/>
      <c r="BJ30" s="258"/>
      <c r="BK30" s="258"/>
      <c r="BL30" s="258"/>
      <c r="BM30" s="258"/>
      <c r="BO30" s="258"/>
      <c r="BP30" s="258"/>
      <c r="BQ30" s="258"/>
      <c r="BR30" s="258"/>
      <c r="BT30" s="258"/>
      <c r="BU30" s="258"/>
      <c r="BV30" s="258"/>
      <c r="BW30" s="258"/>
      <c r="BY30" s="258"/>
      <c r="BZ30" s="258"/>
      <c r="CA30" s="258"/>
      <c r="CB30" s="258"/>
      <c r="CC30" s="78"/>
      <c r="CD30" s="79"/>
      <c r="CE30" s="78">
        <v>40</v>
      </c>
      <c r="CF30" s="79">
        <f t="shared" ref="CF30:CH31" si="8">CE30*(1+CF70)</f>
        <v>160</v>
      </c>
      <c r="CG30" s="79">
        <f t="shared" si="8"/>
        <v>256</v>
      </c>
      <c r="CH30" s="79">
        <f t="shared" si="8"/>
        <v>307.2</v>
      </c>
    </row>
    <row r="31" spans="1:86" s="63" customFormat="1" ht="13.5">
      <c r="A31" s="302"/>
      <c r="B31" s="302"/>
      <c r="C31" s="302"/>
      <c r="D31" s="302"/>
      <c r="E31" s="302"/>
      <c r="F31" s="302"/>
      <c r="G31" s="302"/>
      <c r="H31" s="613" t="s">
        <v>232</v>
      </c>
      <c r="BE31" s="996"/>
      <c r="BF31" s="996"/>
      <c r="BG31" s="996"/>
      <c r="BH31" s="996"/>
      <c r="BJ31" s="258"/>
      <c r="BK31" s="258"/>
      <c r="BL31" s="258"/>
      <c r="BM31" s="258"/>
      <c r="BO31" s="258"/>
      <c r="BP31" s="258"/>
      <c r="BQ31" s="258"/>
      <c r="BR31" s="258"/>
      <c r="BT31" s="258"/>
      <c r="BU31" s="258"/>
      <c r="BV31" s="258"/>
      <c r="BW31" s="258"/>
      <c r="BY31" s="258"/>
      <c r="BZ31" s="258"/>
      <c r="CA31" s="258"/>
      <c r="CB31" s="258"/>
      <c r="CC31" s="78"/>
      <c r="CD31" s="79"/>
      <c r="CE31" s="78">
        <v>15</v>
      </c>
      <c r="CF31" s="79">
        <f t="shared" si="8"/>
        <v>90</v>
      </c>
      <c r="CG31" s="79">
        <f t="shared" si="8"/>
        <v>180</v>
      </c>
      <c r="CH31" s="79">
        <f t="shared" si="8"/>
        <v>270</v>
      </c>
    </row>
    <row r="32" spans="1:86" ht="13.5">
      <c r="A32" s="85"/>
      <c r="B32" s="85"/>
      <c r="C32" s="85"/>
      <c r="D32" s="85"/>
      <c r="E32" s="85"/>
      <c r="F32" s="85"/>
      <c r="G32" s="85"/>
      <c r="H32" s="616"/>
      <c r="P32" s="240"/>
      <c r="U32" s="240"/>
      <c r="Z32" s="240"/>
      <c r="AE32" s="240"/>
      <c r="BJ32" s="258"/>
      <c r="BK32" s="258"/>
      <c r="BL32" s="258"/>
      <c r="BM32" s="258"/>
      <c r="BO32" s="258"/>
      <c r="BP32" s="258"/>
      <c r="BQ32" s="258"/>
      <c r="BR32" s="258"/>
      <c r="BT32" s="258"/>
      <c r="BU32" s="258"/>
      <c r="BV32" s="258"/>
      <c r="BW32" s="258"/>
      <c r="BY32" s="258"/>
      <c r="BZ32" s="258"/>
      <c r="CA32" s="258"/>
      <c r="CB32" s="258"/>
    </row>
    <row r="33" spans="1:80" ht="13.5">
      <c r="A33" s="85"/>
      <c r="B33" s="85"/>
      <c r="C33" s="85"/>
      <c r="D33" s="85"/>
      <c r="E33" s="85"/>
      <c r="F33" s="85"/>
      <c r="G33" s="85"/>
      <c r="H33" s="617"/>
      <c r="I33" s="1186" t="s">
        <v>936</v>
      </c>
      <c r="P33" s="240"/>
      <c r="U33" s="240"/>
      <c r="Z33" s="240"/>
      <c r="AE33" s="240"/>
      <c r="BJ33" s="258"/>
      <c r="BK33" s="258"/>
      <c r="BL33" s="258"/>
      <c r="BM33" s="258"/>
      <c r="BO33" s="258"/>
      <c r="BP33" s="258"/>
      <c r="BQ33" s="258"/>
      <c r="BR33" s="258"/>
      <c r="BT33" s="258"/>
      <c r="BU33" s="258"/>
      <c r="BV33" s="258"/>
      <c r="BW33" s="258"/>
      <c r="BY33" s="258"/>
      <c r="BZ33" s="258"/>
      <c r="CA33" s="258"/>
      <c r="CB33" s="258"/>
    </row>
    <row r="34" spans="1:80" ht="13.5">
      <c r="A34" s="85"/>
      <c r="B34" s="85"/>
      <c r="C34" s="85"/>
      <c r="D34" s="85"/>
      <c r="E34" s="85"/>
      <c r="F34" s="85"/>
      <c r="G34" s="85"/>
      <c r="H34" s="615"/>
      <c r="I34" s="1185" t="s">
        <v>951</v>
      </c>
      <c r="P34" s="240"/>
      <c r="U34" s="240"/>
      <c r="Z34" s="240"/>
      <c r="AE34" s="240"/>
      <c r="BJ34" s="258"/>
      <c r="BK34" s="258"/>
      <c r="BL34" s="258"/>
      <c r="BM34" s="258"/>
      <c r="BO34" s="258"/>
      <c r="BP34" s="258"/>
      <c r="BQ34" s="258"/>
      <c r="BR34" s="258"/>
      <c r="BT34" s="258"/>
      <c r="BU34" s="258"/>
      <c r="BV34" s="258"/>
      <c r="BW34" s="258"/>
      <c r="BY34" s="258"/>
      <c r="BZ34" s="258"/>
      <c r="CA34" s="258"/>
      <c r="CB34" s="258"/>
    </row>
    <row r="35" spans="1:80" ht="13.5">
      <c r="A35" s="85"/>
      <c r="B35" s="85"/>
      <c r="C35" s="85"/>
      <c r="D35" s="85"/>
      <c r="E35" s="85"/>
      <c r="F35" s="85"/>
      <c r="G35" s="85"/>
      <c r="H35" s="615"/>
      <c r="I35" s="1185" t="s">
        <v>937</v>
      </c>
      <c r="P35" s="240"/>
      <c r="U35" s="240"/>
      <c r="Z35" s="240"/>
      <c r="AE35" s="240"/>
      <c r="BJ35" s="258"/>
      <c r="BK35" s="258"/>
      <c r="BL35" s="258"/>
      <c r="BM35" s="258"/>
      <c r="BO35" s="258"/>
      <c r="BP35" s="258"/>
      <c r="BQ35" s="258"/>
      <c r="BR35" s="258"/>
      <c r="BT35" s="258"/>
      <c r="BU35" s="258"/>
      <c r="BV35" s="258"/>
      <c r="BW35" s="258"/>
      <c r="BY35" s="258"/>
      <c r="BZ35" s="258"/>
      <c r="CA35" s="258"/>
      <c r="CB35" s="258"/>
    </row>
    <row r="36" spans="1:80" ht="13.5">
      <c r="A36" s="85"/>
      <c r="B36" s="85"/>
      <c r="C36" s="85"/>
      <c r="D36" s="85"/>
      <c r="E36" s="85"/>
      <c r="F36" s="85"/>
      <c r="G36" s="85"/>
      <c r="H36" s="615"/>
      <c r="I36" s="1185" t="s">
        <v>940</v>
      </c>
      <c r="P36" s="240"/>
      <c r="U36" s="240"/>
      <c r="Z36" s="240"/>
      <c r="AE36" s="240"/>
      <c r="BJ36" s="258"/>
      <c r="BK36" s="258"/>
      <c r="BL36" s="258"/>
      <c r="BM36" s="258"/>
      <c r="BO36" s="258"/>
      <c r="BP36" s="258"/>
      <c r="BQ36" s="258"/>
      <c r="BR36" s="258"/>
      <c r="BT36" s="258"/>
      <c r="BU36" s="258"/>
      <c r="BV36" s="258"/>
      <c r="BW36" s="258"/>
      <c r="BY36" s="258"/>
      <c r="BZ36" s="258"/>
      <c r="CA36" s="258"/>
      <c r="CB36" s="258"/>
    </row>
    <row r="37" spans="1:80" ht="13.5">
      <c r="A37" s="85"/>
      <c r="B37" s="85"/>
      <c r="C37" s="85"/>
      <c r="D37" s="85"/>
      <c r="E37" s="85"/>
      <c r="F37" s="85"/>
      <c r="G37" s="85"/>
      <c r="H37" s="615"/>
      <c r="I37" s="1185" t="s">
        <v>938</v>
      </c>
      <c r="P37" s="240"/>
      <c r="U37" s="240"/>
      <c r="Z37" s="240"/>
      <c r="AE37" s="240"/>
      <c r="BJ37" s="258"/>
      <c r="BK37" s="258"/>
      <c r="BL37" s="258"/>
      <c r="BM37" s="258"/>
      <c r="BO37" s="258"/>
      <c r="BP37" s="258"/>
      <c r="BQ37" s="258"/>
      <c r="BR37" s="258"/>
      <c r="BT37" s="258"/>
      <c r="BU37" s="258"/>
      <c r="BV37" s="258"/>
      <c r="BW37" s="258"/>
      <c r="BY37" s="258"/>
      <c r="BZ37" s="258"/>
      <c r="CA37" s="258"/>
      <c r="CB37" s="258"/>
    </row>
    <row r="38" spans="1:80" ht="13.5">
      <c r="A38" s="85"/>
      <c r="B38" s="85"/>
      <c r="C38" s="85"/>
      <c r="D38" s="85"/>
      <c r="E38" s="85"/>
      <c r="F38" s="85"/>
      <c r="G38" s="85"/>
      <c r="H38" s="615"/>
      <c r="I38" s="1185" t="s">
        <v>939</v>
      </c>
      <c r="P38" s="240"/>
      <c r="U38" s="240"/>
      <c r="Z38" s="240"/>
      <c r="AE38" s="240"/>
      <c r="BJ38" s="258"/>
      <c r="BK38" s="258"/>
      <c r="BL38" s="258"/>
      <c r="BM38" s="258"/>
      <c r="BO38" s="258"/>
      <c r="BP38" s="258"/>
      <c r="BQ38" s="258"/>
      <c r="BR38" s="258"/>
      <c r="BT38" s="258"/>
      <c r="BU38" s="258"/>
      <c r="BV38" s="258"/>
      <c r="BW38" s="258"/>
      <c r="BY38" s="258"/>
      <c r="BZ38" s="258"/>
      <c r="CA38" s="258"/>
      <c r="CB38" s="258"/>
    </row>
    <row r="39" spans="1:80" ht="13.5">
      <c r="A39" s="85"/>
      <c r="B39" s="85"/>
      <c r="C39" s="85"/>
      <c r="D39" s="85"/>
      <c r="E39" s="85"/>
      <c r="F39" s="85"/>
      <c r="G39" s="85"/>
      <c r="H39" s="615"/>
      <c r="I39" s="1187" t="s">
        <v>941</v>
      </c>
      <c r="P39" s="240"/>
      <c r="U39" s="240"/>
      <c r="Z39" s="240"/>
      <c r="AE39" s="240"/>
      <c r="BJ39" s="258"/>
      <c r="BK39" s="258"/>
      <c r="BL39" s="258"/>
      <c r="BM39" s="258"/>
      <c r="BO39" s="258"/>
      <c r="BP39" s="258"/>
      <c r="BQ39" s="258"/>
      <c r="BR39" s="258"/>
      <c r="BT39" s="258"/>
      <c r="BU39" s="258"/>
      <c r="BV39" s="258"/>
      <c r="BW39" s="258"/>
      <c r="BY39" s="258"/>
      <c r="BZ39" s="258"/>
      <c r="CA39" s="258"/>
      <c r="CB39" s="258"/>
    </row>
    <row r="40" spans="1:80" ht="13.5">
      <c r="A40" s="85"/>
      <c r="B40" s="85"/>
      <c r="C40" s="85"/>
      <c r="D40" s="85"/>
      <c r="E40" s="85"/>
      <c r="F40" s="85"/>
      <c r="G40" s="85"/>
      <c r="H40" s="615"/>
      <c r="I40" s="1187" t="s">
        <v>942</v>
      </c>
      <c r="P40" s="240"/>
      <c r="U40" s="240"/>
      <c r="Z40" s="240"/>
      <c r="AE40" s="240"/>
      <c r="BJ40" s="258"/>
      <c r="BK40" s="258"/>
      <c r="BL40" s="258"/>
      <c r="BM40" s="258"/>
      <c r="BO40" s="258"/>
      <c r="BP40" s="258"/>
      <c r="BQ40" s="258"/>
      <c r="BR40" s="258"/>
      <c r="BT40" s="258"/>
      <c r="BU40" s="258"/>
      <c r="BV40" s="258"/>
      <c r="BW40" s="258"/>
      <c r="BY40" s="258"/>
      <c r="BZ40" s="258"/>
      <c r="CA40" s="258"/>
      <c r="CB40" s="258"/>
    </row>
    <row r="41" spans="1:80" ht="13.5">
      <c r="A41" s="85"/>
      <c r="B41" s="85"/>
      <c r="C41" s="85"/>
      <c r="D41" s="85"/>
      <c r="E41" s="85"/>
      <c r="F41" s="85"/>
      <c r="G41" s="85"/>
      <c r="H41" s="615"/>
      <c r="I41" s="1187" t="s">
        <v>943</v>
      </c>
      <c r="P41" s="240"/>
      <c r="U41" s="240"/>
      <c r="Z41" s="240"/>
      <c r="AE41" s="240"/>
      <c r="BJ41" s="258"/>
      <c r="BK41" s="258"/>
      <c r="BL41" s="258"/>
      <c r="BM41" s="258"/>
      <c r="BO41" s="258"/>
      <c r="BP41" s="258"/>
      <c r="BQ41" s="258"/>
      <c r="BR41" s="258"/>
      <c r="BT41" s="258"/>
      <c r="BU41" s="258"/>
      <c r="BV41" s="258"/>
      <c r="BW41" s="258"/>
      <c r="BY41" s="258"/>
      <c r="BZ41" s="258"/>
      <c r="CA41" s="258"/>
      <c r="CB41" s="258"/>
    </row>
    <row r="42" spans="1:80" ht="13.5">
      <c r="A42" s="85"/>
      <c r="B42" s="85"/>
      <c r="C42" s="85"/>
      <c r="D42" s="85"/>
      <c r="E42" s="85"/>
      <c r="F42" s="85"/>
      <c r="G42" s="85"/>
      <c r="H42" s="615"/>
      <c r="I42" s="1187" t="s">
        <v>944</v>
      </c>
      <c r="P42" s="240"/>
      <c r="U42" s="240"/>
      <c r="Z42" s="240"/>
      <c r="AE42" s="240"/>
      <c r="BJ42" s="258"/>
      <c r="BK42" s="258"/>
      <c r="BL42" s="258"/>
      <c r="BM42" s="258"/>
      <c r="BO42" s="258"/>
      <c r="BP42" s="258"/>
      <c r="BQ42" s="258"/>
      <c r="BR42" s="258"/>
      <c r="BT42" s="258"/>
      <c r="BU42" s="258"/>
      <c r="BV42" s="258"/>
      <c r="BW42" s="258"/>
      <c r="BY42" s="258"/>
      <c r="BZ42" s="258"/>
      <c r="CA42" s="258"/>
      <c r="CB42" s="258"/>
    </row>
    <row r="43" spans="1:80" ht="13.5">
      <c r="A43" s="85"/>
      <c r="B43" s="85"/>
      <c r="C43" s="85"/>
      <c r="D43" s="85"/>
      <c r="E43" s="85"/>
      <c r="F43" s="85"/>
      <c r="G43" s="85"/>
      <c r="H43" s="615"/>
      <c r="I43" s="1187" t="s">
        <v>945</v>
      </c>
      <c r="P43" s="240"/>
      <c r="U43" s="240"/>
      <c r="Z43" s="240"/>
      <c r="AE43" s="240"/>
      <c r="BJ43" s="258"/>
      <c r="BK43" s="258"/>
      <c r="BL43" s="258"/>
      <c r="BM43" s="258"/>
      <c r="BO43" s="258"/>
      <c r="BP43" s="258"/>
      <c r="BQ43" s="258"/>
      <c r="BR43" s="258"/>
      <c r="BT43" s="258"/>
      <c r="BU43" s="258"/>
      <c r="BV43" s="258"/>
      <c r="BW43" s="258"/>
      <c r="BY43" s="258"/>
      <c r="BZ43" s="258"/>
      <c r="CA43" s="258"/>
      <c r="CB43" s="258"/>
    </row>
    <row r="44" spans="1:80" ht="13.5">
      <c r="A44" s="85"/>
      <c r="B44" s="85"/>
      <c r="C44" s="85"/>
      <c r="D44" s="85"/>
      <c r="E44" s="85"/>
      <c r="F44" s="85"/>
      <c r="G44" s="85"/>
      <c r="H44" s="616"/>
      <c r="P44" s="240"/>
      <c r="U44" s="240"/>
      <c r="Z44" s="240"/>
      <c r="AE44" s="240"/>
      <c r="BJ44" s="258"/>
      <c r="BK44" s="258"/>
      <c r="BL44" s="258"/>
      <c r="BM44" s="258"/>
      <c r="BO44" s="258"/>
      <c r="BP44" s="258"/>
      <c r="BQ44" s="258"/>
      <c r="BR44" s="258"/>
      <c r="BT44" s="258"/>
      <c r="BU44" s="258"/>
      <c r="BV44" s="258"/>
      <c r="BW44" s="258"/>
      <c r="BY44" s="258"/>
      <c r="BZ44" s="258"/>
      <c r="CA44" s="258"/>
      <c r="CB44" s="258"/>
    </row>
    <row r="45" spans="1:80" ht="13.5">
      <c r="A45" s="85"/>
      <c r="B45" s="85"/>
      <c r="C45" s="85"/>
      <c r="D45" s="85"/>
      <c r="E45" s="85"/>
      <c r="F45" s="85"/>
      <c r="G45" s="85"/>
      <c r="H45" s="571" t="s">
        <v>165</v>
      </c>
      <c r="P45" s="240"/>
      <c r="U45" s="240"/>
      <c r="Z45" s="240"/>
      <c r="AE45" s="240"/>
      <c r="BJ45" s="258"/>
      <c r="BK45" s="258"/>
      <c r="BL45" s="258"/>
      <c r="BM45" s="258"/>
      <c r="BO45" s="258"/>
      <c r="BP45" s="258"/>
      <c r="BQ45" s="258"/>
      <c r="BR45" s="258"/>
      <c r="BT45" s="258"/>
      <c r="BU45" s="258"/>
      <c r="BV45" s="258"/>
      <c r="BW45" s="258"/>
      <c r="BY45" s="258"/>
      <c r="BZ45" s="258"/>
      <c r="CA45" s="258"/>
      <c r="CB45" s="258"/>
    </row>
    <row r="46" spans="1:80" ht="13.5">
      <c r="A46" s="85"/>
      <c r="B46" s="85"/>
      <c r="C46" s="85"/>
      <c r="D46" s="85"/>
      <c r="E46" s="85"/>
      <c r="F46" s="85"/>
      <c r="G46" s="85"/>
      <c r="H46" s="571" t="s">
        <v>240</v>
      </c>
      <c r="P46" s="240"/>
      <c r="U46" s="240"/>
      <c r="Z46" s="240"/>
      <c r="AE46" s="240"/>
      <c r="BJ46" s="258"/>
      <c r="BK46" s="258"/>
      <c r="BL46" s="258"/>
      <c r="BM46" s="258"/>
      <c r="BO46" s="258"/>
      <c r="BP46" s="258"/>
      <c r="BQ46" s="258"/>
      <c r="BR46" s="258"/>
      <c r="BT46" s="258"/>
      <c r="BU46" s="258"/>
      <c r="BV46" s="258"/>
      <c r="BW46" s="258"/>
      <c r="BY46" s="258"/>
      <c r="BZ46" s="258"/>
      <c r="CA46" s="258"/>
      <c r="CB46" s="258"/>
    </row>
    <row r="47" spans="1:80" ht="13.5">
      <c r="A47" s="85"/>
      <c r="B47" s="85"/>
      <c r="C47" s="85"/>
      <c r="D47" s="85"/>
      <c r="E47" s="85"/>
      <c r="F47" s="85"/>
      <c r="G47" s="85"/>
      <c r="H47" s="616"/>
      <c r="P47" s="240"/>
      <c r="U47" s="240"/>
      <c r="Z47" s="240"/>
      <c r="AE47" s="240"/>
      <c r="BJ47" s="258"/>
      <c r="BK47" s="258"/>
      <c r="BL47" s="258"/>
      <c r="BM47" s="258"/>
      <c r="BO47" s="258"/>
      <c r="BP47" s="258"/>
      <c r="BQ47" s="258"/>
      <c r="BR47" s="258"/>
      <c r="BT47" s="258"/>
      <c r="BU47" s="258"/>
      <c r="BV47" s="258"/>
      <c r="BW47" s="258"/>
      <c r="BY47" s="258"/>
      <c r="BZ47" s="258"/>
      <c r="CA47" s="258"/>
      <c r="CB47" s="258"/>
    </row>
    <row r="48" spans="1:80" ht="13.5">
      <c r="A48" s="85"/>
      <c r="B48" s="85"/>
      <c r="C48" s="85"/>
      <c r="D48" s="85"/>
      <c r="E48" s="85"/>
      <c r="F48" s="85"/>
      <c r="G48" s="85"/>
      <c r="H48" s="618"/>
      <c r="P48" s="240"/>
      <c r="U48" s="240"/>
      <c r="Z48" s="240"/>
      <c r="AE48" s="240"/>
      <c r="BJ48" s="258"/>
      <c r="BK48" s="258"/>
      <c r="BL48" s="258"/>
      <c r="BM48" s="258"/>
      <c r="BO48" s="258"/>
      <c r="BP48" s="258"/>
      <c r="BQ48" s="258"/>
      <c r="BR48" s="258"/>
      <c r="BT48" s="258"/>
      <c r="BU48" s="258"/>
      <c r="BV48" s="258"/>
      <c r="BW48" s="258"/>
      <c r="BY48" s="258"/>
      <c r="BZ48" s="258"/>
      <c r="CA48" s="258"/>
      <c r="CB48" s="258"/>
    </row>
    <row r="49" spans="1:86" ht="14.25" thickBot="1">
      <c r="A49" s="85"/>
      <c r="B49" s="85"/>
      <c r="C49" s="85"/>
      <c r="D49" s="85"/>
      <c r="E49" s="85"/>
      <c r="F49" s="85"/>
      <c r="G49" s="85"/>
      <c r="H49" s="619" t="s">
        <v>510</v>
      </c>
      <c r="I49" s="373"/>
      <c r="J49" s="373"/>
      <c r="K49" s="115"/>
      <c r="L49" s="620" t="str">
        <f>"1Q:" &amp; RIGHT(YEAR(L$4),2) &amp; IF(L$4&lt;=LatestRpQ, "A", "E")</f>
        <v>1Q:05A</v>
      </c>
      <c r="M49" s="620" t="str">
        <f>"2Q:" &amp; RIGHT(YEAR(M$4),2) &amp; IF(M$4&lt;=LatestRpQ, "A", "E")</f>
        <v>2Q:05A</v>
      </c>
      <c r="N49" s="620" t="str">
        <f>"3Q:" &amp; RIGHT(YEAR(N$4),2) &amp; IF(N$4&lt;=LatestRpQ, "A", "E")</f>
        <v>3Q:05A</v>
      </c>
      <c r="O49" s="620" t="str">
        <f>"4Q:" &amp; RIGHT(YEAR(O$4),2) &amp; IF(O$4&lt;=LatestRpQ, "A", "E")</f>
        <v>4Q:05A</v>
      </c>
      <c r="P49" s="621" t="str">
        <f>YEAR(P$4) &amp; IF(P$4&lt;=LatestRpQ, "A", "E")</f>
        <v>2005A</v>
      </c>
      <c r="Q49" s="620" t="str">
        <f>"1Q:" &amp; RIGHT(YEAR(Q$4),2) &amp; IF(Q$4&lt;=LatestRpQ, "A", "E")</f>
        <v>1Q:06A</v>
      </c>
      <c r="R49" s="620" t="str">
        <f>"2Q:" &amp; RIGHT(YEAR(R$4),2) &amp; IF(R$4&lt;=LatestRpQ, "A", "E")</f>
        <v>2Q:06A</v>
      </c>
      <c r="S49" s="620" t="str">
        <f>"3Q:" &amp; RIGHT(YEAR(S$4),2) &amp; IF(S$4&lt;=LatestRpQ, "A", "E")</f>
        <v>3Q:06A</v>
      </c>
      <c r="T49" s="620" t="str">
        <f>"4Q:" &amp; RIGHT(YEAR(T$4),2) &amp; IF(T$4&lt;=LatestRpQ, "A", "E")</f>
        <v>4Q:06A</v>
      </c>
      <c r="U49" s="621" t="str">
        <f>YEAR(U$4) &amp; IF(U$4&lt;=LatestRpQ, "A", "E")</f>
        <v>2006A</v>
      </c>
      <c r="V49" s="620" t="str">
        <f>"1Q:" &amp; RIGHT(YEAR(V$4),2) &amp; IF(V$4&lt;=LatestRpQ, "A", "E")</f>
        <v>1Q:07A</v>
      </c>
      <c r="W49" s="620" t="str">
        <f>"2Q:" &amp; RIGHT(YEAR(W$4),2) &amp; IF(W$4&lt;=LatestRpQ, "A", "E")</f>
        <v>2Q:07A</v>
      </c>
      <c r="X49" s="620" t="str">
        <f>"3Q:" &amp; RIGHT(YEAR(X$4),2) &amp; IF(X$4&lt;=LatestRpQ, "A", "E")</f>
        <v>3Q:07A</v>
      </c>
      <c r="Y49" s="620" t="str">
        <f>"4Q:" &amp; RIGHT(YEAR(Y$4),2) &amp; IF(Y$4&lt;=LatestRpQ, "A", "E")</f>
        <v>4Q:07A</v>
      </c>
      <c r="Z49" s="621" t="str">
        <f>YEAR(Z$4) &amp; IF(Z$4&lt;=LatestRpQ, "A", "E")</f>
        <v>2007A</v>
      </c>
      <c r="AA49" s="620" t="str">
        <f>"1Q:" &amp; RIGHT(YEAR(AA$4),2) &amp; IF(AA$4&lt;=LatestRpQ, "A", "E")</f>
        <v>1Q:08A</v>
      </c>
      <c r="AB49" s="620" t="str">
        <f>"2Q:" &amp; RIGHT(YEAR(AB$4),2) &amp; IF(AB$4&lt;=LatestRpQ, "A", "E")</f>
        <v>2Q:08A</v>
      </c>
      <c r="AC49" s="620" t="str">
        <f>"3Q:" &amp; RIGHT(YEAR(AC$4),2) &amp; IF(AC$4&lt;=LatestRpQ, "A", "E")</f>
        <v>3Q:08A</v>
      </c>
      <c r="AD49" s="620" t="str">
        <f>"4Q:" &amp; RIGHT(YEAR(AD$4),2) &amp; IF(AD$4&lt;=LatestRpQ, "A", "E")</f>
        <v>4Q:08A</v>
      </c>
      <c r="AE49" s="621" t="str">
        <f>YEAR(AE$4) &amp; IF(AE$4&lt;=LatestRpQ, "A", "E")</f>
        <v>2008A</v>
      </c>
      <c r="AF49" s="43" t="str">
        <f>"1Q:" &amp; RIGHT(YEAR(AF$4),2) &amp; IF(AF$4&lt;=LatestRpQ, "A", "E")</f>
        <v>1Q:09A</v>
      </c>
      <c r="AG49" s="43" t="str">
        <f>"2Q:" &amp; RIGHT(YEAR(AG$4),2) &amp; IF(AG$4&lt;=LatestRpQ, "A", "E")</f>
        <v>2Q:09A</v>
      </c>
      <c r="AH49" s="43" t="str">
        <f>"3Q:" &amp; RIGHT(YEAR(AH$4),2) &amp; IF(AH$4&lt;=LatestRpQ, "A", "E")</f>
        <v>3Q:09A</v>
      </c>
      <c r="AI49" s="43" t="str">
        <f>"4Q:" &amp; RIGHT(YEAR(AI$4),2) &amp; IF(AI$4&lt;=LatestRpQ, "A", "E")</f>
        <v>4Q:09A</v>
      </c>
      <c r="AJ49" s="44" t="str">
        <f>YEAR(AJ$4) &amp; IF(AJ$4&lt;=LatestRpQ, "A", "E")</f>
        <v>2009A</v>
      </c>
      <c r="AK49" s="43" t="str">
        <f>"1Q:" &amp; RIGHT(YEAR(AK$4),2) &amp; IF(AK$4&lt;=LatestRpQ, "A", "E")</f>
        <v>1Q:10A</v>
      </c>
      <c r="AL49" s="43" t="str">
        <f>"2Q:" &amp; RIGHT(YEAR(AL$4),2) &amp; IF(AL$4&lt;=LatestRpQ, "A", "E")</f>
        <v>2Q:10A</v>
      </c>
      <c r="AM49" s="43" t="str">
        <f>"3Q:" &amp; RIGHT(YEAR(AM$4),2) &amp; IF(AM$4&lt;=LatestRpQ, "A", "E")</f>
        <v>3Q:10A</v>
      </c>
      <c r="AN49" s="43" t="str">
        <f>"4Q:" &amp; RIGHT(YEAR(AN$4),2) &amp; IF(AN$4&lt;=LatestRpQ, "A", "E")</f>
        <v>4Q:10A</v>
      </c>
      <c r="AO49" s="44" t="str">
        <f>YEAR(AO$4) &amp; IF(AO$4&lt;=LatestRpQ, "A", "E")</f>
        <v>2010A</v>
      </c>
      <c r="AP49" s="43" t="str">
        <f>"1Q:" &amp; RIGHT(YEAR(AP$4),2) &amp; IF(AP$4&lt;=LatestRpQ, "A", "E")</f>
        <v>1Q:11A</v>
      </c>
      <c r="AQ49" s="43" t="str">
        <f>"2Q:" &amp; RIGHT(YEAR(AQ$4),2) &amp; IF(AQ$4&lt;=LatestRpQ, "A", "E")</f>
        <v>2Q:11A</v>
      </c>
      <c r="AR49" s="43" t="str">
        <f>"3Q:" &amp; RIGHT(YEAR(AR$4),2) &amp; IF(AR$4&lt;=LatestRpQ, "A", "E")</f>
        <v>3Q:11A</v>
      </c>
      <c r="AS49" s="43" t="str">
        <f>"4Q:" &amp; RIGHT(YEAR(AS$4),2) &amp; IF(AS$4&lt;=LatestRpQ, "A", "E")</f>
        <v>4Q:11A</v>
      </c>
      <c r="AT49" s="44" t="str">
        <f>YEAR(AT$4) &amp; IF(AT$4&lt;=LatestRpQ, "A", "E")</f>
        <v>2011A</v>
      </c>
      <c r="AU49" s="43" t="str">
        <f>"1Q:" &amp; RIGHT(YEAR(AU$4),2) &amp; IF(AU$4&lt;=LatestRpQ, "A", "E")</f>
        <v>1Q:12A</v>
      </c>
      <c r="AV49" s="43" t="str">
        <f>"2Q:" &amp; RIGHT(YEAR(AV$4),2) &amp; IF(AV$4&lt;=LatestRpQ, "A", "E")</f>
        <v>2Q:12A</v>
      </c>
      <c r="AW49" s="43" t="str">
        <f>"3Q:" &amp; RIGHT(YEAR(AW$4),2) &amp; IF(AW$4&lt;=LatestRpQ, "A", "E")</f>
        <v>3Q:12A</v>
      </c>
      <c r="AX49" s="43" t="str">
        <f>"4Q:" &amp; RIGHT(YEAR(AX$4),2) &amp; IF(AX$4&lt;=LatestRpQ, "A", "E")</f>
        <v>4Q:12A</v>
      </c>
      <c r="AY49" s="44" t="str">
        <f>YEAR(AY$4) &amp; IF(AY$4&lt;=LatestRpQ, "A", "E")</f>
        <v>2012A</v>
      </c>
      <c r="AZ49" s="43" t="str">
        <f>"1Q:" &amp; RIGHT(YEAR(AZ$4),2) &amp; IF(AZ$4&lt;=LatestRpQ, "A", "E")</f>
        <v>1Q:13A</v>
      </c>
      <c r="BA49" s="43" t="str">
        <f>"2Q:" &amp; RIGHT(YEAR(BA$4),2) &amp; IF(BA$4&lt;=LatestRpQ, "A", "E")</f>
        <v>2Q:13A</v>
      </c>
      <c r="BB49" s="43" t="str">
        <f>"3Q:" &amp; RIGHT(YEAR(BB$4),2) &amp; IF(BB$4&lt;=LatestRpQ, "A", "E")</f>
        <v>3Q:13A</v>
      </c>
      <c r="BC49" s="43" t="str">
        <f>"4Q:" &amp; RIGHT(YEAR(BC$4),2) &amp; IF(BC$4&lt;=LatestRpQ, "A", "E")</f>
        <v>4Q:13A</v>
      </c>
      <c r="BD49" s="44" t="str">
        <f>YEAR(BD$4) &amp; IF(BD$4&lt;=LatestRpQ, "A", "E")</f>
        <v>2013A</v>
      </c>
      <c r="BE49" s="43" t="str">
        <f>"1Q:" &amp; RIGHT(YEAR(BE$4),2) &amp; IF(BE$4&lt;=LatestRpQ, "A", "E")</f>
        <v>1Q:14A</v>
      </c>
      <c r="BF49" s="43" t="str">
        <f>"2Q:" &amp; RIGHT(YEAR(BF$4),2) &amp; IF(BF$4&lt;=LatestRpQ, "A", "E")</f>
        <v>2Q:14A</v>
      </c>
      <c r="BG49" s="43" t="str">
        <f>"3Q:" &amp; RIGHT(YEAR(BG$4),2) &amp; IF(BG$4&lt;=LatestRpQ, "A", "E")</f>
        <v>3Q:14A</v>
      </c>
      <c r="BH49" s="43" t="str">
        <f>"4Q:" &amp; RIGHT(YEAR(BH$4),2) &amp; IF(BH$4&lt;=LatestRpQ, "A", "E")</f>
        <v>4Q:14A</v>
      </c>
      <c r="BI49" s="44" t="str">
        <f>YEAR(BI$4) &amp; IF(BI$4&lt;=LatestRpQ, "A", "E")</f>
        <v>2014A</v>
      </c>
      <c r="BJ49" s="43" t="str">
        <f>"1Q:" &amp; RIGHT(YEAR(BJ$4),2) &amp; IF(BJ$4&lt;=LatestRpQ, "A", "E")</f>
        <v>1Q:15A</v>
      </c>
      <c r="BK49" s="43" t="str">
        <f>"2Q:" &amp; RIGHT(YEAR(BK$4),2) &amp; IF(BK$4&lt;=LatestRpQ, "A", "E")</f>
        <v>2Q:15A</v>
      </c>
      <c r="BL49" s="43" t="str">
        <f>"3Q:" &amp; RIGHT(YEAR(BL$4),2) &amp; IF(BL$4&lt;=LatestRpQ, "A", "E")</f>
        <v>3Q:15A</v>
      </c>
      <c r="BM49" s="43" t="str">
        <f>"4Q:" &amp; RIGHT(YEAR(BM$4),2) &amp; IF(BM$4&lt;=LatestRpQ, "A", "E")</f>
        <v>4Q:15A</v>
      </c>
      <c r="BN49" s="44" t="str">
        <f>YEAR(BN$4) &amp; IF(BN$4&lt;=LatestRpQ, "A", "E")</f>
        <v>2015A</v>
      </c>
      <c r="BO49" s="43" t="str">
        <f>"1Q:" &amp; RIGHT(YEAR(BO$4),2) &amp; IF(BO$4&lt;=LatestRpQ, "A", "E")</f>
        <v>1Q:16A</v>
      </c>
      <c r="BP49" s="43" t="str">
        <f>"2Q:" &amp; RIGHT(YEAR(BP$4),2) &amp; IF(BP$4&lt;=LatestRpQ, "A", "E")</f>
        <v>2Q:16A</v>
      </c>
      <c r="BQ49" s="43" t="str">
        <f>"3Q:" &amp; RIGHT(YEAR(BQ$4),2) &amp; IF(BQ$4&lt;=LatestRpQ, "A", "E")</f>
        <v>3Q:16A</v>
      </c>
      <c r="BR49" s="43" t="str">
        <f>"4Q:" &amp; RIGHT(YEAR(BR$4),2) &amp; IF(BR$4&lt;=LatestRpQ, "A", "E")</f>
        <v>4Q:16A</v>
      </c>
      <c r="BS49" s="44" t="str">
        <f>YEAR(BS$4) &amp; IF(BS$4&lt;=LatestRpQ, "A", "E")</f>
        <v>2016A</v>
      </c>
      <c r="BT49" s="43" t="str">
        <f>"1Q:" &amp; RIGHT(YEAR(BT$4),2) &amp; IF(BT$4&lt;=LatestRpQ, "A", "E")</f>
        <v>1Q:17A</v>
      </c>
      <c r="BU49" s="43" t="str">
        <f>"2Q:" &amp; RIGHT(YEAR(BU$4),2) &amp; IF(BU$4&lt;=LatestRpQ, "A", "E")</f>
        <v>2Q:17A</v>
      </c>
      <c r="BV49" s="43" t="str">
        <f>"3Q:" &amp; RIGHT(YEAR(BV$4),2) &amp; IF(BV$4&lt;=LatestRpQ, "A", "E")</f>
        <v>3Q:17A</v>
      </c>
      <c r="BW49" s="43" t="str">
        <f>"4Q:" &amp; RIGHT(YEAR(BW$4),2) &amp; IF(BW$4&lt;=LatestRpQ, "A", "E")</f>
        <v>4Q:17A</v>
      </c>
      <c r="BX49" s="44" t="str">
        <f>YEAR(BX$4) &amp; IF(BX$4&lt;=LatestRpQ, "A", "E")</f>
        <v>2017A</v>
      </c>
      <c r="BY49" s="43" t="str">
        <f>"1Q:" &amp; RIGHT(YEAR(BY$4),2) &amp; IF(BY$4&lt;=LatestRpQ, "A", "E")</f>
        <v>1Q:18A</v>
      </c>
      <c r="BZ49" s="43" t="str">
        <f>"2Q:" &amp; RIGHT(YEAR(BZ$4),2) &amp; IF(BZ$4&lt;=LatestRpQ, "A", "E")</f>
        <v>2Q:18E</v>
      </c>
      <c r="CA49" s="43" t="str">
        <f>"3Q:" &amp; RIGHT(YEAR(CA$4),2) &amp; IF(CA$4&lt;=LatestRpQ, "A", "E")</f>
        <v>3Q:18E</v>
      </c>
      <c r="CB49" s="43" t="str">
        <f>"4Q:" &amp; RIGHT(YEAR(CB$4),2) &amp; IF(CB$4&lt;=LatestRpQ, "A", "E")</f>
        <v>4Q:18E</v>
      </c>
      <c r="CC49" s="44" t="str">
        <f t="shared" ref="CC49:CH49" si="9">YEAR(CC$4) &amp; IF(CC$4&lt;=LatestRpQ, "A", "E")</f>
        <v>2018E</v>
      </c>
      <c r="CD49" s="44" t="str">
        <f t="shared" si="9"/>
        <v>2019E</v>
      </c>
      <c r="CE49" s="44" t="str">
        <f t="shared" si="9"/>
        <v>2020E</v>
      </c>
      <c r="CF49" s="44" t="str">
        <f t="shared" si="9"/>
        <v>2021E</v>
      </c>
      <c r="CG49" s="44" t="str">
        <f t="shared" si="9"/>
        <v>2022E</v>
      </c>
      <c r="CH49" s="44" t="str">
        <f t="shared" si="9"/>
        <v>2023E</v>
      </c>
    </row>
    <row r="50" spans="1:86" ht="4.5" customHeight="1">
      <c r="A50" s="85"/>
      <c r="B50" s="85"/>
      <c r="C50" s="85"/>
      <c r="D50" s="85"/>
      <c r="E50" s="85"/>
      <c r="F50" s="85"/>
      <c r="G50" s="85"/>
      <c r="L50" s="570"/>
      <c r="M50" s="570"/>
      <c r="N50" s="570"/>
      <c r="O50" s="570"/>
      <c r="P50" s="240"/>
      <c r="Q50" s="570"/>
      <c r="R50" s="570"/>
      <c r="S50" s="570"/>
      <c r="T50" s="570"/>
      <c r="U50" s="240"/>
      <c r="V50" s="570"/>
      <c r="W50" s="570"/>
      <c r="X50" s="570"/>
      <c r="Y50" s="570"/>
      <c r="Z50" s="240"/>
      <c r="AA50" s="570"/>
      <c r="AB50" s="570"/>
      <c r="AC50" s="570"/>
      <c r="AD50" s="570"/>
      <c r="AE50" s="240"/>
      <c r="AF50" s="243"/>
      <c r="AG50" s="243"/>
      <c r="AH50" s="243"/>
      <c r="AI50" s="243"/>
      <c r="AJ50" s="244"/>
      <c r="AK50" s="243"/>
      <c r="AL50" s="243"/>
      <c r="AM50" s="243"/>
      <c r="AN50" s="243"/>
      <c r="AO50" s="244"/>
      <c r="AP50" s="243"/>
      <c r="AQ50" s="243"/>
      <c r="AR50" s="243"/>
      <c r="AS50" s="243"/>
      <c r="AT50" s="244"/>
      <c r="AU50" s="243"/>
      <c r="AV50" s="243"/>
      <c r="AW50" s="243"/>
      <c r="AX50" s="243"/>
      <c r="AY50" s="244"/>
      <c r="AZ50" s="243"/>
      <c r="BA50" s="243"/>
      <c r="BB50" s="243"/>
      <c r="BC50" s="243"/>
      <c r="BD50" s="244"/>
      <c r="BE50" s="243"/>
      <c r="BF50" s="243"/>
      <c r="BG50" s="243"/>
      <c r="BH50" s="243"/>
      <c r="BI50" s="244"/>
      <c r="BJ50" s="243"/>
      <c r="BK50" s="243"/>
      <c r="BL50" s="243"/>
      <c r="BM50" s="243"/>
      <c r="BN50" s="244"/>
      <c r="BO50" s="243"/>
      <c r="BP50" s="243"/>
      <c r="BQ50" s="243"/>
      <c r="BR50" s="243"/>
      <c r="BS50" s="244"/>
      <c r="BT50" s="243"/>
      <c r="BU50" s="243"/>
      <c r="BV50" s="243"/>
      <c r="BW50" s="243"/>
      <c r="BX50" s="244"/>
      <c r="BY50" s="243"/>
      <c r="BZ50" s="243"/>
      <c r="CA50" s="243"/>
      <c r="CB50" s="243"/>
      <c r="CC50" s="244"/>
      <c r="CD50" s="244"/>
      <c r="CE50" s="244"/>
      <c r="CF50" s="244"/>
      <c r="CG50" s="244"/>
      <c r="CH50" s="244"/>
    </row>
    <row r="51" spans="1:86" ht="13.5">
      <c r="A51" s="85"/>
      <c r="B51" s="85"/>
      <c r="C51" s="85"/>
      <c r="D51" s="85"/>
      <c r="E51" s="85"/>
      <c r="F51" s="85"/>
      <c r="G51" s="85"/>
      <c r="H51" s="622" t="str">
        <f t="shared" ref="H51:H62" si="10">H11</f>
        <v>galcanezumab (CGRP: cluster, migraine headache; LY2951742)</v>
      </c>
      <c r="L51" s="570"/>
      <c r="M51" s="570"/>
      <c r="N51" s="570"/>
      <c r="O51" s="570"/>
      <c r="P51" s="240"/>
      <c r="Q51" s="570"/>
      <c r="R51" s="570"/>
      <c r="S51" s="570"/>
      <c r="T51" s="570"/>
      <c r="U51" s="240"/>
      <c r="V51" s="570"/>
      <c r="W51" s="570"/>
      <c r="X51" s="570"/>
      <c r="Y51" s="570"/>
      <c r="Z51" s="240"/>
      <c r="AA51" s="570"/>
      <c r="AB51" s="570"/>
      <c r="AC51" s="570"/>
      <c r="AD51" s="570"/>
      <c r="AE51" s="240"/>
      <c r="AF51" s="269"/>
      <c r="AG51" s="269"/>
      <c r="AH51" s="269"/>
      <c r="AI51" s="269"/>
      <c r="AJ51" s="332"/>
      <c r="AK51" s="269"/>
      <c r="AL51" s="269"/>
      <c r="AM51" s="269"/>
      <c r="AN51" s="269"/>
      <c r="AO51" s="332"/>
      <c r="AP51" s="269"/>
      <c r="AQ51" s="269"/>
      <c r="AR51" s="269"/>
      <c r="AS51" s="269"/>
      <c r="AT51" s="332"/>
      <c r="AU51" s="269"/>
      <c r="AV51" s="269"/>
      <c r="AW51" s="269"/>
      <c r="AX51" s="269"/>
      <c r="AY51" s="332"/>
      <c r="AZ51" s="269"/>
      <c r="BA51" s="269"/>
      <c r="BB51" s="269"/>
      <c r="BC51" s="269"/>
      <c r="BD51" s="332"/>
      <c r="BE51" s="269"/>
      <c r="BF51" s="269"/>
      <c r="BG51" s="269"/>
      <c r="BH51" s="269"/>
      <c r="BI51" s="332"/>
      <c r="BJ51" s="269"/>
      <c r="BK51" s="269"/>
      <c r="BL51" s="269"/>
      <c r="BM51" s="269"/>
      <c r="BN51" s="332"/>
      <c r="BO51" s="269"/>
      <c r="BP51" s="269"/>
      <c r="BQ51" s="269"/>
      <c r="BR51" s="269"/>
      <c r="BS51" s="332"/>
      <c r="BT51" s="269"/>
      <c r="BU51" s="269"/>
      <c r="BV51" s="269"/>
      <c r="BW51" s="269"/>
      <c r="BX51" s="332"/>
      <c r="BY51" s="269"/>
      <c r="BZ51" s="269"/>
      <c r="CA51" s="269"/>
      <c r="CB51" s="269"/>
      <c r="CC51" s="332"/>
      <c r="CD51" s="329">
        <f>CD11/CC11-1</f>
        <v>5.4545454545454541</v>
      </c>
      <c r="CE51" s="329">
        <f>CE11/CD11-1</f>
        <v>1.25</v>
      </c>
      <c r="CF51" s="329">
        <f>CF11/CE11-1</f>
        <v>0.52957746478873258</v>
      </c>
      <c r="CG51" s="329">
        <f>CG11/CF11-1</f>
        <v>0.26187845303867396</v>
      </c>
      <c r="CH51" s="329">
        <f>CH11/CG11-1</f>
        <v>0.13432574430823108</v>
      </c>
    </row>
    <row r="52" spans="1:86" ht="13.5">
      <c r="A52" s="85"/>
      <c r="B52" s="85"/>
      <c r="C52" s="85"/>
      <c r="D52" s="85"/>
      <c r="E52" s="85"/>
      <c r="F52" s="85"/>
      <c r="G52" s="85"/>
      <c r="H52" s="623" t="str">
        <f t="shared" si="10"/>
        <v>U.S.</v>
      </c>
      <c r="L52" s="570"/>
      <c r="M52" s="570"/>
      <c r="N52" s="570"/>
      <c r="O52" s="570"/>
      <c r="P52" s="240"/>
      <c r="Q52" s="570"/>
      <c r="R52" s="570"/>
      <c r="S52" s="570"/>
      <c r="T52" s="570"/>
      <c r="U52" s="240"/>
      <c r="V52" s="570"/>
      <c r="W52" s="570"/>
      <c r="X52" s="570"/>
      <c r="Y52" s="570"/>
      <c r="Z52" s="240"/>
      <c r="AA52" s="570"/>
      <c r="AB52" s="570"/>
      <c r="AC52" s="570"/>
      <c r="AD52" s="570"/>
      <c r="AE52" s="240"/>
      <c r="AF52" s="269"/>
      <c r="AG52" s="269"/>
      <c r="AH52" s="269"/>
      <c r="AI52" s="269"/>
      <c r="AJ52" s="332"/>
      <c r="AK52" s="269"/>
      <c r="AL52" s="269"/>
      <c r="AM52" s="269"/>
      <c r="AN52" s="269"/>
      <c r="AO52" s="332"/>
      <c r="AP52" s="269"/>
      <c r="AQ52" s="269"/>
      <c r="AR52" s="269"/>
      <c r="AS52" s="269"/>
      <c r="AT52" s="332"/>
      <c r="AU52" s="269"/>
      <c r="AV52" s="269"/>
      <c r="AW52" s="269"/>
      <c r="AX52" s="269"/>
      <c r="AY52" s="332"/>
      <c r="AZ52" s="269"/>
      <c r="BA52" s="269"/>
      <c r="BB52" s="269"/>
      <c r="BC52" s="269"/>
      <c r="BD52" s="332"/>
      <c r="BE52" s="269"/>
      <c r="BF52" s="269"/>
      <c r="BG52" s="269"/>
      <c r="BH52" s="269"/>
      <c r="BI52" s="332"/>
      <c r="BJ52" s="269"/>
      <c r="BK52" s="269"/>
      <c r="BL52" s="269"/>
      <c r="BM52" s="269"/>
      <c r="BN52" s="332"/>
      <c r="BO52" s="269"/>
      <c r="BP52" s="269"/>
      <c r="BQ52" s="269"/>
      <c r="BR52" s="269"/>
      <c r="BS52" s="332"/>
      <c r="BT52" s="269"/>
      <c r="BU52" s="269"/>
      <c r="BV52" s="269"/>
      <c r="BW52" s="269"/>
      <c r="BX52" s="332"/>
      <c r="BY52" s="269"/>
      <c r="BZ52" s="269"/>
      <c r="CA52" s="269"/>
      <c r="CB52" s="269"/>
      <c r="CC52" s="332"/>
      <c r="CD52" s="332">
        <v>4</v>
      </c>
      <c r="CE52" s="332">
        <v>1.25</v>
      </c>
      <c r="CF52" s="332">
        <v>0.5</v>
      </c>
      <c r="CG52" s="332">
        <v>0.2</v>
      </c>
      <c r="CH52" s="332">
        <v>0.1</v>
      </c>
    </row>
    <row r="53" spans="1:86" ht="13.5">
      <c r="A53" s="85"/>
      <c r="B53" s="85"/>
      <c r="C53" s="85"/>
      <c r="D53" s="85"/>
      <c r="E53" s="85"/>
      <c r="F53" s="85"/>
      <c r="G53" s="85"/>
      <c r="H53" s="624" t="str">
        <f t="shared" si="10"/>
        <v>ex-US</v>
      </c>
      <c r="L53" s="570"/>
      <c r="M53" s="570"/>
      <c r="N53" s="570"/>
      <c r="O53" s="570"/>
      <c r="P53" s="240"/>
      <c r="Q53" s="570"/>
      <c r="R53" s="570"/>
      <c r="S53" s="570"/>
      <c r="T53" s="570"/>
      <c r="U53" s="240"/>
      <c r="V53" s="570"/>
      <c r="W53" s="570"/>
      <c r="X53" s="570"/>
      <c r="Y53" s="570"/>
      <c r="Z53" s="240"/>
      <c r="AA53" s="570"/>
      <c r="AB53" s="570"/>
      <c r="AC53" s="570"/>
      <c r="AD53" s="570"/>
      <c r="AE53" s="240"/>
      <c r="AF53" s="269"/>
      <c r="AG53" s="269"/>
      <c r="AH53" s="269"/>
      <c r="AI53" s="269"/>
      <c r="AJ53" s="332"/>
      <c r="AK53" s="269"/>
      <c r="AL53" s="269"/>
      <c r="AM53" s="269"/>
      <c r="AN53" s="269"/>
      <c r="AO53" s="332"/>
      <c r="AP53" s="269"/>
      <c r="AQ53" s="269"/>
      <c r="AR53" s="269"/>
      <c r="AS53" s="269"/>
      <c r="AT53" s="332"/>
      <c r="AU53" s="269"/>
      <c r="AV53" s="269"/>
      <c r="AW53" s="269"/>
      <c r="AX53" s="269"/>
      <c r="AY53" s="332"/>
      <c r="AZ53" s="269"/>
      <c r="BA53" s="269"/>
      <c r="BB53" s="269"/>
      <c r="BC53" s="269"/>
      <c r="BD53" s="332"/>
      <c r="BE53" s="269"/>
      <c r="BF53" s="269"/>
      <c r="BG53" s="269"/>
      <c r="BH53" s="269"/>
      <c r="BI53" s="332"/>
      <c r="BJ53" s="269"/>
      <c r="BK53" s="269"/>
      <c r="BL53" s="269"/>
      <c r="BM53" s="269"/>
      <c r="BN53" s="332"/>
      <c r="BO53" s="269"/>
      <c r="BP53" s="269"/>
      <c r="BQ53" s="269"/>
      <c r="BR53" s="269"/>
      <c r="BS53" s="332"/>
      <c r="BT53" s="269"/>
      <c r="BU53" s="269"/>
      <c r="BV53" s="269"/>
      <c r="BW53" s="269"/>
      <c r="BX53" s="332"/>
      <c r="BY53" s="269"/>
      <c r="BZ53" s="269"/>
      <c r="CA53" s="269"/>
      <c r="CB53" s="269"/>
      <c r="CC53" s="332"/>
      <c r="CD53" s="332">
        <v>20</v>
      </c>
      <c r="CE53" s="332">
        <v>1.25</v>
      </c>
      <c r="CF53" s="332">
        <v>0.6</v>
      </c>
      <c r="CG53" s="332">
        <v>0.4</v>
      </c>
      <c r="CH53" s="332">
        <v>0.2</v>
      </c>
    </row>
    <row r="54" spans="1:86" ht="13.5">
      <c r="A54" s="85"/>
      <c r="B54" s="85"/>
      <c r="C54" s="85"/>
      <c r="D54" s="85"/>
      <c r="E54" s="85"/>
      <c r="F54" s="85"/>
      <c r="G54" s="85"/>
      <c r="H54" s="622" t="str">
        <f t="shared" si="10"/>
        <v>lasmiditan (5-HT1F: acute migraine)</v>
      </c>
      <c r="L54" s="570"/>
      <c r="M54" s="570"/>
      <c r="N54" s="570"/>
      <c r="O54" s="570"/>
      <c r="P54" s="240"/>
      <c r="Q54" s="570"/>
      <c r="R54" s="570"/>
      <c r="S54" s="570"/>
      <c r="T54" s="570"/>
      <c r="U54" s="240"/>
      <c r="V54" s="570"/>
      <c r="W54" s="570"/>
      <c r="X54" s="570"/>
      <c r="Y54" s="570"/>
      <c r="Z54" s="240"/>
      <c r="AA54" s="570"/>
      <c r="AB54" s="570"/>
      <c r="AC54" s="570"/>
      <c r="AD54" s="570"/>
      <c r="AE54" s="240"/>
      <c r="AF54" s="265"/>
      <c r="AG54" s="265"/>
      <c r="AH54" s="265"/>
      <c r="AI54" s="265"/>
      <c r="AJ54" s="337"/>
      <c r="AK54" s="265"/>
      <c r="AL54" s="265"/>
      <c r="AM54" s="265"/>
      <c r="AN54" s="265"/>
      <c r="AO54" s="329"/>
      <c r="AP54" s="265"/>
      <c r="AQ54" s="265"/>
      <c r="AR54" s="265"/>
      <c r="AS54" s="265"/>
      <c r="AT54" s="329"/>
      <c r="AU54" s="265"/>
      <c r="AV54" s="265"/>
      <c r="AW54" s="265"/>
      <c r="AX54" s="265"/>
      <c r="AY54" s="329"/>
      <c r="AZ54" s="265"/>
      <c r="BA54" s="265"/>
      <c r="BB54" s="265"/>
      <c r="BC54" s="265"/>
      <c r="BD54" s="329"/>
      <c r="BE54" s="265"/>
      <c r="BF54" s="265"/>
      <c r="BG54" s="265"/>
      <c r="BH54" s="265"/>
      <c r="BI54" s="329"/>
      <c r="BJ54" s="265"/>
      <c r="BK54" s="265"/>
      <c r="BL54" s="265"/>
      <c r="BM54" s="265"/>
      <c r="BN54" s="329"/>
      <c r="BO54" s="265"/>
      <c r="BP54" s="265"/>
      <c r="BQ54" s="265"/>
      <c r="BR54" s="265"/>
      <c r="BS54" s="329"/>
      <c r="BT54" s="265"/>
      <c r="BU54" s="265"/>
      <c r="BV54" s="265"/>
      <c r="BW54" s="265"/>
      <c r="BX54" s="329"/>
      <c r="BY54" s="265"/>
      <c r="BZ54" s="265"/>
      <c r="CA54" s="265"/>
      <c r="CB54" s="265"/>
      <c r="CC54" s="329"/>
      <c r="CD54" s="329"/>
      <c r="CE54" s="329">
        <f>CE14/CD14-1</f>
        <v>8.0769230769230766</v>
      </c>
      <c r="CF54" s="329">
        <f>CF14/CE14-1</f>
        <v>1.3199152542372881</v>
      </c>
      <c r="CG54" s="329">
        <f>CG14/CF14-1</f>
        <v>0.57534246575342474</v>
      </c>
      <c r="CH54" s="329">
        <f>CH14/CG14-1</f>
        <v>0.23347826086956514</v>
      </c>
    </row>
    <row r="55" spans="1:86" ht="13.5">
      <c r="A55" s="85"/>
      <c r="B55" s="85"/>
      <c r="C55" s="85"/>
      <c r="D55" s="85"/>
      <c r="E55" s="85"/>
      <c r="F55" s="85"/>
      <c r="G55" s="85"/>
      <c r="H55" s="623" t="str">
        <f t="shared" si="10"/>
        <v>U.S.</v>
      </c>
      <c r="L55" s="570"/>
      <c r="M55" s="570"/>
      <c r="N55" s="570"/>
      <c r="O55" s="570"/>
      <c r="P55" s="240"/>
      <c r="Q55" s="570"/>
      <c r="R55" s="570"/>
      <c r="S55" s="570"/>
      <c r="T55" s="570"/>
      <c r="U55" s="240"/>
      <c r="V55" s="570"/>
      <c r="W55" s="570"/>
      <c r="X55" s="570"/>
      <c r="Y55" s="570"/>
      <c r="Z55" s="240"/>
      <c r="AA55" s="570"/>
      <c r="AB55" s="570"/>
      <c r="AC55" s="570"/>
      <c r="AD55" s="570"/>
      <c r="AE55" s="240"/>
      <c r="AF55" s="258"/>
      <c r="AG55" s="258"/>
      <c r="AH55" s="258"/>
      <c r="AI55" s="258"/>
      <c r="AJ55" s="337"/>
      <c r="AK55" s="258"/>
      <c r="AL55" s="258"/>
      <c r="AM55" s="258"/>
      <c r="AN55" s="258"/>
      <c r="AO55" s="332"/>
      <c r="AP55" s="258"/>
      <c r="AQ55" s="258"/>
      <c r="AR55" s="258"/>
      <c r="AS55" s="258"/>
      <c r="AT55" s="332"/>
      <c r="AU55" s="258"/>
      <c r="AV55" s="258"/>
      <c r="AW55" s="258"/>
      <c r="AX55" s="258"/>
      <c r="AY55" s="332"/>
      <c r="AZ55" s="258"/>
      <c r="BA55" s="258"/>
      <c r="BB55" s="258"/>
      <c r="BC55" s="258"/>
      <c r="BD55" s="332"/>
      <c r="BE55" s="258"/>
      <c r="BF55" s="258"/>
      <c r="BG55" s="258"/>
      <c r="BH55" s="258"/>
      <c r="BI55" s="332"/>
      <c r="BJ55" s="258"/>
      <c r="BK55" s="258"/>
      <c r="BL55" s="258"/>
      <c r="BM55" s="258"/>
      <c r="BN55" s="332"/>
      <c r="BO55" s="258"/>
      <c r="BP55" s="258"/>
      <c r="BQ55" s="258"/>
      <c r="BR55" s="258"/>
      <c r="BS55" s="332"/>
      <c r="BT55" s="258"/>
      <c r="BU55" s="258"/>
      <c r="BV55" s="258"/>
      <c r="BW55" s="258"/>
      <c r="BX55" s="332"/>
      <c r="BY55" s="258"/>
      <c r="BZ55" s="258"/>
      <c r="CA55" s="258"/>
      <c r="CB55" s="258"/>
      <c r="CC55" s="332"/>
      <c r="CD55" s="332"/>
      <c r="CE55" s="332">
        <v>7.5</v>
      </c>
      <c r="CF55" s="332">
        <v>1.25</v>
      </c>
      <c r="CG55" s="332">
        <v>0.5</v>
      </c>
      <c r="CH55" s="332">
        <v>0.2</v>
      </c>
    </row>
    <row r="56" spans="1:86" ht="13.5">
      <c r="A56" s="85"/>
      <c r="B56" s="85"/>
      <c r="C56" s="85"/>
      <c r="D56" s="85"/>
      <c r="E56" s="85"/>
      <c r="F56" s="85"/>
      <c r="G56" s="85"/>
      <c r="H56" s="624" t="str">
        <f t="shared" si="10"/>
        <v>ex-US</v>
      </c>
      <c r="L56" s="570"/>
      <c r="M56" s="570"/>
      <c r="N56" s="570"/>
      <c r="O56" s="570"/>
      <c r="P56" s="240"/>
      <c r="Q56" s="570"/>
      <c r="R56" s="570"/>
      <c r="S56" s="570"/>
      <c r="T56" s="570"/>
      <c r="U56" s="240"/>
      <c r="V56" s="570"/>
      <c r="W56" s="570"/>
      <c r="X56" s="570"/>
      <c r="Y56" s="570"/>
      <c r="Z56" s="240"/>
      <c r="AA56" s="570"/>
      <c r="AB56" s="570"/>
      <c r="AC56" s="570"/>
      <c r="AD56" s="570"/>
      <c r="AE56" s="240"/>
      <c r="AF56" s="258"/>
      <c r="AG56" s="258"/>
      <c r="AH56" s="258"/>
      <c r="AI56" s="258"/>
      <c r="AJ56" s="337"/>
      <c r="AK56" s="258"/>
      <c r="AL56" s="258"/>
      <c r="AM56" s="258"/>
      <c r="AN56" s="258"/>
      <c r="AO56" s="332"/>
      <c r="AP56" s="258"/>
      <c r="AQ56" s="258"/>
      <c r="AR56" s="258"/>
      <c r="AS56" s="258"/>
      <c r="AT56" s="332"/>
      <c r="AU56" s="258"/>
      <c r="AV56" s="258"/>
      <c r="AW56" s="258"/>
      <c r="AX56" s="258"/>
      <c r="AY56" s="332"/>
      <c r="AZ56" s="258"/>
      <c r="BA56" s="258"/>
      <c r="BB56" s="258"/>
      <c r="BC56" s="258"/>
      <c r="BD56" s="332"/>
      <c r="BE56" s="258"/>
      <c r="BF56" s="258"/>
      <c r="BG56" s="258"/>
      <c r="BH56" s="258"/>
      <c r="BI56" s="332"/>
      <c r="BJ56" s="258"/>
      <c r="BK56" s="258"/>
      <c r="BL56" s="258"/>
      <c r="BM56" s="258"/>
      <c r="BN56" s="332"/>
      <c r="BO56" s="258"/>
      <c r="BP56" s="258"/>
      <c r="BQ56" s="258"/>
      <c r="BR56" s="258"/>
      <c r="BS56" s="332"/>
      <c r="BT56" s="258"/>
      <c r="BU56" s="258"/>
      <c r="BV56" s="258"/>
      <c r="BW56" s="258"/>
      <c r="BX56" s="332"/>
      <c r="BY56" s="258"/>
      <c r="BZ56" s="258"/>
      <c r="CA56" s="258"/>
      <c r="CB56" s="258"/>
      <c r="CC56" s="332"/>
      <c r="CD56" s="332"/>
      <c r="CE56" s="332">
        <v>10</v>
      </c>
      <c r="CF56" s="332">
        <v>1.5</v>
      </c>
      <c r="CG56" s="332">
        <v>0.75</v>
      </c>
      <c r="CH56" s="332">
        <v>0.3</v>
      </c>
    </row>
    <row r="57" spans="1:86" ht="13.5">
      <c r="A57" s="85"/>
      <c r="B57" s="85"/>
      <c r="C57" s="85"/>
      <c r="D57" s="85"/>
      <c r="E57" s="85"/>
      <c r="F57" s="85"/>
      <c r="G57" s="85"/>
      <c r="H57" s="622" t="str">
        <f t="shared" si="10"/>
        <v>lanabecestat (BACE: Alzheimer's; LLY3314814 / AZD3293)</v>
      </c>
      <c r="L57" s="570"/>
      <c r="M57" s="570"/>
      <c r="N57" s="570"/>
      <c r="O57" s="570"/>
      <c r="P57" s="240"/>
      <c r="Q57" s="570"/>
      <c r="R57" s="570"/>
      <c r="S57" s="570"/>
      <c r="T57" s="570"/>
      <c r="U57" s="240"/>
      <c r="V57" s="570"/>
      <c r="W57" s="570"/>
      <c r="X57" s="570"/>
      <c r="Y57" s="570"/>
      <c r="Z57" s="240"/>
      <c r="AA57" s="570"/>
      <c r="AB57" s="570"/>
      <c r="AC57" s="570"/>
      <c r="AD57" s="570"/>
      <c r="AE57" s="240"/>
      <c r="AF57" s="265"/>
      <c r="AG57" s="265"/>
      <c r="AH57" s="265"/>
      <c r="AI57" s="265"/>
      <c r="AJ57" s="337"/>
      <c r="AK57" s="265"/>
      <c r="AL57" s="265"/>
      <c r="AM57" s="265"/>
      <c r="AN57" s="265"/>
      <c r="AO57" s="329"/>
      <c r="AP57" s="265"/>
      <c r="AQ57" s="265"/>
      <c r="AR57" s="265"/>
      <c r="AS57" s="265"/>
      <c r="AT57" s="329"/>
      <c r="AU57" s="265"/>
      <c r="AV57" s="265"/>
      <c r="AW57" s="265"/>
      <c r="AX57" s="265"/>
      <c r="AY57" s="329"/>
      <c r="AZ57" s="265"/>
      <c r="BA57" s="265"/>
      <c r="BB57" s="265"/>
      <c r="BC57" s="265"/>
      <c r="BD57" s="329"/>
      <c r="BE57" s="265"/>
      <c r="BF57" s="265"/>
      <c r="BG57" s="265"/>
      <c r="BH57" s="265"/>
      <c r="BI57" s="329"/>
      <c r="BJ57" s="265"/>
      <c r="BK57" s="265"/>
      <c r="BL57" s="265"/>
      <c r="BM57" s="265"/>
      <c r="BN57" s="329"/>
      <c r="BO57" s="265"/>
      <c r="BP57" s="265"/>
      <c r="BQ57" s="265"/>
      <c r="BR57" s="265"/>
      <c r="BS57" s="329"/>
      <c r="BT57" s="265"/>
      <c r="BU57" s="265"/>
      <c r="BV57" s="265"/>
      <c r="BW57" s="265"/>
      <c r="BX57" s="329"/>
      <c r="BY57" s="265"/>
      <c r="BZ57" s="265"/>
      <c r="CA57" s="265"/>
      <c r="CB57" s="265"/>
      <c r="CC57" s="329"/>
      <c r="CD57" s="329"/>
      <c r="CE57" s="329">
        <f>CE17/CD17-1</f>
        <v>170</v>
      </c>
      <c r="CF57" s="329">
        <f>CF17/CE17-1</f>
        <v>1.9403508771929823</v>
      </c>
      <c r="CG57" s="329">
        <f>CG17/CF17-1</f>
        <v>0.75</v>
      </c>
      <c r="CH57" s="329">
        <f>CH17/CG17-1</f>
        <v>0.26996817820206842</v>
      </c>
    </row>
    <row r="58" spans="1:86" ht="13.5">
      <c r="A58" s="85"/>
      <c r="B58" s="85"/>
      <c r="C58" s="85"/>
      <c r="D58" s="85"/>
      <c r="E58" s="85"/>
      <c r="F58" s="85"/>
      <c r="G58" s="85"/>
      <c r="H58" s="623" t="str">
        <f t="shared" si="10"/>
        <v>U.S.</v>
      </c>
      <c r="L58" s="570"/>
      <c r="M58" s="570"/>
      <c r="N58" s="570"/>
      <c r="O58" s="570"/>
      <c r="P58" s="240"/>
      <c r="Q58" s="570"/>
      <c r="R58" s="570"/>
      <c r="S58" s="570"/>
      <c r="T58" s="570"/>
      <c r="U58" s="240"/>
      <c r="V58" s="570"/>
      <c r="W58" s="570"/>
      <c r="X58" s="570"/>
      <c r="Y58" s="570"/>
      <c r="Z58" s="240"/>
      <c r="AA58" s="570"/>
      <c r="AB58" s="570"/>
      <c r="AC58" s="570"/>
      <c r="AD58" s="570"/>
      <c r="AE58" s="240"/>
      <c r="AF58" s="258"/>
      <c r="AG58" s="258"/>
      <c r="AH58" s="258"/>
      <c r="AI58" s="258"/>
      <c r="AJ58" s="337"/>
      <c r="AK58" s="258"/>
      <c r="AL58" s="258"/>
      <c r="AM58" s="258"/>
      <c r="AN58" s="258"/>
      <c r="AO58" s="332"/>
      <c r="AP58" s="258"/>
      <c r="AQ58" s="258"/>
      <c r="AR58" s="258"/>
      <c r="AS58" s="258"/>
      <c r="AT58" s="332"/>
      <c r="AU58" s="258"/>
      <c r="AV58" s="258"/>
      <c r="AW58" s="258"/>
      <c r="AX58" s="258"/>
      <c r="AY58" s="332"/>
      <c r="AZ58" s="258"/>
      <c r="BA58" s="258"/>
      <c r="BB58" s="258"/>
      <c r="BC58" s="258"/>
      <c r="BD58" s="332"/>
      <c r="BE58" s="258"/>
      <c r="BF58" s="258"/>
      <c r="BG58" s="258"/>
      <c r="BH58" s="258"/>
      <c r="BI58" s="332"/>
      <c r="BJ58" s="258"/>
      <c r="BK58" s="258"/>
      <c r="BL58" s="258"/>
      <c r="BM58" s="258"/>
      <c r="BN58" s="332"/>
      <c r="BO58" s="258"/>
      <c r="BP58" s="258"/>
      <c r="BQ58" s="258"/>
      <c r="BR58" s="258"/>
      <c r="BS58" s="332"/>
      <c r="BT58" s="258"/>
      <c r="BU58" s="258"/>
      <c r="BV58" s="258"/>
      <c r="BW58" s="258"/>
      <c r="BX58" s="332"/>
      <c r="BY58" s="258"/>
      <c r="BZ58" s="258"/>
      <c r="CA58" s="258"/>
      <c r="CB58" s="258"/>
      <c r="CC58" s="332"/>
      <c r="CD58" s="332"/>
      <c r="CE58" s="332">
        <v>150</v>
      </c>
      <c r="CF58" s="332">
        <v>1.5</v>
      </c>
      <c r="CG58" s="332">
        <v>0.75</v>
      </c>
      <c r="CH58" s="332">
        <v>0.25</v>
      </c>
    </row>
    <row r="59" spans="1:86" ht="13.5">
      <c r="A59" s="85"/>
      <c r="B59" s="85"/>
      <c r="C59" s="85"/>
      <c r="D59" s="85"/>
      <c r="E59" s="85"/>
      <c r="F59" s="85"/>
      <c r="G59" s="85"/>
      <c r="H59" s="624" t="str">
        <f t="shared" si="10"/>
        <v>ex-US</v>
      </c>
      <c r="L59" s="570"/>
      <c r="M59" s="570"/>
      <c r="N59" s="570"/>
      <c r="O59" s="570"/>
      <c r="P59" s="240"/>
      <c r="Q59" s="570"/>
      <c r="R59" s="570"/>
      <c r="S59" s="570"/>
      <c r="T59" s="570"/>
      <c r="U59" s="240"/>
      <c r="V59" s="570"/>
      <c r="W59" s="570"/>
      <c r="X59" s="570"/>
      <c r="Y59" s="570"/>
      <c r="Z59" s="240"/>
      <c r="AA59" s="570"/>
      <c r="AB59" s="570"/>
      <c r="AC59" s="570"/>
      <c r="AD59" s="570"/>
      <c r="AE59" s="240"/>
      <c r="AF59" s="258"/>
      <c r="AG59" s="258"/>
      <c r="AH59" s="258"/>
      <c r="AI59" s="258"/>
      <c r="AJ59" s="337"/>
      <c r="AK59" s="258"/>
      <c r="AL59" s="258"/>
      <c r="AM59" s="258"/>
      <c r="AN59" s="258"/>
      <c r="AO59" s="332"/>
      <c r="AP59" s="258"/>
      <c r="AQ59" s="258"/>
      <c r="AR59" s="258"/>
      <c r="AS59" s="258"/>
      <c r="AT59" s="332"/>
      <c r="AU59" s="258"/>
      <c r="AV59" s="258"/>
      <c r="AW59" s="258"/>
      <c r="AX59" s="258"/>
      <c r="AY59" s="332"/>
      <c r="AZ59" s="258"/>
      <c r="BA59" s="258"/>
      <c r="BB59" s="258"/>
      <c r="BC59" s="258"/>
      <c r="BD59" s="332"/>
      <c r="BE59" s="258"/>
      <c r="BF59" s="258"/>
      <c r="BG59" s="258"/>
      <c r="BH59" s="258"/>
      <c r="BI59" s="332"/>
      <c r="BJ59" s="258"/>
      <c r="BK59" s="258"/>
      <c r="BL59" s="258"/>
      <c r="BM59" s="258"/>
      <c r="BN59" s="332"/>
      <c r="BO59" s="258"/>
      <c r="BP59" s="258"/>
      <c r="BQ59" s="258"/>
      <c r="BR59" s="258"/>
      <c r="BS59" s="332"/>
      <c r="BT59" s="258"/>
      <c r="BU59" s="258"/>
      <c r="BV59" s="258"/>
      <c r="BW59" s="258"/>
      <c r="BX59" s="332"/>
      <c r="BY59" s="258"/>
      <c r="BZ59" s="258"/>
      <c r="CA59" s="258"/>
      <c r="CB59" s="258"/>
      <c r="CC59" s="332"/>
      <c r="CD59" s="332"/>
      <c r="CE59" s="332">
        <v>250</v>
      </c>
      <c r="CF59" s="332">
        <v>3</v>
      </c>
      <c r="CG59" s="332">
        <v>0.75</v>
      </c>
      <c r="CH59" s="332">
        <v>0.3</v>
      </c>
    </row>
    <row r="60" spans="1:86" ht="13.5">
      <c r="A60" s="85"/>
      <c r="B60" s="85"/>
      <c r="C60" s="85"/>
      <c r="D60" s="85"/>
      <c r="E60" s="85"/>
      <c r="F60" s="85"/>
      <c r="G60" s="85"/>
      <c r="H60" s="622" t="str">
        <f t="shared" si="10"/>
        <v>Olumiant (bari; up to high 20% royalties to INCY)</v>
      </c>
      <c r="L60" s="570"/>
      <c r="M60" s="570"/>
      <c r="N60" s="570"/>
      <c r="O60" s="570"/>
      <c r="P60" s="240"/>
      <c r="Q60" s="570"/>
      <c r="R60" s="570"/>
      <c r="S60" s="570"/>
      <c r="T60" s="570"/>
      <c r="U60" s="240"/>
      <c r="V60" s="570"/>
      <c r="W60" s="570"/>
      <c r="X60" s="570"/>
      <c r="Y60" s="570"/>
      <c r="Z60" s="240"/>
      <c r="AA60" s="570"/>
      <c r="AB60" s="570"/>
      <c r="AC60" s="570"/>
      <c r="AD60" s="570"/>
      <c r="AE60" s="240"/>
      <c r="AF60" s="265"/>
      <c r="AG60" s="265"/>
      <c r="AH60" s="265"/>
      <c r="AI60" s="265"/>
      <c r="AJ60" s="330"/>
      <c r="AK60" s="265"/>
      <c r="AL60" s="265"/>
      <c r="AM60" s="265"/>
      <c r="AN60" s="265"/>
      <c r="AO60" s="329"/>
      <c r="AP60" s="265"/>
      <c r="AQ60" s="265"/>
      <c r="AR60" s="265"/>
      <c r="AS60" s="265"/>
      <c r="AT60" s="329"/>
      <c r="AU60" s="265"/>
      <c r="AV60" s="265"/>
      <c r="AW60" s="265"/>
      <c r="AX60" s="265"/>
      <c r="AY60" s="329"/>
      <c r="AZ60" s="265"/>
      <c r="BA60" s="265"/>
      <c r="BB60" s="265"/>
      <c r="BC60" s="265"/>
      <c r="BD60" s="329"/>
      <c r="BE60" s="265"/>
      <c r="BF60" s="265"/>
      <c r="BG60" s="265"/>
      <c r="BH60" s="265"/>
      <c r="BI60" s="329"/>
      <c r="BJ60" s="265"/>
      <c r="BK60" s="265"/>
      <c r="BL60" s="265"/>
      <c r="BM60" s="265"/>
      <c r="BN60" s="329"/>
      <c r="BO60" s="265"/>
      <c r="BP60" s="265"/>
      <c r="BQ60" s="265"/>
      <c r="BR60" s="265"/>
      <c r="BS60" s="329"/>
      <c r="BT60" s="265"/>
      <c r="BU60" s="265"/>
      <c r="BV60" s="265"/>
      <c r="BW60" s="265"/>
      <c r="BX60" s="329"/>
      <c r="BY60" s="265"/>
      <c r="BZ60" s="265"/>
      <c r="CA60" s="265"/>
      <c r="CB60" s="265"/>
      <c r="CC60" s="329"/>
      <c r="CD60" s="329"/>
      <c r="CE60" s="329"/>
      <c r="CF60" s="329">
        <f>CF20/CE20-1</f>
        <v>0.60000000000000009</v>
      </c>
      <c r="CG60" s="329">
        <f>CG20/CF20-1</f>
        <v>0.25</v>
      </c>
      <c r="CH60" s="329">
        <f>CH20/CG20-1</f>
        <v>0.14999999999999991</v>
      </c>
    </row>
    <row r="61" spans="1:86" ht="13.5">
      <c r="A61" s="85"/>
      <c r="B61" s="85"/>
      <c r="C61" s="85"/>
      <c r="D61" s="85"/>
      <c r="E61" s="85"/>
      <c r="F61" s="85"/>
      <c r="G61" s="85"/>
      <c r="H61" s="623" t="str">
        <f t="shared" si="10"/>
        <v>U.S.</v>
      </c>
      <c r="L61" s="570"/>
      <c r="M61" s="570"/>
      <c r="N61" s="570"/>
      <c r="O61" s="570"/>
      <c r="P61" s="240"/>
      <c r="Q61" s="570"/>
      <c r="R61" s="570"/>
      <c r="S61" s="570"/>
      <c r="T61" s="570"/>
      <c r="U61" s="240"/>
      <c r="V61" s="570"/>
      <c r="W61" s="570"/>
      <c r="X61" s="570"/>
      <c r="Y61" s="570"/>
      <c r="Z61" s="240"/>
      <c r="AA61" s="570"/>
      <c r="AB61" s="570"/>
      <c r="AC61" s="570"/>
      <c r="AD61" s="570"/>
      <c r="AE61" s="240"/>
      <c r="AF61" s="269"/>
      <c r="AG61" s="269"/>
      <c r="AH61" s="269"/>
      <c r="AI61" s="269"/>
      <c r="AJ61" s="332"/>
      <c r="AK61" s="269"/>
      <c r="AL61" s="269"/>
      <c r="AM61" s="269"/>
      <c r="AN61" s="269"/>
      <c r="AO61" s="332"/>
      <c r="AP61" s="269"/>
      <c r="AQ61" s="269"/>
      <c r="AR61" s="269"/>
      <c r="AS61" s="269"/>
      <c r="AT61" s="332"/>
      <c r="AU61" s="269"/>
      <c r="AV61" s="269"/>
      <c r="AW61" s="269"/>
      <c r="AX61" s="269"/>
      <c r="AY61" s="332"/>
      <c r="AZ61" s="269"/>
      <c r="BA61" s="269"/>
      <c r="BB61" s="269"/>
      <c r="BC61" s="269"/>
      <c r="BD61" s="332"/>
      <c r="BE61" s="269"/>
      <c r="BF61" s="269"/>
      <c r="BG61" s="269"/>
      <c r="BH61" s="269"/>
      <c r="BI61" s="332"/>
      <c r="BJ61" s="269"/>
      <c r="BK61" s="269"/>
      <c r="BL61" s="269"/>
      <c r="BM61" s="269"/>
      <c r="BN61" s="332"/>
      <c r="BO61" s="269"/>
      <c r="BP61" s="269"/>
      <c r="BQ61" s="269"/>
      <c r="BR61" s="269"/>
      <c r="BS61" s="332"/>
      <c r="BT61" s="269"/>
      <c r="BU61" s="269"/>
      <c r="BV61" s="269"/>
      <c r="BW61" s="269"/>
      <c r="BX61" s="332"/>
      <c r="BY61" s="269"/>
      <c r="BZ61" s="269"/>
      <c r="CA61" s="269"/>
      <c r="CB61" s="269"/>
      <c r="CC61" s="332"/>
      <c r="CD61" s="332">
        <v>5</v>
      </c>
      <c r="CE61" s="332">
        <v>1.25</v>
      </c>
      <c r="CF61" s="332">
        <v>0.6</v>
      </c>
      <c r="CG61" s="332">
        <v>0.25</v>
      </c>
      <c r="CH61" s="332">
        <v>0.15</v>
      </c>
    </row>
    <row r="62" spans="1:86" ht="13.5">
      <c r="A62" s="85"/>
      <c r="B62" s="85"/>
      <c r="C62" s="85"/>
      <c r="D62" s="85"/>
      <c r="E62" s="85"/>
      <c r="F62" s="85"/>
      <c r="G62" s="85"/>
      <c r="H62" s="624" t="str">
        <f t="shared" si="10"/>
        <v>ex-US</v>
      </c>
      <c r="L62" s="570"/>
      <c r="M62" s="570"/>
      <c r="N62" s="570"/>
      <c r="O62" s="570"/>
      <c r="P62" s="240"/>
      <c r="Q62" s="570"/>
      <c r="R62" s="570"/>
      <c r="S62" s="570"/>
      <c r="T62" s="570"/>
      <c r="U62" s="240"/>
      <c r="V62" s="570"/>
      <c r="W62" s="570"/>
      <c r="X62" s="570"/>
      <c r="Y62" s="570"/>
      <c r="Z62" s="240"/>
      <c r="AA62" s="570"/>
      <c r="AB62" s="570"/>
      <c r="AC62" s="570"/>
      <c r="AD62" s="570"/>
      <c r="AE62" s="240"/>
      <c r="AF62" s="269"/>
      <c r="AG62" s="269"/>
      <c r="AH62" s="269"/>
      <c r="AI62" s="269"/>
      <c r="AJ62" s="332"/>
      <c r="AK62" s="269"/>
      <c r="AL62" s="269"/>
      <c r="AM62" s="269"/>
      <c r="AN62" s="269"/>
      <c r="AO62" s="332"/>
      <c r="AP62" s="269"/>
      <c r="AQ62" s="269"/>
      <c r="AR62" s="269"/>
      <c r="AS62" s="269"/>
      <c r="AT62" s="332"/>
      <c r="AU62" s="269"/>
      <c r="AV62" s="269"/>
      <c r="AW62" s="269"/>
      <c r="AX62" s="269"/>
      <c r="AY62" s="332"/>
      <c r="AZ62" s="269"/>
      <c r="BA62" s="269"/>
      <c r="BB62" s="269"/>
      <c r="BC62" s="269"/>
      <c r="BD62" s="332"/>
      <c r="BE62" s="269"/>
      <c r="BF62" s="269"/>
      <c r="BG62" s="269"/>
      <c r="BH62" s="269"/>
      <c r="BI62" s="332"/>
      <c r="BJ62" s="269"/>
      <c r="BK62" s="269"/>
      <c r="BL62" s="269"/>
      <c r="BM62" s="269"/>
      <c r="BN62" s="332"/>
      <c r="BO62" s="269"/>
      <c r="BP62" s="269"/>
      <c r="BQ62" s="269"/>
      <c r="BR62" s="269"/>
      <c r="BS62" s="332"/>
      <c r="BT62" s="269"/>
      <c r="BU62" s="269"/>
      <c r="BV62" s="269"/>
      <c r="BW62" s="269"/>
      <c r="BX62" s="332"/>
      <c r="BY62" s="269"/>
      <c r="BZ62" s="269"/>
      <c r="CA62" s="269"/>
      <c r="CB62" s="269"/>
      <c r="CC62" s="332"/>
      <c r="CD62" s="332"/>
      <c r="CE62" s="332"/>
      <c r="CF62" s="332"/>
      <c r="CG62" s="332"/>
      <c r="CH62" s="332"/>
    </row>
    <row r="63" spans="1:86" ht="13.5">
      <c r="A63" s="85"/>
      <c r="B63" s="85"/>
      <c r="C63" s="85"/>
      <c r="D63" s="85"/>
      <c r="E63" s="85"/>
      <c r="F63" s="85"/>
      <c r="G63" s="85"/>
      <c r="H63" s="622" t="str">
        <f t="shared" ref="H63:H71" si="11">H23</f>
        <v>Tanezumab (NGF for pain; LLY will book 50% of GP as revenue)</v>
      </c>
      <c r="L63" s="570"/>
      <c r="M63" s="570"/>
      <c r="N63" s="570"/>
      <c r="O63" s="570"/>
      <c r="P63" s="240"/>
      <c r="Q63" s="570"/>
      <c r="R63" s="570"/>
      <c r="S63" s="570"/>
      <c r="T63" s="570"/>
      <c r="U63" s="240"/>
      <c r="V63" s="570"/>
      <c r="W63" s="570"/>
      <c r="X63" s="570"/>
      <c r="Y63" s="570"/>
      <c r="Z63" s="240"/>
      <c r="AA63" s="570"/>
      <c r="AB63" s="570"/>
      <c r="AC63" s="570"/>
      <c r="AD63" s="570"/>
      <c r="AE63" s="240"/>
      <c r="AF63" s="269"/>
      <c r="AG63" s="269"/>
      <c r="AH63" s="269"/>
      <c r="AI63" s="269"/>
      <c r="AJ63" s="332"/>
      <c r="AK63" s="269"/>
      <c r="AL63" s="269"/>
      <c r="AM63" s="269"/>
      <c r="AN63" s="269"/>
      <c r="AO63" s="332"/>
      <c r="AP63" s="269"/>
      <c r="AQ63" s="269"/>
      <c r="AR63" s="269"/>
      <c r="AS63" s="269"/>
      <c r="AT63" s="332"/>
      <c r="AU63" s="269"/>
      <c r="AV63" s="269"/>
      <c r="AW63" s="269"/>
      <c r="AX63" s="269"/>
      <c r="AY63" s="332"/>
      <c r="AZ63" s="269"/>
      <c r="BA63" s="269"/>
      <c r="BB63" s="269"/>
      <c r="BC63" s="269"/>
      <c r="BD63" s="332"/>
      <c r="BE63" s="269"/>
      <c r="BF63" s="269"/>
      <c r="BG63" s="269"/>
      <c r="BH63" s="269"/>
      <c r="BI63" s="332"/>
      <c r="BJ63" s="269"/>
      <c r="BK63" s="269"/>
      <c r="BL63" s="269"/>
      <c r="BM63" s="269"/>
      <c r="BN63" s="332"/>
      <c r="BO63" s="269"/>
      <c r="BP63" s="269"/>
      <c r="BQ63" s="269"/>
      <c r="BR63" s="269"/>
      <c r="BS63" s="332"/>
      <c r="BT63" s="269"/>
      <c r="BU63" s="269"/>
      <c r="BV63" s="269"/>
      <c r="BW63" s="269"/>
      <c r="BX63" s="332"/>
      <c r="BY63" s="269"/>
      <c r="BZ63" s="269"/>
      <c r="CA63" s="269"/>
      <c r="CB63" s="269"/>
      <c r="CC63" s="332"/>
      <c r="CD63" s="329"/>
      <c r="CE63" s="329"/>
      <c r="CF63" s="329">
        <f>CF23/CE23-1</f>
        <v>4.4210526315789478</v>
      </c>
      <c r="CG63" s="329">
        <f>CG23/CF23-1</f>
        <v>1.1359223300970873</v>
      </c>
      <c r="CH63" s="329">
        <f>CH23/CG23-1</f>
        <v>0.57954545454545459</v>
      </c>
    </row>
    <row r="64" spans="1:86" ht="13.5">
      <c r="A64" s="85"/>
      <c r="B64" s="85"/>
      <c r="C64" s="85"/>
      <c r="D64" s="85"/>
      <c r="E64" s="85"/>
      <c r="F64" s="85"/>
      <c r="G64" s="85"/>
      <c r="H64" s="623" t="str">
        <f t="shared" si="11"/>
        <v>U.S.</v>
      </c>
      <c r="L64" s="570"/>
      <c r="M64" s="570"/>
      <c r="N64" s="570"/>
      <c r="O64" s="570"/>
      <c r="P64" s="240"/>
      <c r="Q64" s="570"/>
      <c r="R64" s="570"/>
      <c r="S64" s="570"/>
      <c r="T64" s="570"/>
      <c r="U64" s="240"/>
      <c r="V64" s="570"/>
      <c r="W64" s="570"/>
      <c r="X64" s="570"/>
      <c r="Y64" s="570"/>
      <c r="Z64" s="240"/>
      <c r="AA64" s="570"/>
      <c r="AB64" s="570"/>
      <c r="AC64" s="570"/>
      <c r="AD64" s="570"/>
      <c r="AE64" s="240"/>
      <c r="AF64" s="269"/>
      <c r="AG64" s="269"/>
      <c r="AH64" s="269"/>
      <c r="AI64" s="269"/>
      <c r="AJ64" s="332"/>
      <c r="AK64" s="269"/>
      <c r="AL64" s="269"/>
      <c r="AM64" s="269"/>
      <c r="AN64" s="269"/>
      <c r="AO64" s="332"/>
      <c r="AP64" s="269"/>
      <c r="AQ64" s="269"/>
      <c r="AR64" s="269"/>
      <c r="AS64" s="269"/>
      <c r="AT64" s="332"/>
      <c r="AU64" s="269"/>
      <c r="AV64" s="269"/>
      <c r="AW64" s="269"/>
      <c r="AX64" s="269"/>
      <c r="AY64" s="332"/>
      <c r="AZ64" s="269"/>
      <c r="BA64" s="269"/>
      <c r="BB64" s="269"/>
      <c r="BC64" s="269"/>
      <c r="BD64" s="332"/>
      <c r="BE64" s="269"/>
      <c r="BF64" s="269"/>
      <c r="BG64" s="269"/>
      <c r="BH64" s="269"/>
      <c r="BI64" s="332"/>
      <c r="BJ64" s="269"/>
      <c r="BK64" s="269"/>
      <c r="BL64" s="269"/>
      <c r="BM64" s="269"/>
      <c r="BN64" s="332"/>
      <c r="BO64" s="269"/>
      <c r="BP64" s="269"/>
      <c r="BQ64" s="269"/>
      <c r="BR64" s="269"/>
      <c r="BS64" s="332"/>
      <c r="BT64" s="269"/>
      <c r="BU64" s="269"/>
      <c r="BV64" s="269"/>
      <c r="BW64" s="269"/>
      <c r="BX64" s="332"/>
      <c r="BY64" s="269"/>
      <c r="BZ64" s="269"/>
      <c r="CA64" s="269"/>
      <c r="CB64" s="269"/>
      <c r="CC64" s="332"/>
      <c r="CD64" s="332"/>
      <c r="CE64" s="332"/>
      <c r="CF64" s="1255">
        <v>4</v>
      </c>
      <c r="CG64" s="1255">
        <v>1</v>
      </c>
      <c r="CH64" s="1255">
        <v>0.5</v>
      </c>
    </row>
    <row r="65" spans="1:86" ht="13.5">
      <c r="A65" s="85"/>
      <c r="B65" s="85"/>
      <c r="C65" s="85"/>
      <c r="D65" s="85"/>
      <c r="E65" s="85"/>
      <c r="F65" s="85"/>
      <c r="G65" s="85"/>
      <c r="H65" s="624" t="str">
        <f t="shared" si="11"/>
        <v>ex-US</v>
      </c>
      <c r="L65" s="570"/>
      <c r="M65" s="570"/>
      <c r="N65" s="570"/>
      <c r="O65" s="570"/>
      <c r="P65" s="240"/>
      <c r="Q65" s="570"/>
      <c r="R65" s="570"/>
      <c r="S65" s="570"/>
      <c r="T65" s="570"/>
      <c r="U65" s="240"/>
      <c r="V65" s="570"/>
      <c r="W65" s="570"/>
      <c r="X65" s="570"/>
      <c r="Y65" s="570"/>
      <c r="Z65" s="240"/>
      <c r="AA65" s="570"/>
      <c r="AB65" s="570"/>
      <c r="AC65" s="570"/>
      <c r="AD65" s="570"/>
      <c r="AE65" s="240"/>
      <c r="AF65" s="269"/>
      <c r="AG65" s="269"/>
      <c r="AH65" s="269"/>
      <c r="AI65" s="269"/>
      <c r="AJ65" s="332"/>
      <c r="AK65" s="269"/>
      <c r="AL65" s="269"/>
      <c r="AM65" s="269"/>
      <c r="AN65" s="269"/>
      <c r="AO65" s="332"/>
      <c r="AP65" s="269"/>
      <c r="AQ65" s="269"/>
      <c r="AR65" s="269"/>
      <c r="AS65" s="269"/>
      <c r="AT65" s="332"/>
      <c r="AU65" s="269"/>
      <c r="AV65" s="269"/>
      <c r="AW65" s="269"/>
      <c r="AX65" s="269"/>
      <c r="AY65" s="332"/>
      <c r="AZ65" s="269"/>
      <c r="BA65" s="269"/>
      <c r="BB65" s="269"/>
      <c r="BC65" s="269"/>
      <c r="BD65" s="332"/>
      <c r="BE65" s="269"/>
      <c r="BF65" s="269"/>
      <c r="BG65" s="269"/>
      <c r="BH65" s="269"/>
      <c r="BI65" s="332"/>
      <c r="BJ65" s="269"/>
      <c r="BK65" s="269"/>
      <c r="BL65" s="269"/>
      <c r="BM65" s="269"/>
      <c r="BN65" s="332"/>
      <c r="BO65" s="269"/>
      <c r="BP65" s="269"/>
      <c r="BQ65" s="269"/>
      <c r="BR65" s="269"/>
      <c r="BS65" s="332"/>
      <c r="BT65" s="269"/>
      <c r="BU65" s="269"/>
      <c r="BV65" s="269"/>
      <c r="BW65" s="269"/>
      <c r="BX65" s="332"/>
      <c r="BY65" s="269"/>
      <c r="BZ65" s="269"/>
      <c r="CA65" s="269"/>
      <c r="CB65" s="269"/>
      <c r="CC65" s="332"/>
      <c r="CD65" s="332"/>
      <c r="CE65" s="332"/>
      <c r="CF65" s="1255">
        <v>6</v>
      </c>
      <c r="CG65" s="1255">
        <v>1.5</v>
      </c>
      <c r="CH65" s="1255">
        <v>0.75</v>
      </c>
    </row>
    <row r="66" spans="1:86" ht="13.5">
      <c r="A66" s="85"/>
      <c r="B66" s="85"/>
      <c r="C66" s="85"/>
      <c r="D66" s="85"/>
      <c r="E66" s="85"/>
      <c r="F66" s="85"/>
      <c r="G66" s="85"/>
      <c r="H66" s="622" t="str">
        <f t="shared" si="11"/>
        <v>solanezumab (anti-amyloid Ab: Alzheimer's)</v>
      </c>
      <c r="L66" s="570"/>
      <c r="M66" s="570"/>
      <c r="N66" s="570"/>
      <c r="O66" s="570"/>
      <c r="P66" s="240"/>
      <c r="Q66" s="570"/>
      <c r="R66" s="570"/>
      <c r="S66" s="570"/>
      <c r="T66" s="570"/>
      <c r="U66" s="240"/>
      <c r="V66" s="570"/>
      <c r="W66" s="570"/>
      <c r="X66" s="570"/>
      <c r="Y66" s="570"/>
      <c r="Z66" s="240"/>
      <c r="AA66" s="570"/>
      <c r="AB66" s="570"/>
      <c r="AC66" s="570"/>
      <c r="AD66" s="570"/>
      <c r="AE66" s="240"/>
      <c r="AF66" s="269"/>
      <c r="AG66" s="269"/>
      <c r="AH66" s="269"/>
      <c r="AI66" s="269"/>
      <c r="AJ66" s="332"/>
      <c r="AK66" s="269"/>
      <c r="AL66" s="269"/>
      <c r="AM66" s="269"/>
      <c r="AN66" s="269"/>
      <c r="AO66" s="332"/>
      <c r="AP66" s="269"/>
      <c r="AQ66" s="269"/>
      <c r="AR66" s="269"/>
      <c r="AS66" s="269"/>
      <c r="AT66" s="332"/>
      <c r="AU66" s="269"/>
      <c r="AV66" s="269"/>
      <c r="AW66" s="269"/>
      <c r="AX66" s="269"/>
      <c r="AY66" s="332"/>
      <c r="AZ66" s="269"/>
      <c r="BA66" s="269"/>
      <c r="BB66" s="269"/>
      <c r="BC66" s="269"/>
      <c r="BD66" s="332"/>
      <c r="BE66" s="269"/>
      <c r="BF66" s="269"/>
      <c r="BG66" s="269"/>
      <c r="BH66" s="269"/>
      <c r="BI66" s="332"/>
      <c r="BJ66" s="269"/>
      <c r="BK66" s="269"/>
      <c r="BL66" s="269"/>
      <c r="BM66" s="269"/>
      <c r="BN66" s="332"/>
      <c r="BO66" s="269"/>
      <c r="BP66" s="269"/>
      <c r="BQ66" s="269"/>
      <c r="BR66" s="269"/>
      <c r="BS66" s="332"/>
      <c r="BT66" s="269"/>
      <c r="BU66" s="269"/>
      <c r="BV66" s="269"/>
      <c r="BW66" s="269"/>
      <c r="BX66" s="332"/>
      <c r="BY66" s="269"/>
      <c r="BZ66" s="269"/>
      <c r="CA66" s="269"/>
      <c r="CB66" s="269"/>
      <c r="CC66" s="332"/>
      <c r="CD66" s="329"/>
      <c r="CE66" s="329"/>
      <c r="CF66" s="329">
        <f>CF26/CE26-1</f>
        <v>2.75</v>
      </c>
      <c r="CG66" s="329">
        <f>CG26/CF26-1</f>
        <v>1</v>
      </c>
      <c r="CH66" s="329">
        <f>CH26/CG26-1</f>
        <v>0.5</v>
      </c>
    </row>
    <row r="67" spans="1:86" ht="13.5">
      <c r="A67" s="85"/>
      <c r="B67" s="85"/>
      <c r="C67" s="85"/>
      <c r="D67" s="85"/>
      <c r="E67" s="85"/>
      <c r="F67" s="85"/>
      <c r="G67" s="85"/>
      <c r="H67" s="623" t="str">
        <f t="shared" si="11"/>
        <v>U.S.</v>
      </c>
      <c r="L67" s="570"/>
      <c r="M67" s="570"/>
      <c r="N67" s="570"/>
      <c r="O67" s="570"/>
      <c r="P67" s="240"/>
      <c r="Q67" s="570"/>
      <c r="R67" s="570"/>
      <c r="S67" s="570"/>
      <c r="T67" s="570"/>
      <c r="U67" s="240"/>
      <c r="V67" s="570"/>
      <c r="W67" s="570"/>
      <c r="X67" s="570"/>
      <c r="Y67" s="570"/>
      <c r="Z67" s="240"/>
      <c r="AA67" s="570"/>
      <c r="AB67" s="570"/>
      <c r="AC67" s="570"/>
      <c r="AD67" s="570"/>
      <c r="AE67" s="240"/>
      <c r="AF67" s="269"/>
      <c r="AG67" s="269"/>
      <c r="AH67" s="269"/>
      <c r="AI67" s="269"/>
      <c r="AJ67" s="332"/>
      <c r="AK67" s="269"/>
      <c r="AL67" s="269"/>
      <c r="AM67" s="269"/>
      <c r="AN67" s="269"/>
      <c r="AO67" s="332"/>
      <c r="AP67" s="269"/>
      <c r="AQ67" s="269"/>
      <c r="AR67" s="269"/>
      <c r="AS67" s="269"/>
      <c r="AT67" s="332"/>
      <c r="AU67" s="269"/>
      <c r="AV67" s="269"/>
      <c r="AW67" s="269"/>
      <c r="AX67" s="269"/>
      <c r="AY67" s="332"/>
      <c r="AZ67" s="269"/>
      <c r="BA67" s="269"/>
      <c r="BB67" s="269"/>
      <c r="BC67" s="269"/>
      <c r="BD67" s="332"/>
      <c r="BE67" s="269"/>
      <c r="BF67" s="269"/>
      <c r="BG67" s="269"/>
      <c r="BH67" s="269"/>
      <c r="BI67" s="332"/>
      <c r="BJ67" s="269"/>
      <c r="BK67" s="269"/>
      <c r="BL67" s="269"/>
      <c r="BM67" s="269"/>
      <c r="BN67" s="332"/>
      <c r="BO67" s="269"/>
      <c r="BP67" s="269"/>
      <c r="BQ67" s="269"/>
      <c r="BR67" s="269"/>
      <c r="BS67" s="332"/>
      <c r="BT67" s="269"/>
      <c r="BU67" s="269"/>
      <c r="BV67" s="269"/>
      <c r="BW67" s="269"/>
      <c r="BX67" s="332"/>
      <c r="BY67" s="269"/>
      <c r="BZ67" s="269"/>
      <c r="CA67" s="269"/>
      <c r="CB67" s="269"/>
      <c r="CC67" s="332"/>
      <c r="CD67" s="332"/>
      <c r="CE67" s="332"/>
      <c r="CF67" s="332">
        <v>2</v>
      </c>
      <c r="CG67" s="332">
        <v>1</v>
      </c>
      <c r="CH67" s="332">
        <v>0.5</v>
      </c>
    </row>
    <row r="68" spans="1:86" ht="13.5">
      <c r="A68" s="85"/>
      <c r="B68" s="85"/>
      <c r="C68" s="85"/>
      <c r="D68" s="85"/>
      <c r="E68" s="85"/>
      <c r="F68" s="85"/>
      <c r="G68" s="85"/>
      <c r="H68" s="624" t="str">
        <f t="shared" si="11"/>
        <v>ex-US</v>
      </c>
      <c r="L68" s="570"/>
      <c r="M68" s="570"/>
      <c r="N68" s="570"/>
      <c r="O68" s="570"/>
      <c r="P68" s="240"/>
      <c r="Q68" s="570"/>
      <c r="R68" s="570"/>
      <c r="S68" s="570"/>
      <c r="T68" s="570"/>
      <c r="U68" s="240"/>
      <c r="V68" s="570"/>
      <c r="W68" s="570"/>
      <c r="X68" s="570"/>
      <c r="Y68" s="570"/>
      <c r="Z68" s="240"/>
      <c r="AA68" s="570"/>
      <c r="AB68" s="570"/>
      <c r="AC68" s="570"/>
      <c r="AD68" s="570"/>
      <c r="AE68" s="240"/>
      <c r="AF68" s="269"/>
      <c r="AG68" s="269"/>
      <c r="AH68" s="269"/>
      <c r="AI68" s="269"/>
      <c r="AJ68" s="332"/>
      <c r="AK68" s="269"/>
      <c r="AL68" s="269"/>
      <c r="AM68" s="269"/>
      <c r="AN68" s="269"/>
      <c r="AO68" s="332"/>
      <c r="AP68" s="269"/>
      <c r="AQ68" s="269"/>
      <c r="AR68" s="269"/>
      <c r="AS68" s="269"/>
      <c r="AT68" s="332"/>
      <c r="AU68" s="269"/>
      <c r="AV68" s="269"/>
      <c r="AW68" s="269"/>
      <c r="AX68" s="269"/>
      <c r="AY68" s="332"/>
      <c r="AZ68" s="269"/>
      <c r="BA68" s="269"/>
      <c r="BB68" s="269"/>
      <c r="BC68" s="269"/>
      <c r="BD68" s="332"/>
      <c r="BE68" s="269"/>
      <c r="BF68" s="269"/>
      <c r="BG68" s="269"/>
      <c r="BH68" s="269"/>
      <c r="BI68" s="332"/>
      <c r="BJ68" s="269"/>
      <c r="BK68" s="269"/>
      <c r="BL68" s="269"/>
      <c r="BM68" s="269"/>
      <c r="BN68" s="332"/>
      <c r="BO68" s="269"/>
      <c r="BP68" s="269"/>
      <c r="BQ68" s="269"/>
      <c r="BR68" s="269"/>
      <c r="BS68" s="332"/>
      <c r="BT68" s="269"/>
      <c r="BU68" s="269"/>
      <c r="BV68" s="269"/>
      <c r="BW68" s="269"/>
      <c r="BX68" s="332"/>
      <c r="BY68" s="269"/>
      <c r="BZ68" s="269"/>
      <c r="CA68" s="269"/>
      <c r="CB68" s="269"/>
      <c r="CC68" s="332"/>
      <c r="CD68" s="332"/>
      <c r="CE68" s="332"/>
      <c r="CF68" s="332">
        <v>5</v>
      </c>
      <c r="CG68" s="332">
        <v>1</v>
      </c>
      <c r="CH68" s="332">
        <v>0.5</v>
      </c>
    </row>
    <row r="69" spans="1:86" ht="13.5">
      <c r="A69" s="85"/>
      <c r="B69" s="85"/>
      <c r="C69" s="85"/>
      <c r="D69" s="85"/>
      <c r="E69" s="85"/>
      <c r="F69" s="85"/>
      <c r="G69" s="85"/>
      <c r="H69" s="622" t="str">
        <f t="shared" si="11"/>
        <v>prexasertib (CHK1: Ovarian cancer)</v>
      </c>
      <c r="L69" s="570"/>
      <c r="M69" s="570"/>
      <c r="N69" s="570"/>
      <c r="O69" s="570"/>
      <c r="P69" s="240"/>
      <c r="Q69" s="570"/>
      <c r="R69" s="570"/>
      <c r="S69" s="570"/>
      <c r="T69" s="570"/>
      <c r="U69" s="240"/>
      <c r="V69" s="570"/>
      <c r="W69" s="570"/>
      <c r="X69" s="570"/>
      <c r="Y69" s="570"/>
      <c r="Z69" s="240"/>
      <c r="AA69" s="570"/>
      <c r="AB69" s="570"/>
      <c r="AC69" s="570"/>
      <c r="AD69" s="570"/>
      <c r="AE69" s="240"/>
      <c r="AF69" s="269"/>
      <c r="AG69" s="269"/>
      <c r="AH69" s="269"/>
      <c r="AI69" s="269"/>
      <c r="AJ69" s="332"/>
      <c r="AK69" s="269"/>
      <c r="AL69" s="269"/>
      <c r="AM69" s="269"/>
      <c r="AN69" s="269"/>
      <c r="AO69" s="332"/>
      <c r="AP69" s="269"/>
      <c r="AQ69" s="269"/>
      <c r="AR69" s="269"/>
      <c r="AS69" s="269"/>
      <c r="AT69" s="332"/>
      <c r="AU69" s="269"/>
      <c r="AV69" s="269"/>
      <c r="AW69" s="269"/>
      <c r="AX69" s="269"/>
      <c r="AY69" s="332"/>
      <c r="AZ69" s="269"/>
      <c r="BA69" s="269"/>
      <c r="BB69" s="269"/>
      <c r="BC69" s="269"/>
      <c r="BD69" s="332"/>
      <c r="BE69" s="269"/>
      <c r="BF69" s="269"/>
      <c r="BG69" s="269"/>
      <c r="BH69" s="269"/>
      <c r="BI69" s="332"/>
      <c r="BJ69" s="269"/>
      <c r="BK69" s="269"/>
      <c r="BL69" s="269"/>
      <c r="BM69" s="269"/>
      <c r="BN69" s="332"/>
      <c r="BO69" s="269"/>
      <c r="BP69" s="269"/>
      <c r="BQ69" s="269"/>
      <c r="BR69" s="269"/>
      <c r="BS69" s="332"/>
      <c r="BT69" s="269"/>
      <c r="BU69" s="269"/>
      <c r="BV69" s="269"/>
      <c r="BW69" s="269"/>
      <c r="BX69" s="332"/>
      <c r="BY69" s="269"/>
      <c r="BZ69" s="269"/>
      <c r="CA69" s="269"/>
      <c r="CB69" s="269"/>
      <c r="CC69" s="332"/>
      <c r="CD69" s="329"/>
      <c r="CE69" s="329"/>
      <c r="CF69" s="329">
        <f>CF29/CE29-1</f>
        <v>3.5454545454545459</v>
      </c>
      <c r="CG69" s="329">
        <f>CG29/CF29-1</f>
        <v>0.74399999999999999</v>
      </c>
      <c r="CH69" s="329">
        <f>CH29/CG29-1</f>
        <v>0.32385321100917452</v>
      </c>
    </row>
    <row r="70" spans="1:86" ht="13.5">
      <c r="A70" s="85"/>
      <c r="B70" s="85"/>
      <c r="C70" s="85"/>
      <c r="D70" s="85"/>
      <c r="E70" s="85"/>
      <c r="F70" s="85"/>
      <c r="G70" s="85"/>
      <c r="H70" s="623" t="str">
        <f t="shared" si="11"/>
        <v>U.S.</v>
      </c>
      <c r="L70" s="570"/>
      <c r="M70" s="570"/>
      <c r="N70" s="570"/>
      <c r="O70" s="570"/>
      <c r="P70" s="240"/>
      <c r="Q70" s="570"/>
      <c r="R70" s="570"/>
      <c r="S70" s="570"/>
      <c r="T70" s="570"/>
      <c r="U70" s="240"/>
      <c r="V70" s="570"/>
      <c r="W70" s="570"/>
      <c r="X70" s="570"/>
      <c r="Y70" s="570"/>
      <c r="Z70" s="240"/>
      <c r="AA70" s="570"/>
      <c r="AB70" s="570"/>
      <c r="AC70" s="570"/>
      <c r="AD70" s="570"/>
      <c r="AE70" s="240"/>
      <c r="AF70" s="269"/>
      <c r="AG70" s="269"/>
      <c r="AH70" s="269"/>
      <c r="AI70" s="269"/>
      <c r="AJ70" s="332"/>
      <c r="AK70" s="269"/>
      <c r="AL70" s="269"/>
      <c r="AM70" s="269"/>
      <c r="AN70" s="269"/>
      <c r="AO70" s="332"/>
      <c r="AP70" s="269"/>
      <c r="AQ70" s="269"/>
      <c r="AR70" s="269"/>
      <c r="AS70" s="269"/>
      <c r="AT70" s="332"/>
      <c r="AU70" s="269"/>
      <c r="AV70" s="269"/>
      <c r="AW70" s="269"/>
      <c r="AX70" s="269"/>
      <c r="AY70" s="332"/>
      <c r="AZ70" s="269"/>
      <c r="BA70" s="269"/>
      <c r="BB70" s="269"/>
      <c r="BC70" s="269"/>
      <c r="BD70" s="332"/>
      <c r="BE70" s="269"/>
      <c r="BF70" s="269"/>
      <c r="BG70" s="269"/>
      <c r="BH70" s="269"/>
      <c r="BI70" s="332"/>
      <c r="BJ70" s="269"/>
      <c r="BK70" s="269"/>
      <c r="BL70" s="269"/>
      <c r="BM70" s="269"/>
      <c r="BN70" s="332"/>
      <c r="BO70" s="269"/>
      <c r="BP70" s="269"/>
      <c r="BQ70" s="269"/>
      <c r="BR70" s="269"/>
      <c r="BS70" s="332"/>
      <c r="BT70" s="269"/>
      <c r="BU70" s="269"/>
      <c r="BV70" s="269"/>
      <c r="BW70" s="269"/>
      <c r="BX70" s="332"/>
      <c r="BY70" s="269"/>
      <c r="BZ70" s="269"/>
      <c r="CA70" s="269"/>
      <c r="CB70" s="269"/>
      <c r="CC70" s="332"/>
      <c r="CD70" s="332"/>
      <c r="CE70" s="332"/>
      <c r="CF70" s="332">
        <v>3</v>
      </c>
      <c r="CG70" s="332">
        <v>0.6</v>
      </c>
      <c r="CH70" s="332">
        <v>0.2</v>
      </c>
    </row>
    <row r="71" spans="1:86" ht="13.5">
      <c r="A71" s="85"/>
      <c r="B71" s="85"/>
      <c r="C71" s="85"/>
      <c r="D71" s="85"/>
      <c r="E71" s="85"/>
      <c r="F71" s="85"/>
      <c r="G71" s="85"/>
      <c r="H71" s="624" t="str">
        <f t="shared" si="11"/>
        <v>ex-US</v>
      </c>
      <c r="L71" s="570"/>
      <c r="M71" s="570"/>
      <c r="N71" s="570"/>
      <c r="O71" s="570"/>
      <c r="P71" s="240"/>
      <c r="Q71" s="570"/>
      <c r="R71" s="570"/>
      <c r="S71" s="570"/>
      <c r="T71" s="570"/>
      <c r="U71" s="240"/>
      <c r="V71" s="570"/>
      <c r="W71" s="570"/>
      <c r="X71" s="570"/>
      <c r="Y71" s="570"/>
      <c r="Z71" s="240"/>
      <c r="AA71" s="570"/>
      <c r="AB71" s="570"/>
      <c r="AC71" s="570"/>
      <c r="AD71" s="570"/>
      <c r="AE71" s="240"/>
      <c r="AF71" s="269"/>
      <c r="AG71" s="269"/>
      <c r="AH71" s="269"/>
      <c r="AI71" s="269"/>
      <c r="AJ71" s="332"/>
      <c r="AK71" s="269"/>
      <c r="AL71" s="269"/>
      <c r="AM71" s="269"/>
      <c r="AN71" s="269"/>
      <c r="AO71" s="332"/>
      <c r="AP71" s="269"/>
      <c r="AQ71" s="269"/>
      <c r="AR71" s="269"/>
      <c r="AS71" s="269"/>
      <c r="AT71" s="332"/>
      <c r="AU71" s="269"/>
      <c r="AV71" s="269"/>
      <c r="AW71" s="269"/>
      <c r="AX71" s="269"/>
      <c r="AY71" s="332"/>
      <c r="AZ71" s="269"/>
      <c r="BA71" s="269"/>
      <c r="BB71" s="269"/>
      <c r="BC71" s="269"/>
      <c r="BD71" s="332"/>
      <c r="BE71" s="269"/>
      <c r="BF71" s="269"/>
      <c r="BG71" s="269"/>
      <c r="BH71" s="269"/>
      <c r="BI71" s="332"/>
      <c r="BJ71" s="269"/>
      <c r="BK71" s="269"/>
      <c r="BL71" s="269"/>
      <c r="BM71" s="269"/>
      <c r="BN71" s="332"/>
      <c r="BO71" s="269"/>
      <c r="BP71" s="269"/>
      <c r="BQ71" s="269"/>
      <c r="BR71" s="269"/>
      <c r="BS71" s="332"/>
      <c r="BT71" s="269"/>
      <c r="BU71" s="269"/>
      <c r="BV71" s="269"/>
      <c r="BW71" s="269"/>
      <c r="BX71" s="332"/>
      <c r="BY71" s="269"/>
      <c r="BZ71" s="269"/>
      <c r="CA71" s="269"/>
      <c r="CB71" s="269"/>
      <c r="CC71" s="332"/>
      <c r="CD71" s="332"/>
      <c r="CE71" s="332"/>
      <c r="CF71" s="332">
        <v>5</v>
      </c>
      <c r="CG71" s="332">
        <v>1</v>
      </c>
      <c r="CH71" s="332">
        <v>0.5</v>
      </c>
    </row>
    <row r="72" spans="1:86" ht="13.5">
      <c r="A72" s="85"/>
      <c r="B72" s="85"/>
      <c r="C72" s="85"/>
      <c r="D72" s="85"/>
      <c r="E72" s="85"/>
      <c r="F72" s="85"/>
      <c r="G72" s="85"/>
      <c r="H72" s="616"/>
    </row>
    <row r="73" spans="1:86" ht="13.5">
      <c r="A73" s="85"/>
      <c r="B73" s="85"/>
      <c r="C73" s="85"/>
      <c r="D73" s="85"/>
      <c r="E73" s="85"/>
      <c r="F73" s="85"/>
      <c r="G73" s="85"/>
      <c r="H73" s="617"/>
    </row>
  </sheetData>
  <phoneticPr fontId="3" type="noConversion"/>
  <conditionalFormatting sqref="L49:CH49 L9:CH9">
    <cfRule type="expression" dxfId="43" priority="4" stopIfTrue="1">
      <formula>L$4&lt;=$J$5</formula>
    </cfRule>
  </conditionalFormatting>
  <pageMargins left="0.5" right="0.5" top="0.5" bottom="0.5" header="0.5" footer="0.5"/>
  <pageSetup scale="70" orientation="portrait" r:id="rId1"/>
  <headerFooter alignWithMargins="0"/>
  <rowBreaks count="1" manualBreakCount="1">
    <brk id="47" min="7" max="85" man="1"/>
  </rowBreaks>
  <ignoredErrors>
    <ignoredError sqref="CD11:CD14 CF20 CD17 CE15:CE16 CH11:CH14 CH20 CH17 CH15:CH16 CG11:CG14 CG20 CG17 CG15:CG16 CF11:CF14 CF17 CF15:CF16 CE11:CE14 CE17" formula="1"/>
  </ignoredError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enableFormatConditionsCalculation="0">
    <tabColor indexed="56"/>
  </sheetPr>
  <dimension ref="A1:EX1292"/>
  <sheetViews>
    <sheetView topLeftCell="H5" zoomScaleNormal="100" workbookViewId="0"/>
  </sheetViews>
  <sheetFormatPr defaultRowHeight="13.5" outlineLevelRow="1" outlineLevelCol="1"/>
  <cols>
    <col min="1" max="1" width="21.5703125" hidden="1" customWidth="1" outlineLevel="1"/>
    <col min="2" max="2" width="2.85546875" hidden="1" customWidth="1" outlineLevel="1"/>
    <col min="3" max="3" width="10.28515625" hidden="1" customWidth="1" outlineLevel="1"/>
    <col min="4" max="4" width="8.7109375" hidden="1" customWidth="1" outlineLevel="1"/>
    <col min="5" max="5" width="4.140625" hidden="1" customWidth="1" outlineLevel="1"/>
    <col min="6" max="6" width="6.85546875" hidden="1" customWidth="1" outlineLevel="1"/>
    <col min="7" max="7" width="1.7109375" style="47" hidden="1" customWidth="1" outlineLevel="1"/>
    <col min="8" max="8" width="2.42578125" style="47" customWidth="1" collapsed="1"/>
    <col min="9" max="9" width="19.5703125" style="47" customWidth="1"/>
    <col min="10" max="11" width="1.28515625" style="47" customWidth="1"/>
    <col min="12" max="14" width="7.140625" style="381" hidden="1" customWidth="1" outlineLevel="1"/>
    <col min="15" max="15" width="7.140625" style="377" hidden="1" customWidth="1" outlineLevel="1"/>
    <col min="16" max="16" width="7.5703125" style="381" hidden="1" customWidth="1" collapsed="1"/>
    <col min="17" max="19" width="6.85546875" style="381" hidden="1" customWidth="1" outlineLevel="1"/>
    <col min="20" max="20" width="7.5703125" style="377" hidden="1" customWidth="1" outlineLevel="1"/>
    <col min="21" max="21" width="7.5703125" style="381" hidden="1" customWidth="1" collapsed="1"/>
    <col min="22" max="24" width="6.85546875" style="381" hidden="1" customWidth="1" outlineLevel="1"/>
    <col min="25" max="25" width="7.5703125" style="377" hidden="1" customWidth="1" outlineLevel="1"/>
    <col min="26" max="26" width="7.5703125" style="47" hidden="1" customWidth="1" collapsed="1"/>
    <col min="27" max="29" width="6.85546875" style="381" hidden="1" customWidth="1" outlineLevel="1"/>
    <col min="30" max="30" width="7.5703125" style="377" hidden="1" customWidth="1" outlineLevel="1"/>
    <col min="31" max="31" width="7.5703125" style="47" hidden="1" customWidth="1" collapsed="1"/>
    <col min="32" max="34" width="6.85546875" style="381" hidden="1" customWidth="1" outlineLevel="1"/>
    <col min="35" max="35" width="7.5703125" style="377" hidden="1" customWidth="1" outlineLevel="1"/>
    <col min="36" max="36" width="7.5703125" style="47" hidden="1" customWidth="1" collapsed="1"/>
    <col min="37" max="39" width="6.85546875" style="47" hidden="1" customWidth="1" outlineLevel="1"/>
    <col min="40" max="40" width="7.5703125" style="47" hidden="1" customWidth="1" outlineLevel="1"/>
    <col min="41" max="41" width="7.5703125" style="77" bestFit="1" customWidth="1" collapsed="1"/>
    <col min="42" max="44" width="6.85546875" style="77" hidden="1" customWidth="1" outlineLevel="1"/>
    <col min="45" max="45" width="7.5703125" style="77" hidden="1" customWidth="1" outlineLevel="1"/>
    <col min="46" max="46" width="7.5703125" style="77" bestFit="1" customWidth="1" collapsed="1"/>
    <col min="47" max="49" width="6.85546875" style="77" hidden="1" customWidth="1" outlineLevel="1"/>
    <col min="50" max="50" width="7.5703125" style="77" hidden="1" customWidth="1" outlineLevel="1"/>
    <col min="51" max="51" width="7.5703125" style="77" bestFit="1" customWidth="1" collapsed="1"/>
    <col min="52" max="54" width="6.85546875" style="77" hidden="1" customWidth="1" outlineLevel="1"/>
    <col min="55" max="55" width="7.5703125" style="77" hidden="1" customWidth="1" outlineLevel="1"/>
    <col min="56" max="56" width="7.5703125" style="77" bestFit="1" customWidth="1" collapsed="1"/>
    <col min="57" max="59" width="6.85546875" style="77" hidden="1" customWidth="1" outlineLevel="1"/>
    <col min="60" max="60" width="7.5703125" style="77" hidden="1" customWidth="1" outlineLevel="1"/>
    <col min="61" max="61" width="7.5703125" style="77" bestFit="1" customWidth="1" collapsed="1"/>
    <col min="62" max="64" width="6.85546875" style="77" hidden="1" customWidth="1" outlineLevel="1"/>
    <col min="65" max="65" width="7.5703125" style="77" hidden="1" customWidth="1" outlineLevel="1"/>
    <col min="66" max="66" width="7.5703125" style="77" bestFit="1" customWidth="1" collapsed="1"/>
    <col min="67" max="69" width="6.85546875" style="77" hidden="1" customWidth="1" outlineLevel="1"/>
    <col min="70" max="70" width="7.5703125" style="77" hidden="1" customWidth="1" outlineLevel="1"/>
    <col min="71" max="71" width="7.5703125" style="77" bestFit="1" customWidth="1" collapsed="1"/>
    <col min="72" max="74" width="6.85546875" style="77" hidden="1" customWidth="1" outlineLevel="1"/>
    <col min="75" max="75" width="7.5703125" style="77" hidden="1" customWidth="1" outlineLevel="1"/>
    <col min="76" max="76" width="7.5703125" style="77" bestFit="1" customWidth="1" collapsed="1"/>
    <col min="77" max="79" width="6.85546875" style="77" hidden="1" customWidth="1" outlineLevel="1"/>
    <col min="80" max="80" width="7.5703125" style="77" hidden="1" customWidth="1" outlineLevel="1"/>
    <col min="81" max="86" width="7.5703125" style="77" bestFit="1" customWidth="1" collapsed="1"/>
    <col min="87" max="16384" width="9.140625" style="47"/>
  </cols>
  <sheetData>
    <row r="1" spans="1:154" s="14" customFormat="1" hidden="1" outlineLevel="1">
      <c r="A1"/>
      <c r="B1"/>
      <c r="C1"/>
      <c r="D1"/>
      <c r="E1"/>
      <c r="F1"/>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EX1" s="14" t="s">
        <v>1120</v>
      </c>
    </row>
    <row r="2" spans="1:154" customFormat="1" ht="12.75" hidden="1" outlineLevel="1"/>
    <row r="3" spans="1:154" hidden="1" outlineLevel="1">
      <c r="G3" s="9"/>
      <c r="H3" s="9"/>
      <c r="I3" s="9"/>
      <c r="J3" s="9"/>
      <c r="K3" s="9"/>
      <c r="L3" s="374"/>
      <c r="M3" s="374"/>
      <c r="N3" s="374"/>
      <c r="O3" s="374"/>
      <c r="P3" s="374"/>
      <c r="Q3" s="374"/>
      <c r="R3" s="374"/>
      <c r="S3" s="374"/>
      <c r="T3" s="374"/>
      <c r="U3" s="374"/>
      <c r="V3" s="374"/>
      <c r="W3" s="374"/>
      <c r="X3" s="374"/>
      <c r="Y3" s="374"/>
      <c r="Z3" s="230"/>
      <c r="AA3" s="374"/>
      <c r="AB3" s="374"/>
      <c r="AC3" s="374"/>
      <c r="AD3" s="374"/>
      <c r="AE3" s="230"/>
      <c r="AF3" s="374"/>
      <c r="AG3" s="374"/>
      <c r="AH3" s="374"/>
      <c r="AI3" s="374"/>
      <c r="AJ3" s="230"/>
      <c r="AK3" s="230"/>
      <c r="AL3" s="230"/>
      <c r="AM3" s="230"/>
      <c r="AN3" s="230"/>
      <c r="AO3" s="230"/>
      <c r="AP3" s="230"/>
      <c r="AQ3" s="230"/>
      <c r="AR3" s="230"/>
      <c r="AS3" s="230"/>
      <c r="AT3" s="230"/>
      <c r="AU3" s="230"/>
      <c r="AV3" s="230"/>
      <c r="AW3" s="230"/>
      <c r="AX3" s="230"/>
      <c r="AY3" s="230"/>
      <c r="AZ3" s="230"/>
      <c r="BA3" s="230"/>
      <c r="BB3" s="230"/>
      <c r="BC3" s="230"/>
      <c r="BD3" s="230"/>
      <c r="BE3" s="230"/>
      <c r="BF3" s="230"/>
      <c r="BG3" s="230"/>
      <c r="BH3" s="230"/>
      <c r="BI3" s="230"/>
      <c r="BJ3" s="230"/>
      <c r="BK3" s="230"/>
      <c r="BL3" s="230"/>
      <c r="BM3" s="230"/>
      <c r="BN3" s="230"/>
      <c r="BO3" s="775"/>
      <c r="BP3" s="775"/>
      <c r="BQ3" s="775"/>
      <c r="BR3" s="775"/>
      <c r="BS3" s="775"/>
      <c r="BT3" s="775"/>
      <c r="BU3" s="775"/>
      <c r="BV3" s="775"/>
      <c r="BW3" s="775"/>
      <c r="BX3" s="775"/>
      <c r="BY3" s="775"/>
      <c r="BZ3" s="775"/>
      <c r="CA3" s="775"/>
      <c r="CB3" s="775"/>
      <c r="CC3" s="775"/>
      <c r="CD3" s="775"/>
      <c r="CE3" s="775"/>
      <c r="CF3" s="775"/>
      <c r="CG3" s="775"/>
      <c r="CH3" s="775"/>
    </row>
    <row r="4" spans="1:154" s="1258" customFormat="1" ht="15" hidden="1" customHeight="1" collapsed="1">
      <c r="A4"/>
      <c r="B4"/>
      <c r="C4"/>
      <c r="D4"/>
      <c r="E4"/>
      <c r="F4"/>
      <c r="G4" s="1256"/>
      <c r="H4" s="1256"/>
      <c r="I4" s="1256"/>
      <c r="J4" s="1256"/>
      <c r="K4" s="1256"/>
      <c r="L4" s="1257">
        <v>38442</v>
      </c>
      <c r="M4" s="1257">
        <v>38533</v>
      </c>
      <c r="N4" s="1257">
        <v>38625</v>
      </c>
      <c r="O4" s="1257">
        <v>38717</v>
      </c>
      <c r="P4" s="1257">
        <v>38717</v>
      </c>
      <c r="Q4" s="1257">
        <v>38807</v>
      </c>
      <c r="R4" s="1257">
        <v>38898</v>
      </c>
      <c r="S4" s="1257">
        <v>38990</v>
      </c>
      <c r="T4" s="1257">
        <v>39082</v>
      </c>
      <c r="U4" s="1257">
        <v>39082</v>
      </c>
      <c r="V4" s="1257">
        <v>39172</v>
      </c>
      <c r="W4" s="1257">
        <v>39263</v>
      </c>
      <c r="X4" s="1257">
        <v>39355</v>
      </c>
      <c r="Y4" s="1257">
        <v>39447</v>
      </c>
      <c r="Z4" s="1257">
        <v>39447</v>
      </c>
      <c r="AA4" s="1257">
        <v>39538</v>
      </c>
      <c r="AB4" s="1257">
        <v>39629</v>
      </c>
      <c r="AC4" s="1257">
        <v>39721</v>
      </c>
      <c r="AD4" s="1257">
        <v>39813</v>
      </c>
      <c r="AE4" s="1257">
        <v>39813</v>
      </c>
      <c r="AF4" s="1257">
        <v>39903</v>
      </c>
      <c r="AG4" s="1257">
        <v>39994</v>
      </c>
      <c r="AH4" s="1257">
        <v>40086</v>
      </c>
      <c r="AI4" s="1257">
        <v>40178</v>
      </c>
      <c r="AJ4" s="1257">
        <v>40178</v>
      </c>
      <c r="AK4" s="1257">
        <v>40268</v>
      </c>
      <c r="AL4" s="1257">
        <v>40359</v>
      </c>
      <c r="AM4" s="1257">
        <v>40451</v>
      </c>
      <c r="AN4" s="1257">
        <v>40543</v>
      </c>
      <c r="AO4" s="1260">
        <v>40543</v>
      </c>
      <c r="AP4" s="1260">
        <v>40633</v>
      </c>
      <c r="AQ4" s="1260">
        <v>40724</v>
      </c>
      <c r="AR4" s="1260">
        <v>40816</v>
      </c>
      <c r="AS4" s="1260">
        <v>40908</v>
      </c>
      <c r="AT4" s="1260">
        <v>40908</v>
      </c>
      <c r="AU4" s="1260">
        <v>40999</v>
      </c>
      <c r="AV4" s="1260">
        <v>41090</v>
      </c>
      <c r="AW4" s="1260">
        <v>41182</v>
      </c>
      <c r="AX4" s="1260">
        <v>41274</v>
      </c>
      <c r="AY4" s="1260">
        <v>41274</v>
      </c>
      <c r="AZ4" s="1260">
        <v>41364</v>
      </c>
      <c r="BA4" s="1260">
        <v>41455</v>
      </c>
      <c r="BB4" s="1260">
        <v>41547</v>
      </c>
      <c r="BC4" s="1260">
        <v>41639</v>
      </c>
      <c r="BD4" s="1260">
        <v>41639</v>
      </c>
      <c r="BE4" s="1260">
        <v>41729</v>
      </c>
      <c r="BF4" s="1260">
        <v>41820</v>
      </c>
      <c r="BG4" s="1260">
        <v>41912</v>
      </c>
      <c r="BH4" s="1260">
        <v>42004</v>
      </c>
      <c r="BI4" s="1260">
        <v>42004</v>
      </c>
      <c r="BJ4" s="1260">
        <v>42094</v>
      </c>
      <c r="BK4" s="1260">
        <v>42185</v>
      </c>
      <c r="BL4" s="1260">
        <v>42277</v>
      </c>
      <c r="BM4" s="1260">
        <v>42369</v>
      </c>
      <c r="BN4" s="1260">
        <v>42369</v>
      </c>
      <c r="BO4" s="1260">
        <v>42460</v>
      </c>
      <c r="BP4" s="1260">
        <v>42551</v>
      </c>
      <c r="BQ4" s="1260">
        <v>42643</v>
      </c>
      <c r="BR4" s="1260">
        <v>42735</v>
      </c>
      <c r="BS4" s="1260">
        <v>42735</v>
      </c>
      <c r="BT4" s="1260">
        <v>42825</v>
      </c>
      <c r="BU4" s="1260">
        <v>42916</v>
      </c>
      <c r="BV4" s="1260">
        <v>43008</v>
      </c>
      <c r="BW4" s="1260">
        <v>43100</v>
      </c>
      <c r="BX4" s="1260">
        <v>43100</v>
      </c>
      <c r="BY4" s="1260">
        <v>43190</v>
      </c>
      <c r="BZ4" s="1260">
        <v>43281</v>
      </c>
      <c r="CA4" s="1260">
        <v>43373</v>
      </c>
      <c r="CB4" s="1260">
        <v>43465</v>
      </c>
      <c r="CC4" s="1260">
        <v>43465</v>
      </c>
      <c r="CD4" s="1260">
        <v>43830</v>
      </c>
      <c r="CE4" s="1260">
        <v>44196</v>
      </c>
      <c r="CF4" s="1260">
        <v>44561</v>
      </c>
      <c r="CG4" s="1260">
        <v>44926</v>
      </c>
      <c r="CH4" s="1260">
        <v>45291</v>
      </c>
    </row>
    <row r="5" spans="1:154" ht="15.75">
      <c r="G5" s="230"/>
      <c r="H5" s="10" t="str">
        <f>CompanyName</f>
        <v>Eli Lilly &amp; Co.</v>
      </c>
      <c r="I5" s="241"/>
      <c r="J5" s="11">
        <f>LatestRpQ</f>
        <v>43190</v>
      </c>
      <c r="K5" s="241"/>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row>
    <row r="6" spans="1:154" ht="15.75">
      <c r="G6" s="230"/>
      <c r="H6" s="10" t="s">
        <v>321</v>
      </c>
      <c r="I6" s="241"/>
      <c r="J6" s="11">
        <f>LatestFiledQ</f>
        <v>43100</v>
      </c>
      <c r="K6" s="241"/>
      <c r="L6" s="375"/>
      <c r="M6" s="375"/>
      <c r="N6" s="375"/>
      <c r="O6" s="375"/>
      <c r="P6" s="375"/>
      <c r="Q6" s="375"/>
      <c r="R6" s="375"/>
      <c r="S6" s="375"/>
      <c r="T6" s="375"/>
      <c r="U6" s="375"/>
      <c r="V6" s="375"/>
      <c r="W6" s="375"/>
      <c r="X6" s="375"/>
      <c r="Y6" s="375"/>
      <c r="Z6" s="376"/>
      <c r="AA6" s="375"/>
      <c r="AB6" s="375"/>
      <c r="AC6" s="375"/>
      <c r="AD6" s="375"/>
      <c r="AE6" s="376"/>
      <c r="AF6" s="375"/>
      <c r="AG6" s="375"/>
      <c r="AH6" s="375"/>
      <c r="AI6" s="375"/>
      <c r="AJ6" s="376"/>
      <c r="AK6" s="376"/>
      <c r="AL6" s="376"/>
      <c r="AM6" s="376"/>
      <c r="AN6" s="376"/>
      <c r="AO6" s="375"/>
      <c r="AP6" s="375"/>
      <c r="AQ6" s="375"/>
      <c r="AR6" s="375"/>
      <c r="AS6" s="375"/>
      <c r="AT6" s="375"/>
      <c r="AU6" s="375"/>
      <c r="AV6" s="375"/>
      <c r="AW6" s="375"/>
      <c r="AX6" s="375"/>
      <c r="AY6" s="375"/>
      <c r="AZ6" s="375"/>
      <c r="BA6" s="375"/>
      <c r="BB6" s="375"/>
      <c r="BC6" s="375"/>
      <c r="BD6" s="375"/>
      <c r="BE6" s="375"/>
      <c r="BF6" s="375"/>
      <c r="BG6" s="375"/>
      <c r="BH6" s="375"/>
      <c r="BI6" s="375"/>
      <c r="BJ6" s="375"/>
      <c r="BK6" s="375"/>
      <c r="BL6" s="375"/>
      <c r="BM6" s="375"/>
      <c r="BN6" s="375"/>
      <c r="BO6" s="375"/>
      <c r="BP6" s="375"/>
      <c r="BQ6" s="375"/>
      <c r="BR6" s="375"/>
      <c r="BS6" s="375"/>
      <c r="BT6" s="375"/>
      <c r="BU6" s="375"/>
      <c r="BV6" s="375"/>
      <c r="BW6" s="375"/>
      <c r="BX6" s="375"/>
      <c r="BY6" s="375"/>
      <c r="BZ6" s="375"/>
      <c r="CA6" s="375"/>
      <c r="CB6" s="375"/>
      <c r="CC6" s="375"/>
      <c r="CD6" s="375"/>
      <c r="CE6" s="375"/>
      <c r="CF6" s="375"/>
      <c r="CG6" s="375"/>
      <c r="CH6" s="375"/>
    </row>
    <row r="7" spans="1:154" s="77" customFormat="1" ht="4.5" customHeight="1">
      <c r="A7"/>
      <c r="B7"/>
      <c r="C7"/>
      <c r="D7"/>
      <c r="E7"/>
      <c r="F7"/>
      <c r="G7" s="230"/>
      <c r="L7" s="377"/>
      <c r="M7" s="377"/>
      <c r="N7" s="377"/>
      <c r="O7" s="377"/>
      <c r="P7" s="378"/>
      <c r="Q7" s="378"/>
      <c r="R7" s="378"/>
      <c r="S7" s="378"/>
      <c r="T7" s="378"/>
      <c r="U7" s="378"/>
      <c r="V7" s="378"/>
      <c r="W7" s="378"/>
      <c r="X7" s="378"/>
      <c r="Y7" s="378"/>
      <c r="Z7" s="379"/>
      <c r="AA7" s="378"/>
      <c r="AB7" s="378"/>
      <c r="AC7" s="378"/>
      <c r="AD7" s="378"/>
      <c r="AE7" s="379"/>
      <c r="AF7" s="378"/>
      <c r="AG7" s="378"/>
      <c r="AH7" s="378"/>
      <c r="AI7" s="378"/>
      <c r="AJ7" s="379"/>
      <c r="AK7" s="379"/>
      <c r="AL7" s="379"/>
      <c r="AM7" s="379"/>
      <c r="AN7" s="379"/>
      <c r="AO7" s="379"/>
      <c r="AP7" s="379"/>
      <c r="AQ7" s="379"/>
      <c r="AR7" s="379"/>
      <c r="AS7" s="379"/>
      <c r="AT7" s="379"/>
      <c r="AU7" s="379"/>
      <c r="AV7" s="379"/>
      <c r="AW7" s="379"/>
      <c r="AX7" s="379"/>
      <c r="AY7" s="379"/>
      <c r="AZ7" s="379"/>
      <c r="BA7" s="379"/>
      <c r="BB7" s="379"/>
      <c r="BC7" s="379"/>
      <c r="BD7" s="379"/>
      <c r="BE7" s="379"/>
      <c r="BF7" s="379"/>
      <c r="BG7" s="379"/>
      <c r="BH7" s="379"/>
      <c r="BI7" s="379"/>
      <c r="BJ7" s="379"/>
      <c r="BK7" s="379"/>
      <c r="BL7" s="379"/>
      <c r="BM7" s="379"/>
      <c r="BN7" s="379"/>
      <c r="BO7" s="379"/>
      <c r="BP7" s="379"/>
      <c r="BQ7" s="379"/>
      <c r="BR7" s="379"/>
      <c r="BS7" s="379"/>
      <c r="BT7" s="379"/>
      <c r="BU7" s="379"/>
      <c r="BV7" s="379"/>
      <c r="BW7" s="379"/>
      <c r="BX7" s="379"/>
      <c r="BY7" s="379"/>
      <c r="BZ7" s="379"/>
      <c r="CA7" s="379"/>
      <c r="CB7" s="379"/>
      <c r="CC7" s="379"/>
      <c r="CD7" s="379"/>
      <c r="CE7" s="379"/>
      <c r="CF7" s="379"/>
      <c r="CG7" s="379"/>
      <c r="CH7" s="379"/>
    </row>
    <row r="8" spans="1:154" s="77" customFormat="1" ht="4.5" customHeight="1">
      <c r="A8"/>
      <c r="B8"/>
      <c r="C8"/>
      <c r="D8"/>
      <c r="E8"/>
      <c r="F8"/>
      <c r="G8" s="230"/>
      <c r="L8" s="377"/>
      <c r="M8" s="377"/>
      <c r="N8" s="377"/>
      <c r="O8" s="377"/>
      <c r="P8" s="378"/>
      <c r="Q8" s="378"/>
      <c r="R8" s="378"/>
      <c r="S8" s="378"/>
      <c r="T8" s="378"/>
      <c r="U8" s="378"/>
      <c r="V8" s="378"/>
      <c r="W8" s="378"/>
      <c r="X8" s="378"/>
      <c r="Y8" s="378"/>
      <c r="Z8" s="379"/>
      <c r="AA8" s="378"/>
      <c r="AB8" s="378"/>
      <c r="AC8" s="378"/>
      <c r="AD8" s="378"/>
      <c r="AE8" s="379"/>
      <c r="AF8" s="378"/>
      <c r="AG8" s="378"/>
      <c r="AH8" s="378"/>
      <c r="AI8" s="378"/>
      <c r="AJ8" s="379"/>
      <c r="AK8" s="379"/>
      <c r="AL8" s="379"/>
      <c r="AM8" s="379"/>
      <c r="AN8" s="379"/>
      <c r="AO8" s="379"/>
      <c r="AP8" s="379"/>
      <c r="AQ8" s="379"/>
      <c r="AR8" s="379"/>
      <c r="AS8" s="379"/>
      <c r="AT8" s="379"/>
      <c r="AU8" s="379"/>
      <c r="AV8" s="379"/>
      <c r="AW8" s="379"/>
      <c r="AX8" s="379"/>
      <c r="AY8" s="379"/>
      <c r="AZ8" s="379"/>
      <c r="BA8" s="379"/>
      <c r="BB8" s="379"/>
      <c r="BC8" s="379"/>
      <c r="BD8" s="379"/>
      <c r="BE8" s="379"/>
      <c r="BF8" s="379"/>
      <c r="BG8" s="379"/>
      <c r="BH8" s="379"/>
      <c r="BI8" s="379"/>
      <c r="BJ8" s="379"/>
      <c r="BK8" s="379"/>
      <c r="BL8" s="379"/>
      <c r="BM8" s="379"/>
      <c r="BN8" s="379"/>
      <c r="BO8" s="379"/>
      <c r="BP8" s="379"/>
      <c r="BQ8" s="379"/>
      <c r="BR8" s="379"/>
      <c r="BS8" s="379"/>
      <c r="BT8" s="379"/>
      <c r="BU8" s="379"/>
      <c r="BV8" s="379"/>
      <c r="BW8" s="379"/>
      <c r="BX8" s="379"/>
      <c r="BY8" s="379"/>
      <c r="BZ8" s="379"/>
      <c r="CA8" s="379"/>
      <c r="CB8" s="379"/>
      <c r="CC8" s="379"/>
      <c r="CD8" s="379"/>
      <c r="CE8" s="379"/>
      <c r="CF8" s="379"/>
      <c r="CG8" s="379"/>
      <c r="CH8" s="379"/>
    </row>
    <row r="9" spans="1:154" s="381" customFormat="1" ht="14.25" thickBot="1">
      <c r="A9"/>
      <c r="B9"/>
      <c r="C9"/>
      <c r="D9"/>
      <c r="E9"/>
      <c r="F9"/>
      <c r="G9" s="374"/>
      <c r="H9" s="380" t="str">
        <f>'IS-ANNUAL'!H9</f>
        <v>($M)</v>
      </c>
      <c r="I9" s="380"/>
      <c r="J9" s="380"/>
      <c r="K9" s="380"/>
      <c r="L9" s="43" t="str">
        <f>"1Q:" &amp; RIGHT(YEAR(L$4),2) &amp; IF(L$4&lt;=LatestFiledQ, "A", "E")</f>
        <v>1Q:05A</v>
      </c>
      <c r="M9" s="43" t="str">
        <f>"2Q:" &amp; RIGHT(YEAR(M$4),2) &amp; IF(M$4&lt;=LatestFiledQ, "A", "E")</f>
        <v>2Q:05A</v>
      </c>
      <c r="N9" s="43" t="str">
        <f>"3Q:" &amp; RIGHT(YEAR(N$4),2) &amp; IF(N$4&lt;=LatestFiledQ, "A", "E")</f>
        <v>3Q:05A</v>
      </c>
      <c r="O9" s="43" t="str">
        <f>"4Q:" &amp; RIGHT(YEAR(O$4),2) &amp; IF(O$4&lt;=LatestFiledQ, "A", "E")</f>
        <v>4Q:05A</v>
      </c>
      <c r="P9" s="44" t="str">
        <f>YEAR(P$4) &amp; IF(P$4&lt;=LatestFiledQ, "A", "E")</f>
        <v>2005A</v>
      </c>
      <c r="Q9" s="43" t="str">
        <f>"1Q:" &amp; RIGHT(YEAR(Q$4),2) &amp; IF(Q$4&lt;=LatestFiledQ, "A", "E")</f>
        <v>1Q:06A</v>
      </c>
      <c r="R9" s="43" t="str">
        <f>"2Q:" &amp; RIGHT(YEAR(R$4),2) &amp; IF(R$4&lt;=LatestFiledQ, "A", "E")</f>
        <v>2Q:06A</v>
      </c>
      <c r="S9" s="43" t="str">
        <f>"3Q:" &amp; RIGHT(YEAR(S$4),2) &amp; IF(S$4&lt;=LatestFiledQ, "A", "E")</f>
        <v>3Q:06A</v>
      </c>
      <c r="T9" s="43" t="str">
        <f>"4Q:" &amp; RIGHT(YEAR(T$4),2) &amp; IF(T$4&lt;=LatestFiledQ, "A", "E")</f>
        <v>4Q:06A</v>
      </c>
      <c r="U9" s="44" t="str">
        <f>YEAR(U$4) &amp; IF(U$4&lt;=LatestFiledQ, "A", "E")</f>
        <v>2006A</v>
      </c>
      <c r="V9" s="43" t="str">
        <f>"1Q:" &amp; RIGHT(YEAR(V$4),2) &amp; IF(V$4&lt;=LatestFiledQ, "A", "E")</f>
        <v>1Q:07A</v>
      </c>
      <c r="W9" s="43" t="str">
        <f>"2Q:" &amp; RIGHT(YEAR(W$4),2) &amp; IF(W$4&lt;=LatestFiledQ, "A", "E")</f>
        <v>2Q:07A</v>
      </c>
      <c r="X9" s="43" t="str">
        <f>"3Q:" &amp; RIGHT(YEAR(X$4),2) &amp; IF(X$4&lt;=LatestFiledQ, "A", "E")</f>
        <v>3Q:07A</v>
      </c>
      <c r="Y9" s="43" t="str">
        <f>"4Q:" &amp; RIGHT(YEAR(Y$4),2) &amp; IF(Y$4&lt;=LatestFiledQ, "A", "E")</f>
        <v>4Q:07A</v>
      </c>
      <c r="Z9" s="44" t="str">
        <f>YEAR(Z$4) &amp; IF(Z$4&lt;=LatestFiledQ, "A", "E")</f>
        <v>2007A</v>
      </c>
      <c r="AA9" s="43" t="str">
        <f>"1Q:" &amp; RIGHT(YEAR(AA$4),2) &amp; IF(AA$4&lt;=LatestFiledQ, "A", "E")</f>
        <v>1Q:08A</v>
      </c>
      <c r="AB9" s="43" t="str">
        <f>"2Q:" &amp; RIGHT(YEAR(AB$4),2) &amp; IF(AB$4&lt;=LatestFiledQ, "A", "E")</f>
        <v>2Q:08A</v>
      </c>
      <c r="AC9" s="43" t="str">
        <f>"3Q:" &amp; RIGHT(YEAR(AC$4),2) &amp; IF(AC$4&lt;=LatestFiledQ, "A", "E")</f>
        <v>3Q:08A</v>
      </c>
      <c r="AD9" s="43" t="str">
        <f>"4Q:" &amp; RIGHT(YEAR(AD$4),2) &amp; IF(AD$4&lt;=LatestFiledQ, "A", "E")</f>
        <v>4Q:08A</v>
      </c>
      <c r="AE9" s="44" t="str">
        <f>YEAR(AE$4) &amp; IF(AE$4&lt;=LatestFiledQ, "A", "E")</f>
        <v>2008A</v>
      </c>
      <c r="AF9" s="43" t="str">
        <f>"1Q:" &amp; RIGHT(YEAR(AF$4),2) &amp; IF(AF$4&lt;=LatestFiledQ, "A", "E")</f>
        <v>1Q:09A</v>
      </c>
      <c r="AG9" s="43" t="str">
        <f>"2Q:" &amp; RIGHT(YEAR(AG$4),2) &amp; IF(AG$4&lt;=LatestFiledQ, "A", "E")</f>
        <v>2Q:09A</v>
      </c>
      <c r="AH9" s="43" t="str">
        <f>"3Q:" &amp; RIGHT(YEAR(AH$4),2) &amp; IF(AH$4&lt;=LatestFiledQ, "A", "E")</f>
        <v>3Q:09A</v>
      </c>
      <c r="AI9" s="43" t="str">
        <f>"4Q:" &amp; RIGHT(YEAR(AI$4),2) &amp; IF(AI$4&lt;=LatestFiledQ, "A", "E")</f>
        <v>4Q:09A</v>
      </c>
      <c r="AJ9" s="44" t="str">
        <f>YEAR(AJ$4) &amp; IF(AJ$4&lt;=LatestFiledQ, "A", "E")</f>
        <v>2009A</v>
      </c>
      <c r="AK9" s="43" t="str">
        <f>"1Q:" &amp; RIGHT(YEAR(AK$4),2) &amp; IF(AK$4&lt;=LatestFiledQ, "A", "E")</f>
        <v>1Q:10A</v>
      </c>
      <c r="AL9" s="43" t="str">
        <f>"2Q:" &amp; RIGHT(YEAR(AL$4),2) &amp; IF(AL$4&lt;=LatestFiledQ, "A", "E")</f>
        <v>2Q:10A</v>
      </c>
      <c r="AM9" s="43" t="str">
        <f>"3Q:" &amp; RIGHT(YEAR(AM$4),2) &amp; IF(AM$4&lt;=LatestFiledQ, "A", "E")</f>
        <v>3Q:10A</v>
      </c>
      <c r="AN9" s="43" t="str">
        <f>"4Q:" &amp; RIGHT(YEAR(AN$4),2) &amp; IF(AN$4&lt;=LatestFiledQ, "A", "E")</f>
        <v>4Q:10A</v>
      </c>
      <c r="AO9" s="44" t="str">
        <f>YEAR(AO$4) &amp; IF(AO$4&lt;=LatestFiledQ, "A", "E")</f>
        <v>2010A</v>
      </c>
      <c r="AP9" s="43" t="str">
        <f>"1Q:" &amp; RIGHT(YEAR(AP$4),2) &amp; IF(AP$4&lt;=LatestFiledQ, "A", "E")</f>
        <v>1Q:11A</v>
      </c>
      <c r="AQ9" s="43" t="str">
        <f>"2Q:" &amp; RIGHT(YEAR(AQ$4),2) &amp; IF(AQ$4&lt;=LatestFiledQ, "A", "E")</f>
        <v>2Q:11A</v>
      </c>
      <c r="AR9" s="43" t="str">
        <f>"3Q:" &amp; RIGHT(YEAR(AR$4),2) &amp; IF(AR$4&lt;=LatestFiledQ, "A", "E")</f>
        <v>3Q:11A</v>
      </c>
      <c r="AS9" s="43" t="str">
        <f>"4Q:" &amp; RIGHT(YEAR(AS$4),2) &amp; IF(AS$4&lt;=LatestFiledQ, "A", "E")</f>
        <v>4Q:11A</v>
      </c>
      <c r="AT9" s="44" t="str">
        <f>YEAR(AT$4) &amp; IF(AT$4&lt;=LatestFiledQ, "A", "E")</f>
        <v>2011A</v>
      </c>
      <c r="AU9" s="43" t="str">
        <f>"1Q:" &amp; RIGHT(YEAR(AU$4),2) &amp; IF(AU$4&lt;=LatestFiledQ, "A", "E")</f>
        <v>1Q:12A</v>
      </c>
      <c r="AV9" s="43" t="str">
        <f>"2Q:" &amp; RIGHT(YEAR(AV$4),2) &amp; IF(AV$4&lt;=LatestFiledQ, "A", "E")</f>
        <v>2Q:12A</v>
      </c>
      <c r="AW9" s="43" t="str">
        <f>"3Q:" &amp; RIGHT(YEAR(AW$4),2) &amp; IF(AW$4&lt;=LatestFiledQ, "A", "E")</f>
        <v>3Q:12A</v>
      </c>
      <c r="AX9" s="43" t="str">
        <f>"4Q:" &amp; RIGHT(YEAR(AX$4),2) &amp; IF(AX$4&lt;=LatestFiledQ, "A", "E")</f>
        <v>4Q:12A</v>
      </c>
      <c r="AY9" s="44" t="str">
        <f>YEAR(AY$4) &amp; IF(AY$4&lt;=LatestFiledQ, "A", "E")</f>
        <v>2012A</v>
      </c>
      <c r="AZ9" s="43" t="str">
        <f>"1Q:" &amp; RIGHT(YEAR(AZ$4),2) &amp; IF(AZ$4&lt;=LatestFiledQ, "A", "E")</f>
        <v>1Q:13A</v>
      </c>
      <c r="BA9" s="43" t="str">
        <f>"2Q:" &amp; RIGHT(YEAR(BA$4),2) &amp; IF(BA$4&lt;=LatestFiledQ, "A", "E")</f>
        <v>2Q:13A</v>
      </c>
      <c r="BB9" s="43" t="str">
        <f>"3Q:" &amp; RIGHT(YEAR(BB$4),2) &amp; IF(BB$4&lt;=LatestFiledQ, "A", "E")</f>
        <v>3Q:13A</v>
      </c>
      <c r="BC9" s="43" t="str">
        <f>"4Q:" &amp; RIGHT(YEAR(BC$4),2) &amp; IF(BC$4&lt;=LatestFiledQ, "A", "E")</f>
        <v>4Q:13A</v>
      </c>
      <c r="BD9" s="44" t="str">
        <f>YEAR(BD$4) &amp; IF(BD$4&lt;=LatestFiledQ, "A", "E")</f>
        <v>2013A</v>
      </c>
      <c r="BE9" s="43" t="str">
        <f>"1Q:" &amp; RIGHT(YEAR(BE$4),2) &amp; IF(BE$4&lt;=LatestFiledQ, "A", "E")</f>
        <v>1Q:14A</v>
      </c>
      <c r="BF9" s="43" t="str">
        <f>"2Q:" &amp; RIGHT(YEAR(BF$4),2) &amp; IF(BF$4&lt;=LatestFiledQ, "A", "E")</f>
        <v>2Q:14A</v>
      </c>
      <c r="BG9" s="43" t="str">
        <f>"3Q:" &amp; RIGHT(YEAR(BG$4),2) &amp; IF(BG$4&lt;=LatestFiledQ, "A", "E")</f>
        <v>3Q:14A</v>
      </c>
      <c r="BH9" s="43" t="str">
        <f>"4Q:" &amp; RIGHT(YEAR(BH$4),2) &amp; IF(BH$4&lt;=LatestFiledQ, "A", "E")</f>
        <v>4Q:14A</v>
      </c>
      <c r="BI9" s="44" t="str">
        <f>YEAR(BI$4) &amp; IF(BI$4&lt;=LatestFiledQ, "A", "E")</f>
        <v>2014A</v>
      </c>
      <c r="BJ9" s="43" t="str">
        <f>"1Q:" &amp; RIGHT(YEAR(BJ$4),2) &amp; IF(BJ$4&lt;=LatestFiledQ, "A", "E")</f>
        <v>1Q:15A</v>
      </c>
      <c r="BK9" s="43" t="str">
        <f>"2Q:" &amp; RIGHT(YEAR(BK$4),2) &amp; IF(BK$4&lt;=LatestFiledQ, "A", "E")</f>
        <v>2Q:15A</v>
      </c>
      <c r="BL9" s="43" t="str">
        <f>"3Q:" &amp; RIGHT(YEAR(BL$4),2) &amp; IF(BL$4&lt;=LatestFiledQ, "A", "E")</f>
        <v>3Q:15A</v>
      </c>
      <c r="BM9" s="43" t="str">
        <f>"4Q:" &amp; RIGHT(YEAR(BM$4),2) &amp; IF(BM$4&lt;=LatestFiledQ, "A", "E")</f>
        <v>4Q:15A</v>
      </c>
      <c r="BN9" s="44" t="str">
        <f>YEAR(BN$4) &amp; IF(BN$4&lt;=LatestFiledQ, "A", "E")</f>
        <v>2015A</v>
      </c>
      <c r="BO9" s="43" t="str">
        <f>"1Q:" &amp; RIGHT(YEAR(BO$4),2) &amp; IF(BO$4&lt;=LatestFiledQ, "A", "E")</f>
        <v>1Q:16A</v>
      </c>
      <c r="BP9" s="43" t="str">
        <f>"2Q:" &amp; RIGHT(YEAR(BP$4),2) &amp; IF(BP$4&lt;=LatestFiledQ, "A", "E")</f>
        <v>2Q:16A</v>
      </c>
      <c r="BQ9" s="43" t="str">
        <f>"3Q:" &amp; RIGHT(YEAR(BQ$4),2) &amp; IF(BQ$4&lt;=LatestFiledQ, "A", "E")</f>
        <v>3Q:16A</v>
      </c>
      <c r="BR9" s="43" t="str">
        <f>"4Q:" &amp; RIGHT(YEAR(BR$4),2) &amp; IF(BR$4&lt;=LatestFiledQ, "A", "E")</f>
        <v>4Q:16A</v>
      </c>
      <c r="BS9" s="44" t="str">
        <f>YEAR(BS$4) &amp; IF(BS$4&lt;=LatestFiledQ, "A", "E")</f>
        <v>2016A</v>
      </c>
      <c r="BT9" s="43" t="str">
        <f>"1Q:" &amp; RIGHT(YEAR(BT$4),2) &amp; IF(BT$4&lt;=LatestFiledQ, "A", "E")</f>
        <v>1Q:17A</v>
      </c>
      <c r="BU9" s="43" t="str">
        <f>"2Q:" &amp; RIGHT(YEAR(BU$4),2) &amp; IF(BU$4&lt;=LatestFiledQ, "A", "E")</f>
        <v>2Q:17A</v>
      </c>
      <c r="BV9" s="43" t="str">
        <f>"3Q:" &amp; RIGHT(YEAR(BV$4),2) &amp; IF(BV$4&lt;=LatestFiledQ, "A", "E")</f>
        <v>3Q:17A</v>
      </c>
      <c r="BW9" s="43" t="str">
        <f>"4Q:" &amp; RIGHT(YEAR(BW$4),2) &amp; IF(BW$4&lt;=LatestFiledQ, "A", "E")</f>
        <v>4Q:17A</v>
      </c>
      <c r="BX9" s="44" t="str">
        <f>YEAR(BX$4) &amp; IF(BX$4&lt;=LatestFiledQ, "A", "E")</f>
        <v>2017A</v>
      </c>
      <c r="BY9" s="43" t="str">
        <f>"1Q:" &amp; RIGHT(YEAR(BY$4),2) &amp; IF(BY$4&lt;=LatestFiledQ, "A", "E")</f>
        <v>1Q:18E</v>
      </c>
      <c r="BZ9" s="43" t="str">
        <f>"2Q:" &amp; RIGHT(YEAR(BZ$4),2) &amp; IF(BZ$4&lt;=LatestFiledQ, "A", "E")</f>
        <v>2Q:18E</v>
      </c>
      <c r="CA9" s="43" t="str">
        <f>"3Q:" &amp; RIGHT(YEAR(CA$4),2) &amp; IF(CA$4&lt;=LatestFiledQ, "A", "E")</f>
        <v>3Q:18E</v>
      </c>
      <c r="CB9" s="43" t="str">
        <f>"4Q:" &amp; RIGHT(YEAR(CB$4),2) &amp; IF(CB$4&lt;=LatestFiledQ, "A", "E")</f>
        <v>4Q:18E</v>
      </c>
      <c r="CC9" s="44" t="str">
        <f t="shared" ref="CC9:CH9" si="0">YEAR(CC$4) &amp; IF(CC$4&lt;=LatestFiledQ, "A", "E")</f>
        <v>2018E</v>
      </c>
      <c r="CD9" s="44" t="str">
        <f t="shared" si="0"/>
        <v>2019E</v>
      </c>
      <c r="CE9" s="44" t="str">
        <f t="shared" si="0"/>
        <v>2020E</v>
      </c>
      <c r="CF9" s="44" t="str">
        <f t="shared" si="0"/>
        <v>2021E</v>
      </c>
      <c r="CG9" s="44" t="str">
        <f t="shared" si="0"/>
        <v>2022E</v>
      </c>
      <c r="CH9" s="44" t="str">
        <f t="shared" si="0"/>
        <v>2023E</v>
      </c>
    </row>
    <row r="10" spans="1:154" s="381" customFormat="1" ht="5.25" customHeight="1">
      <c r="A10"/>
      <c r="B10"/>
      <c r="C10"/>
      <c r="D10"/>
      <c r="E10"/>
      <c r="F10"/>
      <c r="G10" s="374"/>
      <c r="H10" s="382"/>
      <c r="I10" s="382"/>
      <c r="J10" s="382"/>
      <c r="K10" s="382"/>
      <c r="L10" s="253"/>
      <c r="M10" s="253"/>
      <c r="N10" s="253"/>
      <c r="O10" s="253"/>
      <c r="P10" s="254"/>
      <c r="Q10" s="253"/>
      <c r="R10" s="253"/>
      <c r="S10" s="253"/>
      <c r="T10" s="253"/>
      <c r="U10" s="254"/>
      <c r="V10" s="253"/>
      <c r="W10" s="253"/>
      <c r="X10" s="253"/>
      <c r="Y10" s="253"/>
      <c r="Z10" s="254"/>
      <c r="AA10" s="253"/>
      <c r="AB10" s="253"/>
      <c r="AC10" s="253"/>
      <c r="AD10" s="253"/>
      <c r="AE10" s="254"/>
      <c r="AF10" s="253"/>
      <c r="AG10" s="253"/>
      <c r="AH10" s="253"/>
      <c r="AI10" s="253"/>
      <c r="AJ10" s="254"/>
      <c r="AK10" s="253"/>
      <c r="AL10" s="253"/>
      <c r="AM10" s="253"/>
      <c r="AN10" s="253"/>
      <c r="AO10" s="254"/>
      <c r="AP10" s="253"/>
      <c r="AQ10" s="253"/>
      <c r="AR10" s="253"/>
      <c r="AS10" s="253"/>
      <c r="AT10" s="254"/>
      <c r="AU10" s="253"/>
      <c r="AV10" s="253"/>
      <c r="AW10" s="253"/>
      <c r="AX10" s="253"/>
      <c r="AY10" s="254"/>
      <c r="AZ10" s="253"/>
      <c r="BA10" s="253"/>
      <c r="BB10" s="253"/>
      <c r="BC10" s="253"/>
      <c r="BD10" s="254"/>
      <c r="BE10" s="253"/>
      <c r="BF10" s="253"/>
      <c r="BG10" s="253"/>
      <c r="BH10" s="253"/>
      <c r="BI10" s="254"/>
      <c r="BJ10" s="253"/>
      <c r="BK10" s="253"/>
      <c r="BL10" s="253"/>
      <c r="BM10" s="253"/>
      <c r="BN10" s="254"/>
      <c r="BO10" s="253"/>
      <c r="BP10" s="253"/>
      <c r="BQ10" s="253"/>
      <c r="BR10" s="253"/>
      <c r="BS10" s="254"/>
      <c r="BT10" s="253"/>
      <c r="BU10" s="253"/>
      <c r="BV10" s="253"/>
      <c r="BW10" s="253"/>
      <c r="BX10" s="254"/>
      <c r="BY10" s="253"/>
      <c r="BZ10" s="253"/>
      <c r="CA10" s="253"/>
      <c r="CB10" s="253"/>
      <c r="CC10" s="254"/>
      <c r="CD10" s="254"/>
      <c r="CE10" s="254"/>
      <c r="CF10" s="254"/>
      <c r="CG10" s="254"/>
      <c r="CH10" s="254"/>
    </row>
    <row r="11" spans="1:154">
      <c r="G11" s="230"/>
      <c r="H11" s="77" t="s">
        <v>640</v>
      </c>
      <c r="I11" s="77"/>
      <c r="J11" s="77"/>
      <c r="K11" s="77"/>
      <c r="L11" s="383">
        <f>'IS-ANNUAL'!L47</f>
        <v>736.63199999999995</v>
      </c>
      <c r="M11" s="383">
        <f>'IS-ANNUAL'!M47</f>
        <v>728.2524599999997</v>
      </c>
      <c r="N11" s="383">
        <f>'IS-ANNUAL'!N47</f>
        <v>794.1</v>
      </c>
      <c r="O11" s="383">
        <f>'IS-ANNUAL'!O47</f>
        <v>871</v>
      </c>
      <c r="P11" s="381">
        <f>'IS-ANNUAL'!P47</f>
        <v>3129.9844599999988</v>
      </c>
      <c r="Q11" s="383">
        <f>'IS-ANNUAL'!Q47</f>
        <v>834.4000000000002</v>
      </c>
      <c r="R11" s="383">
        <f>'IS-ANNUAL'!R47</f>
        <v>822.3</v>
      </c>
      <c r="S11" s="383">
        <f>'IS-ANNUAL'!S47</f>
        <v>873.55</v>
      </c>
      <c r="T11" s="383">
        <f>'IS-ANNUAL'!T47</f>
        <v>929.60000000000025</v>
      </c>
      <c r="U11" s="381">
        <f>'IS-ANNUAL'!U47</f>
        <v>3459.8499999999995</v>
      </c>
      <c r="V11" s="383">
        <f>'IS-ANNUAL'!V47</f>
        <v>913.0999999999998</v>
      </c>
      <c r="W11" s="383">
        <f>'IS-ANNUAL'!W47</f>
        <v>978.79999999999916</v>
      </c>
      <c r="X11" s="383">
        <f>'IS-ANNUAL'!X47</f>
        <v>996.80000000000064</v>
      </c>
      <c r="Y11" s="383">
        <f>'IS-ANNUAL'!Y47</f>
        <v>986.09999999999889</v>
      </c>
      <c r="Z11" s="381">
        <f>'IS-ANNUAL'!Z47</f>
        <v>3874.7999999999979</v>
      </c>
      <c r="AA11" s="383">
        <f>'IS-ANNUAL'!AA47</f>
        <v>962.4000000000002</v>
      </c>
      <c r="AB11" s="383">
        <f>'IS-ANNUAL'!AB47</f>
        <v>1023.1999999999999</v>
      </c>
      <c r="AC11" s="383">
        <f>'IS-ANNUAL'!AC47</f>
        <v>1075.400000000001</v>
      </c>
      <c r="AD11" s="383">
        <f>'IS-ANNUAL'!AD47</f>
        <v>1116.1000000000013</v>
      </c>
      <c r="AE11" s="381">
        <f>'IS-ANNUAL'!AE47</f>
        <v>4177.1000000000022</v>
      </c>
      <c r="AF11" s="383">
        <f>'IS-ANNUAL'!AF47</f>
        <v>1312.6000000000006</v>
      </c>
      <c r="AG11" s="383">
        <f>'IS-ANNUAL'!AG47</f>
        <v>1226.5100000000002</v>
      </c>
      <c r="AH11" s="383">
        <f>'IS-ANNUAL'!AH47</f>
        <v>1312.0000000000009</v>
      </c>
      <c r="AI11" s="383">
        <f>'IS-ANNUAL'!AI47</f>
        <v>999.89999999999941</v>
      </c>
      <c r="AJ11" s="381">
        <f>'IS-ANNUAL'!AJ47</f>
        <v>4851.0100000000011</v>
      </c>
      <c r="AK11" s="383">
        <f>'IS-ANNUAL'!AK47</f>
        <v>1297.4999999999995</v>
      </c>
      <c r="AL11" s="383">
        <f>'IS-ANNUAL'!AL47</f>
        <v>1366.900000000001</v>
      </c>
      <c r="AM11" s="383">
        <f>'IS-ANNUAL'!AM47</f>
        <v>1341.5</v>
      </c>
      <c r="AN11" s="383">
        <f>'IS-ANNUAL'!AN47</f>
        <v>1234.9800000000002</v>
      </c>
      <c r="AO11" s="381">
        <f>'IS-ANNUAL'!AO47</f>
        <v>5240.880000000001</v>
      </c>
      <c r="AP11" s="383">
        <f>'IS-ANNUAL'!AP47</f>
        <v>1374.9000000000005</v>
      </c>
      <c r="AQ11" s="383">
        <f>'IS-ANNUAL'!AQ47</f>
        <v>1316.1000000000001</v>
      </c>
      <c r="AR11" s="383">
        <f>'IS-ANNUAL'!AR47</f>
        <v>1253.8999999999992</v>
      </c>
      <c r="AS11" s="383">
        <f>'IS-ANNUAL'!AS47</f>
        <v>968.69999999999982</v>
      </c>
      <c r="AT11" s="381">
        <f>'IS-ANNUAL'!AT47</f>
        <v>4913.600000000004</v>
      </c>
      <c r="AU11" s="383">
        <f>'IS-ANNUAL'!AU47</f>
        <v>1026.9000000000003</v>
      </c>
      <c r="AV11" s="383">
        <f>'IS-ANNUAL'!AV47</f>
        <v>923.6</v>
      </c>
      <c r="AW11" s="383">
        <f>'IS-ANNUAL'!AW47</f>
        <v>888.29999999999893</v>
      </c>
      <c r="AX11" s="383">
        <f>'IS-ANNUAL'!AX47</f>
        <v>945.20868399999904</v>
      </c>
      <c r="AY11" s="381">
        <f>'IS-ANNUAL'!AY47</f>
        <v>3784.0086840000026</v>
      </c>
      <c r="AZ11" s="383">
        <f>'IS-ANNUAL'!AZ47</f>
        <v>1247.3999999999996</v>
      </c>
      <c r="BA11" s="383">
        <f>'IS-ANNUAL'!BA47</f>
        <v>1254.9000000000003</v>
      </c>
      <c r="BB11" s="383">
        <f>'IS-ANNUAL'!BB47</f>
        <v>1203.0999999999999</v>
      </c>
      <c r="BC11" s="383">
        <f>'IS-ANNUAL'!BC47</f>
        <v>796.8999999999993</v>
      </c>
      <c r="BD11" s="381">
        <f>'IS-ANNUAL'!BD47</f>
        <v>4502.3000000000038</v>
      </c>
      <c r="BE11" s="383">
        <f>'IS-ANNUAL'!BE47</f>
        <v>834.60000000000048</v>
      </c>
      <c r="BF11" s="383">
        <f>'IS-ANNUAL'!BF47</f>
        <v>820.29999999999916</v>
      </c>
      <c r="BG11" s="383">
        <f>'IS-ANNUAL'!BG47</f>
        <v>795.00000000000057</v>
      </c>
      <c r="BH11" s="383">
        <f>'IS-ANNUAL'!BH47</f>
        <v>886.10000000000025</v>
      </c>
      <c r="BI11" s="381">
        <f>'IS-ANNUAL'!BI47</f>
        <v>3335.9999999999982</v>
      </c>
      <c r="BJ11" s="383">
        <f>'IS-ANNUAL'!BJ47</f>
        <v>923.6999999999997</v>
      </c>
      <c r="BK11" s="383">
        <f>'IS-ANNUAL'!BK47</f>
        <v>954.8</v>
      </c>
      <c r="BL11" s="383">
        <f>'IS-ANNUAL'!BL47</f>
        <v>923.49999999999977</v>
      </c>
      <c r="BM11" s="383">
        <f>'IS-ANNUAL'!BM47</f>
        <v>828.19999999999914</v>
      </c>
      <c r="BN11" s="381">
        <f>'IS-ANNUAL'!BN47</f>
        <v>3630.1999999999962</v>
      </c>
      <c r="BO11" s="383">
        <f>'IS-ANNUAL'!BO47</f>
        <v>882.30000000000018</v>
      </c>
      <c r="BP11" s="383">
        <f>'IS-ANNUAL'!BP47</f>
        <v>908.80000000000132</v>
      </c>
      <c r="BQ11" s="383">
        <f>'IS-ANNUAL'!BQ47</f>
        <v>930.99999999999966</v>
      </c>
      <c r="BR11" s="383">
        <f>'IS-ANNUAL'!BR47</f>
        <v>1013.4000000000005</v>
      </c>
      <c r="BS11" s="377">
        <f>'IS-ANNUAL'!BS47</f>
        <v>3723.600000000004</v>
      </c>
      <c r="BT11" s="383">
        <f>'IS-ANNUAL'!BT47</f>
        <v>1039.6999999999994</v>
      </c>
      <c r="BU11" s="383">
        <f>'IS-ANNUAL'!BU47</f>
        <v>1177.4000000000001</v>
      </c>
      <c r="BV11" s="383">
        <f>'IS-ANNUAL'!BV47</f>
        <v>1106.7999999999997</v>
      </c>
      <c r="BW11" s="383">
        <f>'IS-ANNUAL'!BW47</f>
        <v>1206.7999999999993</v>
      </c>
      <c r="BX11" s="377">
        <f>'IS-ANNUAL'!BX47</f>
        <v>4530.6999999999989</v>
      </c>
      <c r="BY11" s="384"/>
      <c r="BZ11" s="384"/>
      <c r="CA11" s="384"/>
      <c r="CB11" s="384"/>
      <c r="CC11" s="377">
        <f>'IS-ANNUAL'!CC47</f>
        <v>5446.6656611749977</v>
      </c>
      <c r="CD11" s="377">
        <f>'IS-ANNUAL'!CD47</f>
        <v>5995.8872221248012</v>
      </c>
      <c r="CE11" s="377">
        <f>'IS-ANNUAL'!CE47</f>
        <v>6688.0067417788487</v>
      </c>
      <c r="CF11" s="377">
        <f>'IS-ANNUAL'!CF47</f>
        <v>7194.6552985018743</v>
      </c>
      <c r="CG11" s="377">
        <f>'IS-ANNUAL'!CG47</f>
        <v>7612.1768784929545</v>
      </c>
      <c r="CH11" s="377">
        <f>'IS-ANNUAL'!CH47</f>
        <v>8113.9283495316768</v>
      </c>
    </row>
    <row r="12" spans="1:154" s="77" customFormat="1">
      <c r="A12"/>
      <c r="B12"/>
      <c r="C12"/>
      <c r="D12"/>
      <c r="E12"/>
      <c r="F12"/>
      <c r="G12" s="230"/>
      <c r="H12" s="385" t="s">
        <v>650</v>
      </c>
      <c r="I12" s="385"/>
      <c r="J12" s="385"/>
      <c r="K12" s="385"/>
      <c r="L12" s="386">
        <f t="shared" ref="L12:S12" si="1">L15-L11</f>
        <v>-3.1999999999925421E-2</v>
      </c>
      <c r="M12" s="386">
        <f t="shared" si="1"/>
        <v>-980.2524599999997</v>
      </c>
      <c r="N12" s="386">
        <f t="shared" si="1"/>
        <v>0.29999999999995453</v>
      </c>
      <c r="O12" s="386">
        <f t="shared" si="1"/>
        <v>-170.40000000000009</v>
      </c>
      <c r="P12" s="387">
        <f t="shared" si="1"/>
        <v>-1150.3844599999989</v>
      </c>
      <c r="Q12" s="386">
        <f t="shared" si="1"/>
        <v>0.39999999999974989</v>
      </c>
      <c r="R12" s="386">
        <f t="shared" si="1"/>
        <v>-0.29999999999995453</v>
      </c>
      <c r="S12" s="386">
        <f t="shared" si="1"/>
        <v>5.0000000000181899E-2</v>
      </c>
      <c r="T12" s="386">
        <f>U12-SUM(Q12:S12)</f>
        <v>-797.29999999999961</v>
      </c>
      <c r="U12" s="387">
        <f t="shared" ref="U12:AH12" si="2">U15-U11</f>
        <v>-797.14999999999964</v>
      </c>
      <c r="V12" s="386">
        <f t="shared" si="2"/>
        <v>-404.39999999999981</v>
      </c>
      <c r="W12" s="386">
        <f t="shared" si="2"/>
        <v>-315.19999999999925</v>
      </c>
      <c r="X12" s="386">
        <f t="shared" si="2"/>
        <v>-70.500000000000682</v>
      </c>
      <c r="Y12" s="386">
        <f t="shared" si="2"/>
        <v>-131.69999999999879</v>
      </c>
      <c r="Z12" s="387">
        <f t="shared" si="2"/>
        <v>-921.79999999999791</v>
      </c>
      <c r="AA12" s="386">
        <f t="shared" si="2"/>
        <v>101.89999999999975</v>
      </c>
      <c r="AB12" s="386">
        <f t="shared" si="2"/>
        <v>-64.399999999999977</v>
      </c>
      <c r="AC12" s="386">
        <f t="shared" si="2"/>
        <v>-1541.0000000000009</v>
      </c>
      <c r="AD12" s="386">
        <f t="shared" si="2"/>
        <v>-4745.5000000000018</v>
      </c>
      <c r="AE12" s="387">
        <f t="shared" si="2"/>
        <v>-6249.0000000000018</v>
      </c>
      <c r="AF12" s="386">
        <f t="shared" si="2"/>
        <v>0.49999999999931788</v>
      </c>
      <c r="AG12" s="386">
        <f t="shared" si="2"/>
        <v>-68.010000000000218</v>
      </c>
      <c r="AH12" s="386">
        <f t="shared" si="2"/>
        <v>-370.20000000000073</v>
      </c>
      <c r="AI12" s="386">
        <f t="shared" ref="AI12:AR12" si="3">AI15-AI11</f>
        <v>-84.499999999999318</v>
      </c>
      <c r="AJ12" s="387">
        <f t="shared" si="3"/>
        <v>-522.21000000000095</v>
      </c>
      <c r="AK12" s="386">
        <f t="shared" si="3"/>
        <v>-49.399999999999636</v>
      </c>
      <c r="AL12" s="386">
        <f t="shared" si="3"/>
        <v>-18.000000000000909</v>
      </c>
      <c r="AM12" s="386">
        <f t="shared" si="3"/>
        <v>-38.599999999999909</v>
      </c>
      <c r="AN12" s="386">
        <f t="shared" si="3"/>
        <v>-65.380000000000337</v>
      </c>
      <c r="AO12" s="387">
        <f t="shared" si="3"/>
        <v>-171.38000000000102</v>
      </c>
      <c r="AP12" s="386">
        <f t="shared" si="3"/>
        <v>-319.00000000000045</v>
      </c>
      <c r="AQ12" s="386">
        <f t="shared" si="3"/>
        <v>-118.80000000000041</v>
      </c>
      <c r="AR12" s="386">
        <f t="shared" si="3"/>
        <v>-17.599999999999</v>
      </c>
      <c r="AS12" s="386">
        <f t="shared" ref="AS12:BB12" si="4">AS15-AS11</f>
        <v>-110.5</v>
      </c>
      <c r="AT12" s="387">
        <f t="shared" si="4"/>
        <v>-565.90000000000418</v>
      </c>
      <c r="AU12" s="386">
        <f t="shared" si="4"/>
        <v>-15.800000000000296</v>
      </c>
      <c r="AV12" s="386">
        <f t="shared" si="4"/>
        <v>0</v>
      </c>
      <c r="AW12" s="386">
        <f t="shared" si="4"/>
        <v>438.30000000000143</v>
      </c>
      <c r="AX12" s="386">
        <f t="shared" si="4"/>
        <v>-117.90868399999943</v>
      </c>
      <c r="AY12" s="387">
        <f t="shared" si="4"/>
        <v>304.59131599999728</v>
      </c>
      <c r="AZ12" s="386">
        <f t="shared" si="4"/>
        <v>300.60000000000036</v>
      </c>
      <c r="BA12" s="386">
        <f t="shared" si="4"/>
        <v>-48.7000000000005</v>
      </c>
      <c r="BB12" s="386">
        <f t="shared" si="4"/>
        <v>0</v>
      </c>
      <c r="BC12" s="386">
        <f t="shared" ref="BC12:BI12" si="5">BC15-BC11</f>
        <v>-69.399999999999295</v>
      </c>
      <c r="BD12" s="387">
        <f t="shared" si="5"/>
        <v>182.49999999999636</v>
      </c>
      <c r="BE12" s="386">
        <f t="shared" si="5"/>
        <v>-106.7000000000005</v>
      </c>
      <c r="BF12" s="386">
        <f t="shared" si="5"/>
        <v>-86.799999999999045</v>
      </c>
      <c r="BG12" s="386">
        <f t="shared" si="5"/>
        <v>-294.40000000000055</v>
      </c>
      <c r="BH12" s="386">
        <f t="shared" si="5"/>
        <v>-457.60000000000014</v>
      </c>
      <c r="BI12" s="387">
        <f t="shared" si="5"/>
        <v>-945.49999999999818</v>
      </c>
      <c r="BJ12" s="386">
        <f t="shared" ref="BJ12:BX12" si="6">BJ15-BJ11</f>
        <v>-394.1999999999997</v>
      </c>
      <c r="BK12" s="386">
        <f t="shared" si="6"/>
        <v>-354</v>
      </c>
      <c r="BL12" s="386">
        <f t="shared" si="6"/>
        <v>-123.79999999999973</v>
      </c>
      <c r="BM12" s="386">
        <f t="shared" si="6"/>
        <v>-349.79999999999905</v>
      </c>
      <c r="BN12" s="387">
        <f t="shared" si="6"/>
        <v>-1221.7999999999961</v>
      </c>
      <c r="BO12" s="386">
        <f t="shared" si="6"/>
        <v>-442.20000000000016</v>
      </c>
      <c r="BP12" s="386">
        <f t="shared" si="6"/>
        <v>-161.10000000000139</v>
      </c>
      <c r="BQ12" s="386">
        <f t="shared" si="6"/>
        <v>-152.99999999999977</v>
      </c>
      <c r="BR12" s="1213">
        <f t="shared" si="6"/>
        <v>-241.60000000000048</v>
      </c>
      <c r="BS12" s="387">
        <f t="shared" si="6"/>
        <v>-986.00000000000409</v>
      </c>
      <c r="BT12" s="386">
        <f t="shared" si="6"/>
        <v>-1150.4999999999993</v>
      </c>
      <c r="BU12" s="386">
        <f t="shared" si="6"/>
        <v>-169.40000000000009</v>
      </c>
      <c r="BV12" s="386">
        <f t="shared" si="6"/>
        <v>-551.19999999999982</v>
      </c>
      <c r="BW12" s="1213">
        <f t="shared" si="6"/>
        <v>-2863.6999999999989</v>
      </c>
      <c r="BX12" s="387">
        <f t="shared" si="6"/>
        <v>-4734.7999999999993</v>
      </c>
      <c r="BY12" s="413"/>
      <c r="BZ12" s="413"/>
      <c r="CA12" s="413"/>
      <c r="CB12" s="413"/>
      <c r="CC12" s="426">
        <f t="shared" ref="CC12:CH12" si="7">CC13+CC14</f>
        <v>-1000</v>
      </c>
      <c r="CD12" s="426">
        <f t="shared" si="7"/>
        <v>-1000</v>
      </c>
      <c r="CE12" s="426">
        <f t="shared" si="7"/>
        <v>-1000</v>
      </c>
      <c r="CF12" s="426">
        <f t="shared" si="7"/>
        <v>-1000</v>
      </c>
      <c r="CG12" s="426">
        <f t="shared" si="7"/>
        <v>-1000</v>
      </c>
      <c r="CH12" s="426">
        <f t="shared" si="7"/>
        <v>-1000</v>
      </c>
    </row>
    <row r="13" spans="1:154" s="77" customFormat="1">
      <c r="A13"/>
      <c r="B13"/>
      <c r="C13"/>
      <c r="D13"/>
      <c r="E13"/>
      <c r="F13"/>
      <c r="G13" s="230"/>
      <c r="H13" s="1013" t="s">
        <v>649</v>
      </c>
      <c r="I13" s="385"/>
      <c r="J13" s="385"/>
      <c r="K13" s="385"/>
      <c r="L13" s="386"/>
      <c r="M13" s="386"/>
      <c r="N13" s="386"/>
      <c r="O13" s="386"/>
      <c r="P13" s="387"/>
      <c r="Q13" s="386"/>
      <c r="R13" s="386"/>
      <c r="S13" s="386"/>
      <c r="T13" s="386"/>
      <c r="U13" s="387"/>
      <c r="V13" s="386"/>
      <c r="W13" s="386"/>
      <c r="X13" s="386"/>
      <c r="Y13" s="386"/>
      <c r="Z13" s="387"/>
      <c r="AA13" s="386"/>
      <c r="AB13" s="386"/>
      <c r="AC13" s="386"/>
      <c r="AD13" s="386"/>
      <c r="AE13" s="387"/>
      <c r="AF13" s="386"/>
      <c r="AG13" s="386"/>
      <c r="AH13" s="386"/>
      <c r="AI13" s="386"/>
      <c r="AJ13" s="387"/>
      <c r="AK13" s="386"/>
      <c r="AL13" s="386"/>
      <c r="AM13" s="386"/>
      <c r="AN13" s="386"/>
      <c r="AO13" s="387"/>
      <c r="AP13" s="386"/>
      <c r="AQ13" s="386"/>
      <c r="AR13" s="386"/>
      <c r="AS13" s="386"/>
      <c r="AT13" s="387"/>
      <c r="AU13" s="386"/>
      <c r="AV13" s="386"/>
      <c r="AW13" s="386"/>
      <c r="AX13" s="386"/>
      <c r="AY13" s="387"/>
      <c r="AZ13" s="386"/>
      <c r="BA13" s="386"/>
      <c r="BB13" s="386"/>
      <c r="BC13" s="386"/>
      <c r="BD13" s="387"/>
      <c r="BE13" s="386"/>
      <c r="BF13" s="386"/>
      <c r="BG13" s="386"/>
      <c r="BH13" s="386"/>
      <c r="BI13" s="387"/>
      <c r="BJ13" s="386"/>
      <c r="BK13" s="413"/>
      <c r="BL13" s="413"/>
      <c r="BM13" s="386"/>
      <c r="BN13" s="387"/>
      <c r="BO13" s="386"/>
      <c r="BP13" s="386"/>
      <c r="BQ13" s="386"/>
      <c r="BR13" s="413"/>
      <c r="BS13" s="387"/>
      <c r="BT13" s="386"/>
      <c r="BU13" s="386"/>
      <c r="BV13" s="386"/>
      <c r="BW13" s="413"/>
      <c r="BX13" s="387"/>
      <c r="BY13" s="413"/>
      <c r="BZ13" s="413"/>
      <c r="CA13" s="413"/>
      <c r="CB13" s="413"/>
      <c r="CC13" s="389">
        <v>-1000</v>
      </c>
      <c r="CD13" s="389">
        <v>-1000</v>
      </c>
      <c r="CE13" s="389">
        <v>-1000</v>
      </c>
      <c r="CF13" s="389">
        <v>-1000</v>
      </c>
      <c r="CG13" s="389">
        <v>-1000</v>
      </c>
      <c r="CH13" s="389">
        <v>-1000</v>
      </c>
    </row>
    <row r="14" spans="1:154" s="77" customFormat="1">
      <c r="A14"/>
      <c r="B14"/>
      <c r="C14"/>
      <c r="D14"/>
      <c r="E14"/>
      <c r="F14"/>
      <c r="G14" s="230"/>
      <c r="H14" s="1013" t="s">
        <v>639</v>
      </c>
      <c r="I14" s="385"/>
      <c r="J14" s="385"/>
      <c r="K14" s="385"/>
      <c r="L14" s="386"/>
      <c r="M14" s="386"/>
      <c r="N14" s="386"/>
      <c r="O14" s="386"/>
      <c r="P14" s="387"/>
      <c r="Q14" s="386"/>
      <c r="R14" s="386"/>
      <c r="S14" s="386"/>
      <c r="T14" s="386"/>
      <c r="U14" s="387"/>
      <c r="V14" s="386"/>
      <c r="W14" s="386"/>
      <c r="X14" s="386"/>
      <c r="Y14" s="386"/>
      <c r="Z14" s="387"/>
      <c r="AA14" s="386"/>
      <c r="AB14" s="386"/>
      <c r="AC14" s="386"/>
      <c r="AD14" s="386"/>
      <c r="AE14" s="387"/>
      <c r="AF14" s="386"/>
      <c r="AG14" s="386"/>
      <c r="AH14" s="386"/>
      <c r="AI14" s="386"/>
      <c r="AJ14" s="387"/>
      <c r="AK14" s="386"/>
      <c r="AL14" s="386"/>
      <c r="AM14" s="386"/>
      <c r="AN14" s="386"/>
      <c r="AO14" s="387"/>
      <c r="AP14" s="386"/>
      <c r="AQ14" s="386"/>
      <c r="AR14" s="386"/>
      <c r="AS14" s="386"/>
      <c r="AT14" s="387"/>
      <c r="AU14" s="386"/>
      <c r="AV14" s="386"/>
      <c r="AW14" s="386"/>
      <c r="AX14" s="386"/>
      <c r="AY14" s="387"/>
      <c r="AZ14" s="386"/>
      <c r="BA14" s="386"/>
      <c r="BB14" s="386"/>
      <c r="BC14" s="386"/>
      <c r="BD14" s="387"/>
      <c r="BE14" s="386"/>
      <c r="BF14" s="386"/>
      <c r="BG14" s="386"/>
      <c r="BH14" s="386"/>
      <c r="BI14" s="387"/>
      <c r="BJ14" s="386"/>
      <c r="BK14" s="413"/>
      <c r="BL14" s="413"/>
      <c r="BM14" s="386"/>
      <c r="BN14" s="387"/>
      <c r="BO14" s="386"/>
      <c r="BP14" s="386"/>
      <c r="BQ14" s="386"/>
      <c r="BR14" s="413"/>
      <c r="BS14" s="387"/>
      <c r="BT14" s="386"/>
      <c r="BU14" s="386"/>
      <c r="BV14" s="386"/>
      <c r="BW14" s="413"/>
      <c r="BX14" s="387"/>
      <c r="BY14" s="413"/>
      <c r="BZ14" s="413"/>
      <c r="CA14" s="413"/>
      <c r="CB14" s="413"/>
      <c r="CC14" s="1027">
        <v>0</v>
      </c>
      <c r="CD14" s="1027">
        <v>0</v>
      </c>
      <c r="CE14" s="1027">
        <v>0</v>
      </c>
      <c r="CF14" s="1027">
        <v>0</v>
      </c>
      <c r="CG14" s="1027">
        <v>0</v>
      </c>
      <c r="CH14" s="1027">
        <v>0</v>
      </c>
    </row>
    <row r="15" spans="1:154" s="77" customFormat="1">
      <c r="A15"/>
      <c r="B15"/>
      <c r="C15"/>
      <c r="D15"/>
      <c r="E15"/>
      <c r="F15"/>
      <c r="G15" s="230"/>
      <c r="H15" s="77" t="s">
        <v>629</v>
      </c>
      <c r="L15" s="391">
        <v>736.6</v>
      </c>
      <c r="M15" s="391">
        <v>-252</v>
      </c>
      <c r="N15" s="391">
        <v>794.4</v>
      </c>
      <c r="O15" s="392">
        <f>P15-SUM(L15:N15)</f>
        <v>700.59999999999991</v>
      </c>
      <c r="P15" s="393">
        <v>1979.6</v>
      </c>
      <c r="Q15" s="391">
        <v>834.8</v>
      </c>
      <c r="R15" s="391">
        <f>1656.8-Q15</f>
        <v>822</v>
      </c>
      <c r="S15" s="391">
        <f>2530.4-R15-Q15</f>
        <v>873.60000000000014</v>
      </c>
      <c r="T15" s="392">
        <f>U15-SUM(Q15:S15)</f>
        <v>132.29999999999973</v>
      </c>
      <c r="U15" s="393">
        <v>2662.7</v>
      </c>
      <c r="V15" s="391">
        <v>508.7</v>
      </c>
      <c r="W15" s="391">
        <f>1172.3-V15</f>
        <v>663.59999999999991</v>
      </c>
      <c r="X15" s="391">
        <f>2098.6-W15-V15</f>
        <v>926.3</v>
      </c>
      <c r="Y15" s="394">
        <f>2953-SUM(V15:X15)</f>
        <v>854.40000000000009</v>
      </c>
      <c r="Z15" s="393">
        <v>2953</v>
      </c>
      <c r="AA15" s="391">
        <v>1064.3</v>
      </c>
      <c r="AB15" s="391">
        <f>2023.1-AA15</f>
        <v>958.8</v>
      </c>
      <c r="AC15" s="391">
        <f>1557.5-AB15-AA15</f>
        <v>-465.59999999999991</v>
      </c>
      <c r="AD15" s="394">
        <f>AE15-AC15-AB15-AA15</f>
        <v>-3629.4000000000005</v>
      </c>
      <c r="AE15" s="393">
        <v>-2071.9</v>
      </c>
      <c r="AF15" s="391">
        <v>1313.1</v>
      </c>
      <c r="AG15" s="391">
        <f>2471.6-AF15</f>
        <v>1158.5</v>
      </c>
      <c r="AH15" s="391">
        <f>3413.4-AG15-AF15</f>
        <v>941.80000000000018</v>
      </c>
      <c r="AI15" s="394">
        <f>AJ15-AH15-AG15-AF15</f>
        <v>915.40000000000009</v>
      </c>
      <c r="AJ15" s="393">
        <v>4328.8</v>
      </c>
      <c r="AK15" s="391">
        <v>1248.0999999999999</v>
      </c>
      <c r="AL15" s="391">
        <f>2597-AK15</f>
        <v>1348.9</v>
      </c>
      <c r="AM15" s="391">
        <f>3899.9-AL15-AK15</f>
        <v>1302.9000000000001</v>
      </c>
      <c r="AN15" s="394">
        <f>AO15-AM15-AL15-AK15</f>
        <v>1169.5999999999999</v>
      </c>
      <c r="AO15" s="393">
        <v>5069.5</v>
      </c>
      <c r="AP15" s="391">
        <v>1055.9000000000001</v>
      </c>
      <c r="AQ15" s="391">
        <f>2253.2-AP15</f>
        <v>1197.2999999999997</v>
      </c>
      <c r="AR15" s="391">
        <f>3489.5-AQ15-AP15</f>
        <v>1236.3000000000002</v>
      </c>
      <c r="AS15" s="394">
        <f>AT15-AR15-AQ15-AP15</f>
        <v>858.19999999999982</v>
      </c>
      <c r="AT15" s="393">
        <v>4347.7</v>
      </c>
      <c r="AU15" s="391">
        <v>1011.1</v>
      </c>
      <c r="AV15" s="391">
        <f>1934.7-AU15</f>
        <v>923.6</v>
      </c>
      <c r="AW15" s="391">
        <f>3261.3-AV15-AU15</f>
        <v>1326.6000000000004</v>
      </c>
      <c r="AX15" s="394">
        <f>AY15-AW15-AV15-AU15</f>
        <v>827.29999999999961</v>
      </c>
      <c r="AY15" s="393">
        <v>4088.6</v>
      </c>
      <c r="AZ15" s="391">
        <v>1548</v>
      </c>
      <c r="BA15" s="391">
        <f>2754.2-AZ15</f>
        <v>1206.1999999999998</v>
      </c>
      <c r="BB15" s="391">
        <f>3957.3-BA15-AZ15</f>
        <v>1203.1000000000004</v>
      </c>
      <c r="BC15" s="394">
        <f>BD15-BB15-BA15-AZ15</f>
        <v>727.5</v>
      </c>
      <c r="BD15" s="393">
        <v>4684.8</v>
      </c>
      <c r="BE15" s="391">
        <v>727.9</v>
      </c>
      <c r="BF15" s="391">
        <f>1461.4-BE15</f>
        <v>733.50000000000011</v>
      </c>
      <c r="BG15" s="391">
        <f>1962-BF15-BE15</f>
        <v>500.6</v>
      </c>
      <c r="BH15" s="394">
        <f>BI15-BG15-BF15-BE15</f>
        <v>428.50000000000011</v>
      </c>
      <c r="BI15" s="393">
        <v>2390.5</v>
      </c>
      <c r="BJ15" s="391">
        <v>529.5</v>
      </c>
      <c r="BK15" s="391">
        <f>1130.3-BJ15</f>
        <v>600.79999999999995</v>
      </c>
      <c r="BL15" s="391">
        <f>1930-BJ15-BK15</f>
        <v>799.7</v>
      </c>
      <c r="BM15" s="394">
        <f>BN15-BL15-BK15-BJ15</f>
        <v>478.40000000000009</v>
      </c>
      <c r="BN15" s="393">
        <v>2408.4</v>
      </c>
      <c r="BO15" s="391">
        <v>440.1</v>
      </c>
      <c r="BP15" s="391">
        <f>1187.8-BO15</f>
        <v>747.69999999999993</v>
      </c>
      <c r="BQ15" s="391">
        <f>1965.8-BP15-BO15</f>
        <v>777.99999999999989</v>
      </c>
      <c r="BR15" s="394">
        <f>BS15-BQ15-BP15-BO15</f>
        <v>771.80000000000007</v>
      </c>
      <c r="BS15" s="393">
        <v>2737.6</v>
      </c>
      <c r="BT15" s="391">
        <v>-110.8</v>
      </c>
      <c r="BU15" s="391">
        <f>897.2-BT15</f>
        <v>1008</v>
      </c>
      <c r="BV15" s="391">
        <f>1452.8-BU15-BT15</f>
        <v>555.59999999999991</v>
      </c>
      <c r="BW15" s="394">
        <f>BX15-BV15-BU15-BT15</f>
        <v>-1656.8999999999999</v>
      </c>
      <c r="BX15" s="393">
        <v>-204.1</v>
      </c>
      <c r="BY15" s="384"/>
      <c r="BZ15" s="384"/>
      <c r="CA15" s="384"/>
      <c r="CB15" s="384"/>
      <c r="CC15" s="377">
        <f t="shared" ref="CC15:CH15" si="8">CC11+CC12</f>
        <v>4446.6656611749977</v>
      </c>
      <c r="CD15" s="377">
        <f t="shared" si="8"/>
        <v>4995.8872221248012</v>
      </c>
      <c r="CE15" s="377">
        <f t="shared" si="8"/>
        <v>5688.0067417788487</v>
      </c>
      <c r="CF15" s="377">
        <f t="shared" si="8"/>
        <v>6194.6552985018743</v>
      </c>
      <c r="CG15" s="377">
        <f t="shared" si="8"/>
        <v>6612.1768784929545</v>
      </c>
      <c r="CH15" s="377">
        <f t="shared" si="8"/>
        <v>7113.9283495316768</v>
      </c>
    </row>
    <row r="16" spans="1:154">
      <c r="G16" s="230"/>
      <c r="H16" s="47" t="s">
        <v>159</v>
      </c>
      <c r="L16" s="391">
        <v>158.69999999999999</v>
      </c>
      <c r="M16" s="391">
        <v>158.69999999999999</v>
      </c>
      <c r="N16" s="391">
        <v>183.9</v>
      </c>
      <c r="O16" s="392">
        <f>P16-SUM(L16:N16)</f>
        <v>225.10000000000002</v>
      </c>
      <c r="P16" s="395">
        <v>726.4</v>
      </c>
      <c r="Q16" s="391">
        <v>204.9</v>
      </c>
      <c r="R16" s="391">
        <f>414-Q16</f>
        <v>209.1</v>
      </c>
      <c r="S16" s="391">
        <f>628.2-R16-Q16</f>
        <v>214.20000000000002</v>
      </c>
      <c r="T16" s="392">
        <f>U16-SUM(Q16:S16)</f>
        <v>173.59999999999991</v>
      </c>
      <c r="U16" s="395">
        <v>801.8</v>
      </c>
      <c r="V16" s="391">
        <v>245.1</v>
      </c>
      <c r="W16" s="391">
        <f>507.6-V16</f>
        <v>262.5</v>
      </c>
      <c r="X16" s="391">
        <f>773.1-W16-V16</f>
        <v>265.5</v>
      </c>
      <c r="Y16" s="394">
        <f>1047.9-SUM(V16:X16)</f>
        <v>274.80000000000007</v>
      </c>
      <c r="Z16" s="393">
        <v>1047.9000000000001</v>
      </c>
      <c r="AA16" s="391">
        <v>277.5</v>
      </c>
      <c r="AB16" s="391">
        <f>559-AA16</f>
        <v>281.5</v>
      </c>
      <c r="AC16" s="391">
        <f>842.3-AB16-AA16</f>
        <v>283.29999999999995</v>
      </c>
      <c r="AD16" s="394">
        <f>AE16-AC16-AB16-AA16</f>
        <v>280.29999999999995</v>
      </c>
      <c r="AE16" s="393">
        <v>1122.5999999999999</v>
      </c>
      <c r="AF16" s="391">
        <v>306.3</v>
      </c>
      <c r="AG16" s="391">
        <f>612.3-AF16</f>
        <v>305.99999999999994</v>
      </c>
      <c r="AH16" s="391">
        <f>922-AG16-AF16</f>
        <v>309.7</v>
      </c>
      <c r="AI16" s="394">
        <f>AJ16-AH16-AG16-AF16</f>
        <v>375.7999999999999</v>
      </c>
      <c r="AJ16" s="393">
        <v>1297.8</v>
      </c>
      <c r="AK16" s="391">
        <v>299.39999999999998</v>
      </c>
      <c r="AL16" s="391">
        <f>645-AK16</f>
        <v>345.6</v>
      </c>
      <c r="AM16" s="391">
        <f>989.7-AL16-AK16</f>
        <v>344.70000000000005</v>
      </c>
      <c r="AN16" s="394">
        <f>AO16-AM16-AL16-AK16</f>
        <v>338.5</v>
      </c>
      <c r="AO16" s="393">
        <v>1328.2</v>
      </c>
      <c r="AP16" s="391">
        <v>340.9</v>
      </c>
      <c r="AQ16" s="391">
        <f>696.5-AP16</f>
        <v>355.6</v>
      </c>
      <c r="AR16" s="391">
        <f>1054.7-AQ16-AP16</f>
        <v>358.20000000000005</v>
      </c>
      <c r="AS16" s="394">
        <f>AT16-AR16-AQ16-AP16</f>
        <v>318.89999999999986</v>
      </c>
      <c r="AT16" s="393">
        <v>1373.6</v>
      </c>
      <c r="AU16" s="391">
        <v>385.9</v>
      </c>
      <c r="AV16" s="391">
        <f>747.9-AU16</f>
        <v>362</v>
      </c>
      <c r="AW16" s="391">
        <f>1117.6-AV16-AU16</f>
        <v>369.69999999999993</v>
      </c>
      <c r="AX16" s="394">
        <f>AY16-AW16-AV16-AU16</f>
        <v>344.6</v>
      </c>
      <c r="AY16" s="393">
        <v>1462.2</v>
      </c>
      <c r="AZ16" s="391">
        <v>381.5</v>
      </c>
      <c r="BA16" s="391">
        <f>745.4-AZ16</f>
        <v>363.9</v>
      </c>
      <c r="BB16" s="391">
        <f>1094.4-BA16-AZ16</f>
        <v>349.00000000000011</v>
      </c>
      <c r="BC16" s="394">
        <f>BD16-BB16-BA16-AZ16</f>
        <v>351.19999999999993</v>
      </c>
      <c r="BD16" s="393">
        <v>1445.6</v>
      </c>
      <c r="BE16" s="391">
        <v>348.8</v>
      </c>
      <c r="BF16" s="391">
        <f>697.2-BE16</f>
        <v>348.40000000000003</v>
      </c>
      <c r="BG16" s="391">
        <f>1039.6-BF16-BE16</f>
        <v>342.39999999999981</v>
      </c>
      <c r="BH16" s="394">
        <f>BI16-BG16-BF16-BE16</f>
        <v>339.40000000000003</v>
      </c>
      <c r="BI16" s="393">
        <v>1379</v>
      </c>
      <c r="BJ16" s="391">
        <v>357.5</v>
      </c>
      <c r="BK16" s="391">
        <f>726-BJ16</f>
        <v>368.5</v>
      </c>
      <c r="BL16" s="391">
        <f>1084.3-BK16-BJ16</f>
        <v>358.29999999999995</v>
      </c>
      <c r="BM16" s="394">
        <f>BN16-BL16-BK16-BJ16</f>
        <v>343.40000000000009</v>
      </c>
      <c r="BN16" s="393">
        <v>1427.7</v>
      </c>
      <c r="BO16" s="391">
        <v>385.5</v>
      </c>
      <c r="BP16" s="391">
        <f>759.2-BO16</f>
        <v>373.70000000000005</v>
      </c>
      <c r="BQ16" s="391">
        <f>1152-BP16-BO16</f>
        <v>392.79999999999995</v>
      </c>
      <c r="BR16" s="394">
        <f>BS16-BQ16-BP16-BO16</f>
        <v>344.59999999999991</v>
      </c>
      <c r="BS16" s="393">
        <v>1496.6</v>
      </c>
      <c r="BT16" s="391">
        <v>386.9</v>
      </c>
      <c r="BU16" s="391">
        <f>782.5-BT16</f>
        <v>395.6</v>
      </c>
      <c r="BV16" s="391">
        <f>1155.4-BU16-BT16</f>
        <v>372.90000000000009</v>
      </c>
      <c r="BW16" s="394">
        <f>BX16-BV16-BU16-BT16</f>
        <v>411.89999999999986</v>
      </c>
      <c r="BX16" s="393">
        <v>1567.3</v>
      </c>
      <c r="BY16" s="384"/>
      <c r="BZ16" s="384"/>
      <c r="CA16" s="384"/>
      <c r="CB16" s="384"/>
      <c r="CC16" s="377">
        <f t="shared" ref="CC16:CH16" si="9">CC17+CC18</f>
        <v>1354.7</v>
      </c>
      <c r="CD16" s="377">
        <f t="shared" si="9"/>
        <v>1177.0999999999999</v>
      </c>
      <c r="CE16" s="377">
        <f t="shared" si="9"/>
        <v>1175.8</v>
      </c>
      <c r="CF16" s="377">
        <f t="shared" si="9"/>
        <v>1175.8</v>
      </c>
      <c r="CG16" s="377">
        <f t="shared" si="9"/>
        <v>1175.8</v>
      </c>
      <c r="CH16" s="377">
        <f t="shared" si="9"/>
        <v>1175.8</v>
      </c>
    </row>
    <row r="17" spans="1:86">
      <c r="G17" s="230"/>
      <c r="H17" s="822" t="s">
        <v>818</v>
      </c>
      <c r="L17" s="391"/>
      <c r="M17" s="391"/>
      <c r="N17" s="391"/>
      <c r="O17" s="392"/>
      <c r="P17" s="377">
        <f>'IS-ANNUAL'!P32</f>
        <v>721</v>
      </c>
      <c r="Q17" s="391"/>
      <c r="R17" s="391"/>
      <c r="S17" s="391"/>
      <c r="T17" s="392"/>
      <c r="U17" s="377">
        <f>'IS-ANNUAL'!U32</f>
        <v>794.2</v>
      </c>
      <c r="V17" s="391"/>
      <c r="W17" s="391"/>
      <c r="X17" s="391"/>
      <c r="Y17" s="394"/>
      <c r="Z17" s="377">
        <f>'IS-ANNUAL'!Z32</f>
        <v>875.1</v>
      </c>
      <c r="AA17" s="391"/>
      <c r="AB17" s="391"/>
      <c r="AC17" s="391"/>
      <c r="AD17" s="394"/>
      <c r="AE17" s="377">
        <f>'IS-ANNUAL'!AE32</f>
        <v>929.2</v>
      </c>
      <c r="AF17" s="391"/>
      <c r="AG17" s="391"/>
      <c r="AH17" s="391"/>
      <c r="AI17" s="394"/>
      <c r="AJ17" s="377">
        <f>'IS-ANNUAL'!AJ32</f>
        <v>1020.8</v>
      </c>
      <c r="AK17" s="810">
        <f>AK16-AK18</f>
        <v>299.39999999999998</v>
      </c>
      <c r="AL17" s="810">
        <f>AL16-AL18</f>
        <v>345.6</v>
      </c>
      <c r="AM17" s="810">
        <f>AM16-AM18</f>
        <v>344.70000000000005</v>
      </c>
      <c r="AN17" s="810">
        <f>AN16-AN18</f>
        <v>338.5</v>
      </c>
      <c r="AO17" s="377">
        <f>'IS-ANNUAL'!AO32</f>
        <v>942.5</v>
      </c>
      <c r="AP17" s="810">
        <f>AP16-AP18</f>
        <v>340.9</v>
      </c>
      <c r="AQ17" s="810">
        <f>AQ16-AQ18</f>
        <v>355.6</v>
      </c>
      <c r="AR17" s="810">
        <f>AR16-AR18</f>
        <v>358.20000000000005</v>
      </c>
      <c r="AS17" s="810">
        <f>AS16-AS18</f>
        <v>318.89999999999986</v>
      </c>
      <c r="AT17" s="377">
        <f>'IS-ANNUAL'!AT32</f>
        <v>904.6</v>
      </c>
      <c r="AU17" s="810">
        <f t="shared" ref="AU17:BE17" si="10">AU16-AU18</f>
        <v>238.2</v>
      </c>
      <c r="AV17" s="810">
        <f t="shared" si="10"/>
        <v>228.9</v>
      </c>
      <c r="AW17" s="810">
        <f t="shared" si="10"/>
        <v>228.89999999999992</v>
      </c>
      <c r="AX17" s="810">
        <f t="shared" si="10"/>
        <v>203.2</v>
      </c>
      <c r="AY17" s="377">
        <f t="shared" si="10"/>
        <v>899.2</v>
      </c>
      <c r="AZ17" s="810">
        <f t="shared" si="10"/>
        <v>235.4</v>
      </c>
      <c r="BA17" s="810">
        <f t="shared" si="10"/>
        <v>218.7</v>
      </c>
      <c r="BB17" s="810">
        <f t="shared" si="10"/>
        <v>216.80000000000013</v>
      </c>
      <c r="BC17" s="810">
        <f t="shared" si="10"/>
        <v>219.6999999999999</v>
      </c>
      <c r="BD17" s="377">
        <f t="shared" si="10"/>
        <v>890.59999999999991</v>
      </c>
      <c r="BE17" s="810">
        <f t="shared" si="10"/>
        <v>216.9</v>
      </c>
      <c r="BF17" s="810">
        <f t="shared" ref="BF17:BX17" si="11">BF16-BF18</f>
        <v>214.30000000000004</v>
      </c>
      <c r="BG17" s="810">
        <f t="shared" si="11"/>
        <v>208.39999999999981</v>
      </c>
      <c r="BH17" s="810">
        <f t="shared" si="11"/>
        <v>203.50000000000009</v>
      </c>
      <c r="BI17" s="377">
        <f t="shared" si="11"/>
        <v>843.1</v>
      </c>
      <c r="BJ17" s="810">
        <f t="shared" si="11"/>
        <v>203.3</v>
      </c>
      <c r="BK17" s="810">
        <f t="shared" si="11"/>
        <v>215.1</v>
      </c>
      <c r="BL17" s="810">
        <f t="shared" si="11"/>
        <v>204.19999999999996</v>
      </c>
      <c r="BM17" s="810">
        <f t="shared" si="11"/>
        <v>173.30000000000013</v>
      </c>
      <c r="BN17" s="377">
        <f t="shared" si="11"/>
        <v>795.90000000000009</v>
      </c>
      <c r="BO17" s="810">
        <f t="shared" si="11"/>
        <v>213</v>
      </c>
      <c r="BP17" s="810">
        <f t="shared" si="11"/>
        <v>205.10000000000005</v>
      </c>
      <c r="BQ17" s="810">
        <f t="shared" si="11"/>
        <v>215.09999999999997</v>
      </c>
      <c r="BR17" s="810">
        <f t="shared" si="11"/>
        <v>175.49999999999989</v>
      </c>
      <c r="BS17" s="377">
        <f t="shared" si="11"/>
        <v>808.69999999999993</v>
      </c>
      <c r="BT17" s="810">
        <f t="shared" si="11"/>
        <v>210.79999999999998</v>
      </c>
      <c r="BU17" s="810">
        <f t="shared" si="11"/>
        <v>217.50000000000003</v>
      </c>
      <c r="BV17" s="810">
        <f t="shared" si="11"/>
        <v>217.10000000000008</v>
      </c>
      <c r="BW17" s="810">
        <f t="shared" si="11"/>
        <v>238.49999999999997</v>
      </c>
      <c r="BX17" s="377">
        <f t="shared" si="11"/>
        <v>883.9</v>
      </c>
      <c r="BY17" s="432"/>
      <c r="BZ17" s="432"/>
      <c r="CA17" s="432"/>
      <c r="CB17" s="432"/>
      <c r="CC17" s="377">
        <f>'IS-ANNUAL'!CC32</f>
        <v>863</v>
      </c>
      <c r="CD17" s="377">
        <f>'IS-ANNUAL'!CD32</f>
        <v>863</v>
      </c>
      <c r="CE17" s="377">
        <f>'IS-ANNUAL'!CE32</f>
        <v>863</v>
      </c>
      <c r="CF17" s="377">
        <f>'IS-ANNUAL'!CF32</f>
        <v>863</v>
      </c>
      <c r="CG17" s="377">
        <f>'IS-ANNUAL'!CG32</f>
        <v>863</v>
      </c>
      <c r="CH17" s="377">
        <f>'IS-ANNUAL'!CH32</f>
        <v>863</v>
      </c>
    </row>
    <row r="18" spans="1:86">
      <c r="G18" s="230"/>
      <c r="H18" s="723" t="s">
        <v>381</v>
      </c>
      <c r="L18" s="391"/>
      <c r="M18" s="391"/>
      <c r="N18" s="391"/>
      <c r="O18" s="392"/>
      <c r="P18" s="395">
        <v>5.4</v>
      </c>
      <c r="Q18" s="391"/>
      <c r="R18" s="391"/>
      <c r="S18" s="391"/>
      <c r="T18" s="392"/>
      <c r="U18" s="395">
        <v>7.6</v>
      </c>
      <c r="V18" s="391"/>
      <c r="W18" s="391"/>
      <c r="X18" s="391"/>
      <c r="Y18" s="394"/>
      <c r="Z18" s="393">
        <v>172.8</v>
      </c>
      <c r="AA18" s="391"/>
      <c r="AB18" s="391"/>
      <c r="AC18" s="391"/>
      <c r="AD18" s="394"/>
      <c r="AE18" s="393">
        <v>193.4</v>
      </c>
      <c r="AF18" s="391"/>
      <c r="AG18" s="391"/>
      <c r="AH18" s="391"/>
      <c r="AI18" s="394"/>
      <c r="AJ18" s="393">
        <v>277</v>
      </c>
      <c r="AK18" s="391"/>
      <c r="AL18" s="391"/>
      <c r="AM18" s="391"/>
      <c r="AN18" s="394"/>
      <c r="AO18" s="393">
        <v>385.7</v>
      </c>
      <c r="AP18" s="391"/>
      <c r="AQ18" s="391"/>
      <c r="AR18" s="391"/>
      <c r="AS18" s="394"/>
      <c r="AT18" s="393">
        <v>469</v>
      </c>
      <c r="AU18" s="391">
        <v>147.69999999999999</v>
      </c>
      <c r="AV18" s="391">
        <v>133.1</v>
      </c>
      <c r="AW18" s="391">
        <v>140.80000000000001</v>
      </c>
      <c r="AX18" s="394">
        <f>AY18-AW18-AV18-AU18</f>
        <v>141.40000000000003</v>
      </c>
      <c r="AY18" s="393">
        <v>563</v>
      </c>
      <c r="AZ18" s="391">
        <v>146.1</v>
      </c>
      <c r="BA18" s="391">
        <v>145.19999999999999</v>
      </c>
      <c r="BB18" s="391">
        <v>132.19999999999999</v>
      </c>
      <c r="BC18" s="394">
        <f>BD18-BB18-BA18-AZ18</f>
        <v>131.50000000000003</v>
      </c>
      <c r="BD18" s="411">
        <v>555</v>
      </c>
      <c r="BE18" s="391">
        <v>131.9</v>
      </c>
      <c r="BF18" s="391">
        <v>134.1</v>
      </c>
      <c r="BG18" s="391">
        <v>134</v>
      </c>
      <c r="BH18" s="394">
        <f>BI18-BG18-BF18-BE18</f>
        <v>135.89999999999995</v>
      </c>
      <c r="BI18" s="411">
        <v>535.9</v>
      </c>
      <c r="BJ18" s="391">
        <v>154.19999999999999</v>
      </c>
      <c r="BK18" s="391">
        <v>153.4</v>
      </c>
      <c r="BL18" s="391">
        <v>154.1</v>
      </c>
      <c r="BM18" s="394">
        <f>BN18-BL18-BK18-BJ18</f>
        <v>170.09999999999997</v>
      </c>
      <c r="BN18" s="411">
        <v>631.79999999999995</v>
      </c>
      <c r="BO18" s="391">
        <f>172.5</f>
        <v>172.5</v>
      </c>
      <c r="BP18" s="391">
        <v>168.6</v>
      </c>
      <c r="BQ18" s="391">
        <v>177.7</v>
      </c>
      <c r="BR18" s="394">
        <f>BS18-BQ18-BP18-BO18</f>
        <v>169.10000000000002</v>
      </c>
      <c r="BS18" s="411">
        <v>687.9</v>
      </c>
      <c r="BT18" s="391">
        <v>176.1</v>
      </c>
      <c r="BU18" s="391">
        <v>178.1</v>
      </c>
      <c r="BV18" s="391">
        <v>155.80000000000001</v>
      </c>
      <c r="BW18" s="394">
        <f>BX18-BV18-BU18-BT18</f>
        <v>173.39999999999989</v>
      </c>
      <c r="BX18" s="411">
        <v>683.4</v>
      </c>
      <c r="BY18" s="384"/>
      <c r="BZ18" s="384"/>
      <c r="CA18" s="384"/>
      <c r="CB18" s="384"/>
      <c r="CC18" s="389">
        <v>491.7</v>
      </c>
      <c r="CD18" s="389">
        <v>314.10000000000002</v>
      </c>
      <c r="CE18" s="389">
        <v>312.8</v>
      </c>
      <c r="CF18" s="389">
        <v>312.8</v>
      </c>
      <c r="CG18" s="389">
        <v>312.8</v>
      </c>
      <c r="CH18" s="389">
        <v>312.8</v>
      </c>
    </row>
    <row r="19" spans="1:86">
      <c r="G19" s="230"/>
      <c r="H19" s="396" t="s">
        <v>561</v>
      </c>
      <c r="I19" s="396"/>
      <c r="J19" s="396"/>
      <c r="K19" s="396"/>
      <c r="L19" s="397">
        <v>0.3</v>
      </c>
      <c r="M19" s="397">
        <v>-369.3</v>
      </c>
      <c r="N19" s="397">
        <v>-1427</v>
      </c>
      <c r="O19" s="386">
        <f>P19-SUM(L19:N19)</f>
        <v>-151.09999999999991</v>
      </c>
      <c r="P19" s="398">
        <f>SUM(P20:P23)</f>
        <v>-1947.1</v>
      </c>
      <c r="Q19" s="397">
        <v>-947.1</v>
      </c>
      <c r="R19" s="397">
        <f>-1357.3-Q19</f>
        <v>-410.19999999999993</v>
      </c>
      <c r="S19" s="397">
        <f>-1318.6-R19-Q19</f>
        <v>38.700000000000045</v>
      </c>
      <c r="T19" s="386">
        <f>U19-SUM(Q19:S19)</f>
        <v>523.29999999999995</v>
      </c>
      <c r="U19" s="398">
        <f>SUM(U20:U23)</f>
        <v>-795.3</v>
      </c>
      <c r="V19" s="397">
        <v>-35.6</v>
      </c>
      <c r="W19" s="397">
        <f>-551.5-V19</f>
        <v>-515.9</v>
      </c>
      <c r="X19" s="397">
        <f>-628.5-W19-V19</f>
        <v>-77.000000000000028</v>
      </c>
      <c r="Y19" s="394">
        <f>Z19-SUM(V19:X19)</f>
        <v>511.5</v>
      </c>
      <c r="Z19" s="398">
        <f>SUM(Z20:Z23)</f>
        <v>-117</v>
      </c>
      <c r="AA19" s="397">
        <v>-33.6</v>
      </c>
      <c r="AB19" s="397">
        <f>-51.3-AA19</f>
        <v>-17.699999999999996</v>
      </c>
      <c r="AC19" s="397">
        <f>144-AB19-AA19</f>
        <v>195.29999999999998</v>
      </c>
      <c r="AD19" s="394">
        <f>AE19-AC19-AB19-AA19</f>
        <v>2203.7999999999997</v>
      </c>
      <c r="AE19" s="398">
        <f>SUM(AE20:AE23)</f>
        <v>2347.8000000000002</v>
      </c>
      <c r="AF19" s="397">
        <v>-672</v>
      </c>
      <c r="AG19" s="397">
        <f>-1194.9-AF19</f>
        <v>-522.90000000000009</v>
      </c>
      <c r="AH19" s="397">
        <f>-1768-AG19-AF19</f>
        <v>-573.09999999999991</v>
      </c>
      <c r="AI19" s="394">
        <f>AJ19-AH19-AG19-AF19</f>
        <v>811.1</v>
      </c>
      <c r="AJ19" s="398">
        <f>SUM(AJ20:AJ23)</f>
        <v>-956.9</v>
      </c>
      <c r="AK19" s="397">
        <v>-815.1</v>
      </c>
      <c r="AL19" s="397">
        <f>-703.5-AK19</f>
        <v>111.60000000000002</v>
      </c>
      <c r="AM19" s="397">
        <f>-820.3-AL19-AK19</f>
        <v>-116.79999999999995</v>
      </c>
      <c r="AN19" s="394">
        <f>AO19-AM19-AL19-AK19</f>
        <v>634.79999999999995</v>
      </c>
      <c r="AO19" s="398">
        <f>SUM(AO20:AO23)</f>
        <v>-185.5</v>
      </c>
      <c r="AP19" s="397">
        <v>-595.6</v>
      </c>
      <c r="AQ19" s="397">
        <f>-89.4-AP19</f>
        <v>506.20000000000005</v>
      </c>
      <c r="AR19" s="397">
        <f>76.7-AQ19-AP19</f>
        <v>166.09999999999997</v>
      </c>
      <c r="AS19" s="394">
        <f>AT19-AR19-AQ19-AP19</f>
        <v>1171.7000000000003</v>
      </c>
      <c r="AT19" s="398">
        <f>SUM(AT20:AT23)</f>
        <v>1248.4000000000001</v>
      </c>
      <c r="AU19" s="397">
        <v>-698.7</v>
      </c>
      <c r="AV19" s="397">
        <f>-759.8-AU19</f>
        <v>-61.099999999999909</v>
      </c>
      <c r="AW19" s="397">
        <f>-271.5-AV19-AU19</f>
        <v>488.29999999999995</v>
      </c>
      <c r="AX19" s="394">
        <f>AY19-AW19-AV19-AU19</f>
        <v>220.29999999999995</v>
      </c>
      <c r="AY19" s="398">
        <f>SUM(AY20:AY23)</f>
        <v>-51.199999999999989</v>
      </c>
      <c r="AZ19" s="397">
        <v>-1048.0999999999999</v>
      </c>
      <c r="BA19" s="397">
        <f>-1271.5-AZ19</f>
        <v>-223.40000000000009</v>
      </c>
      <c r="BB19" s="397">
        <f>-1498.3-BA19-AZ19</f>
        <v>-226.79999999999995</v>
      </c>
      <c r="BC19" s="394">
        <f>BD19-BB19-BA19-AZ19</f>
        <v>1105.3</v>
      </c>
      <c r="BD19" s="398">
        <f>SUM(BD20:BD23)</f>
        <v>-393</v>
      </c>
      <c r="BE19" s="397">
        <v>-941.3</v>
      </c>
      <c r="BF19" s="397">
        <f>-1021.3-BE19</f>
        <v>-80</v>
      </c>
      <c r="BG19" s="397">
        <f>-548.3-BF19-BE19</f>
        <v>473</v>
      </c>
      <c r="BH19" s="394">
        <f>BI19-BG19-BF19-BE19</f>
        <v>398.4</v>
      </c>
      <c r="BI19" s="398">
        <f>SUM(BI20:BI23)</f>
        <v>-149.9</v>
      </c>
      <c r="BJ19" s="397">
        <v>-913.7</v>
      </c>
      <c r="BK19" s="397">
        <f>-686.3-BJ19</f>
        <v>227.40000000000009</v>
      </c>
      <c r="BL19" s="397">
        <f>-660.1-BK19-BJ19</f>
        <v>26.199999999999932</v>
      </c>
      <c r="BM19" s="394">
        <f>BN19-BL19-BK19-BJ19</f>
        <v>-257.89999999999986</v>
      </c>
      <c r="BN19" s="398">
        <f>SUM(BN20:BN23)</f>
        <v>-917.99999999999989</v>
      </c>
      <c r="BO19" s="397">
        <f>+-1429.5</f>
        <v>-1429.5</v>
      </c>
      <c r="BP19" s="397">
        <f>-1399.9-BO19</f>
        <v>29.599999999999909</v>
      </c>
      <c r="BQ19" s="397">
        <f>-1215.8-BP19-BO19</f>
        <v>184.10000000000014</v>
      </c>
      <c r="BR19" s="394">
        <f>BS19-BQ19-BP19-BO19</f>
        <v>731.7</v>
      </c>
      <c r="BS19" s="398">
        <f>SUM(BS20:BS23)</f>
        <v>-484.09999999999991</v>
      </c>
      <c r="BT19" s="397">
        <v>-995</v>
      </c>
      <c r="BU19" s="397">
        <f>-1118.5-BT19</f>
        <v>-123.5</v>
      </c>
      <c r="BV19" s="397">
        <f>-525.2-BU19-BT19</f>
        <v>593.29999999999995</v>
      </c>
      <c r="BW19" s="394">
        <f>BX19-BV19-BU19-BT19</f>
        <v>3730.0999999999995</v>
      </c>
      <c r="BX19" s="398">
        <f>SUM(BX20:BX23)</f>
        <v>3204.8999999999996</v>
      </c>
      <c r="BY19" s="400"/>
      <c r="BZ19" s="400"/>
      <c r="CA19" s="400"/>
      <c r="CB19" s="400"/>
      <c r="CC19" s="399">
        <f>-(((CC69+CC72+CC73)-(CC87+CC88))-((BX69+BX72+BX73)-(BX87+BX88)))</f>
        <v>1999.8898866666677</v>
      </c>
      <c r="CD19" s="399">
        <f>-(((CD69+CD72+CD73)-(CD87+CD88))-((CC69+CC72+CC73)-(CC87+CC88)))</f>
        <v>-2003.9940973504927</v>
      </c>
      <c r="CE19" s="399">
        <f>-(((CE69+CE72+CE73)-(CE87+CE88))-((CD69+CD72+CD73)-(CD87+CD88)))</f>
        <v>1818.2331251195719</v>
      </c>
      <c r="CF19" s="399">
        <f>-(((CF69+CF72+CF73)-(CF87+CF88))-((CE69+CE72+CE73)-(CE87+CE88)))</f>
        <v>-2245.4048549143881</v>
      </c>
      <c r="CG19" s="399">
        <f>-(((CG69+CG72+CG73)-(CG87+CG88))-((CF69+CF72+CF73)-(CF87+CF88)))</f>
        <v>1910.5433505509354</v>
      </c>
      <c r="CH19" s="399">
        <f>-(((CH69+CH72+CH73)-(CH87+CH88))-((CG69+CG72+CG73)-(CG87+CG88)))</f>
        <v>-2310.1792989552214</v>
      </c>
    </row>
    <row r="20" spans="1:86" hidden="1" outlineLevel="1">
      <c r="G20" s="230"/>
      <c r="H20" s="401" t="s">
        <v>562</v>
      </c>
      <c r="I20" s="396"/>
      <c r="J20" s="396"/>
      <c r="K20" s="396"/>
      <c r="L20" s="388"/>
      <c r="M20" s="388"/>
      <c r="N20" s="388"/>
      <c r="O20" s="388"/>
      <c r="P20" s="402">
        <v>-286.39999999999998</v>
      </c>
      <c r="Q20" s="388"/>
      <c r="R20" s="388"/>
      <c r="S20" s="388"/>
      <c r="T20" s="388"/>
      <c r="U20" s="402">
        <v>243.9</v>
      </c>
      <c r="V20" s="388"/>
      <c r="W20" s="388"/>
      <c r="X20" s="388"/>
      <c r="Y20" s="400"/>
      <c r="Z20" s="403">
        <v>-842.7</v>
      </c>
      <c r="AA20" s="388"/>
      <c r="AB20" s="388"/>
      <c r="AC20" s="388"/>
      <c r="AD20" s="384"/>
      <c r="AE20" s="403">
        <v>799.1</v>
      </c>
      <c r="AF20" s="388"/>
      <c r="AG20" s="388"/>
      <c r="AH20" s="388"/>
      <c r="AI20" s="384"/>
      <c r="AJ20" s="403">
        <v>-492.9</v>
      </c>
      <c r="AK20" s="388"/>
      <c r="AL20" s="388"/>
      <c r="AM20" s="388"/>
      <c r="AN20" s="384"/>
      <c r="AO20" s="403">
        <v>-319.10000000000002</v>
      </c>
      <c r="AP20" s="388"/>
      <c r="AQ20" s="388"/>
      <c r="AR20" s="388"/>
      <c r="AS20" s="384"/>
      <c r="AT20" s="403">
        <v>-188.8</v>
      </c>
      <c r="AU20" s="388"/>
      <c r="AV20" s="388"/>
      <c r="AW20" s="811"/>
      <c r="AX20" s="384"/>
      <c r="AY20" s="403">
        <v>361.8</v>
      </c>
      <c r="AZ20" s="388"/>
      <c r="BA20" s="388"/>
      <c r="BB20" s="811"/>
      <c r="BC20" s="384"/>
      <c r="BD20" s="403">
        <v>-152.69999999999999</v>
      </c>
      <c r="BE20" s="388"/>
      <c r="BF20" s="388"/>
      <c r="BG20" s="388"/>
      <c r="BH20" s="384"/>
      <c r="BI20" s="403">
        <v>117.4</v>
      </c>
      <c r="BJ20" s="388"/>
      <c r="BK20" s="400"/>
      <c r="BL20" s="400"/>
      <c r="BM20" s="384"/>
      <c r="BN20" s="403">
        <v>-304.5</v>
      </c>
      <c r="BO20" s="388"/>
      <c r="BP20" s="388"/>
      <c r="BQ20" s="388"/>
      <c r="BR20" s="400"/>
      <c r="BS20" s="403">
        <v>-709.4</v>
      </c>
      <c r="BT20" s="388"/>
      <c r="BU20" s="388"/>
      <c r="BV20" s="388"/>
      <c r="BW20" s="400"/>
      <c r="BX20" s="403">
        <v>-357</v>
      </c>
      <c r="BY20" s="400"/>
      <c r="BZ20" s="400"/>
      <c r="CA20" s="400"/>
      <c r="CB20" s="400"/>
      <c r="CC20" s="404"/>
      <c r="CD20" s="404"/>
      <c r="CE20" s="404"/>
      <c r="CF20" s="404"/>
      <c r="CG20" s="404"/>
      <c r="CH20" s="404"/>
    </row>
    <row r="21" spans="1:86" hidden="1" outlineLevel="1">
      <c r="G21" s="230"/>
      <c r="H21" s="405" t="s">
        <v>563</v>
      </c>
      <c r="L21" s="388"/>
      <c r="M21" s="388"/>
      <c r="N21" s="388"/>
      <c r="O21" s="388"/>
      <c r="P21" s="395">
        <v>72.099999999999994</v>
      </c>
      <c r="Q21" s="388"/>
      <c r="R21" s="388"/>
      <c r="S21" s="388"/>
      <c r="T21" s="388"/>
      <c r="U21" s="395">
        <v>-60.2</v>
      </c>
      <c r="V21" s="388"/>
      <c r="W21" s="388"/>
      <c r="X21" s="388"/>
      <c r="Y21" s="384"/>
      <c r="Z21" s="393">
        <v>154.30000000000001</v>
      </c>
      <c r="AA21" s="388"/>
      <c r="AB21" s="388"/>
      <c r="AC21" s="388"/>
      <c r="AD21" s="384"/>
      <c r="AE21" s="393">
        <v>84.8</v>
      </c>
      <c r="AF21" s="388"/>
      <c r="AG21" s="388"/>
      <c r="AH21" s="388"/>
      <c r="AI21" s="384"/>
      <c r="AJ21" s="393">
        <v>-179</v>
      </c>
      <c r="AK21" s="388"/>
      <c r="AL21" s="388"/>
      <c r="AM21" s="388"/>
      <c r="AN21" s="384"/>
      <c r="AO21" s="393">
        <v>157</v>
      </c>
      <c r="AP21" s="388"/>
      <c r="AQ21" s="388"/>
      <c r="AR21" s="388"/>
      <c r="AS21" s="384"/>
      <c r="AT21" s="393">
        <v>203.1</v>
      </c>
      <c r="AU21" s="388"/>
      <c r="AV21" s="388"/>
      <c r="AW21" s="810"/>
      <c r="AX21" s="384"/>
      <c r="AY21" s="393">
        <v>-307.89999999999998</v>
      </c>
      <c r="AZ21" s="388"/>
      <c r="BA21" s="388"/>
      <c r="BB21" s="810"/>
      <c r="BC21" s="384"/>
      <c r="BD21" s="393">
        <v>-286.5</v>
      </c>
      <c r="BE21" s="388"/>
      <c r="BF21" s="388"/>
      <c r="BG21" s="388"/>
      <c r="BH21" s="384"/>
      <c r="BI21" s="393">
        <v>-307.10000000000002</v>
      </c>
      <c r="BJ21" s="388"/>
      <c r="BK21" s="384"/>
      <c r="BL21" s="384"/>
      <c r="BM21" s="384"/>
      <c r="BN21" s="393">
        <v>-736.3</v>
      </c>
      <c r="BO21" s="388"/>
      <c r="BP21" s="388"/>
      <c r="BQ21" s="388"/>
      <c r="BR21" s="384"/>
      <c r="BS21" s="393">
        <v>-328.2</v>
      </c>
      <c r="BT21" s="388"/>
      <c r="BU21" s="388"/>
      <c r="BV21" s="388"/>
      <c r="BW21" s="384"/>
      <c r="BX21" s="393">
        <v>-253.9</v>
      </c>
      <c r="BY21" s="384"/>
      <c r="BZ21" s="384"/>
      <c r="CA21" s="384"/>
      <c r="CB21" s="384"/>
      <c r="CC21" s="404"/>
      <c r="CD21" s="404"/>
      <c r="CE21" s="404"/>
      <c r="CF21" s="404"/>
      <c r="CG21" s="404"/>
      <c r="CH21" s="404"/>
    </row>
    <row r="22" spans="1:86" hidden="1" outlineLevel="1">
      <c r="G22" s="230"/>
      <c r="H22" s="405" t="s">
        <v>564</v>
      </c>
      <c r="L22" s="383"/>
      <c r="M22" s="383"/>
      <c r="N22" s="383"/>
      <c r="O22" s="383"/>
      <c r="P22" s="395">
        <v>-269.39999999999998</v>
      </c>
      <c r="Q22" s="383"/>
      <c r="R22" s="383"/>
      <c r="S22" s="383"/>
      <c r="T22" s="383"/>
      <c r="U22" s="395">
        <v>-43</v>
      </c>
      <c r="V22" s="383"/>
      <c r="W22" s="383"/>
      <c r="X22" s="383"/>
      <c r="Y22" s="384"/>
      <c r="Z22" s="393">
        <v>-355.8</v>
      </c>
      <c r="AA22" s="383"/>
      <c r="AB22" s="383"/>
      <c r="AC22" s="383"/>
      <c r="AD22" s="384"/>
      <c r="AE22" s="393">
        <v>1648.6</v>
      </c>
      <c r="AF22" s="383"/>
      <c r="AG22" s="383"/>
      <c r="AH22" s="383"/>
      <c r="AI22" s="384"/>
      <c r="AJ22" s="393">
        <v>-84.9</v>
      </c>
      <c r="AK22" s="383"/>
      <c r="AL22" s="383"/>
      <c r="AM22" s="383"/>
      <c r="AN22" s="384"/>
      <c r="AO22" s="393">
        <v>340.5</v>
      </c>
      <c r="AP22" s="383"/>
      <c r="AQ22" s="383"/>
      <c r="AR22" s="383"/>
      <c r="AS22" s="384"/>
      <c r="AT22" s="393">
        <v>642.70000000000005</v>
      </c>
      <c r="AU22" s="383"/>
      <c r="AV22" s="383"/>
      <c r="AW22" s="810"/>
      <c r="AX22" s="384"/>
      <c r="AY22" s="393">
        <v>231</v>
      </c>
      <c r="AZ22" s="383"/>
      <c r="BA22" s="383"/>
      <c r="BB22" s="810"/>
      <c r="BC22" s="384"/>
      <c r="BD22" s="393">
        <v>116.5</v>
      </c>
      <c r="BE22" s="383"/>
      <c r="BF22" s="383"/>
      <c r="BG22" s="383"/>
      <c r="BH22" s="384"/>
      <c r="BI22" s="393">
        <v>411.5</v>
      </c>
      <c r="BJ22" s="383"/>
      <c r="BK22" s="384"/>
      <c r="BL22" s="384"/>
      <c r="BM22" s="384"/>
      <c r="BN22" s="393">
        <v>-338.8</v>
      </c>
      <c r="BO22" s="383"/>
      <c r="BP22" s="383"/>
      <c r="BQ22" s="383"/>
      <c r="BR22" s="384"/>
      <c r="BS22" s="377">
        <v>-265.5</v>
      </c>
      <c r="BT22" s="383"/>
      <c r="BU22" s="383"/>
      <c r="BV22" s="383"/>
      <c r="BW22" s="384"/>
      <c r="BX22" s="377">
        <v>-590.1</v>
      </c>
      <c r="BY22" s="384"/>
      <c r="BZ22" s="384"/>
      <c r="CA22" s="384"/>
      <c r="CB22" s="384"/>
      <c r="CC22" s="377"/>
      <c r="CD22" s="377"/>
      <c r="CE22" s="377"/>
      <c r="CF22" s="377"/>
      <c r="CG22" s="377"/>
      <c r="CH22" s="377"/>
    </row>
    <row r="23" spans="1:86" s="77" customFormat="1" hidden="1" outlineLevel="1">
      <c r="A23"/>
      <c r="B23"/>
      <c r="C23"/>
      <c r="D23"/>
      <c r="E23"/>
      <c r="F23"/>
      <c r="G23" s="230"/>
      <c r="H23" s="406" t="s">
        <v>491</v>
      </c>
      <c r="L23" s="258"/>
      <c r="M23" s="258"/>
      <c r="N23" s="258"/>
      <c r="O23" s="258"/>
      <c r="P23" s="407">
        <v>-1463.4</v>
      </c>
      <c r="Q23" s="258"/>
      <c r="R23" s="258"/>
      <c r="S23" s="258"/>
      <c r="T23" s="258"/>
      <c r="U23" s="407">
        <v>-936</v>
      </c>
      <c r="V23" s="258"/>
      <c r="W23" s="258"/>
      <c r="X23" s="258"/>
      <c r="Y23" s="408"/>
      <c r="Z23" s="407">
        <v>927.2</v>
      </c>
      <c r="AA23" s="258"/>
      <c r="AB23" s="258"/>
      <c r="AC23" s="258"/>
      <c r="AD23" s="384"/>
      <c r="AE23" s="407">
        <v>-184.7</v>
      </c>
      <c r="AF23" s="258"/>
      <c r="AG23" s="258"/>
      <c r="AH23" s="258"/>
      <c r="AI23" s="384"/>
      <c r="AJ23" s="407">
        <v>-200.1</v>
      </c>
      <c r="AK23" s="258"/>
      <c r="AL23" s="258"/>
      <c r="AM23" s="258"/>
      <c r="AN23" s="384"/>
      <c r="AO23" s="407">
        <v>-363.9</v>
      </c>
      <c r="AP23" s="258"/>
      <c r="AQ23" s="258"/>
      <c r="AR23" s="258"/>
      <c r="AS23" s="384"/>
      <c r="AT23" s="407">
        <v>591.4</v>
      </c>
      <c r="AU23" s="258"/>
      <c r="AV23" s="258"/>
      <c r="AW23" s="317"/>
      <c r="AX23" s="384"/>
      <c r="AY23" s="407">
        <v>-336.1</v>
      </c>
      <c r="AZ23" s="258"/>
      <c r="BA23" s="258"/>
      <c r="BB23" s="317"/>
      <c r="BC23" s="384"/>
      <c r="BD23" s="407">
        <v>-70.3</v>
      </c>
      <c r="BE23" s="258"/>
      <c r="BF23" s="258"/>
      <c r="BG23" s="258"/>
      <c r="BH23" s="384"/>
      <c r="BI23" s="407">
        <v>-371.7</v>
      </c>
      <c r="BJ23" s="258"/>
      <c r="BK23" s="408"/>
      <c r="BL23" s="408"/>
      <c r="BM23" s="384"/>
      <c r="BN23" s="407">
        <v>461.6</v>
      </c>
      <c r="BO23" s="258"/>
      <c r="BP23" s="741"/>
      <c r="BQ23" s="258"/>
      <c r="BR23" s="408"/>
      <c r="BS23" s="77">
        <v>819</v>
      </c>
      <c r="BT23" s="258"/>
      <c r="BU23" s="741"/>
      <c r="BV23" s="741"/>
      <c r="BW23" s="408"/>
      <c r="BX23" s="77">
        <v>4405.8999999999996</v>
      </c>
      <c r="BY23" s="408"/>
      <c r="BZ23" s="408"/>
      <c r="CA23" s="408"/>
      <c r="CB23" s="408"/>
    </row>
    <row r="24" spans="1:86" collapsed="1">
      <c r="G24" s="230"/>
      <c r="H24" s="47" t="s">
        <v>492</v>
      </c>
      <c r="L24" s="391">
        <v>131</v>
      </c>
      <c r="M24" s="391">
        <v>1090.8</v>
      </c>
      <c r="N24" s="391">
        <v>98.2</v>
      </c>
      <c r="O24" s="392">
        <f>P24-SUM(L24:N24)</f>
        <v>182.20000000000005</v>
      </c>
      <c r="P24" s="409">
        <v>1502.2</v>
      </c>
      <c r="Q24" s="392">
        <f>SUM(Q25:Q29)</f>
        <v>161.9</v>
      </c>
      <c r="R24" s="392">
        <f>SUM(R25:R29)</f>
        <v>66.800000000000011</v>
      </c>
      <c r="S24" s="392">
        <f>SUM(S25:S29)</f>
        <v>49.499999999999979</v>
      </c>
      <c r="T24" s="392">
        <f>U24-SUM(Q24:S24)</f>
        <v>1028.5</v>
      </c>
      <c r="U24" s="390">
        <f>SUM(U25:U29)</f>
        <v>1306.7</v>
      </c>
      <c r="V24" s="392">
        <f>SUM(V25:V29)</f>
        <v>173.60000000000002</v>
      </c>
      <c r="W24" s="392">
        <f>SUM(W25:W29)</f>
        <v>178.30000000000007</v>
      </c>
      <c r="X24" s="392">
        <f>SUM(X25:X29)</f>
        <v>329.7</v>
      </c>
      <c r="Y24" s="392">
        <f>Z24-SUM(V24:X24)</f>
        <v>588.99999999999977</v>
      </c>
      <c r="Z24" s="390">
        <f>SUM(Z25:Z29)</f>
        <v>1270.5999999999999</v>
      </c>
      <c r="AA24" s="392">
        <f>SUM(AA25:AA29)</f>
        <v>394.40000000000009</v>
      </c>
      <c r="AB24" s="392">
        <f>SUM(AB25:AB29)</f>
        <v>-141.70000000000005</v>
      </c>
      <c r="AC24" s="392">
        <f>SUM(AC25:AC29)</f>
        <v>2118.6</v>
      </c>
      <c r="AD24" s="392">
        <f>AE24-SUM(AA24:AC24)</f>
        <v>3525.8</v>
      </c>
      <c r="AE24" s="390">
        <f>SUM(AE25:AE29)</f>
        <v>5897.1</v>
      </c>
      <c r="AF24" s="392">
        <f>SUM(AF25:AF29)</f>
        <v>-859.49999999999977</v>
      </c>
      <c r="AG24" s="392">
        <f>SUM(AG25:AG29)</f>
        <v>-18.300000000000068</v>
      </c>
      <c r="AH24" s="392">
        <f>SUM(AH25:AH29)</f>
        <v>627.29999999999995</v>
      </c>
      <c r="AI24" s="739">
        <f>AJ24-SUM(AF24:AH24)</f>
        <v>-83.700000000000045</v>
      </c>
      <c r="AJ24" s="429">
        <f>SUM(AJ25:AJ29)</f>
        <v>-334.19999999999993</v>
      </c>
      <c r="AK24" s="392">
        <f>SUM(AK25:AK29)</f>
        <v>225.6</v>
      </c>
      <c r="AL24" s="392">
        <f>SUM(AL25:AL29)</f>
        <v>105.49999999999999</v>
      </c>
      <c r="AM24" s="392">
        <f>SUM(AM25:AM29)</f>
        <v>228.3</v>
      </c>
      <c r="AN24" s="739">
        <f>AO24-SUM(AK24:AM24)</f>
        <v>85.200000000000045</v>
      </c>
      <c r="AO24" s="429">
        <f>SUM(AO25:AO29)</f>
        <v>644.6</v>
      </c>
      <c r="AP24" s="392">
        <f>SUM(AP25:AP29)</f>
        <v>374.90000000000003</v>
      </c>
      <c r="AQ24" s="392">
        <f>SUM(AQ25:AQ29)</f>
        <v>-18.799999999999997</v>
      </c>
      <c r="AR24" s="392">
        <f>SUM(AR25:AR29)</f>
        <v>312.8</v>
      </c>
      <c r="AS24" s="739">
        <f>AT24-SUM(AP24:AR24)</f>
        <v>-404.10000000000008</v>
      </c>
      <c r="AT24" s="429">
        <f>SUM(AT25:AT29)</f>
        <v>264.8</v>
      </c>
      <c r="AU24" s="392">
        <f>SUM(AU25:AU29)</f>
        <v>154.19999999999999</v>
      </c>
      <c r="AV24" s="392">
        <f>SUM(AV25:AV29)</f>
        <v>81.499999999999986</v>
      </c>
      <c r="AW24" s="392">
        <f>SUM(AW25:AW29)</f>
        <v>-640.29999999999984</v>
      </c>
      <c r="AX24" s="739">
        <f>AY24-SUM(AU24:AW24)</f>
        <v>209.7999999999999</v>
      </c>
      <c r="AY24" s="429">
        <f>SUM(AY25:AY29)</f>
        <v>-194.79999999999995</v>
      </c>
      <c r="AZ24" s="392">
        <f>SUM(AZ25:AZ29)</f>
        <v>-502</v>
      </c>
      <c r="BA24" s="392">
        <f>SUM(BA25:BA29)</f>
        <v>290.5</v>
      </c>
      <c r="BB24" s="392">
        <f>SUM(BB25:BB29)</f>
        <v>666.3</v>
      </c>
      <c r="BC24" s="739">
        <f>BD24-SUM(AZ24:BB24)</f>
        <v>-457.19999999999993</v>
      </c>
      <c r="BD24" s="429">
        <f>SUM(BD25:BD29)</f>
        <v>-2.3999999999999773</v>
      </c>
      <c r="BE24" s="392">
        <f>SUM(BE25:BE29)</f>
        <v>136.9</v>
      </c>
      <c r="BF24" s="392">
        <f>SUM(BF25:BF29)</f>
        <v>52.000000000000014</v>
      </c>
      <c r="BG24" s="392">
        <f>SUM(BG25:BG29)</f>
        <v>375.29999999999995</v>
      </c>
      <c r="BH24" s="739">
        <f>BI24-SUM(BE24:BG24)</f>
        <v>183.29999999999995</v>
      </c>
      <c r="BI24" s="429">
        <f>SUM(BI25:BI29)</f>
        <v>747.5</v>
      </c>
      <c r="BJ24" s="392">
        <f>SUM(BJ25:BJ29)</f>
        <v>-58.099999999999994</v>
      </c>
      <c r="BK24" s="392">
        <f>SUM(BK25:BK29)</f>
        <v>-248.09999999999997</v>
      </c>
      <c r="BL24" s="392">
        <f>SUM(BL25:BL29)</f>
        <v>-79.500000000000057</v>
      </c>
      <c r="BM24" s="739">
        <f>BN24-SUM(BJ24:BL24)</f>
        <v>240.40000000000009</v>
      </c>
      <c r="BN24" s="429">
        <f>SUM(BN25:BN29)</f>
        <v>-145.2999999999999</v>
      </c>
      <c r="BO24" s="392">
        <f>SUM(BO25:BO29)</f>
        <v>277</v>
      </c>
      <c r="BP24" s="392">
        <f>SUM(BP25:BP29)</f>
        <v>250.79999999999998</v>
      </c>
      <c r="BQ24" s="392">
        <f>SUM(BQ25:BQ29)</f>
        <v>304.30000000000007</v>
      </c>
      <c r="BR24" s="739">
        <f>BS24-SUM(BO24:BQ24)</f>
        <v>268.80000000000007</v>
      </c>
      <c r="BS24" s="429">
        <f>SUM(BS25:BS29)</f>
        <v>1100.9000000000001</v>
      </c>
      <c r="BT24" s="392">
        <f>SUM(BT25:BT29)</f>
        <v>1058.8</v>
      </c>
      <c r="BU24" s="392">
        <f>SUM(BU25:BU29)</f>
        <v>371</v>
      </c>
      <c r="BV24" s="392">
        <f>SUM(BV25:BV29)</f>
        <v>359.29999999999984</v>
      </c>
      <c r="BW24" s="739">
        <f>BX24-SUM(BT24:BV24)</f>
        <v>-741.59999999999991</v>
      </c>
      <c r="BX24" s="429">
        <f>SUM(BX25:BX29)</f>
        <v>1047.5</v>
      </c>
      <c r="BY24" s="413"/>
      <c r="BZ24" s="413"/>
      <c r="CA24" s="413"/>
      <c r="CB24" s="413"/>
      <c r="CC24" s="410">
        <f>CC97-BX97</f>
        <v>0</v>
      </c>
      <c r="CD24" s="410">
        <f>CD97-CC97</f>
        <v>0</v>
      </c>
      <c r="CE24" s="410">
        <f>CE97-CD97</f>
        <v>0</v>
      </c>
      <c r="CF24" s="410">
        <f>CF97-CE97</f>
        <v>0</v>
      </c>
      <c r="CG24" s="410">
        <f>CG97-CF97</f>
        <v>0</v>
      </c>
      <c r="CH24" s="410">
        <f>CH97-CG97</f>
        <v>0</v>
      </c>
    </row>
    <row r="25" spans="1:86" s="77" customFormat="1" hidden="1" outlineLevel="1">
      <c r="A25"/>
      <c r="B25"/>
      <c r="C25"/>
      <c r="D25"/>
      <c r="E25"/>
      <c r="F25"/>
      <c r="G25" s="230"/>
      <c r="H25" s="406" t="s">
        <v>529</v>
      </c>
      <c r="L25" s="391">
        <v>-221.8</v>
      </c>
      <c r="M25" s="391">
        <v>45.9</v>
      </c>
      <c r="N25" s="391">
        <v>-29.1</v>
      </c>
      <c r="O25" s="391">
        <v>-142.5</v>
      </c>
      <c r="P25" s="411">
        <v>-347.5</v>
      </c>
      <c r="Q25" s="391">
        <v>99.8</v>
      </c>
      <c r="R25" s="391">
        <f>120.7-Q25</f>
        <v>20.900000000000006</v>
      </c>
      <c r="S25" s="391">
        <f>130.5-R25-Q25</f>
        <v>9.7999999999999972</v>
      </c>
      <c r="T25" s="392">
        <f>U25-SUM(Q25:S25)</f>
        <v>216.3</v>
      </c>
      <c r="U25" s="411">
        <v>346.8</v>
      </c>
      <c r="V25" s="391">
        <v>-289.60000000000002</v>
      </c>
      <c r="W25" s="391">
        <f>-426.7-V25</f>
        <v>-137.09999999999997</v>
      </c>
      <c r="X25" s="391">
        <f>-245-W25-V25</f>
        <v>181.7</v>
      </c>
      <c r="Y25" s="394">
        <f>122.9-SUM(V25:X25)</f>
        <v>367.9</v>
      </c>
      <c r="Z25" s="411">
        <v>122.9</v>
      </c>
      <c r="AA25" s="391">
        <v>162.80000000000001</v>
      </c>
      <c r="AB25" s="391">
        <f>-41.5-AA25</f>
        <v>-204.3</v>
      </c>
      <c r="AC25" s="391">
        <f>288.7-AB25-AA25</f>
        <v>330.2</v>
      </c>
      <c r="AD25" s="394">
        <f>AE25-AC25-AB25-AA25</f>
        <v>153.90000000000003</v>
      </c>
      <c r="AE25" s="411">
        <v>442.6</v>
      </c>
      <c r="AF25" s="391">
        <v>129.1</v>
      </c>
      <c r="AG25" s="391">
        <f>340.1-AF25</f>
        <v>211.00000000000003</v>
      </c>
      <c r="AH25" s="391">
        <f>306.3-AG25-AF25</f>
        <v>-33.800000000000011</v>
      </c>
      <c r="AI25" s="739">
        <f>AJ25-AH25-AG25-AF25</f>
        <v>-116.4</v>
      </c>
      <c r="AJ25" s="411">
        <v>189.9</v>
      </c>
      <c r="AK25" s="391">
        <v>230.5</v>
      </c>
      <c r="AL25" s="391">
        <f>317.2-AK25</f>
        <v>86.699999999999989</v>
      </c>
      <c r="AM25" s="391">
        <f>479.8-AL25-AK25</f>
        <v>162.60000000000002</v>
      </c>
      <c r="AN25" s="739">
        <f>AO25-AM25-AL25-AK25</f>
        <v>79.900000000000034</v>
      </c>
      <c r="AO25" s="411">
        <v>559.70000000000005</v>
      </c>
      <c r="AP25" s="391">
        <v>92.5</v>
      </c>
      <c r="AQ25" s="391">
        <f>14.5-AP25</f>
        <v>-78</v>
      </c>
      <c r="AR25" s="391">
        <f>222-AQ25-AP25</f>
        <v>207.5</v>
      </c>
      <c r="AS25" s="739">
        <f>AT25-AR25-AQ25-AP25</f>
        <v>-490.5</v>
      </c>
      <c r="AT25" s="411">
        <v>-268.5</v>
      </c>
      <c r="AU25" s="391">
        <v>132.1</v>
      </c>
      <c r="AV25" s="391">
        <f>150.7-AU25</f>
        <v>18.599999999999994</v>
      </c>
      <c r="AW25" s="391">
        <f>206.2-AV25-AU25</f>
        <v>55.5</v>
      </c>
      <c r="AX25" s="739">
        <f>AY25-AW25-AV25-AU25</f>
        <v>-80.199999999999989</v>
      </c>
      <c r="AY25" s="411">
        <v>126</v>
      </c>
      <c r="AZ25" s="391">
        <v>-51</v>
      </c>
      <c r="BA25" s="391">
        <f>198.9-AZ25</f>
        <v>249.9</v>
      </c>
      <c r="BB25" s="391">
        <f>807.6-BA25-AZ25</f>
        <v>608.70000000000005</v>
      </c>
      <c r="BC25" s="739">
        <f>BD25-BB25-BA25-AZ25</f>
        <v>-521.70000000000005</v>
      </c>
      <c r="BD25" s="411">
        <v>285.89999999999998</v>
      </c>
      <c r="BE25" s="391">
        <v>93.5</v>
      </c>
      <c r="BF25" s="391">
        <f>121.2-BE25</f>
        <v>27.700000000000003</v>
      </c>
      <c r="BG25" s="391">
        <f>185.1-BF25-BE25</f>
        <v>63.899999999999977</v>
      </c>
      <c r="BH25" s="739">
        <f>BI25-BG25-BF25-BE25</f>
        <v>-148.29999999999998</v>
      </c>
      <c r="BI25" s="411">
        <v>36.799999999999997</v>
      </c>
      <c r="BJ25" s="391">
        <v>-107.1</v>
      </c>
      <c r="BK25" s="391">
        <f>-666.5-BJ25</f>
        <v>-559.4</v>
      </c>
      <c r="BL25" s="391">
        <f>-671-BK25-BJ25</f>
        <v>-4.5000000000000284</v>
      </c>
      <c r="BM25" s="739">
        <f>BN25-BL25-BK25-BJ25</f>
        <v>-77.400000000000006</v>
      </c>
      <c r="BN25" s="411">
        <v>-748.4</v>
      </c>
      <c r="BO25" s="391">
        <v>30.6</v>
      </c>
      <c r="BP25" s="391">
        <f>168.6-BO25</f>
        <v>138</v>
      </c>
      <c r="BQ25" s="391">
        <f>350.8-BP25-BO25</f>
        <v>182.20000000000002</v>
      </c>
      <c r="BR25" s="739">
        <f>BS25-BQ25-BP25-BO25</f>
        <v>88.69999999999996</v>
      </c>
      <c r="BS25" s="411">
        <v>439.5</v>
      </c>
      <c r="BT25" s="391">
        <v>128.80000000000001</v>
      </c>
      <c r="BU25" s="391">
        <f>295.1-BT25</f>
        <v>166.3</v>
      </c>
      <c r="BV25" s="391">
        <f>151.7-BU25-BT25</f>
        <v>-143.40000000000003</v>
      </c>
      <c r="BW25" s="739">
        <f>BX25-BV25-BU25-BT25</f>
        <v>-939.59999999999991</v>
      </c>
      <c r="BX25" s="411">
        <v>-787.9</v>
      </c>
      <c r="BY25" s="413"/>
      <c r="BZ25" s="413"/>
      <c r="CA25" s="413"/>
      <c r="CB25" s="413"/>
      <c r="CC25" s="412"/>
      <c r="CD25" s="412"/>
      <c r="CE25" s="412"/>
      <c r="CF25" s="412"/>
      <c r="CG25" s="412"/>
      <c r="CH25" s="412"/>
    </row>
    <row r="26" spans="1:86" hidden="1" outlineLevel="1">
      <c r="G26" s="230"/>
      <c r="H26" s="405" t="s">
        <v>530</v>
      </c>
      <c r="L26" s="391"/>
      <c r="M26" s="391">
        <v>979.7</v>
      </c>
      <c r="N26" s="391">
        <v>0</v>
      </c>
      <c r="O26" s="391">
        <v>149</v>
      </c>
      <c r="P26" s="409">
        <v>1128.7</v>
      </c>
      <c r="Q26" s="391">
        <v>0</v>
      </c>
      <c r="R26" s="391">
        <v>0</v>
      </c>
      <c r="S26" s="391">
        <v>0</v>
      </c>
      <c r="T26" s="392">
        <f>U26-SUM(Q26:S26)</f>
        <v>797.4</v>
      </c>
      <c r="U26" s="409">
        <v>797.4</v>
      </c>
      <c r="V26" s="391">
        <v>84.9</v>
      </c>
      <c r="W26" s="391">
        <f>37.4-V26</f>
        <v>-47.500000000000007</v>
      </c>
      <c r="X26" s="391">
        <f>107.4-W26-V26</f>
        <v>70</v>
      </c>
      <c r="Y26" s="394">
        <f>181.5-SUM(V26:X26)</f>
        <v>74.099999999999994</v>
      </c>
      <c r="Z26" s="411">
        <v>181.5</v>
      </c>
      <c r="AA26" s="391">
        <v>94.9</v>
      </c>
      <c r="AB26" s="391">
        <f>0-AA26</f>
        <v>-94.9</v>
      </c>
      <c r="AC26" s="391">
        <f>1456.3-AB26-AA26</f>
        <v>1456.3</v>
      </c>
      <c r="AD26" s="394">
        <f>AE26-AC26-AB26-AA26</f>
        <v>-1456.3</v>
      </c>
      <c r="AE26" s="411">
        <v>0</v>
      </c>
      <c r="AF26" s="391">
        <v>0</v>
      </c>
      <c r="AG26" s="391">
        <v>0</v>
      </c>
      <c r="AH26" s="391">
        <v>0</v>
      </c>
      <c r="AI26" s="739">
        <f>AJ26-AH26-AG26-AF26</f>
        <v>0</v>
      </c>
      <c r="AJ26" s="411">
        <v>0</v>
      </c>
      <c r="AK26" s="391">
        <v>0</v>
      </c>
      <c r="AL26" s="391">
        <f>0-AK26</f>
        <v>0</v>
      </c>
      <c r="AM26" s="391">
        <f>0-AL26-AK26</f>
        <v>0</v>
      </c>
      <c r="AN26" s="739">
        <f>AO26-AM26-AL26-AK26</f>
        <v>0</v>
      </c>
      <c r="AO26" s="411">
        <v>0</v>
      </c>
      <c r="AP26" s="391">
        <v>0</v>
      </c>
      <c r="AQ26" s="391">
        <v>0</v>
      </c>
      <c r="AR26" s="391">
        <f>151-AQ26-AP26</f>
        <v>151</v>
      </c>
      <c r="AS26" s="739">
        <f>AT26-AR26-AQ26-AP26</f>
        <v>0.5</v>
      </c>
      <c r="AT26" s="411">
        <v>151.5</v>
      </c>
      <c r="AU26" s="391">
        <v>0</v>
      </c>
      <c r="AV26" s="391">
        <v>0</v>
      </c>
      <c r="AW26" s="391">
        <f>16-AV26-AU26</f>
        <v>16</v>
      </c>
      <c r="AX26" s="739">
        <f>AY26-AW26-AV26-AU26</f>
        <v>189</v>
      </c>
      <c r="AY26" s="411">
        <v>205</v>
      </c>
      <c r="AZ26" s="391">
        <v>0</v>
      </c>
      <c r="BA26" s="391">
        <v>0</v>
      </c>
      <c r="BB26" s="391">
        <v>0</v>
      </c>
      <c r="BC26" s="739">
        <f>BD26-BB26-BA26-AZ26</f>
        <v>0</v>
      </c>
      <c r="BD26" s="411">
        <v>0</v>
      </c>
      <c r="BE26" s="391">
        <v>0</v>
      </c>
      <c r="BF26" s="391">
        <v>0</v>
      </c>
      <c r="BG26" s="391">
        <v>0</v>
      </c>
      <c r="BH26" s="739">
        <f>BI26-BG26-BF26-BE26</f>
        <v>0</v>
      </c>
      <c r="BI26" s="411">
        <v>0</v>
      </c>
      <c r="BJ26" s="391">
        <v>0</v>
      </c>
      <c r="BK26" s="391">
        <v>0</v>
      </c>
      <c r="BL26" s="391">
        <v>0</v>
      </c>
      <c r="BM26" s="739">
        <f>BN26-BL26-BK26-BJ26</f>
        <v>0</v>
      </c>
      <c r="BN26" s="411">
        <v>0</v>
      </c>
      <c r="BO26" s="391">
        <v>0</v>
      </c>
      <c r="BP26" s="391">
        <v>0</v>
      </c>
      <c r="BQ26" s="391">
        <v>0</v>
      </c>
      <c r="BR26" s="739">
        <f>BS26-BQ26-BP26-BO26</f>
        <v>0</v>
      </c>
      <c r="BS26" s="411">
        <v>0</v>
      </c>
      <c r="BT26" s="391">
        <v>0</v>
      </c>
      <c r="BU26" s="391">
        <v>0</v>
      </c>
      <c r="BV26" s="391">
        <v>0</v>
      </c>
      <c r="BW26" s="739">
        <f>BX26-BV26-BU26-BT26</f>
        <v>0</v>
      </c>
      <c r="BX26" s="411">
        <v>0</v>
      </c>
      <c r="BY26" s="415"/>
      <c r="BZ26" s="415"/>
      <c r="CA26" s="415"/>
      <c r="CB26" s="415"/>
      <c r="CC26" s="416"/>
      <c r="CD26" s="416"/>
      <c r="CE26" s="416"/>
      <c r="CF26" s="416"/>
      <c r="CG26" s="416"/>
      <c r="CH26" s="416"/>
    </row>
    <row r="27" spans="1:86" hidden="1" outlineLevel="1">
      <c r="G27" s="230"/>
      <c r="H27" s="405" t="s">
        <v>557</v>
      </c>
      <c r="L27" s="391"/>
      <c r="M27" s="391"/>
      <c r="N27" s="391"/>
      <c r="O27" s="391"/>
      <c r="P27" s="409">
        <v>403.5</v>
      </c>
      <c r="Q27" s="391">
        <v>100.2</v>
      </c>
      <c r="R27" s="391">
        <f>191.3-Q27</f>
        <v>91.100000000000009</v>
      </c>
      <c r="S27" s="391">
        <f>274.3-R27-Q27</f>
        <v>82.999999999999986</v>
      </c>
      <c r="T27" s="383"/>
      <c r="U27" s="409">
        <v>359.3</v>
      </c>
      <c r="V27" s="391">
        <v>72.7</v>
      </c>
      <c r="W27" s="391">
        <f>135.2-V27</f>
        <v>62.499999999999986</v>
      </c>
      <c r="X27" s="391">
        <f>214.5-W27-V27</f>
        <v>79.3</v>
      </c>
      <c r="Y27" s="394">
        <f>282-SUM(V27:X27)</f>
        <v>67.5</v>
      </c>
      <c r="Z27" s="411">
        <v>282</v>
      </c>
      <c r="AA27" s="391">
        <v>58.5</v>
      </c>
      <c r="AB27" s="391">
        <f>114.8-AA27</f>
        <v>56.3</v>
      </c>
      <c r="AC27" s="391">
        <f>192.7-AB27-AA27</f>
        <v>77.899999999999977</v>
      </c>
      <c r="AD27" s="394">
        <f>AE27-AC27-AB27-AA27</f>
        <v>62.600000000000037</v>
      </c>
      <c r="AE27" s="411">
        <v>255.3</v>
      </c>
      <c r="AF27" s="391">
        <v>66.099999999999994</v>
      </c>
      <c r="AG27" s="391">
        <f>160.4-AF27</f>
        <v>94.300000000000011</v>
      </c>
      <c r="AH27" s="391">
        <f>264.4-AG27-AF27</f>
        <v>103.99999999999997</v>
      </c>
      <c r="AI27" s="739">
        <f>AJ27-AH27-AG27-AF27</f>
        <v>104.1</v>
      </c>
      <c r="AJ27" s="411">
        <v>368.5</v>
      </c>
      <c r="AK27" s="391">
        <v>73.7</v>
      </c>
      <c r="AL27" s="391">
        <f>128.2-AK27</f>
        <v>54.499999999999986</v>
      </c>
      <c r="AM27" s="391">
        <f>175.2-AL27-AK27</f>
        <v>47</v>
      </c>
      <c r="AN27" s="739">
        <f>AO27-AM27-AL27-AK27</f>
        <v>55.8</v>
      </c>
      <c r="AO27" s="411">
        <v>231</v>
      </c>
      <c r="AP27" s="391">
        <v>37.9</v>
      </c>
      <c r="AQ27" s="391">
        <f>74.2-AP27</f>
        <v>36.300000000000004</v>
      </c>
      <c r="AR27" s="391">
        <f>110.7-AQ27-AP27</f>
        <v>36.500000000000007</v>
      </c>
      <c r="AS27" s="739">
        <f>AT27-AR27-AQ27-AP27</f>
        <v>36.699999999999996</v>
      </c>
      <c r="AT27" s="411">
        <v>147.4</v>
      </c>
      <c r="AU27" s="391">
        <v>28.2</v>
      </c>
      <c r="AV27" s="391">
        <f>65.8-AU27</f>
        <v>37.599999999999994</v>
      </c>
      <c r="AW27" s="391">
        <f>100.3-AV27-AU27</f>
        <v>34.5</v>
      </c>
      <c r="AX27" s="739">
        <f>AY27-AW27-AV27-AU27</f>
        <v>41.2</v>
      </c>
      <c r="AY27" s="411">
        <v>141.5</v>
      </c>
      <c r="AZ27" s="391">
        <v>35.200000000000003</v>
      </c>
      <c r="BA27" s="391">
        <f>68.8-AZ27</f>
        <v>33.599999999999994</v>
      </c>
      <c r="BB27" s="391">
        <f>105.1-BA27-AZ27</f>
        <v>36.299999999999997</v>
      </c>
      <c r="BC27" s="739">
        <f>BD27-BB27-BA27-AZ27</f>
        <v>39.800000000000011</v>
      </c>
      <c r="BD27" s="411">
        <v>144.9</v>
      </c>
      <c r="BE27" s="391">
        <v>38.299999999999997</v>
      </c>
      <c r="BF27" s="391">
        <f>76.9-BE27</f>
        <v>38.600000000000009</v>
      </c>
      <c r="BG27" s="391">
        <f>115.4-BF27-BE27</f>
        <v>38.5</v>
      </c>
      <c r="BH27" s="739">
        <f>BI27-BG27-BF27-BE27</f>
        <v>40.599999999999994</v>
      </c>
      <c r="BI27" s="411">
        <v>156</v>
      </c>
      <c r="BJ27" s="391">
        <v>48.9</v>
      </c>
      <c r="BK27" s="391">
        <f>104.7-BJ27</f>
        <v>55.800000000000004</v>
      </c>
      <c r="BL27" s="391">
        <f>159.4-BK27-BJ27</f>
        <v>54.699999999999996</v>
      </c>
      <c r="BM27" s="739">
        <f>BN27-BL27-BK27-BJ27</f>
        <v>58.400000000000013</v>
      </c>
      <c r="BN27" s="411">
        <v>217.8</v>
      </c>
      <c r="BO27" s="391">
        <v>62</v>
      </c>
      <c r="BP27" s="391">
        <f>127-BO27</f>
        <v>65</v>
      </c>
      <c r="BQ27" s="391">
        <f>188.5-BP27-BO27</f>
        <v>61.5</v>
      </c>
      <c r="BR27" s="739">
        <f>BS27-BQ27-BP27-BO27</f>
        <v>66.800000000000011</v>
      </c>
      <c r="BS27" s="411">
        <v>255.3</v>
      </c>
      <c r="BT27" s="391">
        <v>69.3</v>
      </c>
      <c r="BU27" s="391">
        <f>139.2-BT27</f>
        <v>69.899999999999991</v>
      </c>
      <c r="BV27" s="391">
        <f>209.1-BU27-BT27</f>
        <v>69.899999999999991</v>
      </c>
      <c r="BW27" s="739">
        <f>BX27-BV27-BU27-BT27</f>
        <v>72.20000000000006</v>
      </c>
      <c r="BX27" s="411">
        <v>281.3</v>
      </c>
      <c r="BY27" s="415"/>
      <c r="BZ27" s="415"/>
      <c r="CA27" s="415"/>
      <c r="CB27" s="415"/>
      <c r="CC27" s="416"/>
      <c r="CD27" s="416"/>
      <c r="CE27" s="416"/>
      <c r="CF27" s="416"/>
      <c r="CG27" s="416"/>
      <c r="CH27" s="416"/>
    </row>
    <row r="28" spans="1:86" hidden="1" outlineLevel="1">
      <c r="G28" s="230"/>
      <c r="H28" s="405" t="s">
        <v>203</v>
      </c>
      <c r="L28" s="391"/>
      <c r="M28" s="391"/>
      <c r="N28" s="391">
        <v>0</v>
      </c>
      <c r="O28" s="383">
        <v>0</v>
      </c>
      <c r="P28" s="417"/>
      <c r="Q28" s="391"/>
      <c r="R28" s="391"/>
      <c r="S28" s="391"/>
      <c r="T28" s="392">
        <f>U28-SUM(Q28:S28)</f>
        <v>0</v>
      </c>
      <c r="U28" s="417">
        <v>0</v>
      </c>
      <c r="V28" s="391">
        <v>319.60000000000002</v>
      </c>
      <c r="W28" s="391">
        <f>634.7-V28</f>
        <v>315.10000000000002</v>
      </c>
      <c r="X28" s="391">
        <f>634.7-W28-V28</f>
        <v>0</v>
      </c>
      <c r="Y28" s="394">
        <f>692.6-SUM(V28:X28)</f>
        <v>57.899999999999977</v>
      </c>
      <c r="Z28" s="411">
        <v>692.6</v>
      </c>
      <c r="AA28" s="391">
        <v>56.6</v>
      </c>
      <c r="AB28" s="391">
        <f>79.3-AA28</f>
        <v>22.699999999999996</v>
      </c>
      <c r="AC28" s="391">
        <f>107.3-AB28-AA28</f>
        <v>27.999999999999993</v>
      </c>
      <c r="AD28" s="394">
        <f>AE28-AC28-AB28-AA28</f>
        <v>4685.3999999999996</v>
      </c>
      <c r="AE28" s="411">
        <v>4792.7</v>
      </c>
      <c r="AF28" s="391">
        <v>0</v>
      </c>
      <c r="AG28" s="391">
        <v>0</v>
      </c>
      <c r="AH28" s="391">
        <v>0</v>
      </c>
      <c r="AI28" s="739">
        <f>AJ28-AH28-AG28-AF28</f>
        <v>58.5</v>
      </c>
      <c r="AJ28" s="411">
        <v>58.5</v>
      </c>
      <c r="AK28" s="391">
        <v>32.5</v>
      </c>
      <c r="AL28" s="391">
        <f>32.5-AK28</f>
        <v>0</v>
      </c>
      <c r="AM28" s="391">
        <f>32.5-AL28-AK28</f>
        <v>0</v>
      </c>
      <c r="AN28" s="739">
        <f>AO28-AM28-AL28-AK28</f>
        <v>0</v>
      </c>
      <c r="AO28" s="411">
        <v>32.5</v>
      </c>
      <c r="AP28" s="391">
        <v>252.2</v>
      </c>
      <c r="AQ28" s="391">
        <f>252.2-AP28</f>
        <v>0</v>
      </c>
      <c r="AR28" s="391">
        <f>252.2-AQ28-AP28</f>
        <v>0</v>
      </c>
      <c r="AS28" s="739">
        <f>AT28-AR28-AQ28-AP28</f>
        <v>0</v>
      </c>
      <c r="AT28" s="411">
        <v>252.2</v>
      </c>
      <c r="AU28" s="391">
        <v>0</v>
      </c>
      <c r="AV28" s="391">
        <v>0</v>
      </c>
      <c r="AW28" s="391">
        <f>0-AV28-AU28</f>
        <v>0</v>
      </c>
      <c r="AX28" s="739">
        <f>AY28-AW28-AV28-AU28</f>
        <v>0</v>
      </c>
      <c r="AY28" s="411">
        <v>0</v>
      </c>
      <c r="AZ28" s="391">
        <v>0</v>
      </c>
      <c r="BA28" s="391">
        <v>0</v>
      </c>
      <c r="BB28" s="391">
        <v>0</v>
      </c>
      <c r="BC28" s="739">
        <f>BD28-BB28-BA28-AZ28</f>
        <v>37.1</v>
      </c>
      <c r="BD28" s="411">
        <v>37.1</v>
      </c>
      <c r="BE28" s="391">
        <v>0</v>
      </c>
      <c r="BF28" s="391">
        <v>0</v>
      </c>
      <c r="BG28" s="391">
        <f>61.8-BF28-BE28</f>
        <v>61.8</v>
      </c>
      <c r="BH28" s="739">
        <f>BI28-BG28-BF28-BE28</f>
        <v>138.39999999999998</v>
      </c>
      <c r="BI28" s="411">
        <v>200.2</v>
      </c>
      <c r="BJ28" s="391">
        <v>256</v>
      </c>
      <c r="BK28" s="391">
        <f>336-BJ28</f>
        <v>80</v>
      </c>
      <c r="BL28" s="391">
        <f>336-BK28-BJ28</f>
        <v>0</v>
      </c>
      <c r="BM28" s="739">
        <f>BN28-BL28-BK28-BJ28</f>
        <v>199</v>
      </c>
      <c r="BN28" s="411">
        <v>535</v>
      </c>
      <c r="BO28" s="391">
        <v>0</v>
      </c>
      <c r="BP28" s="391">
        <v>0</v>
      </c>
      <c r="BQ28" s="391">
        <v>0</v>
      </c>
      <c r="BR28" s="739">
        <f>BS28-BQ28-BP28-BO28</f>
        <v>30</v>
      </c>
      <c r="BS28" s="411">
        <v>30</v>
      </c>
      <c r="BT28" s="391">
        <v>857.6</v>
      </c>
      <c r="BU28" s="391">
        <v>0</v>
      </c>
      <c r="BV28" s="391">
        <f>1062.6-BU28-BT28</f>
        <v>204.99999999999989</v>
      </c>
      <c r="BW28" s="739">
        <f>BX28-BV28-BU28-BT28</f>
        <v>50</v>
      </c>
      <c r="BX28" s="411">
        <v>1112.5999999999999</v>
      </c>
      <c r="BY28" s="415"/>
      <c r="BZ28" s="415"/>
      <c r="CA28" s="415"/>
      <c r="CB28" s="415"/>
      <c r="CC28" s="416"/>
      <c r="CD28" s="416"/>
      <c r="CE28" s="416"/>
      <c r="CF28" s="416"/>
      <c r="CG28" s="416"/>
      <c r="CH28" s="416"/>
    </row>
    <row r="29" spans="1:86" hidden="1" outlineLevel="1">
      <c r="G29" s="230"/>
      <c r="H29" s="405" t="s">
        <v>204</v>
      </c>
      <c r="L29" s="391">
        <v>131</v>
      </c>
      <c r="M29" s="391">
        <v>111.1</v>
      </c>
      <c r="N29" s="391">
        <v>98.2</v>
      </c>
      <c r="O29" s="392">
        <f>P29-SUM(L29:N29)</f>
        <v>-370.3</v>
      </c>
      <c r="P29" s="409">
        <v>-30</v>
      </c>
      <c r="Q29" s="391">
        <v>-38.1</v>
      </c>
      <c r="R29" s="391">
        <f>-83.3-Q29</f>
        <v>-45.199999999999996</v>
      </c>
      <c r="S29" s="391">
        <f>-126.6-R29-Q29</f>
        <v>-43.300000000000004</v>
      </c>
      <c r="T29" s="392">
        <f>U29-SUM(Q29:S29)</f>
        <v>-70.200000000000017</v>
      </c>
      <c r="U29" s="409">
        <v>-196.8</v>
      </c>
      <c r="V29" s="391">
        <v>-14</v>
      </c>
      <c r="W29" s="391">
        <f>-28.7-V29</f>
        <v>-14.7</v>
      </c>
      <c r="X29" s="391">
        <f>-30-W29-V29</f>
        <v>-1.3000000000000007</v>
      </c>
      <c r="Y29" s="394">
        <f>-8.4-SUM(V29:X29)</f>
        <v>21.6</v>
      </c>
      <c r="Z29" s="411">
        <v>-8.4</v>
      </c>
      <c r="AA29" s="391">
        <v>21.6</v>
      </c>
      <c r="AB29" s="391">
        <f>100.1-AA29</f>
        <v>78.5</v>
      </c>
      <c r="AC29" s="391">
        <f>326.3-AB29-AA29</f>
        <v>226.20000000000002</v>
      </c>
      <c r="AD29" s="394">
        <f>AE29-AC29-AB29-AA29</f>
        <v>80.199999999999989</v>
      </c>
      <c r="AE29" s="411">
        <v>406.5</v>
      </c>
      <c r="AF29" s="391">
        <f>8.4-1063.1</f>
        <v>-1054.6999999999998</v>
      </c>
      <c r="AG29" s="391">
        <f>14.5-1392.8-AF29</f>
        <v>-323.60000000000014</v>
      </c>
      <c r="AH29" s="391">
        <f>364.1-1185.3-AG29-AF29</f>
        <v>557.1</v>
      </c>
      <c r="AI29" s="739">
        <f>AJ29-AH29-AG29-AF29</f>
        <v>-129.89999999999986</v>
      </c>
      <c r="AJ29" s="411">
        <f>362.5-1313.6</f>
        <v>-951.09999999999991</v>
      </c>
      <c r="AK29" s="391">
        <f>-56.5-54.6</f>
        <v>-111.1</v>
      </c>
      <c r="AL29" s="391">
        <f>-66.3-AK29-80.5</f>
        <v>-35.700000000000003</v>
      </c>
      <c r="AM29" s="391">
        <f>-35.8-AL29-AK29-92.3</f>
        <v>18.700000000000003</v>
      </c>
      <c r="AN29" s="739">
        <f>AO29-AM29-AL29-AK29</f>
        <v>-50.500000000000028</v>
      </c>
      <c r="AO29" s="411">
        <f>-66.3-112.3</f>
        <v>-178.6</v>
      </c>
      <c r="AP29" s="391">
        <v>-7.7</v>
      </c>
      <c r="AQ29" s="391">
        <f>15.2-AP29</f>
        <v>22.9</v>
      </c>
      <c r="AR29" s="391">
        <f>-67-AQ29-AP29</f>
        <v>-82.2</v>
      </c>
      <c r="AS29" s="739">
        <f>AT29-AR29-AQ29-AP29</f>
        <v>49.20000000000001</v>
      </c>
      <c r="AT29" s="411">
        <v>-17.8</v>
      </c>
      <c r="AU29" s="391">
        <v>-6.1</v>
      </c>
      <c r="AV29" s="391">
        <f>19.2-AU29</f>
        <v>25.299999999999997</v>
      </c>
      <c r="AW29" s="391">
        <f>-787.8+60.7-AV29-AU29</f>
        <v>-746.29999999999984</v>
      </c>
      <c r="AX29" s="739">
        <f>AY29-AW29-AV29-AU29</f>
        <v>59.799999999999891</v>
      </c>
      <c r="AY29" s="411">
        <f>-787.8+120.5</f>
        <v>-667.3</v>
      </c>
      <c r="AZ29" s="391">
        <f>9.2-495.4</f>
        <v>-486.2</v>
      </c>
      <c r="BA29" s="391">
        <f>-495.4+16.2-AZ29</f>
        <v>7</v>
      </c>
      <c r="BB29" s="391">
        <f>-495.4+37.5-BA29-AZ29</f>
        <v>21.300000000000011</v>
      </c>
      <c r="BC29" s="739">
        <f>BD29-BB29-BA29-AZ29</f>
        <v>-12.399999999999977</v>
      </c>
      <c r="BD29" s="411">
        <f>-495.4+25.1</f>
        <v>-470.29999999999995</v>
      </c>
      <c r="BE29" s="391">
        <v>5.0999999999999996</v>
      </c>
      <c r="BF29" s="391">
        <f>-82-BE29+72.8</f>
        <v>-14.299999999999997</v>
      </c>
      <c r="BG29" s="391">
        <f>-153.4-BF29-BE29+102.8+252.5</f>
        <v>211.09999999999997</v>
      </c>
      <c r="BH29" s="739">
        <f>BI29-BG29-BF29-BE29</f>
        <v>152.60000000000005</v>
      </c>
      <c r="BI29" s="411">
        <f>340.7+13.8</f>
        <v>354.5</v>
      </c>
      <c r="BJ29" s="391">
        <f>-49.6-206.3</f>
        <v>-255.9</v>
      </c>
      <c r="BK29" s="391">
        <f>166.7-186.1-61-BJ29</f>
        <v>175.5</v>
      </c>
      <c r="BL29" s="391">
        <f>166.7-186.1-190.7-BK29-BJ29</f>
        <v>-129.70000000000002</v>
      </c>
      <c r="BM29" s="739">
        <f>BN29-BL29-BK29-BJ29</f>
        <v>60.400000000000034</v>
      </c>
      <c r="BN29" s="411">
        <f>-186.1+36.4</f>
        <v>-149.69999999999999</v>
      </c>
      <c r="BO29" s="391">
        <v>184.4</v>
      </c>
      <c r="BP29" s="391">
        <f>235.6-3.4-BO29</f>
        <v>47.799999999999983</v>
      </c>
      <c r="BQ29" s="391">
        <f>-3.4+296.2-BP29-BO29</f>
        <v>60.600000000000023</v>
      </c>
      <c r="BR29" s="739">
        <f>BS29-BQ29-BP29-BO29</f>
        <v>83.30000000000004</v>
      </c>
      <c r="BS29" s="411">
        <f>-3.4+379.5</f>
        <v>376.1</v>
      </c>
      <c r="BT29" s="391">
        <v>3.1</v>
      </c>
      <c r="BU29" s="391">
        <f>137.9-BT29</f>
        <v>134.80000000000001</v>
      </c>
      <c r="BV29" s="391">
        <f>365.7-BU29-BT29</f>
        <v>227.79999999999998</v>
      </c>
      <c r="BW29" s="739">
        <f>BX29-BV29-BU29-BT29</f>
        <v>75.800000000000011</v>
      </c>
      <c r="BX29" s="411">
        <v>441.5</v>
      </c>
      <c r="BY29" s="415"/>
      <c r="BZ29" s="415"/>
      <c r="CA29" s="415"/>
      <c r="CB29" s="415"/>
      <c r="CC29" s="416"/>
      <c r="CD29" s="416"/>
      <c r="CE29" s="416"/>
      <c r="CF29" s="416"/>
      <c r="CG29" s="416"/>
      <c r="CH29" s="416"/>
    </row>
    <row r="30" spans="1:86" s="250" customFormat="1" collapsed="1">
      <c r="A30"/>
      <c r="B30"/>
      <c r="C30"/>
      <c r="D30"/>
      <c r="E30"/>
      <c r="F30"/>
      <c r="G30" s="418"/>
      <c r="H30" s="419" t="s">
        <v>319</v>
      </c>
      <c r="I30" s="419"/>
      <c r="J30" s="419"/>
      <c r="K30" s="419"/>
      <c r="L30" s="420">
        <v>804.8</v>
      </c>
      <c r="M30" s="420">
        <v>674.1</v>
      </c>
      <c r="N30" s="420">
        <v>-379.6</v>
      </c>
      <c r="O30" s="421">
        <v>814.3</v>
      </c>
      <c r="P30" s="422">
        <v>1913.6</v>
      </c>
      <c r="Q30" s="420">
        <f>Q15+Q16+Q24+Q19</f>
        <v>254.50000000000011</v>
      </c>
      <c r="R30" s="420">
        <f>R15+R16+R24+R19</f>
        <v>687.69999999999993</v>
      </c>
      <c r="S30" s="420">
        <f>S15+S16+S24+S19</f>
        <v>1176.0000000000002</v>
      </c>
      <c r="T30" s="421">
        <f>U30-SUM(Q30:S30)</f>
        <v>1857.6999999999994</v>
      </c>
      <c r="U30" s="422">
        <f>U15+U16+U24+U19</f>
        <v>3975.8999999999996</v>
      </c>
      <c r="V30" s="420">
        <f>V15+V16+V24+V19</f>
        <v>891.8</v>
      </c>
      <c r="W30" s="420">
        <f>W15+W16+W24+W19</f>
        <v>588.50000000000011</v>
      </c>
      <c r="X30" s="420">
        <f>X15+X16+X24+X19</f>
        <v>1444.5</v>
      </c>
      <c r="Y30" s="421">
        <f>Z30-SUM(V30:X30)</f>
        <v>2229.6999999999998</v>
      </c>
      <c r="Z30" s="422">
        <f>Z15+Z16+Z24+Z19</f>
        <v>5154.5</v>
      </c>
      <c r="AA30" s="420">
        <f>AA15+AA16+AA24+AA19</f>
        <v>1702.6000000000001</v>
      </c>
      <c r="AB30" s="420">
        <f>AB15+AB16+AB24+AB19</f>
        <v>1080.8999999999999</v>
      </c>
      <c r="AC30" s="420">
        <f>AC15+AC16+AC24+AC19</f>
        <v>2131.6</v>
      </c>
      <c r="AD30" s="421">
        <f>AE30-SUM(AA30:AC30)</f>
        <v>2380.5</v>
      </c>
      <c r="AE30" s="422">
        <f>AE15+AE16+AE24+AE19</f>
        <v>7295.6</v>
      </c>
      <c r="AF30" s="420">
        <f>AF15+AF16+AF24+AF19</f>
        <v>87.900000000000091</v>
      </c>
      <c r="AG30" s="420">
        <f>AG15+AG16+AG24+AG19</f>
        <v>923.29999999999973</v>
      </c>
      <c r="AH30" s="420">
        <f>AH15+AH16+AH24+AH19</f>
        <v>1305.7000000000003</v>
      </c>
      <c r="AI30" s="421">
        <f>AJ30-SUM(AF30:AH30)</f>
        <v>2018.6000000000008</v>
      </c>
      <c r="AJ30" s="423">
        <f>AJ15+AJ16+AJ24+AJ19</f>
        <v>4335.5000000000009</v>
      </c>
      <c r="AK30" s="420">
        <f>AK15+AK16+AK24+AK19</f>
        <v>957.99999999999989</v>
      </c>
      <c r="AL30" s="420">
        <f>AL15+AL16+AL24+AL19</f>
        <v>1911.6</v>
      </c>
      <c r="AM30" s="420">
        <f>AM15+AM16+AM24+AM19</f>
        <v>1759.1000000000001</v>
      </c>
      <c r="AN30" s="421">
        <f>AO30-SUM(AK30:AM30)</f>
        <v>2228.1000000000004</v>
      </c>
      <c r="AO30" s="423">
        <f>AO15+AO16+AO24+AO19</f>
        <v>6856.8</v>
      </c>
      <c r="AP30" s="420">
        <f>AP15+AP16+AP24+AP19</f>
        <v>1176.1000000000004</v>
      </c>
      <c r="AQ30" s="420">
        <f>AQ15+AQ16+AQ24+AQ19</f>
        <v>2040.2999999999997</v>
      </c>
      <c r="AR30" s="420">
        <f>AR15+AR16+AR24+AR19</f>
        <v>2073.4</v>
      </c>
      <c r="AS30" s="421">
        <f>AT30-SUM(AP30:AR30)</f>
        <v>1944.6999999999998</v>
      </c>
      <c r="AT30" s="423">
        <f>AT15+AT16+AT24+AT19</f>
        <v>7234.5</v>
      </c>
      <c r="AU30" s="420">
        <f>AU15+AU16+AU24+AU19</f>
        <v>852.5</v>
      </c>
      <c r="AV30" s="420">
        <f>AV15+AV16+AV24+AV19</f>
        <v>1306</v>
      </c>
      <c r="AW30" s="420">
        <f>AW15+AW16+AW24+AW19</f>
        <v>1544.3000000000004</v>
      </c>
      <c r="AX30" s="421">
        <f>AY30-SUM(AU30:AW30)</f>
        <v>1602</v>
      </c>
      <c r="AY30" s="423">
        <f>AY15+AY16+AY24+AY19</f>
        <v>5304.8</v>
      </c>
      <c r="AZ30" s="420">
        <f>AZ15+AZ16+AZ24+AZ19</f>
        <v>379.40000000000009</v>
      </c>
      <c r="BA30" s="420">
        <f>BA15+BA16+BA24+BA19</f>
        <v>1637.1999999999998</v>
      </c>
      <c r="BB30" s="420">
        <f>BB15+BB16+BB24+BB19</f>
        <v>1991.6000000000006</v>
      </c>
      <c r="BC30" s="421">
        <f>BD30-SUM(AZ30:BB30)</f>
        <v>1726.7999999999993</v>
      </c>
      <c r="BD30" s="423">
        <f>BD15+BD16+BD24+BD19</f>
        <v>5735</v>
      </c>
      <c r="BE30" s="420">
        <f>BE15+BE16+BE24+BE19</f>
        <v>272.30000000000018</v>
      </c>
      <c r="BF30" s="420">
        <f>BF15+BF16+BF24+BF19</f>
        <v>1053.9000000000001</v>
      </c>
      <c r="BG30" s="420">
        <f>BG15+BG16+BG24+BG19</f>
        <v>1691.2999999999997</v>
      </c>
      <c r="BH30" s="421">
        <f>BI30-SUM(BE30:BG30)</f>
        <v>1349.6000000000004</v>
      </c>
      <c r="BI30" s="423">
        <f>BI15+BI16+BI24+BI19</f>
        <v>4367.1000000000004</v>
      </c>
      <c r="BJ30" s="420">
        <f>BJ15+BJ16+BJ24+BJ19</f>
        <v>-84.800000000000068</v>
      </c>
      <c r="BK30" s="420">
        <f>BK15+BK16+BK24+BK19</f>
        <v>948.60000000000014</v>
      </c>
      <c r="BL30" s="420">
        <f>BL15+BL16+BL24+BL19</f>
        <v>1104.6999999999998</v>
      </c>
      <c r="BM30" s="421">
        <f>BN30-SUM(BJ30:BL30)</f>
        <v>804.30000000000064</v>
      </c>
      <c r="BN30" s="423">
        <f>BN15+BN16+BN24+BN19</f>
        <v>2772.8000000000006</v>
      </c>
      <c r="BO30" s="420">
        <f>BO15+BO16+BO24+BO19</f>
        <v>-326.90000000000009</v>
      </c>
      <c r="BP30" s="420">
        <f>BP15+BP16+BP24+BP19</f>
        <v>1401.8</v>
      </c>
      <c r="BQ30" s="420">
        <f>BQ15+BQ16+BQ24+BQ19</f>
        <v>1659.2</v>
      </c>
      <c r="BR30" s="421">
        <f>BS30-SUM(BO30:BQ30)</f>
        <v>2116.9</v>
      </c>
      <c r="BS30" s="423">
        <f>BS15+BS16+BS24+BS19</f>
        <v>4851</v>
      </c>
      <c r="BT30" s="420">
        <f>BT15+BT16+BT24+BT19</f>
        <v>339.89999999999986</v>
      </c>
      <c r="BU30" s="420">
        <f>BU15+BU16+BU24+BU19</f>
        <v>1651.1</v>
      </c>
      <c r="BV30" s="420">
        <f>BV15+BV16+BV24+BV19</f>
        <v>1881.0999999999997</v>
      </c>
      <c r="BW30" s="421">
        <f>BX30-SUM(BT30:BV30)</f>
        <v>1743.5</v>
      </c>
      <c r="BX30" s="423">
        <f>BX15+BX16+BX24+BX19</f>
        <v>5615.5999999999995</v>
      </c>
      <c r="BY30" s="421"/>
      <c r="BZ30" s="421"/>
      <c r="CA30" s="421"/>
      <c r="CB30" s="421"/>
      <c r="CC30" s="423">
        <f t="shared" ref="CC30:CH30" si="12">CC15+CC16+CC24+CC19</f>
        <v>7801.2555478416652</v>
      </c>
      <c r="CD30" s="423">
        <f t="shared" si="12"/>
        <v>4168.9931247743079</v>
      </c>
      <c r="CE30" s="423">
        <f t="shared" si="12"/>
        <v>8682.0398668984199</v>
      </c>
      <c r="CF30" s="423">
        <f t="shared" si="12"/>
        <v>5125.0504435874864</v>
      </c>
      <c r="CG30" s="423">
        <f t="shared" si="12"/>
        <v>9698.5202290438901</v>
      </c>
      <c r="CH30" s="423">
        <f t="shared" si="12"/>
        <v>5979.5490505764556</v>
      </c>
    </row>
    <row r="31" spans="1:86">
      <c r="G31" s="230"/>
      <c r="L31" s="384"/>
      <c r="M31" s="384"/>
      <c r="N31" s="384"/>
      <c r="O31" s="384"/>
      <c r="Q31" s="384"/>
      <c r="R31" s="384"/>
      <c r="S31" s="384"/>
      <c r="T31" s="384"/>
      <c r="V31" s="384"/>
      <c r="W31" s="384"/>
      <c r="X31" s="384"/>
      <c r="Y31" s="384"/>
      <c r="Z31" s="77"/>
      <c r="AA31" s="384"/>
      <c r="AB31" s="384"/>
      <c r="AC31" s="384"/>
      <c r="AD31" s="384"/>
      <c r="AE31" s="77"/>
      <c r="AF31" s="384"/>
      <c r="AG31" s="384"/>
      <c r="AH31" s="384"/>
      <c r="AI31" s="384"/>
      <c r="AJ31" s="77"/>
      <c r="AK31" s="384"/>
      <c r="AL31" s="408"/>
      <c r="AM31" s="408"/>
      <c r="AN31" s="384"/>
      <c r="AP31" s="384"/>
      <c r="AQ31" s="384"/>
      <c r="AR31" s="384"/>
      <c r="AS31" s="384"/>
      <c r="AU31" s="384"/>
      <c r="AV31" s="384"/>
      <c r="AW31" s="317"/>
      <c r="AX31" s="384"/>
      <c r="AZ31" s="384"/>
      <c r="BA31" s="384"/>
      <c r="BB31" s="317"/>
      <c r="BC31" s="384"/>
      <c r="BE31" s="384"/>
      <c r="BF31" s="384"/>
      <c r="BG31" s="384"/>
      <c r="BH31" s="384"/>
      <c r="BJ31" s="384"/>
      <c r="BK31" s="408"/>
      <c r="BL31" s="408"/>
      <c r="BM31" s="384"/>
      <c r="BO31" s="384"/>
      <c r="BP31" s="384"/>
      <c r="BQ31" s="384"/>
      <c r="BR31" s="408"/>
      <c r="BT31" s="384"/>
      <c r="BU31" s="384"/>
      <c r="BV31" s="384"/>
      <c r="BW31" s="408"/>
      <c r="BY31" s="408"/>
      <c r="BZ31" s="408"/>
      <c r="CA31" s="408"/>
      <c r="CB31" s="408"/>
    </row>
    <row r="32" spans="1:86">
      <c r="G32" s="230"/>
      <c r="H32" s="47" t="s">
        <v>460</v>
      </c>
      <c r="L32" s="391">
        <v>-242.2</v>
      </c>
      <c r="M32" s="391">
        <v>-377.7</v>
      </c>
      <c r="N32" s="391">
        <v>-258.60000000000002</v>
      </c>
      <c r="O32" s="391">
        <v>-408.5</v>
      </c>
      <c r="P32" s="393">
        <v>-1287</v>
      </c>
      <c r="Q32" s="392">
        <f>SUM(Q33:Q34)</f>
        <v>-160.69999999999999</v>
      </c>
      <c r="R32" s="392">
        <f>SUM(R33:R34)</f>
        <v>-231.40000000000003</v>
      </c>
      <c r="S32" s="392">
        <f>SUM(S33:S34)</f>
        <v>-275.69999999999993</v>
      </c>
      <c r="T32" s="392">
        <f>U32-SUM(Q32:S32)</f>
        <v>-344.79999999999995</v>
      </c>
      <c r="U32" s="424">
        <f t="shared" ref="U32:AF32" si="13">SUM(U33:U34)</f>
        <v>-1012.5999999999999</v>
      </c>
      <c r="V32" s="392">
        <f t="shared" si="13"/>
        <v>-239.4</v>
      </c>
      <c r="W32" s="392">
        <f t="shared" si="13"/>
        <v>-246.20000000000002</v>
      </c>
      <c r="X32" s="392">
        <f t="shared" si="13"/>
        <v>-230.1</v>
      </c>
      <c r="Y32" s="392">
        <f t="shared" si="13"/>
        <v>-334.40000000000003</v>
      </c>
      <c r="Z32" s="424">
        <f t="shared" si="13"/>
        <v>-1050.1000000000001</v>
      </c>
      <c r="AA32" s="392">
        <f t="shared" si="13"/>
        <v>-184.2</v>
      </c>
      <c r="AB32" s="392">
        <f t="shared" si="13"/>
        <v>-266.40000000000003</v>
      </c>
      <c r="AC32" s="392">
        <f t="shared" si="13"/>
        <v>-220.89999999999998</v>
      </c>
      <c r="AD32" s="392">
        <f t="shared" si="13"/>
        <v>-250.00000000000006</v>
      </c>
      <c r="AE32" s="424">
        <f t="shared" si="13"/>
        <v>-921.5</v>
      </c>
      <c r="AF32" s="392">
        <f t="shared" si="13"/>
        <v>-157</v>
      </c>
      <c r="AG32" s="392">
        <f t="shared" ref="AG32:AL32" si="14">SUM(AG33:AG34)</f>
        <v>-176.89999999999998</v>
      </c>
      <c r="AH32" s="392">
        <f t="shared" si="14"/>
        <v>-174.3</v>
      </c>
      <c r="AI32" s="739">
        <f t="shared" si="14"/>
        <v>-239.10000000000008</v>
      </c>
      <c r="AJ32" s="424">
        <f t="shared" si="14"/>
        <v>-747.3</v>
      </c>
      <c r="AK32" s="392">
        <f t="shared" si="14"/>
        <v>-125.1</v>
      </c>
      <c r="AL32" s="392">
        <f t="shared" si="14"/>
        <v>-154.20000000000002</v>
      </c>
      <c r="AM32" s="392">
        <f t="shared" ref="AM32:AR32" si="15">SUM(AM33:AM34)</f>
        <v>-164.09999999999994</v>
      </c>
      <c r="AN32" s="739">
        <f t="shared" si="15"/>
        <v>-226.3</v>
      </c>
      <c r="AO32" s="424">
        <f t="shared" si="15"/>
        <v>-669.69999999999993</v>
      </c>
      <c r="AP32" s="392">
        <f t="shared" si="15"/>
        <v>-101.4</v>
      </c>
      <c r="AQ32" s="392">
        <f t="shared" si="15"/>
        <v>-139</v>
      </c>
      <c r="AR32" s="392">
        <f t="shared" si="15"/>
        <v>-175.70000000000002</v>
      </c>
      <c r="AS32" s="739">
        <f t="shared" ref="AS32:AY32" si="16">SUM(AS33:AS34)</f>
        <v>-230.59999999999994</v>
      </c>
      <c r="AT32" s="424">
        <f t="shared" si="16"/>
        <v>-646.70000000000005</v>
      </c>
      <c r="AU32" s="392">
        <f t="shared" si="16"/>
        <v>-130.69999999999999</v>
      </c>
      <c r="AV32" s="392">
        <f t="shared" si="16"/>
        <v>-179.5</v>
      </c>
      <c r="AW32" s="392">
        <f t="shared" si="16"/>
        <v>-182</v>
      </c>
      <c r="AX32" s="739">
        <f t="shared" si="16"/>
        <v>-391.2</v>
      </c>
      <c r="AY32" s="424">
        <f t="shared" si="16"/>
        <v>-883.4</v>
      </c>
      <c r="AZ32" s="392">
        <f t="shared" ref="AZ32:BE32" si="17">SUM(AZ33:AZ34)</f>
        <v>-157.9</v>
      </c>
      <c r="BA32" s="392">
        <f t="shared" si="17"/>
        <v>-136.4</v>
      </c>
      <c r="BB32" s="392">
        <f t="shared" si="17"/>
        <v>-253.80000000000004</v>
      </c>
      <c r="BC32" s="739">
        <f t="shared" si="17"/>
        <v>-284.60000000000002</v>
      </c>
      <c r="BD32" s="424">
        <f t="shared" si="17"/>
        <v>-832.7</v>
      </c>
      <c r="BE32" s="392">
        <f t="shared" si="17"/>
        <v>-202</v>
      </c>
      <c r="BF32" s="392">
        <f t="shared" ref="BF32:BX32" si="18">SUM(BF33:BF34)</f>
        <v>-254.89999999999998</v>
      </c>
      <c r="BG32" s="392">
        <f t="shared" si="18"/>
        <v>-296.89999999999998</v>
      </c>
      <c r="BH32" s="739">
        <f t="shared" si="18"/>
        <v>-393.49999999999994</v>
      </c>
      <c r="BI32" s="424">
        <f t="shared" si="18"/>
        <v>-1147.3</v>
      </c>
      <c r="BJ32" s="392">
        <f t="shared" si="18"/>
        <v>-188.6</v>
      </c>
      <c r="BK32" s="392">
        <f t="shared" si="18"/>
        <v>-223.9</v>
      </c>
      <c r="BL32" s="392">
        <f t="shared" si="18"/>
        <v>-273.5</v>
      </c>
      <c r="BM32" s="739">
        <f t="shared" si="18"/>
        <v>-287.60000000000002</v>
      </c>
      <c r="BN32" s="424">
        <f t="shared" si="18"/>
        <v>-973.6</v>
      </c>
      <c r="BO32" s="392">
        <f t="shared" si="18"/>
        <v>-154.30000000000001</v>
      </c>
      <c r="BP32" s="392">
        <f t="shared" si="18"/>
        <v>-245.39999999999998</v>
      </c>
      <c r="BQ32" s="392">
        <f t="shared" si="18"/>
        <v>-227.50000000000006</v>
      </c>
      <c r="BR32" s="1216">
        <f t="shared" si="18"/>
        <v>-336.4</v>
      </c>
      <c r="BS32" s="1215">
        <f t="shared" si="18"/>
        <v>-963.6</v>
      </c>
      <c r="BT32" s="392">
        <f t="shared" si="18"/>
        <v>-169</v>
      </c>
      <c r="BU32" s="392">
        <f t="shared" si="18"/>
        <v>-221.60000000000002</v>
      </c>
      <c r="BV32" s="392">
        <f t="shared" si="18"/>
        <v>-242.69999999999993</v>
      </c>
      <c r="BW32" s="1216">
        <f t="shared" si="18"/>
        <v>-402.8</v>
      </c>
      <c r="BX32" s="1215">
        <f t="shared" si="18"/>
        <v>-1036.0999999999999</v>
      </c>
      <c r="BY32" s="432"/>
      <c r="BZ32" s="432"/>
      <c r="CA32" s="432"/>
      <c r="CB32" s="432"/>
      <c r="CC32" s="389">
        <v>-1200</v>
      </c>
      <c r="CD32" s="436">
        <v>-1000</v>
      </c>
      <c r="CE32" s="436">
        <v>-1000</v>
      </c>
      <c r="CF32" s="436">
        <v>-1000</v>
      </c>
      <c r="CG32" s="436">
        <v>-1000</v>
      </c>
      <c r="CH32" s="436">
        <v>-1000</v>
      </c>
    </row>
    <row r="33" spans="1:86" hidden="1" outlineLevel="1">
      <c r="G33" s="230"/>
      <c r="H33" s="405" t="s">
        <v>461</v>
      </c>
      <c r="L33" s="391">
        <v>-242.2</v>
      </c>
      <c r="M33" s="391">
        <v>-377.7</v>
      </c>
      <c r="N33" s="391">
        <v>-258.60000000000002</v>
      </c>
      <c r="O33" s="391">
        <v>-419.6</v>
      </c>
      <c r="P33" s="395">
        <v>-1298.0999999999999</v>
      </c>
      <c r="Q33" s="391">
        <v>-160.69999999999999</v>
      </c>
      <c r="R33" s="391">
        <f>-392.1-Q33</f>
        <v>-231.40000000000003</v>
      </c>
      <c r="S33" s="391">
        <f>-667.8-R33-Q33</f>
        <v>-275.69999999999993</v>
      </c>
      <c r="T33" s="392">
        <f>U33-SUM(Q33:S33)</f>
        <v>-410</v>
      </c>
      <c r="U33" s="395">
        <v>-1077.8</v>
      </c>
      <c r="V33" s="391">
        <v>-239.4</v>
      </c>
      <c r="W33" s="391">
        <f>-485.6-V33</f>
        <v>-246.20000000000002</v>
      </c>
      <c r="X33" s="391">
        <f>-715.7-W33-V33</f>
        <v>-230.1</v>
      </c>
      <c r="Y33" s="394">
        <f>-1082.4-SUM(V33:X33)</f>
        <v>-366.70000000000005</v>
      </c>
      <c r="Z33" s="393">
        <v>-1082.4000000000001</v>
      </c>
      <c r="AA33" s="391">
        <v>-184.2</v>
      </c>
      <c r="AB33" s="391">
        <f>-450.6-AA33</f>
        <v>-266.40000000000003</v>
      </c>
      <c r="AC33" s="391">
        <f>-671.5-AB33-AA33</f>
        <v>-220.89999999999998</v>
      </c>
      <c r="AD33" s="394">
        <f>AE33-AC33-AB33-AA33</f>
        <v>-275.70000000000005</v>
      </c>
      <c r="AE33" s="393">
        <v>-947.2</v>
      </c>
      <c r="AF33" s="391">
        <v>-157</v>
      </c>
      <c r="AG33" s="391">
        <f>-333.9-AF33</f>
        <v>-176.89999999999998</v>
      </c>
      <c r="AH33" s="391">
        <f>-508.2-AG33-AF33</f>
        <v>-174.3</v>
      </c>
      <c r="AI33" s="739">
        <f>AJ33-AH33-AG33-AF33</f>
        <v>-256.80000000000007</v>
      </c>
      <c r="AJ33" s="393">
        <v>-765</v>
      </c>
      <c r="AK33" s="391">
        <v>-125.1</v>
      </c>
      <c r="AL33" s="391">
        <f>-279.3-AK33</f>
        <v>-154.20000000000002</v>
      </c>
      <c r="AM33" s="391">
        <f>-443.4-AL33-AK33</f>
        <v>-164.09999999999994</v>
      </c>
      <c r="AN33" s="739">
        <f>AO33-AM33-AL33-AK33</f>
        <v>-250.9</v>
      </c>
      <c r="AO33" s="393">
        <v>-694.3</v>
      </c>
      <c r="AP33" s="391">
        <v>-101.4</v>
      </c>
      <c r="AQ33" s="391">
        <f>-240.4-AP33</f>
        <v>-139</v>
      </c>
      <c r="AR33" s="391">
        <f>-416.1-AQ33-AP33</f>
        <v>-175.70000000000002</v>
      </c>
      <c r="AS33" s="739">
        <f>AT33-AR33-AQ33-AP33</f>
        <v>-255.89999999999995</v>
      </c>
      <c r="AT33" s="393">
        <v>-672</v>
      </c>
      <c r="AU33" s="391">
        <v>-130.69999999999999</v>
      </c>
      <c r="AV33" s="391">
        <f>-310.2-AU33</f>
        <v>-179.5</v>
      </c>
      <c r="AW33" s="391">
        <f>-492.2-AV33-AU33</f>
        <v>-182</v>
      </c>
      <c r="AX33" s="739">
        <f>AY33-AW33-AV33-AU33</f>
        <v>-413.2</v>
      </c>
      <c r="AY33" s="393">
        <v>-905.4</v>
      </c>
      <c r="AZ33" s="391">
        <v>-157.9</v>
      </c>
      <c r="BA33" s="391">
        <f>-294.3-AZ33</f>
        <v>-136.4</v>
      </c>
      <c r="BB33" s="391">
        <f>-548.1-BA33-AZ33</f>
        <v>-253.80000000000004</v>
      </c>
      <c r="BC33" s="739">
        <f>BD33-BB33-BA33-AZ33</f>
        <v>-464</v>
      </c>
      <c r="BD33" s="393">
        <v>-1012.1</v>
      </c>
      <c r="BE33" s="391">
        <v>-202</v>
      </c>
      <c r="BF33" s="391">
        <f>-456.9-BE33</f>
        <v>-254.89999999999998</v>
      </c>
      <c r="BG33" s="391">
        <f>-753.8-BF33-BE33</f>
        <v>-296.89999999999998</v>
      </c>
      <c r="BH33" s="739">
        <f>BI33-BG33-BF33-BE33</f>
        <v>-408.79999999999995</v>
      </c>
      <c r="BI33" s="393">
        <v>-1162.5999999999999</v>
      </c>
      <c r="BJ33" s="391">
        <v>-188.6</v>
      </c>
      <c r="BK33" s="391">
        <f>-412.5-BJ33</f>
        <v>-223.9</v>
      </c>
      <c r="BL33" s="391">
        <f>-686-BK33-BJ33</f>
        <v>-273.5</v>
      </c>
      <c r="BM33" s="739">
        <f>BN33-BL33-BK33-BJ33</f>
        <v>-380.20000000000005</v>
      </c>
      <c r="BN33" s="393">
        <v>-1066.2</v>
      </c>
      <c r="BO33" s="391">
        <f>+-154.3</f>
        <v>-154.30000000000001</v>
      </c>
      <c r="BP33" s="391">
        <f>-399.7-BO33</f>
        <v>-245.39999999999998</v>
      </c>
      <c r="BQ33" s="391">
        <f>-627.2-BP33-BO33</f>
        <v>-227.50000000000006</v>
      </c>
      <c r="BR33" s="1214">
        <f>BS33-BQ33-BP33-BO33</f>
        <v>-409.8</v>
      </c>
      <c r="BS33" s="393">
        <v>-1037</v>
      </c>
      <c r="BT33" s="391">
        <v>-169</v>
      </c>
      <c r="BU33" s="391">
        <f>-390.6-BT33</f>
        <v>-221.60000000000002</v>
      </c>
      <c r="BV33" s="391">
        <f>-633.3-BU33-BT33</f>
        <v>-242.69999999999993</v>
      </c>
      <c r="BW33" s="1214">
        <f>BX33-BV33-BU33-BT33</f>
        <v>-443.5</v>
      </c>
      <c r="BX33" s="393">
        <v>-1076.8</v>
      </c>
      <c r="BY33" s="384"/>
      <c r="BZ33" s="384"/>
      <c r="CA33" s="384"/>
      <c r="CB33" s="384"/>
      <c r="CC33" s="377"/>
      <c r="CD33" s="377"/>
      <c r="CE33" s="377"/>
      <c r="CF33" s="377"/>
      <c r="CG33" s="377"/>
      <c r="CH33" s="377"/>
    </row>
    <row r="34" spans="1:86" hidden="1" outlineLevel="1">
      <c r="G34" s="230"/>
      <c r="H34" s="405" t="s">
        <v>554</v>
      </c>
      <c r="L34" s="391"/>
      <c r="M34" s="391"/>
      <c r="N34" s="391"/>
      <c r="O34" s="391">
        <v>11.1</v>
      </c>
      <c r="P34" s="409">
        <v>11.1</v>
      </c>
      <c r="Q34" s="391">
        <v>0</v>
      </c>
      <c r="R34" s="391">
        <v>0</v>
      </c>
      <c r="S34" s="391">
        <v>0</v>
      </c>
      <c r="T34" s="392">
        <f>U34-SUM(Q34:S34)</f>
        <v>65.2</v>
      </c>
      <c r="U34" s="409">
        <v>65.2</v>
      </c>
      <c r="V34" s="391">
        <v>0</v>
      </c>
      <c r="W34" s="391">
        <v>0</v>
      </c>
      <c r="X34" s="391">
        <v>0</v>
      </c>
      <c r="Y34" s="425">
        <f>32.3-SUM(V34:X34)</f>
        <v>32.299999999999997</v>
      </c>
      <c r="Z34" s="411">
        <v>32.299999999999997</v>
      </c>
      <c r="AA34" s="391">
        <v>0</v>
      </c>
      <c r="AB34" s="391">
        <v>0</v>
      </c>
      <c r="AC34" s="391">
        <v>0</v>
      </c>
      <c r="AD34" s="394">
        <f>AE34-AC34-AB34-AA34</f>
        <v>25.7</v>
      </c>
      <c r="AE34" s="411">
        <v>25.7</v>
      </c>
      <c r="AF34" s="391">
        <v>0</v>
      </c>
      <c r="AG34" s="391">
        <v>0</v>
      </c>
      <c r="AH34" s="391">
        <v>0</v>
      </c>
      <c r="AI34" s="739">
        <f>AJ34-AH34-AG34-AF34</f>
        <v>17.7</v>
      </c>
      <c r="AJ34" s="411">
        <v>17.7</v>
      </c>
      <c r="AK34" s="391">
        <v>0</v>
      </c>
      <c r="AL34" s="391">
        <f>0-AK34</f>
        <v>0</v>
      </c>
      <c r="AM34" s="391">
        <f>0-AL34-AK34</f>
        <v>0</v>
      </c>
      <c r="AN34" s="739">
        <f>AO34-AM34-AL34-AK34</f>
        <v>24.6</v>
      </c>
      <c r="AO34" s="411">
        <v>24.6</v>
      </c>
      <c r="AP34" s="391">
        <v>0</v>
      </c>
      <c r="AQ34" s="391">
        <v>0</v>
      </c>
      <c r="AR34" s="391">
        <v>0</v>
      </c>
      <c r="AS34" s="739">
        <f>AT34-AR34-AQ34-AP34</f>
        <v>25.3</v>
      </c>
      <c r="AT34" s="411">
        <v>25.3</v>
      </c>
      <c r="AU34" s="391">
        <v>0</v>
      </c>
      <c r="AV34" s="391">
        <v>0</v>
      </c>
      <c r="AW34" s="391">
        <v>0</v>
      </c>
      <c r="AX34" s="739">
        <f>AY34-AW34-AV34-AU34</f>
        <v>22</v>
      </c>
      <c r="AY34" s="411">
        <v>22</v>
      </c>
      <c r="AZ34" s="391">
        <v>0</v>
      </c>
      <c r="BA34" s="391">
        <v>0</v>
      </c>
      <c r="BB34" s="391">
        <v>0</v>
      </c>
      <c r="BC34" s="739">
        <f>BD34-BB34-BA34-AZ34</f>
        <v>179.4</v>
      </c>
      <c r="BD34" s="411">
        <v>179.4</v>
      </c>
      <c r="BE34" s="391">
        <v>0</v>
      </c>
      <c r="BF34" s="391">
        <v>0</v>
      </c>
      <c r="BG34" s="391">
        <v>0</v>
      </c>
      <c r="BH34" s="739">
        <f>BI34-BG34-BF34-BE34</f>
        <v>15.3</v>
      </c>
      <c r="BI34" s="411">
        <v>15.3</v>
      </c>
      <c r="BJ34" s="391">
        <v>0</v>
      </c>
      <c r="BK34" s="391">
        <v>0</v>
      </c>
      <c r="BL34" s="391">
        <v>0</v>
      </c>
      <c r="BM34" s="739">
        <f>BN34-BL34-BK34-BJ34</f>
        <v>92.6</v>
      </c>
      <c r="BN34" s="411">
        <v>92.6</v>
      </c>
      <c r="BO34" s="391">
        <v>0</v>
      </c>
      <c r="BP34" s="391">
        <v>0</v>
      </c>
      <c r="BQ34" s="391">
        <v>0</v>
      </c>
      <c r="BR34" s="739">
        <f>BS34-BQ34-BP34-BO34</f>
        <v>73.400000000000006</v>
      </c>
      <c r="BS34" s="411">
        <v>73.400000000000006</v>
      </c>
      <c r="BT34" s="391">
        <v>0</v>
      </c>
      <c r="BU34" s="391">
        <v>0</v>
      </c>
      <c r="BV34" s="391">
        <v>0</v>
      </c>
      <c r="BW34" s="739">
        <f>BX34-BV34-BU34-BT34</f>
        <v>40.700000000000003</v>
      </c>
      <c r="BX34" s="411">
        <v>40.700000000000003</v>
      </c>
      <c r="BY34" s="415"/>
      <c r="BZ34" s="415"/>
      <c r="CA34" s="415"/>
      <c r="CB34" s="415"/>
      <c r="CC34" s="416"/>
      <c r="CD34" s="416"/>
      <c r="CE34" s="416"/>
      <c r="CF34" s="416"/>
      <c r="CG34" s="416"/>
      <c r="CH34" s="416"/>
    </row>
    <row r="35" spans="1:86" collapsed="1">
      <c r="G35" s="230"/>
      <c r="H35" s="47" t="s">
        <v>138</v>
      </c>
      <c r="K35" s="426"/>
      <c r="L35" s="391">
        <v>2065.6999999999998</v>
      </c>
      <c r="M35" s="391">
        <v>-820.3</v>
      </c>
      <c r="N35" s="391">
        <v>-573.6</v>
      </c>
      <c r="O35" s="391">
        <v>-1600.7</v>
      </c>
      <c r="P35" s="409">
        <v>-928.9</v>
      </c>
      <c r="Q35" s="392">
        <f t="shared" ref="Q35:AF35" si="19">SUM(Q36:Q41)</f>
        <v>-11.000000000000142</v>
      </c>
      <c r="R35" s="392">
        <f t="shared" si="19"/>
        <v>144.80000000000013</v>
      </c>
      <c r="S35" s="392">
        <f t="shared" si="19"/>
        <v>487.39999999999986</v>
      </c>
      <c r="T35" s="392">
        <f t="shared" si="19"/>
        <v>999.8000000000003</v>
      </c>
      <c r="U35" s="390">
        <f t="shared" si="19"/>
        <v>1620.9999999999998</v>
      </c>
      <c r="V35" s="392">
        <f t="shared" si="19"/>
        <v>-2215.9</v>
      </c>
      <c r="W35" s="392">
        <f t="shared" si="19"/>
        <v>93.19999999999979</v>
      </c>
      <c r="X35" s="392">
        <f t="shared" si="19"/>
        <v>-425.59999999999991</v>
      </c>
      <c r="Y35" s="392">
        <f t="shared" si="19"/>
        <v>-729.69999999999982</v>
      </c>
      <c r="Z35" s="390">
        <f t="shared" si="19"/>
        <v>-3278</v>
      </c>
      <c r="AA35" s="392">
        <f t="shared" si="19"/>
        <v>-849.80000000000007</v>
      </c>
      <c r="AB35" s="392">
        <f t="shared" si="19"/>
        <v>-573.70000000000005</v>
      </c>
      <c r="AC35" s="392">
        <f t="shared" si="19"/>
        <v>292.49999999999989</v>
      </c>
      <c r="AD35" s="392">
        <f t="shared" si="19"/>
        <v>-5216.3</v>
      </c>
      <c r="AE35" s="390">
        <f t="shared" si="19"/>
        <v>-6347.3</v>
      </c>
      <c r="AF35" s="392">
        <f t="shared" si="19"/>
        <v>384.3</v>
      </c>
      <c r="AG35" s="392">
        <f t="shared" ref="AG35:AL35" si="20">SUM(AG36:AG41)</f>
        <v>279</v>
      </c>
      <c r="AH35" s="392">
        <f t="shared" si="20"/>
        <v>242.00000000000011</v>
      </c>
      <c r="AI35" s="739">
        <f t="shared" si="20"/>
        <v>-15.200000000000131</v>
      </c>
      <c r="AJ35" s="429">
        <f t="shared" si="20"/>
        <v>890.10000000000014</v>
      </c>
      <c r="AK35" s="392">
        <f t="shared" si="20"/>
        <v>72.5</v>
      </c>
      <c r="AL35" s="392">
        <f t="shared" si="20"/>
        <v>-600</v>
      </c>
      <c r="AM35" s="392">
        <f t="shared" ref="AM35:AR35" si="21">SUM(AM36:AM41)</f>
        <v>-624.40000000000009</v>
      </c>
      <c r="AN35" s="739">
        <f t="shared" si="21"/>
        <v>-1338.1999999999998</v>
      </c>
      <c r="AO35" s="429">
        <f t="shared" si="21"/>
        <v>-2490.1000000000004</v>
      </c>
      <c r="AP35" s="392">
        <f t="shared" si="21"/>
        <v>60.699999999999918</v>
      </c>
      <c r="AQ35" s="392">
        <f t="shared" si="21"/>
        <v>-1759.6</v>
      </c>
      <c r="AR35" s="392">
        <f t="shared" si="21"/>
        <v>-832.60000000000025</v>
      </c>
      <c r="AS35" s="739">
        <f t="shared" ref="AS35:AY35" si="22">SUM(AS36:AS41)</f>
        <v>-1646.1999999999996</v>
      </c>
      <c r="AT35" s="429">
        <f t="shared" si="22"/>
        <v>-4177.7</v>
      </c>
      <c r="AU35" s="392">
        <f t="shared" si="22"/>
        <v>-521.59999999999968</v>
      </c>
      <c r="AV35" s="392">
        <f t="shared" si="22"/>
        <v>-205.79999999999973</v>
      </c>
      <c r="AW35" s="392">
        <f t="shared" si="22"/>
        <v>49.299999999999727</v>
      </c>
      <c r="AX35" s="739">
        <f t="shared" si="22"/>
        <v>-1271.3000000000009</v>
      </c>
      <c r="AY35" s="429">
        <f t="shared" si="22"/>
        <v>-1949.4000000000005</v>
      </c>
      <c r="AZ35" s="392">
        <f t="shared" ref="AZ35:BE35" si="23">SUM(AZ36:AZ41)</f>
        <v>1513</v>
      </c>
      <c r="BA35" s="392">
        <f t="shared" si="23"/>
        <v>-1115.3000000000009</v>
      </c>
      <c r="BB35" s="392">
        <f t="shared" si="23"/>
        <v>-689.99999999999909</v>
      </c>
      <c r="BC35" s="739">
        <f t="shared" si="23"/>
        <v>-947.79999999999939</v>
      </c>
      <c r="BD35" s="429">
        <f>SUM(BD36:BD41)</f>
        <v>-1240.0999999999992</v>
      </c>
      <c r="BE35" s="392">
        <f t="shared" si="23"/>
        <v>590.4000000000002</v>
      </c>
      <c r="BF35" s="392">
        <f t="shared" ref="BF35:BX35" si="24">SUM(BF36:BF41)</f>
        <v>-213.9999999999998</v>
      </c>
      <c r="BG35" s="392">
        <f t="shared" si="24"/>
        <v>-1352.800000000002</v>
      </c>
      <c r="BH35" s="739">
        <f t="shared" si="24"/>
        <v>-1785.4000000000015</v>
      </c>
      <c r="BI35" s="429">
        <f t="shared" si="24"/>
        <v>-2761.8000000000006</v>
      </c>
      <c r="BJ35" s="392">
        <f t="shared" si="24"/>
        <v>349.40000000000128</v>
      </c>
      <c r="BK35" s="392">
        <f t="shared" si="24"/>
        <v>406.29999999999927</v>
      </c>
      <c r="BL35" s="392">
        <f t="shared" si="24"/>
        <v>-296.60000000000036</v>
      </c>
      <c r="BM35" s="739">
        <f t="shared" si="24"/>
        <v>541.30000000000018</v>
      </c>
      <c r="BN35" s="429">
        <f t="shared" si="24"/>
        <v>1000.3999999999996</v>
      </c>
      <c r="BO35" s="392">
        <f t="shared" si="24"/>
        <v>8.8999999999999773</v>
      </c>
      <c r="BP35" s="392">
        <f t="shared" si="24"/>
        <v>-775.49999999999989</v>
      </c>
      <c r="BQ35" s="392">
        <f t="shared" si="24"/>
        <v>-567.19999999999948</v>
      </c>
      <c r="BR35" s="739">
        <f t="shared" si="24"/>
        <v>-841.70000000000027</v>
      </c>
      <c r="BS35" s="429">
        <f t="shared" si="24"/>
        <v>-2175.5</v>
      </c>
      <c r="BT35" s="392">
        <f t="shared" si="24"/>
        <v>-1260.5999999999999</v>
      </c>
      <c r="BU35" s="392">
        <f t="shared" si="24"/>
        <v>-2027.3000000000002</v>
      </c>
      <c r="BV35" s="392">
        <f t="shared" si="24"/>
        <v>-1515.2999999999997</v>
      </c>
      <c r="BW35" s="739">
        <f t="shared" si="24"/>
        <v>2055.6999999999998</v>
      </c>
      <c r="BX35" s="429">
        <f t="shared" si="24"/>
        <v>-2747.5000000000005</v>
      </c>
      <c r="BY35" s="383"/>
      <c r="BZ35" s="383"/>
      <c r="CA35" s="383"/>
      <c r="CB35" s="383"/>
      <c r="CC35" s="410">
        <f>BX80-CC80+BX68-CC68</f>
        <v>2553.1000000000004</v>
      </c>
      <c r="CD35" s="410">
        <f>CC80-CD80+CC68-CD68</f>
        <v>0</v>
      </c>
      <c r="CE35" s="410">
        <f>CD80-CE80+CD68-CE68</f>
        <v>0</v>
      </c>
      <c r="CF35" s="410">
        <f>CE80-CF80+CE68-CF68</f>
        <v>0</v>
      </c>
      <c r="CG35" s="410">
        <f>CF80-CG80+CF68-CG68</f>
        <v>0</v>
      </c>
      <c r="CH35" s="410">
        <f>CG80-CH80+CG68-CH68</f>
        <v>0</v>
      </c>
    </row>
    <row r="36" spans="1:86" hidden="1" outlineLevel="1">
      <c r="G36" s="230"/>
      <c r="H36" s="401" t="s">
        <v>139</v>
      </c>
      <c r="I36" s="396"/>
      <c r="J36" s="396"/>
      <c r="K36" s="396"/>
      <c r="L36" s="397">
        <v>2085.6</v>
      </c>
      <c r="M36" s="397">
        <v>-747.8</v>
      </c>
      <c r="N36" s="397">
        <v>-504.7</v>
      </c>
      <c r="O36" s="397">
        <v>-770.4</v>
      </c>
      <c r="P36" s="409">
        <v>62.7</v>
      </c>
      <c r="Q36" s="397">
        <v>-20.2</v>
      </c>
      <c r="R36" s="397">
        <f>103.9-Q36</f>
        <v>124.10000000000001</v>
      </c>
      <c r="S36" s="397">
        <f>580.4-R36-Q36</f>
        <v>476.49999999999994</v>
      </c>
      <c r="T36" s="386">
        <f t="shared" ref="T36:T41" si="25">U36-SUM(Q36:S36)</f>
        <v>667.1</v>
      </c>
      <c r="U36" s="409">
        <v>1247.5</v>
      </c>
      <c r="V36" s="397">
        <v>-15.4</v>
      </c>
      <c r="W36" s="397">
        <f>63.7-V36</f>
        <v>79.100000000000009</v>
      </c>
      <c r="X36" s="397">
        <f>-225.2-W36-V36</f>
        <v>-288.90000000000003</v>
      </c>
      <c r="Y36" s="392">
        <f>-376.9-SUM(V36:X36)</f>
        <v>-151.69999999999996</v>
      </c>
      <c r="Z36" s="411">
        <v>-376.9</v>
      </c>
      <c r="AA36" s="397">
        <v>-715.7</v>
      </c>
      <c r="AB36" s="397">
        <f>-730.7-AA36</f>
        <v>-15</v>
      </c>
      <c r="AC36" s="397">
        <f>-237.3-AB36-AA36</f>
        <v>493.40000000000003</v>
      </c>
      <c r="AD36" s="394">
        <f t="shared" ref="AD36:AD41" si="26">AE36-AC36-AB36-AA36</f>
        <v>1194.9000000000001</v>
      </c>
      <c r="AE36" s="411">
        <v>957.6</v>
      </c>
      <c r="AF36" s="397">
        <v>286.2</v>
      </c>
      <c r="AG36" s="397">
        <f>457.8-AF36</f>
        <v>171.60000000000002</v>
      </c>
      <c r="AH36" s="397">
        <f>563.2-AG36-AF36</f>
        <v>105.40000000000003</v>
      </c>
      <c r="AI36" s="739">
        <f t="shared" ref="AI36:AI41" si="27">AJ36-AH36-AG36-AF36</f>
        <v>-164.10000000000002</v>
      </c>
      <c r="AJ36" s="411">
        <v>399.1</v>
      </c>
      <c r="AK36" s="397">
        <v>-0.8</v>
      </c>
      <c r="AL36" s="397">
        <f>-2.6-AK36</f>
        <v>-1.8</v>
      </c>
      <c r="AM36" s="397">
        <f>-200.6-AL36-AK36</f>
        <v>-197.99999999999997</v>
      </c>
      <c r="AN36" s="739">
        <f t="shared" ref="AN36:AN41" si="28">AO36-AM36-AL36-AK36</f>
        <v>-485.9</v>
      </c>
      <c r="AO36" s="411">
        <v>-686.5</v>
      </c>
      <c r="AP36" s="397">
        <v>539</v>
      </c>
      <c r="AQ36" s="397">
        <f>519-AP36</f>
        <v>-20</v>
      </c>
      <c r="AR36" s="397">
        <f>545-AQ36-AP36</f>
        <v>26</v>
      </c>
      <c r="AS36" s="739">
        <f t="shared" ref="AS36:AS41" si="29">AT36-AR36-AQ36-AP36</f>
        <v>-795.9</v>
      </c>
      <c r="AT36" s="411">
        <v>-250.9</v>
      </c>
      <c r="AU36" s="397">
        <v>457.6</v>
      </c>
      <c r="AV36" s="397">
        <f>608.7-AU36</f>
        <v>151.10000000000002</v>
      </c>
      <c r="AW36" s="397">
        <f>257.3-AV36-AU36</f>
        <v>-351.40000000000003</v>
      </c>
      <c r="AX36" s="739">
        <f t="shared" ref="AX36:AX41" si="30">AY36-AW36-AV36-AU36</f>
        <v>117.79999999999995</v>
      </c>
      <c r="AY36" s="411">
        <v>375.1</v>
      </c>
      <c r="AZ36" s="397">
        <f>1607.5-313.1</f>
        <v>1294.4000000000001</v>
      </c>
      <c r="BA36" s="397">
        <f>1981.9-AZ36-515.6</f>
        <v>171.89999999999998</v>
      </c>
      <c r="BB36" s="397">
        <f>2378.1-778.6-BA36-AZ36</f>
        <v>133.19999999999982</v>
      </c>
      <c r="BC36" s="739">
        <f t="shared" ref="BC36:BC41" si="31">BD36-BB36-BA36-AZ36</f>
        <v>189.59999999999991</v>
      </c>
      <c r="BD36" s="411">
        <f>3320.1-1531</f>
        <v>1789.1</v>
      </c>
      <c r="BE36" s="397">
        <f>-402.8+1166.9</f>
        <v>764.10000000000014</v>
      </c>
      <c r="BF36" s="397">
        <f>1889.7-804.5-BE36</f>
        <v>321.09999999999991</v>
      </c>
      <c r="BG36" s="397">
        <f>2661.6-1401.8-BF36-BE36</f>
        <v>174.59999999999991</v>
      </c>
      <c r="BH36" s="739">
        <f t="shared" ref="BH36:BH41" si="32">BI36-BG36-BF36-BE36</f>
        <v>1156.5000000000002</v>
      </c>
      <c r="BI36" s="411">
        <f>4054.1-1637.8</f>
        <v>2416.3000000000002</v>
      </c>
      <c r="BJ36" s="397">
        <f>507.2-165.8</f>
        <v>341.4</v>
      </c>
      <c r="BK36" s="397">
        <f>1285.3-588.5-BJ36</f>
        <v>355.4</v>
      </c>
      <c r="BL36" s="397">
        <f>1585.8-BK36-BJ36-764.2</f>
        <v>124.80000000000007</v>
      </c>
      <c r="BM36" s="739">
        <f t="shared" ref="BM36:BM41" si="33">BN36-BL36-BK36-BJ36</f>
        <v>498.00000000000023</v>
      </c>
      <c r="BN36" s="411">
        <f>2161.8-842.2</f>
        <v>1319.6000000000001</v>
      </c>
      <c r="BO36" s="397">
        <f>521.6-98.4</f>
        <v>423.20000000000005</v>
      </c>
      <c r="BP36" s="397">
        <f>-265.3+925.4-BO36</f>
        <v>236.89999999999986</v>
      </c>
      <c r="BQ36" s="397">
        <f>1245.9-425.7-BP36-BO36</f>
        <v>160.10000000000014</v>
      </c>
      <c r="BR36" s="739">
        <f t="shared" ref="BR36:BR41" si="34">BS36-BQ36-BP36-BO36</f>
        <v>-505.60000000000014</v>
      </c>
      <c r="BS36" s="411">
        <f>1642-1327.4</f>
        <v>314.59999999999991</v>
      </c>
      <c r="BT36" s="397">
        <f>1168.4-289.4</f>
        <v>879.00000000000011</v>
      </c>
      <c r="BU36" s="397">
        <f>1677.6-1883.5-BT36</f>
        <v>-1084.9000000000001</v>
      </c>
      <c r="BV36" s="397">
        <f>-2973.8+2320.2-BU36-BT36</f>
        <v>-447.70000000000039</v>
      </c>
      <c r="BW36" s="739">
        <f t="shared" ref="BW36:BW41" si="35">BX36-BV36-BU36-BT36</f>
        <v>2116.4000000000005</v>
      </c>
      <c r="BX36" s="411">
        <f>4852.5-3389.7</f>
        <v>1462.8000000000002</v>
      </c>
      <c r="BY36" s="397"/>
      <c r="BZ36" s="397"/>
      <c r="CA36" s="397"/>
      <c r="CB36" s="397"/>
      <c r="CC36" s="426"/>
      <c r="CD36" s="426"/>
      <c r="CE36" s="426"/>
      <c r="CF36" s="426"/>
      <c r="CG36" s="426"/>
      <c r="CH36" s="426"/>
    </row>
    <row r="37" spans="1:86" hidden="1" outlineLevel="1">
      <c r="G37" s="230"/>
      <c r="H37" s="405" t="s">
        <v>140</v>
      </c>
      <c r="L37" s="391">
        <v>187.5</v>
      </c>
      <c r="M37" s="391">
        <v>83.3</v>
      </c>
      <c r="N37" s="391">
        <v>56.2</v>
      </c>
      <c r="O37" s="391">
        <v>218.1</v>
      </c>
      <c r="P37" s="411">
        <v>545.1</v>
      </c>
      <c r="Q37" s="391">
        <v>554.79999999999995</v>
      </c>
      <c r="R37" s="391">
        <f>906.2-Q37</f>
        <v>351.40000000000009</v>
      </c>
      <c r="S37" s="391">
        <f>1135.1-R37-Q37</f>
        <v>228.89999999999986</v>
      </c>
      <c r="T37" s="392">
        <f t="shared" si="25"/>
        <v>372.60000000000014</v>
      </c>
      <c r="U37" s="411">
        <v>1507.7</v>
      </c>
      <c r="V37" s="391">
        <v>267.10000000000002</v>
      </c>
      <c r="W37" s="391">
        <f>811.4-V37</f>
        <v>544.29999999999995</v>
      </c>
      <c r="X37" s="391">
        <f>924.7-W37-V37</f>
        <v>113.30000000000007</v>
      </c>
      <c r="Y37" s="392">
        <f>800.1-SUM(V37:X37)</f>
        <v>-124.60000000000002</v>
      </c>
      <c r="Z37" s="411">
        <v>800.1</v>
      </c>
      <c r="AA37" s="391">
        <v>36</v>
      </c>
      <c r="AB37" s="391">
        <f>474.8-AA37</f>
        <v>438.8</v>
      </c>
      <c r="AC37" s="391">
        <f>653.5-AB37-AA37</f>
        <v>178.7</v>
      </c>
      <c r="AD37" s="394">
        <f t="shared" si="26"/>
        <v>943.8</v>
      </c>
      <c r="AE37" s="411">
        <v>1597.3</v>
      </c>
      <c r="AF37" s="391">
        <v>184.8</v>
      </c>
      <c r="AG37" s="391">
        <f>367.4-AF37</f>
        <v>182.59999999999997</v>
      </c>
      <c r="AH37" s="391">
        <f>742.2-AG37-AF37</f>
        <v>374.80000000000013</v>
      </c>
      <c r="AI37" s="739">
        <f t="shared" si="27"/>
        <v>365.59999999999985</v>
      </c>
      <c r="AJ37" s="411">
        <v>1107.8</v>
      </c>
      <c r="AK37" s="391">
        <v>191</v>
      </c>
      <c r="AL37" s="391">
        <f>383-AK37</f>
        <v>192</v>
      </c>
      <c r="AM37" s="391">
        <f>444.4-AL37-AK37</f>
        <v>61.399999999999977</v>
      </c>
      <c r="AN37" s="739">
        <f t="shared" si="28"/>
        <v>140.30000000000007</v>
      </c>
      <c r="AO37" s="411">
        <v>584.70000000000005</v>
      </c>
      <c r="AP37" s="391">
        <v>211.9</v>
      </c>
      <c r="AQ37" s="391">
        <f>435.4-AP37</f>
        <v>223.49999999999997</v>
      </c>
      <c r="AR37" s="391">
        <f>1082.6-AQ37-AP37</f>
        <v>647.19999999999993</v>
      </c>
      <c r="AS37" s="739">
        <f t="shared" si="29"/>
        <v>1055.9000000000001</v>
      </c>
      <c r="AT37" s="411">
        <v>2138.5</v>
      </c>
      <c r="AU37" s="391">
        <v>1423.2</v>
      </c>
      <c r="AV37" s="391">
        <f>2451.3-AU37</f>
        <v>1028.1000000000001</v>
      </c>
      <c r="AW37" s="391">
        <f>3557.4-AV37-AU37</f>
        <v>1106.1000000000001</v>
      </c>
      <c r="AX37" s="739">
        <f t="shared" si="30"/>
        <v>798.29999999999905</v>
      </c>
      <c r="AY37" s="411">
        <v>4355.7</v>
      </c>
      <c r="AZ37" s="391">
        <v>2098.4</v>
      </c>
      <c r="BA37" s="391">
        <f>5463.2-AZ37</f>
        <v>3364.7999999999997</v>
      </c>
      <c r="BB37" s="391">
        <f>8482.9-BA37-AZ37</f>
        <v>3019.7000000000003</v>
      </c>
      <c r="BC37" s="739">
        <f t="shared" si="31"/>
        <v>2752.1</v>
      </c>
      <c r="BD37" s="411">
        <v>11235</v>
      </c>
      <c r="BE37" s="391">
        <v>2633.4</v>
      </c>
      <c r="BF37" s="391">
        <f>5540.1-BE37</f>
        <v>2906.7000000000003</v>
      </c>
      <c r="BG37" s="391">
        <f>7355.5-BF37-BE37</f>
        <v>1815.3999999999992</v>
      </c>
      <c r="BH37" s="739">
        <f t="shared" si="32"/>
        <v>3653.8999999999992</v>
      </c>
      <c r="BI37" s="411">
        <v>11009.4</v>
      </c>
      <c r="BJ37" s="391">
        <v>596.20000000000005</v>
      </c>
      <c r="BK37" s="391">
        <f>1750.5-BJ37</f>
        <v>1154.3</v>
      </c>
      <c r="BL37" s="391">
        <f>2271.8-BK37-BJ37</f>
        <v>521.30000000000018</v>
      </c>
      <c r="BM37" s="739">
        <f t="shared" si="33"/>
        <v>796.59999999999991</v>
      </c>
      <c r="BN37" s="411">
        <v>3068.4</v>
      </c>
      <c r="BO37" s="391">
        <v>338.9</v>
      </c>
      <c r="BP37" s="391">
        <f>919.3-BO37</f>
        <v>580.4</v>
      </c>
      <c r="BQ37" s="391">
        <f>1606.8-BP37-BO37</f>
        <v>687.50000000000011</v>
      </c>
      <c r="BR37" s="739">
        <f t="shared" si="34"/>
        <v>479.20000000000005</v>
      </c>
      <c r="BS37" s="411">
        <v>2086</v>
      </c>
      <c r="BT37" s="391">
        <v>528</v>
      </c>
      <c r="BU37" s="391">
        <f>1107.6-BT37</f>
        <v>579.59999999999991</v>
      </c>
      <c r="BV37" s="391">
        <f>1686.9-BU37-BT37</f>
        <v>579.30000000000018</v>
      </c>
      <c r="BW37" s="739">
        <f t="shared" si="35"/>
        <v>899.09999999999991</v>
      </c>
      <c r="BX37" s="411">
        <v>2586</v>
      </c>
      <c r="BY37" s="391"/>
      <c r="BZ37" s="391"/>
      <c r="CA37" s="391"/>
      <c r="CB37" s="391"/>
      <c r="CC37" s="412"/>
      <c r="CD37" s="412"/>
      <c r="CE37" s="412"/>
      <c r="CF37" s="412"/>
      <c r="CG37" s="412"/>
      <c r="CH37" s="412"/>
    </row>
    <row r="38" spans="1:86" hidden="1" outlineLevel="1">
      <c r="G38" s="230"/>
      <c r="H38" s="405" t="s">
        <v>532</v>
      </c>
      <c r="L38" s="391">
        <v>-139.80000000000001</v>
      </c>
      <c r="M38" s="391">
        <v>-78.3</v>
      </c>
      <c r="N38" s="391">
        <v>-53.8</v>
      </c>
      <c r="O38" s="391">
        <v>-911.2</v>
      </c>
      <c r="P38" s="411">
        <v>-1183.0999999999999</v>
      </c>
      <c r="Q38" s="391">
        <v>-630.70000000000005</v>
      </c>
      <c r="R38" s="391">
        <f>-1003.2-Q38</f>
        <v>-372.5</v>
      </c>
      <c r="S38" s="391">
        <f>-1218.7-R38-Q38</f>
        <v>-215.5</v>
      </c>
      <c r="T38" s="392">
        <f t="shared" si="25"/>
        <v>-94.5</v>
      </c>
      <c r="U38" s="411">
        <v>-1313.2</v>
      </c>
      <c r="V38" s="391">
        <v>-210.2</v>
      </c>
      <c r="W38" s="391">
        <f>-358.2-V38</f>
        <v>-148</v>
      </c>
      <c r="X38" s="391">
        <f>-471.3-W38-V38</f>
        <v>-113.10000000000002</v>
      </c>
      <c r="Y38" s="392">
        <f>-750.7-SUM(V38:X38)</f>
        <v>-279.40000000000003</v>
      </c>
      <c r="Z38" s="411">
        <v>-750.7</v>
      </c>
      <c r="AA38" s="391">
        <v>-41.5</v>
      </c>
      <c r="AB38" s="391">
        <f>-979.3-AA38</f>
        <v>-937.8</v>
      </c>
      <c r="AC38" s="391">
        <f>-1295.4-AB38-AA38</f>
        <v>-316.10000000000014</v>
      </c>
      <c r="AD38" s="394">
        <f t="shared" si="26"/>
        <v>-1117.0000000000002</v>
      </c>
      <c r="AE38" s="411">
        <v>-2412.4</v>
      </c>
      <c r="AF38" s="391">
        <v>-67.7</v>
      </c>
      <c r="AG38" s="391">
        <f>-122.8-AF38</f>
        <v>-55.099999999999994</v>
      </c>
      <c r="AH38" s="391">
        <f>-329.3-AG38-AF38</f>
        <v>-206.50000000000006</v>
      </c>
      <c r="AI38" s="739">
        <f t="shared" si="27"/>
        <v>-102.99999999999996</v>
      </c>
      <c r="AJ38" s="411">
        <v>-432.3</v>
      </c>
      <c r="AK38" s="391">
        <v>-57.2</v>
      </c>
      <c r="AL38" s="391">
        <f>-252.2-AK38</f>
        <v>-195</v>
      </c>
      <c r="AM38" s="391">
        <f>-518.2-AL38-AK38</f>
        <v>-266.00000000000006</v>
      </c>
      <c r="AN38" s="739">
        <f t="shared" si="28"/>
        <v>-549</v>
      </c>
      <c r="AO38" s="411">
        <v>-1067.2</v>
      </c>
      <c r="AP38" s="391">
        <v>-238.3</v>
      </c>
      <c r="AQ38" s="391">
        <f>-1636.1-AP38</f>
        <v>-1397.8</v>
      </c>
      <c r="AR38" s="391">
        <f>-2659.3-AQ38-AP38</f>
        <v>-1023.2000000000003</v>
      </c>
      <c r="AS38" s="739">
        <f t="shared" si="29"/>
        <v>-1800.0999999999995</v>
      </c>
      <c r="AT38" s="411">
        <v>-4459.3999999999996</v>
      </c>
      <c r="AU38" s="391">
        <v>-2156.1</v>
      </c>
      <c r="AV38" s="391">
        <f>-3476.6-AU38</f>
        <v>-1320.5</v>
      </c>
      <c r="AW38" s="391">
        <f>-5506.8-AV38-AU38</f>
        <v>-2030.2000000000003</v>
      </c>
      <c r="AX38" s="739">
        <f t="shared" si="30"/>
        <v>-2111.7999999999997</v>
      </c>
      <c r="AY38" s="411">
        <v>-7618.6</v>
      </c>
      <c r="AZ38" s="391">
        <v>-1861.4</v>
      </c>
      <c r="BA38" s="391">
        <f>-6476.1-AZ38</f>
        <v>-4614.7000000000007</v>
      </c>
      <c r="BB38" s="391">
        <f>-10239.5-BA38-AZ38</f>
        <v>-3763.3999999999992</v>
      </c>
      <c r="BC38" s="739">
        <f t="shared" si="31"/>
        <v>-3802.3999999999992</v>
      </c>
      <c r="BD38" s="411">
        <v>-14041.9</v>
      </c>
      <c r="BE38" s="391">
        <v>-2770.2</v>
      </c>
      <c r="BF38" s="391">
        <f>-5594.7-BE38</f>
        <v>-2824.5</v>
      </c>
      <c r="BG38" s="391">
        <f>-8636.7-BF38-BE38</f>
        <v>-3042.0000000000009</v>
      </c>
      <c r="BH38" s="739">
        <f t="shared" si="32"/>
        <v>-1166</v>
      </c>
      <c r="BI38" s="411">
        <v>-9802.7000000000007</v>
      </c>
      <c r="BJ38" s="391">
        <f>-924.4+5405.6</f>
        <v>4481.2000000000007</v>
      </c>
      <c r="BK38" s="391">
        <f>-1832.8+5405.6-BJ38</f>
        <v>-908.40000000000055</v>
      </c>
      <c r="BL38" s="391">
        <f>-2673.4-BK38-BJ38</f>
        <v>-6246.2000000000007</v>
      </c>
      <c r="BM38" s="739">
        <f t="shared" si="33"/>
        <v>-553.09999999999945</v>
      </c>
      <c r="BN38" s="411">
        <v>-3226.5</v>
      </c>
      <c r="BO38" s="391">
        <f>+-716.7</f>
        <v>-716.7</v>
      </c>
      <c r="BP38" s="391">
        <f>-2269.2-BO38</f>
        <v>-1552.4999999999998</v>
      </c>
      <c r="BQ38" s="391">
        <f>-3640.7-BP38-BO38</f>
        <v>-1371.4999999999998</v>
      </c>
      <c r="BR38" s="739">
        <f t="shared" si="34"/>
        <v>-705.30000000000018</v>
      </c>
      <c r="BS38" s="411">
        <v>-4346</v>
      </c>
      <c r="BT38" s="391">
        <v>-945.9</v>
      </c>
      <c r="BU38" s="391">
        <f>-2358.8-BT38</f>
        <v>-1412.9</v>
      </c>
      <c r="BV38" s="391">
        <f>-3739.6-BU38-BT38</f>
        <v>-1380.7999999999997</v>
      </c>
      <c r="BW38" s="739">
        <f t="shared" si="35"/>
        <v>-872.00000000000057</v>
      </c>
      <c r="BX38" s="411">
        <v>-4611.6000000000004</v>
      </c>
      <c r="BY38" s="391"/>
      <c r="BZ38" s="391"/>
      <c r="CA38" s="391"/>
      <c r="CB38" s="391"/>
      <c r="CC38" s="412"/>
      <c r="CD38" s="412"/>
      <c r="CE38" s="412"/>
      <c r="CF38" s="412"/>
      <c r="CG38" s="412"/>
      <c r="CH38" s="412"/>
    </row>
    <row r="39" spans="1:86" s="396" customFormat="1" hidden="1" outlineLevel="1">
      <c r="A39"/>
      <c r="B39"/>
      <c r="C39"/>
      <c r="D39"/>
      <c r="E39"/>
      <c r="F39"/>
      <c r="G39" s="427"/>
      <c r="H39" s="401" t="s">
        <v>205</v>
      </c>
      <c r="L39" s="397"/>
      <c r="M39" s="397"/>
      <c r="N39" s="397"/>
      <c r="O39" s="397">
        <v>0</v>
      </c>
      <c r="P39" s="417">
        <v>0</v>
      </c>
      <c r="Q39" s="391">
        <v>0</v>
      </c>
      <c r="R39" s="391">
        <v>0</v>
      </c>
      <c r="S39" s="391">
        <v>0</v>
      </c>
      <c r="T39" s="386">
        <f t="shared" si="25"/>
        <v>0</v>
      </c>
      <c r="U39" s="417">
        <v>0</v>
      </c>
      <c r="V39" s="391">
        <v>-25</v>
      </c>
      <c r="W39" s="397">
        <f>-25-V39</f>
        <v>0</v>
      </c>
      <c r="X39" s="397">
        <f>-25-V39-W39</f>
        <v>0</v>
      </c>
      <c r="Y39" s="392">
        <f>-111-SUM(V39:X39)</f>
        <v>-86</v>
      </c>
      <c r="Z39" s="411">
        <v>-111</v>
      </c>
      <c r="AA39" s="391">
        <v>-87</v>
      </c>
      <c r="AB39" s="391">
        <f>-122-AA39</f>
        <v>-35</v>
      </c>
      <c r="AC39" s="391">
        <f>-122-AB39-AA39</f>
        <v>0</v>
      </c>
      <c r="AD39" s="394">
        <f t="shared" si="26"/>
        <v>0</v>
      </c>
      <c r="AE39" s="411">
        <v>-122</v>
      </c>
      <c r="AF39" s="391">
        <v>0</v>
      </c>
      <c r="AG39" s="391">
        <v>0</v>
      </c>
      <c r="AH39" s="391">
        <v>0</v>
      </c>
      <c r="AI39" s="739">
        <f t="shared" si="27"/>
        <v>-90</v>
      </c>
      <c r="AJ39" s="411">
        <v>-90</v>
      </c>
      <c r="AK39" s="391">
        <v>-50</v>
      </c>
      <c r="AL39" s="391">
        <f>-50-AK39</f>
        <v>0</v>
      </c>
      <c r="AM39" s="391">
        <f>-50-AL39-AK39</f>
        <v>0</v>
      </c>
      <c r="AN39" s="739">
        <f t="shared" si="28"/>
        <v>0</v>
      </c>
      <c r="AO39" s="411">
        <v>-50</v>
      </c>
      <c r="AP39" s="391">
        <v>-388</v>
      </c>
      <c r="AQ39" s="391">
        <f>-388-AP39</f>
        <v>0</v>
      </c>
      <c r="AR39" s="391">
        <f>-388-AQ39-AP39</f>
        <v>0</v>
      </c>
      <c r="AS39" s="739">
        <f t="shared" si="29"/>
        <v>0</v>
      </c>
      <c r="AT39" s="411">
        <v>-388</v>
      </c>
      <c r="AU39" s="391">
        <v>0</v>
      </c>
      <c r="AV39" s="391">
        <v>0</v>
      </c>
      <c r="AW39" s="391">
        <f>0-AV39-AU39</f>
        <v>0</v>
      </c>
      <c r="AX39" s="739">
        <f t="shared" si="30"/>
        <v>0</v>
      </c>
      <c r="AY39" s="411">
        <v>0</v>
      </c>
      <c r="AZ39" s="391">
        <v>0</v>
      </c>
      <c r="BA39" s="391">
        <v>0</v>
      </c>
      <c r="BB39" s="391">
        <v>0</v>
      </c>
      <c r="BC39" s="739">
        <f t="shared" si="31"/>
        <v>-57.1</v>
      </c>
      <c r="BD39" s="411">
        <v>-57.1</v>
      </c>
      <c r="BE39" s="391">
        <v>0</v>
      </c>
      <c r="BF39" s="391">
        <f>-71.3-BE39</f>
        <v>-71.3</v>
      </c>
      <c r="BG39" s="391">
        <f>-45-308.2-BF39-BE39</f>
        <v>-281.89999999999998</v>
      </c>
      <c r="BH39" s="739">
        <f t="shared" si="32"/>
        <v>258.2</v>
      </c>
      <c r="BI39" s="411">
        <v>-95</v>
      </c>
      <c r="BJ39" s="391">
        <v>-200</v>
      </c>
      <c r="BK39" s="391">
        <f>-336-BJ39</f>
        <v>-136</v>
      </c>
      <c r="BL39" s="391">
        <f>-386-BK39-BJ39</f>
        <v>-50</v>
      </c>
      <c r="BM39" s="739">
        <f t="shared" si="33"/>
        <v>-174</v>
      </c>
      <c r="BN39" s="411">
        <v>-560</v>
      </c>
      <c r="BO39" s="391">
        <v>0</v>
      </c>
      <c r="BP39" s="391">
        <v>0</v>
      </c>
      <c r="BQ39" s="391">
        <v>0</v>
      </c>
      <c r="BR39" s="739">
        <f t="shared" si="34"/>
        <v>-55</v>
      </c>
      <c r="BS39" s="411">
        <v>-55</v>
      </c>
      <c r="BT39" s="391">
        <v>-831.8</v>
      </c>
      <c r="BU39" s="391">
        <v>0</v>
      </c>
      <c r="BV39" s="391">
        <f>-1036.8-BU39-BT39</f>
        <v>-205</v>
      </c>
      <c r="BW39" s="739">
        <f t="shared" si="35"/>
        <v>-50</v>
      </c>
      <c r="BX39" s="411">
        <v>-1086.8</v>
      </c>
      <c r="BY39" s="391"/>
      <c r="BZ39" s="391"/>
      <c r="CA39" s="391"/>
      <c r="CB39" s="391"/>
      <c r="CC39" s="414"/>
      <c r="CD39" s="414"/>
      <c r="CE39" s="414"/>
      <c r="CF39" s="414"/>
      <c r="CG39" s="414"/>
      <c r="CH39" s="414"/>
    </row>
    <row r="40" spans="1:86" hidden="1" outlineLevel="1">
      <c r="G40" s="230"/>
      <c r="H40" s="405" t="s">
        <v>206</v>
      </c>
      <c r="L40" s="391" t="s">
        <v>207</v>
      </c>
      <c r="M40" s="391"/>
      <c r="N40" s="391"/>
      <c r="O40" s="391">
        <v>0</v>
      </c>
      <c r="P40" s="393"/>
      <c r="Q40" s="391">
        <v>0</v>
      </c>
      <c r="R40" s="391">
        <v>0</v>
      </c>
      <c r="S40" s="391">
        <v>0</v>
      </c>
      <c r="T40" s="392">
        <f t="shared" si="25"/>
        <v>0</v>
      </c>
      <c r="U40" s="417">
        <v>0</v>
      </c>
      <c r="V40" s="391">
        <v>-2225.6</v>
      </c>
      <c r="W40" s="391">
        <f>-2579.9-V40</f>
        <v>-354.30000000000018</v>
      </c>
      <c r="X40" s="391">
        <f>-2667.5-W40-V40</f>
        <v>-87.599999999999909</v>
      </c>
      <c r="Y40" s="394">
        <f>-2673.2-SUM(V40:X40)</f>
        <v>-5.6999999999998181</v>
      </c>
      <c r="Z40" s="411">
        <v>-2673.2</v>
      </c>
      <c r="AA40" s="391">
        <v>0</v>
      </c>
      <c r="AB40" s="391">
        <f>0-AA40</f>
        <v>0</v>
      </c>
      <c r="AC40" s="391">
        <f>-44.4-AB40-AA40</f>
        <v>-44.4</v>
      </c>
      <c r="AD40" s="394">
        <f t="shared" si="26"/>
        <v>-6038.6</v>
      </c>
      <c r="AE40" s="411">
        <v>-6083</v>
      </c>
      <c r="AF40" s="391">
        <v>0</v>
      </c>
      <c r="AG40" s="391">
        <v>0</v>
      </c>
      <c r="AH40" s="391">
        <v>0</v>
      </c>
      <c r="AI40" s="739">
        <f t="shared" si="27"/>
        <v>0</v>
      </c>
      <c r="AJ40" s="411">
        <v>0</v>
      </c>
      <c r="AK40" s="391">
        <v>0</v>
      </c>
      <c r="AL40" s="391">
        <f>-148.4-AK40-400</f>
        <v>-548.4</v>
      </c>
      <c r="AM40" s="391">
        <f>-419-AL40-AK40-328.7</f>
        <v>-199.3</v>
      </c>
      <c r="AN40" s="739">
        <f t="shared" si="28"/>
        <v>-304.10000000000002</v>
      </c>
      <c r="AO40" s="411">
        <f>-609.4-442.4</f>
        <v>-1051.8</v>
      </c>
      <c r="AP40" s="391">
        <v>-29.6</v>
      </c>
      <c r="AQ40" s="391">
        <f>-432.8-AP40</f>
        <v>-403.2</v>
      </c>
      <c r="AR40" s="391">
        <f>-307.8-605.7-AQ40-AP40</f>
        <v>-480.7</v>
      </c>
      <c r="AS40" s="739">
        <f t="shared" si="29"/>
        <v>-27.200000000000067</v>
      </c>
      <c r="AT40" s="411">
        <f>-307.8-632.9</f>
        <v>-940.7</v>
      </c>
      <c r="AU40" s="391">
        <v>-195.4</v>
      </c>
      <c r="AV40" s="391">
        <f>-199.3-AU40</f>
        <v>-3.9000000000000057</v>
      </c>
      <c r="AW40" s="391">
        <f>-199.3-102-AV40-AU40</f>
        <v>-101.99999999999997</v>
      </c>
      <c r="AX40" s="739">
        <f t="shared" si="30"/>
        <v>101.99999999999997</v>
      </c>
      <c r="AY40" s="411">
        <v>-199.3</v>
      </c>
      <c r="AZ40" s="391">
        <v>0</v>
      </c>
      <c r="BA40" s="391">
        <v>0</v>
      </c>
      <c r="BB40" s="391">
        <f>-43.7-BA40-AZ40</f>
        <v>-43.7</v>
      </c>
      <c r="BC40" s="739">
        <f t="shared" si="31"/>
        <v>0</v>
      </c>
      <c r="BD40" s="411">
        <v>-43.7</v>
      </c>
      <c r="BE40" s="391">
        <v>0</v>
      </c>
      <c r="BF40" s="391">
        <f>-551.4-BE40</f>
        <v>-551.4</v>
      </c>
      <c r="BG40" s="391">
        <f>-551.4-BF40-BE40</f>
        <v>0</v>
      </c>
      <c r="BH40" s="739">
        <f t="shared" si="32"/>
        <v>0</v>
      </c>
      <c r="BI40" s="411">
        <v>-551.4</v>
      </c>
      <c r="BJ40" s="391">
        <f>-5276.7+410</f>
        <v>-4866.7</v>
      </c>
      <c r="BK40" s="391">
        <f>-5276.7+410-BJ40</f>
        <v>0</v>
      </c>
      <c r="BL40" s="391">
        <f>-5287.8-BK40-BJ40</f>
        <v>-421.10000000000036</v>
      </c>
      <c r="BM40" s="739">
        <f t="shared" si="33"/>
        <v>4.6999999999998181</v>
      </c>
      <c r="BN40" s="411">
        <v>-5283.1</v>
      </c>
      <c r="BO40" s="391">
        <v>0</v>
      </c>
      <c r="BP40" s="391">
        <f>-45-BO40</f>
        <v>-45</v>
      </c>
      <c r="BQ40" s="391">
        <f>-45-BO40-BP40</f>
        <v>0</v>
      </c>
      <c r="BR40" s="739">
        <f t="shared" si="34"/>
        <v>0</v>
      </c>
      <c r="BS40" s="411">
        <v>-45</v>
      </c>
      <c r="BT40" s="391">
        <v>-882.1</v>
      </c>
      <c r="BU40" s="391">
        <f>-882.1-BT40</f>
        <v>0</v>
      </c>
      <c r="BV40" s="391">
        <f>-882.1-BU40-BT40</f>
        <v>0</v>
      </c>
      <c r="BW40" s="739">
        <f t="shared" si="35"/>
        <v>0</v>
      </c>
      <c r="BX40" s="411">
        <v>-882.1</v>
      </c>
      <c r="BY40" s="391"/>
      <c r="BZ40" s="391"/>
      <c r="CA40" s="391"/>
      <c r="CB40" s="391"/>
      <c r="CC40" s="377"/>
      <c r="CD40" s="377"/>
      <c r="CE40" s="377"/>
      <c r="CF40" s="377"/>
      <c r="CG40" s="377"/>
      <c r="CH40" s="377"/>
    </row>
    <row r="41" spans="1:86" hidden="1" outlineLevel="1">
      <c r="G41" s="230"/>
      <c r="H41" s="405" t="s">
        <v>204</v>
      </c>
      <c r="L41" s="391">
        <v>-67.599999999999994</v>
      </c>
      <c r="M41" s="391">
        <v>-77.5</v>
      </c>
      <c r="N41" s="391">
        <v>-71.3</v>
      </c>
      <c r="O41" s="391">
        <v>-137.19999999999999</v>
      </c>
      <c r="P41" s="409">
        <v>-353.6</v>
      </c>
      <c r="Q41" s="391">
        <v>85.1</v>
      </c>
      <c r="R41" s="391">
        <f>126.9-Q41</f>
        <v>41.800000000000011</v>
      </c>
      <c r="S41" s="391">
        <f>124.4-R41-Q41</f>
        <v>-2.5</v>
      </c>
      <c r="T41" s="392">
        <f t="shared" si="25"/>
        <v>54.599999999999994</v>
      </c>
      <c r="U41" s="409">
        <v>179</v>
      </c>
      <c r="V41" s="391">
        <v>-6.8</v>
      </c>
      <c r="W41" s="391">
        <f>-34.7-V41</f>
        <v>-27.900000000000002</v>
      </c>
      <c r="X41" s="391">
        <f>-84-W41-V41</f>
        <v>-49.3</v>
      </c>
      <c r="Y41" s="392">
        <f>-166.3-SUM(V41:X41)</f>
        <v>-82.300000000000011</v>
      </c>
      <c r="Z41" s="411">
        <v>-166.3</v>
      </c>
      <c r="AA41" s="391">
        <v>-41.6</v>
      </c>
      <c r="AB41" s="391">
        <f>-66.3-AA41</f>
        <v>-24.699999999999996</v>
      </c>
      <c r="AC41" s="391">
        <f>-85.4-AB41-AA41</f>
        <v>-19.100000000000009</v>
      </c>
      <c r="AD41" s="394">
        <f t="shared" si="26"/>
        <v>-199.4</v>
      </c>
      <c r="AE41" s="411">
        <v>-284.8</v>
      </c>
      <c r="AF41" s="391">
        <v>-19</v>
      </c>
      <c r="AG41" s="391">
        <f>-39.1-AF41</f>
        <v>-20.100000000000001</v>
      </c>
      <c r="AH41" s="391">
        <f>-70.8-AG41-AF41</f>
        <v>-31.699999999999996</v>
      </c>
      <c r="AI41" s="739">
        <f t="shared" si="27"/>
        <v>-23.700000000000003</v>
      </c>
      <c r="AJ41" s="411">
        <v>-94.5</v>
      </c>
      <c r="AK41" s="391">
        <v>-10.5</v>
      </c>
      <c r="AL41" s="391">
        <f>-57.3-AK41</f>
        <v>-46.8</v>
      </c>
      <c r="AM41" s="391">
        <f>-79.8-AL41-AK41</f>
        <v>-22.5</v>
      </c>
      <c r="AN41" s="739">
        <f t="shared" si="28"/>
        <v>-139.5</v>
      </c>
      <c r="AO41" s="411">
        <v>-219.3</v>
      </c>
      <c r="AP41" s="391">
        <v>-34.299999999999997</v>
      </c>
      <c r="AQ41" s="391">
        <f>-165-31.4-AP41</f>
        <v>-162.10000000000002</v>
      </c>
      <c r="AR41" s="391">
        <f>-165-33.3-AQ41-AP41</f>
        <v>-1.8999999999999915</v>
      </c>
      <c r="AS41" s="739">
        <f t="shared" si="29"/>
        <v>-78.899999999999991</v>
      </c>
      <c r="AT41" s="411">
        <f>-112.2-165</f>
        <v>-277.2</v>
      </c>
      <c r="AU41" s="391">
        <v>-50.9</v>
      </c>
      <c r="AV41" s="391">
        <f>-111.5-AU41</f>
        <v>-60.6</v>
      </c>
      <c r="AW41" s="391">
        <f>1212.1+165-61.8-AV41-AU41</f>
        <v>1426.8</v>
      </c>
      <c r="AX41" s="739">
        <f t="shared" si="30"/>
        <v>-177.60000000000014</v>
      </c>
      <c r="AY41" s="411">
        <f>-138.8-100.6+1212.1+165</f>
        <v>1137.6999999999998</v>
      </c>
      <c r="AZ41" s="391">
        <v>-18.399999999999999</v>
      </c>
      <c r="BA41" s="391">
        <f>-55.7-AZ41</f>
        <v>-37.300000000000004</v>
      </c>
      <c r="BB41" s="391">
        <f>-91.5-BA41-AZ41</f>
        <v>-35.799999999999997</v>
      </c>
      <c r="BC41" s="739">
        <f t="shared" si="31"/>
        <v>-30</v>
      </c>
      <c r="BD41" s="411">
        <f>-97.4-24.1</f>
        <v>-121.5</v>
      </c>
      <c r="BE41" s="391">
        <f>-25-11.9</f>
        <v>-36.9</v>
      </c>
      <c r="BF41" s="391">
        <f>-31.5-BE41</f>
        <v>5.3999999999999986</v>
      </c>
      <c r="BG41" s="391">
        <f>-50.4-BF41-BE41</f>
        <v>-18.899999999999999</v>
      </c>
      <c r="BH41" s="739">
        <f t="shared" si="32"/>
        <v>-5688.0000000000009</v>
      </c>
      <c r="BI41" s="411">
        <f>-5405.6-308.3-24.5</f>
        <v>-5738.4000000000005</v>
      </c>
      <c r="BJ41" s="391">
        <v>-2.7</v>
      </c>
      <c r="BK41" s="391">
        <f>-61.7-BJ41</f>
        <v>-59</v>
      </c>
      <c r="BL41" s="391">
        <f>-102.7+410+5405.6-BK41-BJ41</f>
        <v>5774.6</v>
      </c>
      <c r="BM41" s="739">
        <f t="shared" si="33"/>
        <v>-30.900000000000365</v>
      </c>
      <c r="BN41" s="411">
        <f>5405.6-133.6+410</f>
        <v>5682</v>
      </c>
      <c r="BO41" s="391">
        <f>+-36.5</f>
        <v>-36.5</v>
      </c>
      <c r="BP41" s="391">
        <f>-31.8-BO41</f>
        <v>4.6999999999999993</v>
      </c>
      <c r="BQ41" s="391">
        <f>-75.1-BP41-BO41</f>
        <v>-43.3</v>
      </c>
      <c r="BR41" s="739">
        <f t="shared" si="34"/>
        <v>-55</v>
      </c>
      <c r="BS41" s="411">
        <f>0-130.1+0</f>
        <v>-130.1</v>
      </c>
      <c r="BT41" s="391">
        <v>-7.8</v>
      </c>
      <c r="BU41" s="391">
        <f>-116.9-BT41</f>
        <v>-109.10000000000001</v>
      </c>
      <c r="BV41" s="391">
        <f>-178-BU41-BT41</f>
        <v>-61.099999999999994</v>
      </c>
      <c r="BW41" s="739">
        <f t="shared" si="35"/>
        <v>-37.800000000000011</v>
      </c>
      <c r="BX41" s="411">
        <v>-215.8</v>
      </c>
      <c r="BY41" s="391"/>
      <c r="BZ41" s="391"/>
      <c r="CA41" s="391"/>
      <c r="CB41" s="391"/>
      <c r="CC41" s="426"/>
      <c r="CD41" s="426"/>
      <c r="CE41" s="426"/>
      <c r="CF41" s="426"/>
      <c r="CG41" s="426"/>
      <c r="CH41" s="426"/>
    </row>
    <row r="42" spans="1:86" s="250" customFormat="1" collapsed="1">
      <c r="A42"/>
      <c r="B42"/>
      <c r="C42"/>
      <c r="D42"/>
      <c r="E42"/>
      <c r="F42"/>
      <c r="G42" s="418"/>
      <c r="H42" s="419" t="s">
        <v>48</v>
      </c>
      <c r="I42" s="419"/>
      <c r="J42" s="419"/>
      <c r="K42" s="419"/>
      <c r="L42" s="420">
        <v>1823.5</v>
      </c>
      <c r="M42" s="420">
        <v>-1198</v>
      </c>
      <c r="N42" s="420">
        <v>-832.2</v>
      </c>
      <c r="O42" s="420">
        <v>-2009.2</v>
      </c>
      <c r="P42" s="422">
        <v>-2215.9</v>
      </c>
      <c r="Q42" s="420">
        <f t="shared" ref="Q42:AF42" si="36">Q32+Q35</f>
        <v>-171.70000000000013</v>
      </c>
      <c r="R42" s="420">
        <f t="shared" si="36"/>
        <v>-86.599999999999909</v>
      </c>
      <c r="S42" s="420">
        <f t="shared" si="36"/>
        <v>211.69999999999993</v>
      </c>
      <c r="T42" s="420">
        <f t="shared" si="36"/>
        <v>655.00000000000034</v>
      </c>
      <c r="U42" s="422">
        <f t="shared" si="36"/>
        <v>608.39999999999986</v>
      </c>
      <c r="V42" s="420">
        <f t="shared" si="36"/>
        <v>-2455.3000000000002</v>
      </c>
      <c r="W42" s="420">
        <f t="shared" si="36"/>
        <v>-153.00000000000023</v>
      </c>
      <c r="X42" s="420">
        <f t="shared" si="36"/>
        <v>-655.69999999999993</v>
      </c>
      <c r="Y42" s="420">
        <f t="shared" si="36"/>
        <v>-1064.0999999999999</v>
      </c>
      <c r="Z42" s="423">
        <f t="shared" si="36"/>
        <v>-4328.1000000000004</v>
      </c>
      <c r="AA42" s="420">
        <f t="shared" si="36"/>
        <v>-1034</v>
      </c>
      <c r="AB42" s="420">
        <f t="shared" si="36"/>
        <v>-840.10000000000014</v>
      </c>
      <c r="AC42" s="420">
        <f t="shared" si="36"/>
        <v>71.599999999999909</v>
      </c>
      <c r="AD42" s="420">
        <f t="shared" si="36"/>
        <v>-5466.3</v>
      </c>
      <c r="AE42" s="428">
        <f t="shared" si="36"/>
        <v>-7268.8</v>
      </c>
      <c r="AF42" s="420">
        <f t="shared" si="36"/>
        <v>227.3</v>
      </c>
      <c r="AG42" s="420">
        <f t="shared" ref="AG42:AL42" si="37">AG32+AG35</f>
        <v>102.10000000000002</v>
      </c>
      <c r="AH42" s="420">
        <f t="shared" si="37"/>
        <v>67.700000000000102</v>
      </c>
      <c r="AI42" s="420">
        <f t="shared" si="37"/>
        <v>-254.30000000000021</v>
      </c>
      <c r="AJ42" s="428">
        <f t="shared" si="37"/>
        <v>142.80000000000018</v>
      </c>
      <c r="AK42" s="420">
        <f t="shared" si="37"/>
        <v>-52.599999999999994</v>
      </c>
      <c r="AL42" s="420">
        <f t="shared" si="37"/>
        <v>-754.2</v>
      </c>
      <c r="AM42" s="420">
        <f t="shared" ref="AM42:AR42" si="38">AM32+AM35</f>
        <v>-788.5</v>
      </c>
      <c r="AN42" s="420">
        <f t="shared" si="38"/>
        <v>-1564.4999999999998</v>
      </c>
      <c r="AO42" s="428">
        <f t="shared" si="38"/>
        <v>-3159.8</v>
      </c>
      <c r="AP42" s="420">
        <f t="shared" si="38"/>
        <v>-40.700000000000088</v>
      </c>
      <c r="AQ42" s="420">
        <f t="shared" si="38"/>
        <v>-1898.6</v>
      </c>
      <c r="AR42" s="420">
        <f t="shared" si="38"/>
        <v>-1008.3000000000003</v>
      </c>
      <c r="AS42" s="420">
        <f t="shared" ref="AS42:AY42" si="39">AS32+AS35</f>
        <v>-1876.7999999999995</v>
      </c>
      <c r="AT42" s="428">
        <f t="shared" si="39"/>
        <v>-4824.3999999999996</v>
      </c>
      <c r="AU42" s="420">
        <f t="shared" si="39"/>
        <v>-652.29999999999973</v>
      </c>
      <c r="AV42" s="420">
        <f t="shared" si="39"/>
        <v>-385.29999999999973</v>
      </c>
      <c r="AW42" s="420">
        <f t="shared" si="39"/>
        <v>-132.70000000000027</v>
      </c>
      <c r="AX42" s="420">
        <f t="shared" si="39"/>
        <v>-1662.5000000000009</v>
      </c>
      <c r="AY42" s="428">
        <f t="shared" si="39"/>
        <v>-2832.8000000000006</v>
      </c>
      <c r="AZ42" s="420">
        <f t="shared" ref="AZ42:BE42" si="40">AZ32+AZ35</f>
        <v>1355.1</v>
      </c>
      <c r="BA42" s="420">
        <f t="shared" si="40"/>
        <v>-1251.700000000001</v>
      </c>
      <c r="BB42" s="420">
        <f t="shared" si="40"/>
        <v>-943.79999999999916</v>
      </c>
      <c r="BC42" s="420">
        <f t="shared" si="40"/>
        <v>-1232.3999999999994</v>
      </c>
      <c r="BD42" s="428">
        <f t="shared" si="40"/>
        <v>-2072.7999999999993</v>
      </c>
      <c r="BE42" s="420">
        <f t="shared" si="40"/>
        <v>388.4000000000002</v>
      </c>
      <c r="BF42" s="420">
        <f t="shared" ref="BF42:BX42" si="41">BF32+BF35</f>
        <v>-468.89999999999975</v>
      </c>
      <c r="BG42" s="420">
        <f t="shared" si="41"/>
        <v>-1649.7000000000021</v>
      </c>
      <c r="BH42" s="420">
        <f t="shared" si="41"/>
        <v>-2178.9000000000015</v>
      </c>
      <c r="BI42" s="428">
        <f t="shared" si="41"/>
        <v>-3909.1000000000004</v>
      </c>
      <c r="BJ42" s="420">
        <f t="shared" si="41"/>
        <v>160.80000000000129</v>
      </c>
      <c r="BK42" s="420">
        <f t="shared" si="41"/>
        <v>182.39999999999927</v>
      </c>
      <c r="BL42" s="420">
        <f t="shared" si="41"/>
        <v>-570.10000000000036</v>
      </c>
      <c r="BM42" s="420">
        <f t="shared" si="41"/>
        <v>253.70000000000016</v>
      </c>
      <c r="BN42" s="428">
        <f t="shared" si="41"/>
        <v>26.799999999999613</v>
      </c>
      <c r="BO42" s="420">
        <f t="shared" si="41"/>
        <v>-145.40000000000003</v>
      </c>
      <c r="BP42" s="420">
        <f t="shared" si="41"/>
        <v>-1020.8999999999999</v>
      </c>
      <c r="BQ42" s="420">
        <f t="shared" si="41"/>
        <v>-794.69999999999959</v>
      </c>
      <c r="BR42" s="420">
        <f t="shared" si="41"/>
        <v>-1178.1000000000004</v>
      </c>
      <c r="BS42" s="428">
        <f t="shared" si="41"/>
        <v>-3139.1</v>
      </c>
      <c r="BT42" s="420">
        <f t="shared" si="41"/>
        <v>-1429.6</v>
      </c>
      <c r="BU42" s="420">
        <f t="shared" si="41"/>
        <v>-2248.9</v>
      </c>
      <c r="BV42" s="420">
        <f t="shared" si="41"/>
        <v>-1757.9999999999995</v>
      </c>
      <c r="BW42" s="420">
        <f t="shared" si="41"/>
        <v>1652.8999999999999</v>
      </c>
      <c r="BX42" s="428">
        <f t="shared" si="41"/>
        <v>-3783.6000000000004</v>
      </c>
      <c r="BY42" s="420"/>
      <c r="BZ42" s="420"/>
      <c r="CA42" s="420"/>
      <c r="CB42" s="420"/>
      <c r="CC42" s="428">
        <f t="shared" ref="CC42:CH42" si="42">CC32+CC35</f>
        <v>1353.1000000000004</v>
      </c>
      <c r="CD42" s="428">
        <f t="shared" si="42"/>
        <v>-1000</v>
      </c>
      <c r="CE42" s="428">
        <f t="shared" si="42"/>
        <v>-1000</v>
      </c>
      <c r="CF42" s="428">
        <f t="shared" si="42"/>
        <v>-1000</v>
      </c>
      <c r="CG42" s="428">
        <f t="shared" si="42"/>
        <v>-1000</v>
      </c>
      <c r="CH42" s="428">
        <f t="shared" si="42"/>
        <v>-1000</v>
      </c>
    </row>
    <row r="43" spans="1:86">
      <c r="G43" s="230"/>
      <c r="H43" s="250"/>
      <c r="I43" s="250"/>
      <c r="J43" s="250"/>
      <c r="K43" s="250"/>
      <c r="L43" s="384"/>
      <c r="M43" s="384"/>
      <c r="N43" s="384"/>
      <c r="O43" s="384"/>
      <c r="Q43" s="384"/>
      <c r="R43" s="384"/>
      <c r="S43" s="384"/>
      <c r="T43" s="384"/>
      <c r="V43" s="384"/>
      <c r="W43" s="384"/>
      <c r="X43" s="384"/>
      <c r="Y43" s="384"/>
      <c r="Z43" s="77"/>
      <c r="AA43" s="384"/>
      <c r="AB43" s="384"/>
      <c r="AC43" s="384"/>
      <c r="AD43" s="384"/>
      <c r="AE43" s="77"/>
      <c r="AF43" s="384"/>
      <c r="AG43" s="384"/>
      <c r="AH43" s="384"/>
      <c r="AI43" s="384"/>
      <c r="AJ43" s="77"/>
      <c r="AK43" s="384"/>
      <c r="AL43" s="408"/>
      <c r="AM43" s="408"/>
      <c r="AN43" s="384"/>
      <c r="AP43" s="384"/>
      <c r="AQ43" s="384"/>
      <c r="AR43" s="384"/>
      <c r="AS43" s="384"/>
      <c r="AU43" s="384"/>
      <c r="AV43" s="384"/>
      <c r="AW43" s="317"/>
      <c r="AX43" s="384"/>
      <c r="AZ43" s="384"/>
      <c r="BA43" s="384"/>
      <c r="BB43" s="317"/>
      <c r="BC43" s="384"/>
      <c r="BE43" s="384"/>
      <c r="BF43" s="384"/>
      <c r="BG43" s="384"/>
      <c r="BH43" s="384"/>
      <c r="BJ43" s="384"/>
      <c r="BK43" s="408"/>
      <c r="BL43" s="408"/>
      <c r="BM43" s="384"/>
      <c r="BO43" s="384"/>
      <c r="BP43" s="384"/>
      <c r="BQ43" s="384"/>
      <c r="BR43" s="408"/>
      <c r="BT43" s="384"/>
      <c r="BU43" s="384"/>
      <c r="BV43" s="384"/>
      <c r="BW43" s="408"/>
      <c r="BY43" s="408"/>
      <c r="BZ43" s="408"/>
      <c r="CA43" s="408"/>
      <c r="CB43" s="408"/>
    </row>
    <row r="44" spans="1:86">
      <c r="G44" s="230"/>
      <c r="H44" s="47" t="s">
        <v>90</v>
      </c>
      <c r="L44" s="391">
        <v>-413.2</v>
      </c>
      <c r="M44" s="391">
        <v>-408</v>
      </c>
      <c r="N44" s="391">
        <v>-424.5</v>
      </c>
      <c r="O44" s="391">
        <v>-409.2</v>
      </c>
      <c r="P44" s="395">
        <v>-1654.9</v>
      </c>
      <c r="Q44" s="391">
        <v>-433.5</v>
      </c>
      <c r="R44" s="391">
        <f>-864.6-Q44</f>
        <v>-431.1</v>
      </c>
      <c r="S44" s="391">
        <f>-1301.5-R44-Q44</f>
        <v>-436.9</v>
      </c>
      <c r="T44" s="392">
        <f>U44-SUM(Q44:S44)</f>
        <v>-434.79999999999995</v>
      </c>
      <c r="U44" s="395">
        <v>-1736.3</v>
      </c>
      <c r="V44" s="391">
        <v>-462.9</v>
      </c>
      <c r="W44" s="391">
        <f>-926.5-V44</f>
        <v>-463.6</v>
      </c>
      <c r="X44" s="391">
        <f>-1389.8-W44-V44</f>
        <v>-463.29999999999995</v>
      </c>
      <c r="Y44" s="392">
        <f>-1853.6-SUM(V44:X44)</f>
        <v>-463.79999999999995</v>
      </c>
      <c r="Z44" s="393">
        <v>-1853.6</v>
      </c>
      <c r="AA44" s="391">
        <v>-513.6</v>
      </c>
      <c r="AB44" s="391">
        <f>-1021.2-AA44</f>
        <v>-507.6</v>
      </c>
      <c r="AC44" s="391">
        <f>-1541.5-AB44-AA44</f>
        <v>-520.30000000000007</v>
      </c>
      <c r="AD44" s="394">
        <f>AE44-AC44-AB44-AA44</f>
        <v>-515.1999999999997</v>
      </c>
      <c r="AE44" s="393">
        <v>-2056.6999999999998</v>
      </c>
      <c r="AF44" s="391">
        <v>-536.79999999999995</v>
      </c>
      <c r="AG44" s="391">
        <f>-1075.8-AF44</f>
        <v>-539</v>
      </c>
      <c r="AH44" s="391">
        <f>-1612.4-AG44-AF44</f>
        <v>-536.60000000000014</v>
      </c>
      <c r="AI44" s="739">
        <f>AJ44-AH44-AG44-AF44</f>
        <v>-539.69999999999982</v>
      </c>
      <c r="AJ44" s="393">
        <v>-2152.1</v>
      </c>
      <c r="AK44" s="391">
        <v>-539.20000000000005</v>
      </c>
      <c r="AL44" s="391">
        <f>-1075.9-AK44</f>
        <v>-536.70000000000005</v>
      </c>
      <c r="AM44" s="391">
        <f>-1621.2-AL44-AK44</f>
        <v>-545.29999999999995</v>
      </c>
      <c r="AN44" s="739">
        <f>AO44-AM44-AL44-AK44</f>
        <v>-544.10000000000014</v>
      </c>
      <c r="AO44" s="393">
        <v>-2165.3000000000002</v>
      </c>
      <c r="AP44" s="391">
        <v>-543.20000000000005</v>
      </c>
      <c r="AQ44" s="391">
        <f>-1095.3-AP44</f>
        <v>-552.09999999999991</v>
      </c>
      <c r="AR44" s="391">
        <f>-1636.2-AQ44-AP44</f>
        <v>-540.90000000000009</v>
      </c>
      <c r="AS44" s="739">
        <f>AT44-AR44-AQ44-AP44</f>
        <v>-543.89999999999986</v>
      </c>
      <c r="AT44" s="393">
        <v>-2180.1</v>
      </c>
      <c r="AU44" s="391">
        <v>-544.6</v>
      </c>
      <c r="AV44" s="391">
        <f>-1095-AU44</f>
        <v>-550.4</v>
      </c>
      <c r="AW44" s="391">
        <f>-1639.2-AV44-AU44</f>
        <v>-544.20000000000016</v>
      </c>
      <c r="AX44" s="739">
        <f>AY44-AW44-AV44-AU44</f>
        <v>-548.1999999999997</v>
      </c>
      <c r="AY44" s="393">
        <v>-2187.4</v>
      </c>
      <c r="AZ44" s="391">
        <v>-531.1</v>
      </c>
      <c r="BA44" s="391">
        <f>-1064.1-AZ44</f>
        <v>-532.99999999999989</v>
      </c>
      <c r="BB44" s="391">
        <f>-1591.8-BA44-AZ44</f>
        <v>-527.70000000000016</v>
      </c>
      <c r="BC44" s="739">
        <f>BD44-BB44-BA44-AZ44</f>
        <v>-528.89999999999952</v>
      </c>
      <c r="BD44" s="393">
        <v>-2120.6999999999998</v>
      </c>
      <c r="BE44" s="391">
        <v>-524.1</v>
      </c>
      <c r="BF44" s="391">
        <f>-1051-BE44</f>
        <v>-526.9</v>
      </c>
      <c r="BG44" s="391">
        <f>-1576-BF44-BE44</f>
        <v>-524.99999999999989</v>
      </c>
      <c r="BH44" s="739">
        <f>BI44-BG44-BF44-BE44</f>
        <v>-525.1999999999997</v>
      </c>
      <c r="BI44" s="393">
        <v>-2101.1999999999998</v>
      </c>
      <c r="BJ44" s="391">
        <v>-527.9</v>
      </c>
      <c r="BK44" s="391">
        <f>-1067.7-BJ44</f>
        <v>-539.80000000000007</v>
      </c>
      <c r="BL44" s="391">
        <f>-1594-BK44-BJ44</f>
        <v>-526.29999999999984</v>
      </c>
      <c r="BM44" s="739">
        <f>BN44-BL44-BK44-BJ44</f>
        <v>-533.3000000000003</v>
      </c>
      <c r="BN44" s="393">
        <v>-2127.3000000000002</v>
      </c>
      <c r="BO44" s="391">
        <f>+-538.3</f>
        <v>-538.29999999999995</v>
      </c>
      <c r="BP44" s="391">
        <f>-1079.5-BO44</f>
        <v>-541.20000000000005</v>
      </c>
      <c r="BQ44" s="391">
        <f>-1617.4-BP44-BO44</f>
        <v>-537.90000000000009</v>
      </c>
      <c r="BR44" s="739">
        <f>BS44-BQ44-BP44-BO44</f>
        <v>-541.09999999999991</v>
      </c>
      <c r="BS44" s="393">
        <v>-2158.5</v>
      </c>
      <c r="BT44" s="391">
        <v>-547.4</v>
      </c>
      <c r="BU44" s="391">
        <f>-1096.1-BT44</f>
        <v>-548.69999999999993</v>
      </c>
      <c r="BV44" s="391">
        <f>-1643.8-BU44-BT44</f>
        <v>-547.69999999999993</v>
      </c>
      <c r="BW44" s="739">
        <f>BX44-BV44-BU44-BT44</f>
        <v>-548.3000000000003</v>
      </c>
      <c r="BX44" s="393">
        <v>-2192.1</v>
      </c>
      <c r="BY44" s="384"/>
      <c r="BZ44" s="384"/>
      <c r="CA44" s="384"/>
      <c r="CB44" s="384"/>
      <c r="CC44" s="381">
        <f t="shared" ref="CC44:CH44" si="43">-CC180*CC191</f>
        <v>-2360.6405499374996</v>
      </c>
      <c r="CD44" s="381">
        <f t="shared" si="43"/>
        <v>-2426.7804522788592</v>
      </c>
      <c r="CE44" s="381">
        <f t="shared" si="43"/>
        <v>-2461.2156300758506</v>
      </c>
      <c r="CF44" s="381">
        <f t="shared" si="43"/>
        <v>-2495.4223557819896</v>
      </c>
      <c r="CG44" s="381">
        <f t="shared" si="43"/>
        <v>-2529.4016901932214</v>
      </c>
      <c r="CH44" s="381">
        <f t="shared" si="43"/>
        <v>-2563.1546897967837</v>
      </c>
    </row>
    <row r="45" spans="1:86">
      <c r="G45" s="230"/>
      <c r="H45" s="47" t="s">
        <v>589</v>
      </c>
      <c r="L45" s="391">
        <v>-1788.2</v>
      </c>
      <c r="M45" s="391">
        <v>0</v>
      </c>
      <c r="N45" s="391">
        <v>-196.4</v>
      </c>
      <c r="O45" s="391">
        <v>-4.1000000000001364</v>
      </c>
      <c r="P45" s="411">
        <v>-1988.7</v>
      </c>
      <c r="Q45" s="391">
        <v>3.8</v>
      </c>
      <c r="R45" s="391">
        <f>4.9-Q45</f>
        <v>1.1000000000000005</v>
      </c>
      <c r="S45" s="391">
        <f>-1.8-R45-Q45</f>
        <v>-6.7</v>
      </c>
      <c r="T45" s="392">
        <f>U45-SUM(Q45:S45)</f>
        <v>-6.6000000000000005</v>
      </c>
      <c r="U45" s="411">
        <v>-8.4</v>
      </c>
      <c r="V45" s="391">
        <v>-3.9</v>
      </c>
      <c r="W45" s="391">
        <f>-372.9-V45</f>
        <v>-369</v>
      </c>
      <c r="X45" s="391">
        <f>-432.1-W45-V45</f>
        <v>-59.200000000000024</v>
      </c>
      <c r="Y45" s="392">
        <f>-468.5-SUM(V45:X45)</f>
        <v>-36.399999999999977</v>
      </c>
      <c r="Z45" s="411">
        <v>-468.5</v>
      </c>
      <c r="AA45" s="391">
        <v>-342.5</v>
      </c>
      <c r="AB45" s="391">
        <f>-349.3-AA45</f>
        <v>-6.8000000000000114</v>
      </c>
      <c r="AC45" s="391">
        <f>-392.2-AB45-AA45</f>
        <v>-42.899999999999977</v>
      </c>
      <c r="AD45" s="394">
        <f>AE45-AC45-AB45-AA45</f>
        <v>5452.7</v>
      </c>
      <c r="AE45" s="411">
        <v>5060.5</v>
      </c>
      <c r="AF45" s="391">
        <v>-4243.6000000000004</v>
      </c>
      <c r="AG45" s="391">
        <f>-4812.8-AF45</f>
        <v>-569.19999999999982</v>
      </c>
      <c r="AH45" s="391">
        <f>-4829.4-AG45-AF45</f>
        <v>-16.599999999999454</v>
      </c>
      <c r="AI45" s="739">
        <f>AJ45-AH45-AG45-AF45</f>
        <v>-994.80000000000018</v>
      </c>
      <c r="AJ45" s="411">
        <v>-5824.2</v>
      </c>
      <c r="AK45" s="391">
        <v>-7.9</v>
      </c>
      <c r="AL45" s="391">
        <f>-1.3-AK45</f>
        <v>6.6000000000000005</v>
      </c>
      <c r="AM45" s="391">
        <f>125.1-AL45-AK45</f>
        <v>126.4</v>
      </c>
      <c r="AN45" s="739">
        <f>AO45-AM45-AL45-AK45</f>
        <v>-1.2000000000000011</v>
      </c>
      <c r="AO45" s="411">
        <v>123.9</v>
      </c>
      <c r="AP45" s="391">
        <v>-116.2</v>
      </c>
      <c r="AQ45" s="391">
        <f>-128.5-AP45</f>
        <v>-12.299999999999997</v>
      </c>
      <c r="AR45" s="391">
        <f>-28.6-AQ45-AP45</f>
        <v>99.9</v>
      </c>
      <c r="AS45" s="739">
        <f>AT45-AR45-AQ45-AP45</f>
        <v>-112.60000000000001</v>
      </c>
      <c r="AT45" s="411">
        <v>-141.19999999999999</v>
      </c>
      <c r="AU45" s="391">
        <v>-12.4</v>
      </c>
      <c r="AV45" s="391">
        <f>-14.7-AU45</f>
        <v>-2.2999999999999989</v>
      </c>
      <c r="AW45" s="391">
        <f>-15.2-AV45-AU45</f>
        <v>-0.5</v>
      </c>
      <c r="AX45" s="739">
        <f>AY45-AW45-AV45-AU45</f>
        <v>4.6999999999999993</v>
      </c>
      <c r="AY45" s="411">
        <v>-10.5</v>
      </c>
      <c r="AZ45" s="391">
        <v>0</v>
      </c>
      <c r="BA45" s="391">
        <v>0</v>
      </c>
      <c r="BB45" s="391">
        <v>0</v>
      </c>
      <c r="BC45" s="739">
        <f>BD45-BB45-BA45-AZ45</f>
        <v>0</v>
      </c>
      <c r="BD45" s="411">
        <v>0</v>
      </c>
      <c r="BE45" s="391">
        <v>0</v>
      </c>
      <c r="BF45" s="391">
        <f>2.3-BE45</f>
        <v>2.2999999999999998</v>
      </c>
      <c r="BG45" s="391">
        <f>304.9-BF45-BE45</f>
        <v>302.59999999999997</v>
      </c>
      <c r="BH45" s="739">
        <f>BI45-BG45-BF45-BE45</f>
        <v>2375.6999999999998</v>
      </c>
      <c r="BI45" s="411">
        <v>2680.6</v>
      </c>
      <c r="BJ45" s="391">
        <v>-2088.6</v>
      </c>
      <c r="BK45" s="391">
        <f>-2679.3-BJ45</f>
        <v>-590.70000000000027</v>
      </c>
      <c r="BL45" s="391">
        <f>-2680.7-BK45-BJ45</f>
        <v>-1.3999999999996362</v>
      </c>
      <c r="BM45" s="739">
        <f>BN45-BL45-BK45-BJ45</f>
        <v>9.9999999999909051E-2</v>
      </c>
      <c r="BN45" s="411">
        <v>-2680.6</v>
      </c>
      <c r="BO45" s="391">
        <f>+-1.1</f>
        <v>-1.1000000000000001</v>
      </c>
      <c r="BP45" s="391">
        <f>-1.4-BO45</f>
        <v>-0.29999999999999982</v>
      </c>
      <c r="BQ45" s="391">
        <f>-1.7-BP45-BO45</f>
        <v>-0.30000000000000004</v>
      </c>
      <c r="BR45" s="739">
        <f>BS45-BQ45-BP45-BO45</f>
        <v>1294.8999999999999</v>
      </c>
      <c r="BS45" s="411">
        <v>1293.2</v>
      </c>
      <c r="BT45" s="391">
        <v>497.5</v>
      </c>
      <c r="BU45" s="391">
        <f>125.7-BT45</f>
        <v>-371.8</v>
      </c>
      <c r="BV45" s="391">
        <f>1226.8-BU45-BT45</f>
        <v>1101.0999999999999</v>
      </c>
      <c r="BW45" s="739">
        <f>BX45-BV45-BU45-BT45</f>
        <v>170.70000000000005</v>
      </c>
      <c r="BX45" s="411">
        <v>1397.5</v>
      </c>
      <c r="BY45" s="383"/>
      <c r="BZ45" s="383"/>
      <c r="CA45" s="383"/>
      <c r="CB45" s="383"/>
      <c r="CC45" s="410">
        <f>CC86-BX86</f>
        <v>-3706.6</v>
      </c>
      <c r="CD45" s="410">
        <f>CD86-CC86</f>
        <v>0</v>
      </c>
      <c r="CE45" s="410">
        <f>CE86-CD86</f>
        <v>0</v>
      </c>
      <c r="CF45" s="410">
        <f>CF86-CE86</f>
        <v>0</v>
      </c>
      <c r="CG45" s="410">
        <f>CG86-CF86</f>
        <v>0</v>
      </c>
      <c r="CH45" s="410">
        <f>CH86-CG86</f>
        <v>0</v>
      </c>
    </row>
    <row r="46" spans="1:86">
      <c r="G46" s="230"/>
      <c r="H46" s="47" t="s">
        <v>195</v>
      </c>
      <c r="L46" s="391">
        <v>-97.1</v>
      </c>
      <c r="M46" s="391">
        <v>105</v>
      </c>
      <c r="N46" s="391">
        <v>1990.1</v>
      </c>
      <c r="O46" s="391">
        <v>-2.7000000000000455</v>
      </c>
      <c r="P46" s="409">
        <v>1995.3</v>
      </c>
      <c r="Q46" s="392">
        <f>SUM(Q47:Q48)</f>
        <v>-97.7</v>
      </c>
      <c r="R46" s="392">
        <f>SUM(R47:R48)</f>
        <v>-2.3999999999999915</v>
      </c>
      <c r="S46" s="392">
        <f>SUM(S47:S48)</f>
        <v>-1498.8999999999999</v>
      </c>
      <c r="T46" s="392">
        <f>U46-SUM(Q46:S46)</f>
        <v>-1182.5000000000002</v>
      </c>
      <c r="U46" s="390">
        <f t="shared" ref="U46:AF46" si="44">SUM(U47:U48)</f>
        <v>-2781.5</v>
      </c>
      <c r="V46" s="392">
        <f t="shared" si="44"/>
        <v>1402.8</v>
      </c>
      <c r="W46" s="392">
        <f t="shared" si="44"/>
        <v>95</v>
      </c>
      <c r="X46" s="392">
        <f t="shared" si="44"/>
        <v>-55.5</v>
      </c>
      <c r="Y46" s="392">
        <f t="shared" si="44"/>
        <v>10.799999999999955</v>
      </c>
      <c r="Z46" s="429">
        <f t="shared" si="44"/>
        <v>1453.1</v>
      </c>
      <c r="AA46" s="392">
        <f t="shared" si="44"/>
        <v>-0.70000000000000007</v>
      </c>
      <c r="AB46" s="392">
        <f t="shared" si="44"/>
        <v>-6.6000000000000005</v>
      </c>
      <c r="AC46" s="392">
        <f t="shared" si="44"/>
        <v>-3.4000000000000004</v>
      </c>
      <c r="AD46" s="392">
        <f t="shared" si="44"/>
        <v>-639</v>
      </c>
      <c r="AE46" s="429">
        <f t="shared" si="44"/>
        <v>-649.69999999999993</v>
      </c>
      <c r="AF46" s="392">
        <f t="shared" si="44"/>
        <v>2400</v>
      </c>
      <c r="AG46" s="392">
        <f t="shared" ref="AG46:AL46" si="45">SUM(AG47:AG48)</f>
        <v>0</v>
      </c>
      <c r="AH46" s="392">
        <f t="shared" si="45"/>
        <v>-400</v>
      </c>
      <c r="AI46" s="739">
        <f t="shared" si="45"/>
        <v>400</v>
      </c>
      <c r="AJ46" s="429">
        <f t="shared" si="45"/>
        <v>2400</v>
      </c>
      <c r="AK46" s="392">
        <f t="shared" si="45"/>
        <v>0.1</v>
      </c>
      <c r="AL46" s="392">
        <f t="shared" si="45"/>
        <v>0.6</v>
      </c>
      <c r="AM46" s="392">
        <f t="shared" ref="AM46:AR46" si="46">SUM(AM47:AM48)</f>
        <v>-0.39999999999999991</v>
      </c>
      <c r="AN46" s="739">
        <f t="shared" si="46"/>
        <v>-0.20000000000000021</v>
      </c>
      <c r="AO46" s="429">
        <f t="shared" si="46"/>
        <v>9.9999999999999867E-2</v>
      </c>
      <c r="AP46" s="392">
        <f t="shared" si="46"/>
        <v>-54.6</v>
      </c>
      <c r="AQ46" s="392">
        <f t="shared" si="46"/>
        <v>0</v>
      </c>
      <c r="AR46" s="392">
        <f t="shared" si="46"/>
        <v>0</v>
      </c>
      <c r="AS46" s="739">
        <f t="shared" ref="AS46:AY46" si="47">SUM(AS47:AS48)</f>
        <v>0</v>
      </c>
      <c r="AT46" s="429">
        <f t="shared" si="47"/>
        <v>-54.6</v>
      </c>
      <c r="AU46" s="392">
        <f t="shared" si="47"/>
        <v>-1500</v>
      </c>
      <c r="AV46" s="392">
        <f t="shared" si="47"/>
        <v>0</v>
      </c>
      <c r="AW46" s="392">
        <f t="shared" si="47"/>
        <v>0</v>
      </c>
      <c r="AX46" s="739">
        <f t="shared" si="47"/>
        <v>-0.59999999999990905</v>
      </c>
      <c r="AY46" s="429">
        <f t="shared" si="47"/>
        <v>-1500.6</v>
      </c>
      <c r="AZ46" s="392">
        <f t="shared" ref="AZ46:BE46" si="48">SUM(AZ47:AZ48)</f>
        <v>-0.9</v>
      </c>
      <c r="BA46" s="392">
        <f t="shared" si="48"/>
        <v>-0.79999999999999993</v>
      </c>
      <c r="BB46" s="392">
        <f t="shared" si="48"/>
        <v>-1.3000000000000003</v>
      </c>
      <c r="BC46" s="739">
        <f t="shared" si="48"/>
        <v>-7.4999999999999982</v>
      </c>
      <c r="BD46" s="429">
        <f t="shared" si="48"/>
        <v>-10.5</v>
      </c>
      <c r="BE46" s="392">
        <f t="shared" si="48"/>
        <v>-9.1000000000000227</v>
      </c>
      <c r="BF46" s="392">
        <f t="shared" ref="BF46:BX46" si="49">SUM(BF47:BF48)</f>
        <v>-31.799999999999955</v>
      </c>
      <c r="BG46" s="392">
        <f t="shared" si="49"/>
        <v>-0.5</v>
      </c>
      <c r="BH46" s="739">
        <f t="shared" si="49"/>
        <v>-0.5</v>
      </c>
      <c r="BI46" s="429">
        <f t="shared" si="49"/>
        <v>-41.899999999999977</v>
      </c>
      <c r="BJ46" s="392">
        <f t="shared" si="49"/>
        <v>2180.5</v>
      </c>
      <c r="BK46" s="392">
        <f t="shared" si="49"/>
        <v>324.90000000000032</v>
      </c>
      <c r="BL46" s="392">
        <f t="shared" si="49"/>
        <v>-1.3999999999998636</v>
      </c>
      <c r="BM46" s="739">
        <f t="shared" si="49"/>
        <v>-5.0000000000006821</v>
      </c>
      <c r="BN46" s="429">
        <f t="shared" si="49"/>
        <v>2499</v>
      </c>
      <c r="BO46" s="392">
        <f t="shared" si="49"/>
        <v>0</v>
      </c>
      <c r="BP46" s="392">
        <f t="shared" si="49"/>
        <v>1206.5</v>
      </c>
      <c r="BQ46" s="392">
        <f t="shared" si="49"/>
        <v>-0.1</v>
      </c>
      <c r="BR46" s="739">
        <f t="shared" si="49"/>
        <v>0</v>
      </c>
      <c r="BS46" s="429">
        <f t="shared" si="49"/>
        <v>1206.3999999999999</v>
      </c>
      <c r="BT46" s="392">
        <f t="shared" si="49"/>
        <v>-630.20000000000005</v>
      </c>
      <c r="BU46" s="392">
        <f t="shared" si="49"/>
        <v>2231.6999999999998</v>
      </c>
      <c r="BV46" s="392">
        <f t="shared" si="49"/>
        <v>-0.10000000000002274</v>
      </c>
      <c r="BW46" s="739">
        <f t="shared" si="49"/>
        <v>0</v>
      </c>
      <c r="BX46" s="429">
        <f t="shared" si="49"/>
        <v>1601.4</v>
      </c>
      <c r="BY46" s="383"/>
      <c r="BZ46" s="383"/>
      <c r="CA46" s="383"/>
      <c r="CB46" s="383"/>
      <c r="CC46" s="426">
        <f>CC96-BX96</f>
        <v>-4334.6799999999994</v>
      </c>
      <c r="CD46" s="426">
        <f>CD96-CC96</f>
        <v>-901.3700000000008</v>
      </c>
      <c r="CE46" s="426">
        <f>CE96-CD96</f>
        <v>0</v>
      </c>
      <c r="CF46" s="426">
        <f>CF96-CE96</f>
        <v>0</v>
      </c>
      <c r="CG46" s="426">
        <f>CG96-CF96</f>
        <v>-654.29999999999973</v>
      </c>
      <c r="CH46" s="426">
        <f>CH96-CG96</f>
        <v>0</v>
      </c>
    </row>
    <row r="47" spans="1:86" hidden="1" outlineLevel="1">
      <c r="G47" s="230"/>
      <c r="H47" s="405" t="s">
        <v>339</v>
      </c>
      <c r="L47" s="391">
        <v>-97.1</v>
      </c>
      <c r="M47" s="391"/>
      <c r="N47" s="391"/>
      <c r="O47" s="391">
        <v>3097.1</v>
      </c>
      <c r="P47" s="411">
        <v>3000</v>
      </c>
      <c r="Q47" s="391"/>
      <c r="R47" s="391"/>
      <c r="S47" s="391"/>
      <c r="T47" s="392">
        <f>U47-SUM(Q47:S47)</f>
        <v>0</v>
      </c>
      <c r="U47" s="430"/>
      <c r="V47" s="391">
        <v>2500</v>
      </c>
      <c r="W47" s="391">
        <f>2500-V47</f>
        <v>0</v>
      </c>
      <c r="X47" s="391">
        <f>2500-W47-V47</f>
        <v>0</v>
      </c>
      <c r="Y47" s="392">
        <f>2512.6-SUM(V47:X47)</f>
        <v>12.599999999999909</v>
      </c>
      <c r="Z47" s="411">
        <v>2512.6</v>
      </c>
      <c r="AA47" s="391">
        <v>0.1</v>
      </c>
      <c r="AB47" s="391">
        <f>0.1-AA47</f>
        <v>0</v>
      </c>
      <c r="AC47" s="391">
        <f>0.1-AB47-AA47</f>
        <v>0</v>
      </c>
      <c r="AD47" s="394">
        <f>AE47-AC47-AB47-AA47</f>
        <v>0</v>
      </c>
      <c r="AE47" s="411">
        <v>0.1</v>
      </c>
      <c r="AF47" s="391">
        <v>2400</v>
      </c>
      <c r="AG47" s="391">
        <f>2400-AF47</f>
        <v>0</v>
      </c>
      <c r="AH47" s="391">
        <f>2400-AG47-AF47</f>
        <v>0</v>
      </c>
      <c r="AI47" s="739">
        <f>AJ47-AH47-AG47-AF47</f>
        <v>0</v>
      </c>
      <c r="AJ47" s="411">
        <v>2400</v>
      </c>
      <c r="AK47" s="391">
        <v>0.1</v>
      </c>
      <c r="AL47" s="391">
        <f>0.7-AK47</f>
        <v>0.6</v>
      </c>
      <c r="AM47" s="391">
        <f>1-AL47-AK47</f>
        <v>0.30000000000000004</v>
      </c>
      <c r="AN47" s="739">
        <f>AO47-AM47-AL47-AK47</f>
        <v>0.19999999999999993</v>
      </c>
      <c r="AO47" s="411">
        <v>1.2</v>
      </c>
      <c r="AP47" s="391">
        <v>0</v>
      </c>
      <c r="AQ47" s="391">
        <v>0</v>
      </c>
      <c r="AR47" s="391">
        <v>0</v>
      </c>
      <c r="AS47" s="739">
        <f>AT47-AR47-AQ47-AP47</f>
        <v>0</v>
      </c>
      <c r="AT47" s="411">
        <v>0</v>
      </c>
      <c r="AU47" s="391">
        <v>0</v>
      </c>
      <c r="AV47" s="391">
        <v>0</v>
      </c>
      <c r="AW47" s="391">
        <v>0</v>
      </c>
      <c r="AX47" s="739">
        <f>AY47-AW47-AV47-AU47</f>
        <v>0</v>
      </c>
      <c r="AY47" s="411">
        <v>0</v>
      </c>
      <c r="AZ47" s="391">
        <v>0</v>
      </c>
      <c r="BA47" s="391">
        <v>0</v>
      </c>
      <c r="BB47" s="391">
        <v>0</v>
      </c>
      <c r="BC47" s="739">
        <f>BD47-BB47-BA47-AZ47</f>
        <v>0</v>
      </c>
      <c r="BD47" s="411">
        <v>0</v>
      </c>
      <c r="BE47" s="391">
        <v>992.9</v>
      </c>
      <c r="BF47" s="391">
        <f>992.9-BE47</f>
        <v>0</v>
      </c>
      <c r="BG47" s="391">
        <f>992.9-BF47-BE47</f>
        <v>0</v>
      </c>
      <c r="BH47" s="739">
        <f>BI47-BG47-BF47-BE47</f>
        <v>0</v>
      </c>
      <c r="BI47" s="411">
        <v>992.9</v>
      </c>
      <c r="BJ47" s="391">
        <v>2182</v>
      </c>
      <c r="BK47" s="391">
        <f>4454.6-BJ47</f>
        <v>2272.6000000000004</v>
      </c>
      <c r="BL47" s="391">
        <f>4454.6-BK47-BJ47</f>
        <v>0</v>
      </c>
      <c r="BM47" s="739">
        <f>BN47-BL47-BK47-BJ47</f>
        <v>9.9999999999454303E-2</v>
      </c>
      <c r="BN47" s="411">
        <v>4454.7</v>
      </c>
      <c r="BO47" s="391">
        <v>0</v>
      </c>
      <c r="BP47" s="391">
        <f>1206.6-BO47</f>
        <v>1206.5999999999999</v>
      </c>
      <c r="BQ47" s="391">
        <f>1206.6-BP47-BO47</f>
        <v>0</v>
      </c>
      <c r="BR47" s="739">
        <f>BS47-BQ47-BP47-BO47</f>
        <v>0</v>
      </c>
      <c r="BS47" s="411">
        <v>1206.5999999999999</v>
      </c>
      <c r="BT47" s="391">
        <v>0</v>
      </c>
      <c r="BU47" s="391">
        <f>2232-BT47</f>
        <v>2232</v>
      </c>
      <c r="BV47" s="391">
        <f>2232-BU47-BT47</f>
        <v>0</v>
      </c>
      <c r="BW47" s="739">
        <f>BX47-BV47-BU47-BT47</f>
        <v>0</v>
      </c>
      <c r="BX47" s="411">
        <v>2232</v>
      </c>
      <c r="BY47" s="415"/>
      <c r="BZ47" s="415"/>
      <c r="CA47" s="415"/>
      <c r="CB47" s="415"/>
      <c r="CC47" s="416"/>
      <c r="CD47" s="416"/>
      <c r="CE47" s="416"/>
      <c r="CF47" s="416"/>
      <c r="CG47" s="416"/>
      <c r="CH47" s="416"/>
    </row>
    <row r="48" spans="1:86" hidden="1" outlineLevel="1">
      <c r="G48" s="230"/>
      <c r="H48" s="405" t="s">
        <v>324</v>
      </c>
      <c r="L48" s="391"/>
      <c r="M48" s="391"/>
      <c r="N48" s="391"/>
      <c r="O48" s="391">
        <v>-1004.7</v>
      </c>
      <c r="P48" s="395">
        <v>-1004.7</v>
      </c>
      <c r="Q48" s="391">
        <v>-97.7</v>
      </c>
      <c r="R48" s="391">
        <f>-100.1-Q48</f>
        <v>-2.3999999999999915</v>
      </c>
      <c r="S48" s="391">
        <f>-1599-R48-Q48</f>
        <v>-1498.8999999999999</v>
      </c>
      <c r="T48" s="392">
        <f>U48-SUM(Q48:S48)</f>
        <v>-1182.5000000000002</v>
      </c>
      <c r="U48" s="395">
        <v>-2781.5</v>
      </c>
      <c r="V48" s="391">
        <v>-1097.2</v>
      </c>
      <c r="W48" s="391">
        <f>-1002.2-V48</f>
        <v>95</v>
      </c>
      <c r="X48" s="391">
        <f>-1057.7-W48-V48</f>
        <v>-55.5</v>
      </c>
      <c r="Y48" s="392">
        <f>-1059.5-SUM(V48:X48)</f>
        <v>-1.7999999999999545</v>
      </c>
      <c r="Z48" s="393">
        <v>-1059.5</v>
      </c>
      <c r="AA48" s="391">
        <v>-0.8</v>
      </c>
      <c r="AB48" s="391">
        <f>-7.4-AA48</f>
        <v>-6.6000000000000005</v>
      </c>
      <c r="AC48" s="391">
        <f>-10.8-AB48-AA48</f>
        <v>-3.4000000000000004</v>
      </c>
      <c r="AD48" s="394">
        <f>AE48-AC48-AB48-AA48</f>
        <v>-639</v>
      </c>
      <c r="AE48" s="411">
        <v>-649.79999999999995</v>
      </c>
      <c r="AF48" s="391">
        <v>0</v>
      </c>
      <c r="AG48" s="391">
        <v>0</v>
      </c>
      <c r="AH48" s="391">
        <f>-400-AG48-AF48</f>
        <v>-400</v>
      </c>
      <c r="AI48" s="739">
        <f>AJ48-AH48-AG48-AF48</f>
        <v>400</v>
      </c>
      <c r="AJ48" s="411">
        <v>0</v>
      </c>
      <c r="AK48" s="391">
        <v>0</v>
      </c>
      <c r="AL48" s="391">
        <f>0-AK48</f>
        <v>0</v>
      </c>
      <c r="AM48" s="391">
        <f>-0.7-AL48-AK48</f>
        <v>-0.7</v>
      </c>
      <c r="AN48" s="739">
        <f>AO48-AM48-AL48-AK48</f>
        <v>-0.40000000000000013</v>
      </c>
      <c r="AO48" s="411">
        <v>-1.1000000000000001</v>
      </c>
      <c r="AP48" s="391">
        <v>-54.6</v>
      </c>
      <c r="AQ48" s="391">
        <f>-54.6-AP48</f>
        <v>0</v>
      </c>
      <c r="AR48" s="391">
        <f>-54.6-AQ48-AP48</f>
        <v>0</v>
      </c>
      <c r="AS48" s="739">
        <f>AT48-AR48-AQ48-AP48</f>
        <v>0</v>
      </c>
      <c r="AT48" s="411">
        <v>-54.6</v>
      </c>
      <c r="AU48" s="391">
        <v>-1500</v>
      </c>
      <c r="AV48" s="391">
        <f>-1500-AU48</f>
        <v>0</v>
      </c>
      <c r="AW48" s="391">
        <f>-1500-AV48-AU48</f>
        <v>0</v>
      </c>
      <c r="AX48" s="739">
        <f>AY48-AW48-AV48-AU48</f>
        <v>-0.59999999999990905</v>
      </c>
      <c r="AY48" s="411">
        <v>-1500.6</v>
      </c>
      <c r="AZ48" s="391">
        <v>-0.9</v>
      </c>
      <c r="BA48" s="391">
        <f>-1.7-AZ48</f>
        <v>-0.79999999999999993</v>
      </c>
      <c r="BB48" s="391">
        <f>-3-BA48-AZ48</f>
        <v>-1.3000000000000003</v>
      </c>
      <c r="BC48" s="739">
        <f>BD48-BB48-BA48-AZ48</f>
        <v>-7.4999999999999982</v>
      </c>
      <c r="BD48" s="411">
        <v>-10.5</v>
      </c>
      <c r="BE48" s="391">
        <v>-1002</v>
      </c>
      <c r="BF48" s="391">
        <f>-1033.8-BE48</f>
        <v>-31.799999999999955</v>
      </c>
      <c r="BG48" s="391">
        <f>-1034.3-BF48-BE48</f>
        <v>-0.5</v>
      </c>
      <c r="BH48" s="739">
        <f>BI48-BG48-BF48-BE48</f>
        <v>-0.5</v>
      </c>
      <c r="BI48" s="411">
        <v>-1034.8</v>
      </c>
      <c r="BJ48" s="391">
        <v>-1.5</v>
      </c>
      <c r="BK48" s="391">
        <f>-1949.2-BJ48</f>
        <v>-1947.7</v>
      </c>
      <c r="BL48" s="391">
        <f>-1950.6-BK48-BJ48</f>
        <v>-1.3999999999998636</v>
      </c>
      <c r="BM48" s="739">
        <f>BN48-BL48-BK48-BJ48</f>
        <v>-5.1000000000001364</v>
      </c>
      <c r="BN48" s="411">
        <v>-1955.7</v>
      </c>
      <c r="BO48" s="391">
        <v>0</v>
      </c>
      <c r="BP48" s="391">
        <f>-0.1-BO48</f>
        <v>-0.1</v>
      </c>
      <c r="BQ48" s="391">
        <f>-0.2-BP48-BO48</f>
        <v>-0.1</v>
      </c>
      <c r="BR48" s="739">
        <f>BS48-BQ48-BP48-BO48</f>
        <v>0</v>
      </c>
      <c r="BS48" s="411">
        <v>-0.2</v>
      </c>
      <c r="BT48" s="391">
        <v>-630.20000000000005</v>
      </c>
      <c r="BU48" s="391">
        <f>-630.5-BT48</f>
        <v>-0.29999999999995453</v>
      </c>
      <c r="BV48" s="391">
        <f>-630.6-BU48-BT48</f>
        <v>-0.10000000000002274</v>
      </c>
      <c r="BW48" s="739">
        <f>BX48-BV48-BU48-BT48</f>
        <v>0</v>
      </c>
      <c r="BX48" s="411">
        <v>-630.6</v>
      </c>
      <c r="BY48" s="384"/>
      <c r="BZ48" s="384"/>
      <c r="CA48" s="384"/>
      <c r="CB48" s="384"/>
      <c r="CC48" s="377"/>
      <c r="CD48" s="377"/>
      <c r="CE48" s="377"/>
      <c r="CF48" s="377"/>
      <c r="CG48" s="377"/>
      <c r="CH48" s="377"/>
    </row>
    <row r="49" spans="1:86" collapsed="1">
      <c r="G49" s="230"/>
      <c r="H49" s="47" t="s">
        <v>511</v>
      </c>
      <c r="L49" s="391">
        <v>0.9</v>
      </c>
      <c r="M49" s="391"/>
      <c r="N49" s="391">
        <v>33.200000000000003</v>
      </c>
      <c r="O49" s="391">
        <v>5.7</v>
      </c>
      <c r="P49" s="395">
        <v>39.799999999999997</v>
      </c>
      <c r="Q49" s="392">
        <f t="shared" ref="Q49:AF49" si="50">SUM(Q50:Q52)</f>
        <v>-112.89999999999999</v>
      </c>
      <c r="R49" s="392">
        <f t="shared" si="50"/>
        <v>4.9000000000000004</v>
      </c>
      <c r="S49" s="392">
        <f t="shared" si="50"/>
        <v>36.4</v>
      </c>
      <c r="T49" s="392">
        <f t="shared" si="50"/>
        <v>19</v>
      </c>
      <c r="U49" s="431">
        <f t="shared" si="50"/>
        <v>-52.599999999999994</v>
      </c>
      <c r="V49" s="392">
        <f t="shared" si="50"/>
        <v>7.6</v>
      </c>
      <c r="W49" s="392">
        <f t="shared" si="50"/>
        <v>13</v>
      </c>
      <c r="X49" s="392">
        <f t="shared" si="50"/>
        <v>4.8000000000000025</v>
      </c>
      <c r="Y49" s="392">
        <f t="shared" si="50"/>
        <v>-1.3000000000000016</v>
      </c>
      <c r="Z49" s="431">
        <f t="shared" si="50"/>
        <v>24.099999999999998</v>
      </c>
      <c r="AA49" s="392">
        <f t="shared" si="50"/>
        <v>-5.0999999999999996</v>
      </c>
      <c r="AB49" s="392">
        <f t="shared" si="50"/>
        <v>-2.5</v>
      </c>
      <c r="AC49" s="392">
        <f t="shared" si="50"/>
        <v>0.79999999999999982</v>
      </c>
      <c r="AD49" s="392">
        <f t="shared" si="50"/>
        <v>-1.2999999999999989</v>
      </c>
      <c r="AE49" s="431">
        <f t="shared" si="50"/>
        <v>-8.1</v>
      </c>
      <c r="AF49" s="392">
        <f t="shared" si="50"/>
        <v>0</v>
      </c>
      <c r="AG49" s="392">
        <f t="shared" ref="AG49:AL49" si="51">SUM(AG50:AG52)</f>
        <v>-3.4</v>
      </c>
      <c r="AH49" s="392">
        <f t="shared" si="51"/>
        <v>40</v>
      </c>
      <c r="AI49" s="739">
        <f t="shared" si="51"/>
        <v>6.0000000000000018</v>
      </c>
      <c r="AJ49" s="431">
        <f t="shared" si="51"/>
        <v>42.6</v>
      </c>
      <c r="AK49" s="392">
        <f t="shared" si="51"/>
        <v>0</v>
      </c>
      <c r="AL49" s="392">
        <f t="shared" si="51"/>
        <v>-2</v>
      </c>
      <c r="AM49" s="392">
        <f t="shared" ref="AM49:AR49" si="52">SUM(AM50:AM52)</f>
        <v>25.5</v>
      </c>
      <c r="AN49" s="739">
        <f t="shared" si="52"/>
        <v>-4.1000000000000014</v>
      </c>
      <c r="AO49" s="431">
        <f t="shared" si="52"/>
        <v>19.399999999999999</v>
      </c>
      <c r="AP49" s="392">
        <f t="shared" si="52"/>
        <v>0.2</v>
      </c>
      <c r="AQ49" s="392">
        <f t="shared" si="52"/>
        <v>9.9999999999999978E-2</v>
      </c>
      <c r="AR49" s="392">
        <f t="shared" si="52"/>
        <v>0.10000000000000003</v>
      </c>
      <c r="AS49" s="739">
        <f t="shared" ref="AS49:AY49" si="53">SUM(AS50:AS52)</f>
        <v>5.6000000000000005</v>
      </c>
      <c r="AT49" s="431">
        <f t="shared" si="53"/>
        <v>6</v>
      </c>
      <c r="AU49" s="392">
        <f t="shared" si="53"/>
        <v>0</v>
      </c>
      <c r="AV49" s="392">
        <f t="shared" si="53"/>
        <v>0</v>
      </c>
      <c r="AW49" s="392">
        <f t="shared" si="53"/>
        <v>0</v>
      </c>
      <c r="AX49" s="739">
        <f t="shared" si="53"/>
        <v>-721.1</v>
      </c>
      <c r="AY49" s="431">
        <f t="shared" si="53"/>
        <v>-721.1</v>
      </c>
      <c r="AZ49" s="392">
        <f t="shared" ref="AZ49:BE49" si="54">SUM(AZ50:AZ52)</f>
        <v>-1198.0999999999999</v>
      </c>
      <c r="BA49" s="392">
        <f t="shared" si="54"/>
        <v>0</v>
      </c>
      <c r="BB49" s="392">
        <f t="shared" si="54"/>
        <v>0</v>
      </c>
      <c r="BC49" s="739">
        <f t="shared" si="54"/>
        <v>-500</v>
      </c>
      <c r="BD49" s="431">
        <f t="shared" si="54"/>
        <v>-1698.1</v>
      </c>
      <c r="BE49" s="392">
        <f t="shared" si="54"/>
        <v>-61.9</v>
      </c>
      <c r="BF49" s="392">
        <f t="shared" ref="BF49:BX49" si="55">SUM(BF50:BF52)</f>
        <v>-146.1</v>
      </c>
      <c r="BG49" s="392">
        <f t="shared" si="55"/>
        <v>-183</v>
      </c>
      <c r="BH49" s="739">
        <f t="shared" si="55"/>
        <v>-221.6</v>
      </c>
      <c r="BI49" s="431">
        <f t="shared" si="55"/>
        <v>-612.6</v>
      </c>
      <c r="BJ49" s="392">
        <f t="shared" si="55"/>
        <v>-265.10000000000002</v>
      </c>
      <c r="BK49" s="392">
        <f t="shared" si="55"/>
        <v>-137.69999999999999</v>
      </c>
      <c r="BL49" s="392">
        <f t="shared" si="55"/>
        <v>-66.100000000000023</v>
      </c>
      <c r="BM49" s="739">
        <f t="shared" si="55"/>
        <v>-141.39999999999998</v>
      </c>
      <c r="BN49" s="431">
        <f t="shared" si="55"/>
        <v>-610.29999999999995</v>
      </c>
      <c r="BO49" s="392">
        <f t="shared" si="55"/>
        <v>-277</v>
      </c>
      <c r="BP49" s="392">
        <f t="shared" si="55"/>
        <v>-85.6</v>
      </c>
      <c r="BQ49" s="392">
        <f t="shared" si="55"/>
        <v>-59.300000000000004</v>
      </c>
      <c r="BR49" s="739">
        <f t="shared" si="55"/>
        <v>-479</v>
      </c>
      <c r="BS49" s="431">
        <f t="shared" si="55"/>
        <v>-900.90000000000009</v>
      </c>
      <c r="BT49" s="392">
        <f t="shared" si="55"/>
        <v>-195.6</v>
      </c>
      <c r="BU49" s="392">
        <f t="shared" si="55"/>
        <v>-251.3</v>
      </c>
      <c r="BV49" s="392">
        <f t="shared" si="55"/>
        <v>-52.600000000000023</v>
      </c>
      <c r="BW49" s="739">
        <f t="shared" si="55"/>
        <v>-164.7</v>
      </c>
      <c r="BX49" s="431">
        <f t="shared" si="55"/>
        <v>-664.2</v>
      </c>
      <c r="BY49" s="432"/>
      <c r="BZ49" s="432"/>
      <c r="CA49" s="432"/>
      <c r="CB49" s="432"/>
      <c r="CC49" s="410">
        <f t="shared" ref="CC49:CH49" si="56">SUM(CC50:CC52)</f>
        <v>-1000</v>
      </c>
      <c r="CD49" s="410">
        <f t="shared" si="56"/>
        <v>-1000</v>
      </c>
      <c r="CE49" s="410">
        <f t="shared" si="56"/>
        <v>-750</v>
      </c>
      <c r="CF49" s="410">
        <f t="shared" si="56"/>
        <v>-750</v>
      </c>
      <c r="CG49" s="410">
        <f t="shared" si="56"/>
        <v>-750</v>
      </c>
      <c r="CH49" s="410">
        <f t="shared" si="56"/>
        <v>-750</v>
      </c>
    </row>
    <row r="50" spans="1:86">
      <c r="G50" s="230"/>
      <c r="H50" s="405" t="s">
        <v>512</v>
      </c>
      <c r="L50" s="391"/>
      <c r="M50" s="391"/>
      <c r="N50" s="391"/>
      <c r="O50" s="391">
        <v>-377.9</v>
      </c>
      <c r="P50" s="411">
        <v>-377.9</v>
      </c>
      <c r="Q50" s="391">
        <v>-122.1</v>
      </c>
      <c r="R50" s="391">
        <f>-122.1-Q50</f>
        <v>0</v>
      </c>
      <c r="S50" s="391">
        <f>-122.1-R50-Q50</f>
        <v>0</v>
      </c>
      <c r="T50" s="392">
        <f>U50-SUM(Q50:S50)</f>
        <v>0</v>
      </c>
      <c r="U50" s="411">
        <v>-122.1</v>
      </c>
      <c r="V50" s="391">
        <v>0</v>
      </c>
      <c r="W50" s="391">
        <v>0</v>
      </c>
      <c r="X50" s="391">
        <v>0</v>
      </c>
      <c r="Y50" s="425">
        <f>0-SUM(V50:X50)</f>
        <v>0</v>
      </c>
      <c r="Z50" s="411">
        <v>0</v>
      </c>
      <c r="AA50" s="391">
        <v>0</v>
      </c>
      <c r="AB50" s="391">
        <v>0</v>
      </c>
      <c r="AC50" s="391">
        <v>0</v>
      </c>
      <c r="AD50" s="394">
        <f>AE50-AC50-AB50-AA50</f>
        <v>0</v>
      </c>
      <c r="AE50" s="411">
        <v>0</v>
      </c>
      <c r="AF50" s="391">
        <v>0</v>
      </c>
      <c r="AG50" s="391">
        <v>0</v>
      </c>
      <c r="AH50" s="391">
        <v>0</v>
      </c>
      <c r="AI50" s="739">
        <f>AJ50-AH50-AG50-AF50</f>
        <v>0</v>
      </c>
      <c r="AJ50" s="411">
        <v>0</v>
      </c>
      <c r="AK50" s="391">
        <v>0</v>
      </c>
      <c r="AL50" s="391">
        <f>0-AK50</f>
        <v>0</v>
      </c>
      <c r="AM50" s="391">
        <f>0-AL50</f>
        <v>0</v>
      </c>
      <c r="AN50" s="739">
        <f>AO50-AM50-AL50-AK50</f>
        <v>0</v>
      </c>
      <c r="AO50" s="411">
        <v>0</v>
      </c>
      <c r="AP50" s="391">
        <v>0</v>
      </c>
      <c r="AQ50" s="391">
        <v>0</v>
      </c>
      <c r="AR50" s="391">
        <v>0</v>
      </c>
      <c r="AS50" s="739">
        <f>AT50-AR50-AQ50-AP50</f>
        <v>0</v>
      </c>
      <c r="AT50" s="411">
        <v>0</v>
      </c>
      <c r="AU50" s="391">
        <v>0</v>
      </c>
      <c r="AV50" s="391">
        <v>0</v>
      </c>
      <c r="AW50" s="391">
        <v>0</v>
      </c>
      <c r="AX50" s="739">
        <f>AY50-AW50-AV50-AU50</f>
        <v>-721.1</v>
      </c>
      <c r="AY50" s="411">
        <v>-721.1</v>
      </c>
      <c r="AZ50" s="391">
        <v>-1198.0999999999999</v>
      </c>
      <c r="BA50" s="391">
        <f>-1198.1-AZ50</f>
        <v>0</v>
      </c>
      <c r="BB50" s="391">
        <f>-1198.1-BA50-AZ50</f>
        <v>0</v>
      </c>
      <c r="BC50" s="739">
        <f>BD50-BB50-BA50-AZ50</f>
        <v>-500</v>
      </c>
      <c r="BD50" s="411">
        <v>-1698.1</v>
      </c>
      <c r="BE50" s="391">
        <v>-55</v>
      </c>
      <c r="BF50" s="391">
        <f>-200-BE50</f>
        <v>-145</v>
      </c>
      <c r="BG50" s="391">
        <f>-500-BF50-BE50</f>
        <v>-300</v>
      </c>
      <c r="BH50" s="739">
        <f>BI50-BG50-BF50-BE50</f>
        <v>-300</v>
      </c>
      <c r="BI50" s="411">
        <v>-800</v>
      </c>
      <c r="BJ50" s="391">
        <v>-310.60000000000002</v>
      </c>
      <c r="BK50" s="391">
        <f>-435.5-BJ50</f>
        <v>-124.89999999999998</v>
      </c>
      <c r="BL50" s="391">
        <f>-496.6-BK50-BJ50</f>
        <v>-61.100000000000023</v>
      </c>
      <c r="BM50" s="739">
        <f>BN50-BL50-BK50-BJ50</f>
        <v>-252.89999999999998</v>
      </c>
      <c r="BN50" s="411">
        <v>-749.5</v>
      </c>
      <c r="BO50" s="391">
        <f>+-300.1</f>
        <v>-300.10000000000002</v>
      </c>
      <c r="BP50" s="391">
        <f>-300.1-BO50</f>
        <v>0</v>
      </c>
      <c r="BQ50" s="391">
        <f>-300.1-BP50-BO50</f>
        <v>0</v>
      </c>
      <c r="BR50" s="739">
        <f>BS50-BQ50-BP50-BO50</f>
        <v>-300</v>
      </c>
      <c r="BS50" s="411">
        <v>-600.1</v>
      </c>
      <c r="BT50" s="391">
        <v>0</v>
      </c>
      <c r="BU50" s="391">
        <f>-199.9-BT50</f>
        <v>-199.9</v>
      </c>
      <c r="BV50" s="391">
        <f>-199.9-BU50-BT50</f>
        <v>0</v>
      </c>
      <c r="BW50" s="739">
        <f>BX50-BV50-BU50-BT50</f>
        <v>-99.9</v>
      </c>
      <c r="BX50" s="411">
        <v>-299.8</v>
      </c>
      <c r="BY50" s="435"/>
      <c r="BZ50" s="435"/>
      <c r="CA50" s="435"/>
      <c r="CB50" s="435"/>
      <c r="CC50" s="412">
        <v>-1000</v>
      </c>
      <c r="CD50" s="412">
        <v>-1000</v>
      </c>
      <c r="CE50" s="412">
        <v>-750</v>
      </c>
      <c r="CF50" s="412">
        <v>-750</v>
      </c>
      <c r="CG50" s="412">
        <v>-750</v>
      </c>
      <c r="CH50" s="412">
        <v>-750</v>
      </c>
    </row>
    <row r="51" spans="1:86">
      <c r="G51" s="230"/>
      <c r="H51" s="405" t="s">
        <v>513</v>
      </c>
      <c r="L51" s="391">
        <v>12.5</v>
      </c>
      <c r="M51" s="391">
        <v>22.4</v>
      </c>
      <c r="N51" s="391">
        <v>36.299999999999997</v>
      </c>
      <c r="O51" s="391">
        <v>34.700000000000003</v>
      </c>
      <c r="P51" s="433">
        <v>105.9</v>
      </c>
      <c r="Q51" s="391">
        <v>7.8</v>
      </c>
      <c r="R51" s="391">
        <f>13.9-Q51</f>
        <v>6.1000000000000005</v>
      </c>
      <c r="S51" s="391">
        <f>44.2-R51-Q51</f>
        <v>30.3</v>
      </c>
      <c r="T51" s="392">
        <f>U51-SUM(Q51:S51)</f>
        <v>15.399999999999999</v>
      </c>
      <c r="U51" s="433">
        <v>59.6</v>
      </c>
      <c r="V51" s="391">
        <v>7.6</v>
      </c>
      <c r="W51" s="391">
        <f>20.2-V51</f>
        <v>12.6</v>
      </c>
      <c r="X51" s="391">
        <f>21.6-V51-W51</f>
        <v>1.4000000000000021</v>
      </c>
      <c r="Y51" s="392">
        <f>24.7-SUM(V51:X51)</f>
        <v>3.0999999999999979</v>
      </c>
      <c r="Z51" s="433">
        <v>24.7</v>
      </c>
      <c r="AA51" s="391">
        <v>0</v>
      </c>
      <c r="AB51" s="391">
        <v>0</v>
      </c>
      <c r="AC51" s="391">
        <f>0-AB51-AA51</f>
        <v>0</v>
      </c>
      <c r="AD51" s="394">
        <f>AE51-AC51-AB51-AA51</f>
        <v>0</v>
      </c>
      <c r="AE51" s="433">
        <v>0</v>
      </c>
      <c r="AF51" s="391">
        <v>0</v>
      </c>
      <c r="AG51" s="391">
        <v>0</v>
      </c>
      <c r="AH51" s="391">
        <v>0</v>
      </c>
      <c r="AI51" s="739">
        <f>AJ51-AH51-AG51-AF51</f>
        <v>0</v>
      </c>
      <c r="AJ51" s="433">
        <v>0</v>
      </c>
      <c r="AK51" s="391">
        <v>0</v>
      </c>
      <c r="AL51" s="391">
        <f>0-AK51</f>
        <v>0</v>
      </c>
      <c r="AM51" s="391">
        <f>0-AL51</f>
        <v>0</v>
      </c>
      <c r="AN51" s="739">
        <f>AO51-AM51-AL51-AK51</f>
        <v>0</v>
      </c>
      <c r="AO51" s="433">
        <v>0</v>
      </c>
      <c r="AP51" s="391">
        <v>0</v>
      </c>
      <c r="AQ51" s="391">
        <v>0</v>
      </c>
      <c r="AR51" s="391">
        <v>0</v>
      </c>
      <c r="AS51" s="739">
        <f>AT51-AR51-AQ51-AP51</f>
        <v>0</v>
      </c>
      <c r="AT51" s="433">
        <v>0</v>
      </c>
      <c r="AU51" s="391">
        <v>0</v>
      </c>
      <c r="AV51" s="391">
        <v>0</v>
      </c>
      <c r="AW51" s="391">
        <v>0</v>
      </c>
      <c r="AX51" s="739">
        <f>AY51-AW51-AV51-AU51</f>
        <v>0</v>
      </c>
      <c r="AY51" s="433">
        <v>0</v>
      </c>
      <c r="AZ51" s="391">
        <v>0</v>
      </c>
      <c r="BA51" s="391">
        <v>0</v>
      </c>
      <c r="BB51" s="391">
        <v>0</v>
      </c>
      <c r="BC51" s="739">
        <f>BD51-BB51-BA51-AZ51</f>
        <v>0</v>
      </c>
      <c r="BD51" s="433">
        <v>0</v>
      </c>
      <c r="BE51" s="391">
        <v>0</v>
      </c>
      <c r="BF51" s="391">
        <v>0</v>
      </c>
      <c r="BG51" s="391">
        <v>0</v>
      </c>
      <c r="BH51" s="739">
        <f>BI51-BG51-BF51-BE51</f>
        <v>0</v>
      </c>
      <c r="BI51" s="433">
        <v>0</v>
      </c>
      <c r="BJ51" s="391">
        <v>0</v>
      </c>
      <c r="BK51" s="391">
        <v>0</v>
      </c>
      <c r="BL51" s="391">
        <v>0</v>
      </c>
      <c r="BM51" s="739">
        <f>BN51-BL51-BK51-BJ51</f>
        <v>0</v>
      </c>
      <c r="BN51" s="433">
        <v>0</v>
      </c>
      <c r="BO51" s="391">
        <v>0</v>
      </c>
      <c r="BP51" s="391">
        <v>0</v>
      </c>
      <c r="BQ51" s="391">
        <v>0</v>
      </c>
      <c r="BR51" s="739">
        <f>BS51-BQ51-BP51-BO51</f>
        <v>0</v>
      </c>
      <c r="BS51" s="411">
        <v>0</v>
      </c>
      <c r="BT51" s="391">
        <v>0</v>
      </c>
      <c r="BU51" s="391">
        <v>0</v>
      </c>
      <c r="BV51" s="391">
        <v>0</v>
      </c>
      <c r="BW51" s="739">
        <f>BX51-BV51-BU51-BT51</f>
        <v>0</v>
      </c>
      <c r="BX51" s="411">
        <v>0</v>
      </c>
      <c r="BY51" s="435"/>
      <c r="BZ51" s="435"/>
      <c r="CA51" s="435"/>
      <c r="CB51" s="435"/>
      <c r="CC51" s="434"/>
      <c r="CD51" s="434"/>
      <c r="CE51" s="434"/>
      <c r="CF51" s="434"/>
      <c r="CG51" s="434"/>
      <c r="CH51" s="434"/>
    </row>
    <row r="52" spans="1:86">
      <c r="G52" s="230"/>
      <c r="H52" s="405" t="s">
        <v>204</v>
      </c>
      <c r="L52" s="391">
        <v>0.9</v>
      </c>
      <c r="M52" s="391"/>
      <c r="N52" s="391">
        <v>33.200000000000003</v>
      </c>
      <c r="O52" s="391">
        <v>5.7</v>
      </c>
      <c r="P52" s="395">
        <v>39.799999999999997</v>
      </c>
      <c r="Q52" s="391">
        <v>1.4</v>
      </c>
      <c r="R52" s="391">
        <f>0.2-Q52</f>
        <v>-1.2</v>
      </c>
      <c r="S52" s="391">
        <f>6.3-R52-Q52</f>
        <v>6.1</v>
      </c>
      <c r="T52" s="392">
        <f>U52-SUM(Q52:S52)</f>
        <v>3.6000000000000005</v>
      </c>
      <c r="U52" s="395">
        <v>9.9</v>
      </c>
      <c r="V52" s="391">
        <v>0</v>
      </c>
      <c r="W52" s="391">
        <f>0.4-V52</f>
        <v>0.4</v>
      </c>
      <c r="X52" s="391">
        <f>3.8-W52-V52</f>
        <v>3.4</v>
      </c>
      <c r="Y52" s="392">
        <f>-0.6-SUM(V52:X52)</f>
        <v>-4.3999999999999995</v>
      </c>
      <c r="Z52" s="393">
        <v>-0.6</v>
      </c>
      <c r="AA52" s="391">
        <v>-5.0999999999999996</v>
      </c>
      <c r="AB52" s="391">
        <f>-7.6-AA52</f>
        <v>-2.5</v>
      </c>
      <c r="AC52" s="391">
        <f>-6.8-AB52-AA52</f>
        <v>0.79999999999999982</v>
      </c>
      <c r="AD52" s="394">
        <f>AE52-AC52-AB52-AA52</f>
        <v>-1.2999999999999989</v>
      </c>
      <c r="AE52" s="411">
        <v>-8.1</v>
      </c>
      <c r="AF52" s="391">
        <v>0</v>
      </c>
      <c r="AG52" s="391">
        <f>-3.4-AF52</f>
        <v>-3.4</v>
      </c>
      <c r="AH52" s="391">
        <f>36.6-AG52-AF52</f>
        <v>40</v>
      </c>
      <c r="AI52" s="739">
        <f>AJ52-AH52-AG52-AF52</f>
        <v>6.0000000000000018</v>
      </c>
      <c r="AJ52" s="411">
        <v>42.6</v>
      </c>
      <c r="AK52" s="391">
        <v>0</v>
      </c>
      <c r="AL52" s="391">
        <f>-2-AK52</f>
        <v>-2</v>
      </c>
      <c r="AM52" s="391">
        <f>23.5-AL52-AK52</f>
        <v>25.5</v>
      </c>
      <c r="AN52" s="739">
        <f>AO52-AM52-AL52-AK52</f>
        <v>-4.1000000000000014</v>
      </c>
      <c r="AO52" s="411">
        <v>19.399999999999999</v>
      </c>
      <c r="AP52" s="391">
        <v>0.2</v>
      </c>
      <c r="AQ52" s="391">
        <f>0.3-AP52</f>
        <v>9.9999999999999978E-2</v>
      </c>
      <c r="AR52" s="391">
        <f>0.4-AQ52-AP52</f>
        <v>0.10000000000000003</v>
      </c>
      <c r="AS52" s="739">
        <f>AT52-AR52-AQ52-AP52</f>
        <v>5.6000000000000005</v>
      </c>
      <c r="AT52" s="411">
        <v>6</v>
      </c>
      <c r="AU52" s="391">
        <v>0</v>
      </c>
      <c r="AV52" s="391">
        <v>0</v>
      </c>
      <c r="AW52" s="391">
        <f>0-AV52-AU52</f>
        <v>0</v>
      </c>
      <c r="AX52" s="739">
        <f>AY52-AW52-AV52-AU52</f>
        <v>0</v>
      </c>
      <c r="AY52" s="411">
        <v>0</v>
      </c>
      <c r="AZ52" s="391">
        <v>0</v>
      </c>
      <c r="BA52" s="391">
        <v>0</v>
      </c>
      <c r="BB52" s="391">
        <v>0</v>
      </c>
      <c r="BC52" s="739">
        <f>BD52-BB52-BA52-AZ52</f>
        <v>0</v>
      </c>
      <c r="BD52" s="411">
        <v>0</v>
      </c>
      <c r="BE52" s="391">
        <v>-6.9</v>
      </c>
      <c r="BF52" s="391">
        <f>-8-BE52</f>
        <v>-1.0999999999999996</v>
      </c>
      <c r="BG52" s="391">
        <f>109-BF52-BE52</f>
        <v>117</v>
      </c>
      <c r="BH52" s="739">
        <f>BI52-BG52-BF52-BE52</f>
        <v>78.400000000000006</v>
      </c>
      <c r="BI52" s="411">
        <v>187.4</v>
      </c>
      <c r="BJ52" s="391">
        <v>45.5</v>
      </c>
      <c r="BK52" s="391">
        <f>32.7-BJ52</f>
        <v>-12.799999999999997</v>
      </c>
      <c r="BL52" s="391">
        <f>27.7-BK52-BJ52</f>
        <v>-5</v>
      </c>
      <c r="BM52" s="739">
        <f>BN52-BL52-BK52-BJ52</f>
        <v>111.5</v>
      </c>
      <c r="BN52" s="411">
        <v>139.19999999999999</v>
      </c>
      <c r="BO52" s="391">
        <v>23.1</v>
      </c>
      <c r="BP52" s="391">
        <f>-62.5-BO52</f>
        <v>-85.6</v>
      </c>
      <c r="BQ52" s="391">
        <f>-121.8-BP52-BO52</f>
        <v>-59.300000000000004</v>
      </c>
      <c r="BR52" s="739">
        <f>BS52-BQ52-BP52-BO52</f>
        <v>-179</v>
      </c>
      <c r="BS52" s="411">
        <v>-300.8</v>
      </c>
      <c r="BT52" s="391">
        <v>-195.6</v>
      </c>
      <c r="BU52" s="391">
        <f>-247-BT52</f>
        <v>-51.400000000000006</v>
      </c>
      <c r="BV52" s="391">
        <f>-299.6-BU52-BT52</f>
        <v>-52.600000000000023</v>
      </c>
      <c r="BW52" s="739">
        <f>BX52-BV52-BU52-BT52</f>
        <v>-64.799999999999983</v>
      </c>
      <c r="BX52" s="411">
        <v>-364.4</v>
      </c>
      <c r="BY52" s="432"/>
      <c r="BZ52" s="432"/>
      <c r="CA52" s="432"/>
      <c r="CB52" s="432"/>
      <c r="CC52" s="436"/>
      <c r="CD52" s="436"/>
      <c r="CE52" s="436"/>
      <c r="CF52" s="436"/>
      <c r="CG52" s="436"/>
      <c r="CH52" s="436"/>
    </row>
    <row r="53" spans="1:86" s="250" customFormat="1">
      <c r="A53"/>
      <c r="B53"/>
      <c r="C53"/>
      <c r="D53"/>
      <c r="E53"/>
      <c r="F53"/>
      <c r="G53" s="418"/>
      <c r="H53" s="419" t="s">
        <v>514</v>
      </c>
      <c r="I53" s="419"/>
      <c r="J53" s="419"/>
      <c r="K53" s="419"/>
      <c r="L53" s="420">
        <v>-2285.1</v>
      </c>
      <c r="M53" s="420">
        <v>-280.60000000000002</v>
      </c>
      <c r="N53" s="420">
        <v>1438.7</v>
      </c>
      <c r="O53" s="421">
        <v>-753.50000000000068</v>
      </c>
      <c r="P53" s="422">
        <v>-1880.5</v>
      </c>
      <c r="Q53" s="420">
        <f>Q44+Q45+Q46+Q49</f>
        <v>-640.29999999999995</v>
      </c>
      <c r="R53" s="420">
        <f>R44+R45+R46+R49</f>
        <v>-427.5</v>
      </c>
      <c r="S53" s="420">
        <f>S44+S45+S46+S49</f>
        <v>-1906.0999999999997</v>
      </c>
      <c r="T53" s="420">
        <f>T44+T45+T46+T49</f>
        <v>-1604.9</v>
      </c>
      <c r="U53" s="422">
        <f>U44+U50+U51+U45+U46+U52</f>
        <v>-4578.8</v>
      </c>
      <c r="V53" s="420">
        <f>V44+V45+V46+V49</f>
        <v>943.6</v>
      </c>
      <c r="W53" s="420">
        <f>W44+W45+W46+W49</f>
        <v>-724.6</v>
      </c>
      <c r="X53" s="420">
        <f>X44+X45+X46+X49</f>
        <v>-573.20000000000005</v>
      </c>
      <c r="Y53" s="420">
        <f>Y44+Y45+Y46+Y49</f>
        <v>-490.7</v>
      </c>
      <c r="Z53" s="422">
        <f>Z44+Z50+Z51+Z45+Z46+Z52</f>
        <v>-844.89999999999975</v>
      </c>
      <c r="AA53" s="420">
        <f>AA44+AA45+AA46+AA49</f>
        <v>-861.90000000000009</v>
      </c>
      <c r="AB53" s="420">
        <f>AB44+AB45+AB46+AB49</f>
        <v>-523.50000000000011</v>
      </c>
      <c r="AC53" s="420">
        <f>AC44+AC45+AC46+AC49</f>
        <v>-565.80000000000007</v>
      </c>
      <c r="AD53" s="420">
        <f>AD44+AD45+AD46+AD49</f>
        <v>4297.2</v>
      </c>
      <c r="AE53" s="422">
        <f>AE44+AE50+AE51+AE45+AE46+AE52</f>
        <v>2346.0000000000005</v>
      </c>
      <c r="AF53" s="420">
        <f>AF44+AF45+AF46+AF49</f>
        <v>-2380.4000000000005</v>
      </c>
      <c r="AG53" s="420">
        <f>AG44+AG45+AG46+AG49</f>
        <v>-1111.5999999999999</v>
      </c>
      <c r="AH53" s="420">
        <f>AH44+AH45+AH46+AH49</f>
        <v>-913.19999999999959</v>
      </c>
      <c r="AI53" s="420">
        <f>AI44+AI45+AI46+AI49</f>
        <v>-1128.5</v>
      </c>
      <c r="AJ53" s="422">
        <f>AJ44+AJ50+AJ51+AJ45+AJ46+AJ52</f>
        <v>-5533.6999999999989</v>
      </c>
      <c r="AK53" s="420">
        <f>AK44+AK45+AK46+AK49</f>
        <v>-547</v>
      </c>
      <c r="AL53" s="420">
        <f>AL44+AL45+AL46+AL49</f>
        <v>-531.5</v>
      </c>
      <c r="AM53" s="420">
        <f>AM44+AM45+AM46+AM49</f>
        <v>-393.79999999999995</v>
      </c>
      <c r="AN53" s="420">
        <f>AN44+AN45+AN46+AN49</f>
        <v>-549.60000000000025</v>
      </c>
      <c r="AO53" s="422">
        <f>AO44+AO50+AO51+AO45+AO46+AO52</f>
        <v>-2021.9</v>
      </c>
      <c r="AP53" s="420">
        <f>AP44+AP45+AP46+AP49</f>
        <v>-713.80000000000007</v>
      </c>
      <c r="AQ53" s="420">
        <f>AQ44+AQ45+AQ46+AQ49</f>
        <v>-564.29999999999984</v>
      </c>
      <c r="AR53" s="420">
        <f>AR44+AR45+AR46+AR49</f>
        <v>-440.90000000000009</v>
      </c>
      <c r="AS53" s="420">
        <f>AS44+AS45+AS46+AS49</f>
        <v>-650.89999999999986</v>
      </c>
      <c r="AT53" s="422">
        <f>AT44+AT50+AT51+AT45+AT46+AT52</f>
        <v>-2369.8999999999996</v>
      </c>
      <c r="AU53" s="420">
        <f>AU44+AU45+AU46+AU49</f>
        <v>-2057</v>
      </c>
      <c r="AV53" s="420">
        <f>AV44+AV45+AV46+AV49</f>
        <v>-552.69999999999993</v>
      </c>
      <c r="AW53" s="420">
        <f>AW44+AW45+AW46+AW49</f>
        <v>-544.70000000000016</v>
      </c>
      <c r="AX53" s="420">
        <f>AX44+AX45+AX46+AX49</f>
        <v>-1265.1999999999996</v>
      </c>
      <c r="AY53" s="422">
        <f>AY44+AY50+AY51+AY45+AY46+AY52</f>
        <v>-4419.6000000000004</v>
      </c>
      <c r="AZ53" s="420">
        <f>AZ44+AZ45+AZ46+AZ49</f>
        <v>-1730.1</v>
      </c>
      <c r="BA53" s="420">
        <f>BA44+BA45+BA46+BA49</f>
        <v>-533.79999999999984</v>
      </c>
      <c r="BB53" s="420">
        <f>BB44+BB45+BB46+BB49</f>
        <v>-529.00000000000011</v>
      </c>
      <c r="BC53" s="420">
        <f>BC44+BC45+BC46+BC49</f>
        <v>-1036.3999999999996</v>
      </c>
      <c r="BD53" s="422">
        <f>BD44+BD50+BD51+BD45+BD46+BD52</f>
        <v>-3829.2999999999997</v>
      </c>
      <c r="BE53" s="420">
        <f>BE44+BE45+BE46+BE49</f>
        <v>-595.1</v>
      </c>
      <c r="BF53" s="420">
        <f>BF44+BF45+BF46+BF49</f>
        <v>-702.5</v>
      </c>
      <c r="BG53" s="420">
        <f>BG44+BG45+BG46+BG49</f>
        <v>-405.89999999999992</v>
      </c>
      <c r="BH53" s="420">
        <f>BH44+BH45+BH46+BH49</f>
        <v>1628.4</v>
      </c>
      <c r="BI53" s="422">
        <f>BI44+BI50+BI51+BI45+BI46+BI52</f>
        <v>-75.099999999999881</v>
      </c>
      <c r="BJ53" s="420">
        <f>BJ44+BJ45+BJ46+BJ49</f>
        <v>-701.1</v>
      </c>
      <c r="BK53" s="420">
        <f>BK44+BK45+BK46+BK49</f>
        <v>-943.30000000000018</v>
      </c>
      <c r="BL53" s="420">
        <f>BL44+BL45+BL46+BL49</f>
        <v>-595.19999999999936</v>
      </c>
      <c r="BM53" s="420">
        <f>BM44+BM45+BM46+BM49</f>
        <v>-679.60000000000105</v>
      </c>
      <c r="BN53" s="422">
        <f>BN44+BN50+BN51+BN45+BN46+BN52</f>
        <v>-2919.2</v>
      </c>
      <c r="BO53" s="420">
        <f>BO44+BO45+BO46+BO49</f>
        <v>-816.4</v>
      </c>
      <c r="BP53" s="420">
        <f>BP44+BP45+BP46+BP49</f>
        <v>579.4</v>
      </c>
      <c r="BQ53" s="420">
        <f>BQ44+BQ45+BQ46+BQ49</f>
        <v>-597.6</v>
      </c>
      <c r="BR53" s="420">
        <f>BR44+BR45+BR46+BR49</f>
        <v>274.79999999999995</v>
      </c>
      <c r="BS53" s="422">
        <f>BS44+BS50+BS51+BS45+BS46+BS52</f>
        <v>-559.79999999999995</v>
      </c>
      <c r="BT53" s="420">
        <f>BT44+BT45+BT46+BT49</f>
        <v>-875.7</v>
      </c>
      <c r="BU53" s="420">
        <f>BU44+BU45+BU46+BU49</f>
        <v>1059.8999999999999</v>
      </c>
      <c r="BV53" s="420">
        <f>BV44+BV45+BV46+BV49</f>
        <v>500.69999999999993</v>
      </c>
      <c r="BW53" s="420">
        <f>BW44+BW45+BW46+BW49</f>
        <v>-542.30000000000018</v>
      </c>
      <c r="BX53" s="422">
        <f>BX44+BX50+BX51+BX45+BX46+BX52</f>
        <v>142.60000000000002</v>
      </c>
      <c r="BY53" s="420"/>
      <c r="BZ53" s="420"/>
      <c r="CA53" s="420"/>
      <c r="CB53" s="420"/>
      <c r="CC53" s="422">
        <f t="shared" ref="CC53:CH53" si="57">CC44+CC50+CC51+CC45+CC46+CC52</f>
        <v>-11401.920549937498</v>
      </c>
      <c r="CD53" s="422">
        <f t="shared" si="57"/>
        <v>-4328.15045227886</v>
      </c>
      <c r="CE53" s="422">
        <f t="shared" si="57"/>
        <v>-3211.2156300758506</v>
      </c>
      <c r="CF53" s="422">
        <f t="shared" si="57"/>
        <v>-3245.4223557819896</v>
      </c>
      <c r="CG53" s="422">
        <f t="shared" si="57"/>
        <v>-3933.7016901932211</v>
      </c>
      <c r="CH53" s="422">
        <f t="shared" si="57"/>
        <v>-3313.1546897967837</v>
      </c>
    </row>
    <row r="54" spans="1:86">
      <c r="G54" s="230"/>
      <c r="H54" s="250"/>
      <c r="I54" s="250"/>
      <c r="J54" s="250"/>
      <c r="K54" s="250"/>
      <c r="L54" s="384"/>
      <c r="M54" s="384"/>
      <c r="N54" s="384"/>
      <c r="O54" s="384"/>
      <c r="Q54" s="384"/>
      <c r="R54" s="384"/>
      <c r="S54" s="384"/>
      <c r="T54" s="384"/>
      <c r="V54" s="384"/>
      <c r="W54" s="384"/>
      <c r="X54" s="384"/>
      <c r="Y54" s="384"/>
      <c r="Z54" s="77"/>
      <c r="AA54" s="384"/>
      <c r="AB54" s="384"/>
      <c r="AC54" s="384"/>
      <c r="AD54" s="384"/>
      <c r="AE54" s="77"/>
      <c r="AF54" s="384"/>
      <c r="AG54" s="384"/>
      <c r="AH54" s="384"/>
      <c r="AI54" s="384"/>
      <c r="AJ54" s="77"/>
      <c r="AK54" s="384"/>
      <c r="AL54" s="408"/>
      <c r="AM54" s="408"/>
      <c r="AN54" s="384"/>
      <c r="AP54" s="384"/>
      <c r="AQ54" s="384"/>
      <c r="AR54" s="384"/>
      <c r="AS54" s="384"/>
      <c r="AU54" s="384"/>
      <c r="AV54" s="384"/>
      <c r="AW54" s="317"/>
      <c r="AX54" s="384"/>
      <c r="AZ54" s="384"/>
      <c r="BA54" s="384"/>
      <c r="BB54" s="317"/>
      <c r="BC54" s="384"/>
      <c r="BE54" s="384"/>
      <c r="BF54" s="384"/>
      <c r="BG54" s="384"/>
      <c r="BH54" s="384"/>
      <c r="BJ54" s="384"/>
      <c r="BK54" s="408"/>
      <c r="BL54" s="408"/>
      <c r="BM54" s="384"/>
      <c r="BO54" s="384"/>
      <c r="BP54" s="384"/>
      <c r="BQ54" s="384"/>
      <c r="BR54" s="408"/>
      <c r="BT54" s="384"/>
      <c r="BU54" s="384"/>
      <c r="BV54" s="384"/>
      <c r="BW54" s="408"/>
      <c r="BY54" s="408"/>
      <c r="BZ54" s="408"/>
      <c r="CA54" s="408"/>
      <c r="CB54" s="408"/>
    </row>
    <row r="55" spans="1:86">
      <c r="G55" s="230"/>
      <c r="H55" s="47" t="s">
        <v>515</v>
      </c>
      <c r="L55" s="391">
        <v>-100.8</v>
      </c>
      <c r="M55" s="391">
        <v>-62.2</v>
      </c>
      <c r="N55" s="391">
        <v>2.6999999999999886</v>
      </c>
      <c r="O55" s="392">
        <f>P55-SUM(L55:N55)</f>
        <v>-15.5</v>
      </c>
      <c r="P55" s="411">
        <v>-175.8</v>
      </c>
      <c r="Q55" s="391">
        <v>9.1</v>
      </c>
      <c r="R55" s="391">
        <f>46.9-Q55</f>
        <v>37.799999999999997</v>
      </c>
      <c r="S55" s="391">
        <f>65.5-R55-Q55</f>
        <v>18.600000000000001</v>
      </c>
      <c r="T55" s="392">
        <f>U55-SUM(Q55:S55)</f>
        <v>31.599999999999994</v>
      </c>
      <c r="U55" s="411">
        <v>97.1</v>
      </c>
      <c r="V55" s="391">
        <v>2</v>
      </c>
      <c r="W55" s="391">
        <f>20.2-V55</f>
        <v>18.2</v>
      </c>
      <c r="X55" s="391">
        <f>79.6-W55-V55</f>
        <v>59.399999999999991</v>
      </c>
      <c r="Y55" s="392">
        <f>129.7-SUM(V55:X55)</f>
        <v>50.099999999999994</v>
      </c>
      <c r="Z55" s="411">
        <v>129.69999999999999</v>
      </c>
      <c r="AA55" s="391">
        <v>118.2</v>
      </c>
      <c r="AB55" s="391">
        <f>123.8-AA55</f>
        <v>5.5999999999999943</v>
      </c>
      <c r="AC55" s="391">
        <f>-28.3-AB55-AA55</f>
        <v>-152.1</v>
      </c>
      <c r="AD55" s="394">
        <f>AE55-AC55-AB55-AA55</f>
        <v>-68.3</v>
      </c>
      <c r="AE55" s="411">
        <v>-96.6</v>
      </c>
      <c r="AF55" s="391">
        <v>-118.4</v>
      </c>
      <c r="AG55" s="391">
        <f>-23-AF55</f>
        <v>95.4</v>
      </c>
      <c r="AH55" s="391">
        <f>42.7-AG55-AF55</f>
        <v>65.7</v>
      </c>
      <c r="AI55" s="394">
        <f>AJ55-AH55-AG55-AF55</f>
        <v>-21.099999999999994</v>
      </c>
      <c r="AJ55" s="411">
        <v>21.6</v>
      </c>
      <c r="AK55" s="391">
        <v>-96.1</v>
      </c>
      <c r="AL55" s="391">
        <f>-283.7-AK55</f>
        <v>-187.6</v>
      </c>
      <c r="AM55" s="391">
        <f>-115.2-AL55-AK55</f>
        <v>168.5</v>
      </c>
      <c r="AN55" s="394">
        <f>AO55-AM55-AL55-AK55</f>
        <v>-29.600000000000023</v>
      </c>
      <c r="AO55" s="411">
        <v>-144.80000000000001</v>
      </c>
      <c r="AP55" s="391">
        <v>91.6</v>
      </c>
      <c r="AQ55" s="391">
        <f>121.3-AP55</f>
        <v>29.700000000000003</v>
      </c>
      <c r="AR55" s="391">
        <f>-18.7-AQ55-AP55</f>
        <v>-140</v>
      </c>
      <c r="AS55" s="394">
        <f>AT55-AR55-AQ55-AP55</f>
        <v>-92.2</v>
      </c>
      <c r="AT55" s="411">
        <v>-110.9</v>
      </c>
      <c r="AU55" s="391">
        <v>56.5</v>
      </c>
      <c r="AV55" s="391">
        <f>-87.9-AU55</f>
        <v>-144.4</v>
      </c>
      <c r="AW55" s="391">
        <f>18.6-AV55-AU55</f>
        <v>106.5</v>
      </c>
      <c r="AX55" s="394">
        <f>AY55-AW55-AV55-AU55</f>
        <v>25.300000000000011</v>
      </c>
      <c r="AY55" s="411">
        <v>43.9</v>
      </c>
      <c r="AZ55" s="391">
        <v>-86.6</v>
      </c>
      <c r="BA55" s="391">
        <f>-88.4-AZ55</f>
        <v>-1.8000000000000114</v>
      </c>
      <c r="BB55" s="391">
        <f>-24.8-BA55-AZ55</f>
        <v>63.600000000000009</v>
      </c>
      <c r="BC55" s="394">
        <f>BD55-BB55-BA55-AZ55</f>
        <v>3.2999999999999972</v>
      </c>
      <c r="BD55" s="411">
        <v>-21.5</v>
      </c>
      <c r="BE55" s="391">
        <v>-7.8</v>
      </c>
      <c r="BF55" s="391">
        <f>-12.6-BE55</f>
        <v>-4.8</v>
      </c>
      <c r="BG55" s="391">
        <f>-248.2-BF55-BE55</f>
        <v>-235.59999999999997</v>
      </c>
      <c r="BH55" s="394">
        <f>BI55-BG55-BF55-BE55</f>
        <v>-93.30000000000004</v>
      </c>
      <c r="BI55" s="411">
        <v>-341.5</v>
      </c>
      <c r="BJ55" s="391">
        <v>-181.6</v>
      </c>
      <c r="BK55" s="391">
        <f>-118.7-BJ55</f>
        <v>62.899999999999991</v>
      </c>
      <c r="BL55" s="391">
        <f>-134.8-BK55-BJ55</f>
        <v>-16.099999999999994</v>
      </c>
      <c r="BM55" s="394">
        <f>BN55-BL55-BK55-BJ55</f>
        <v>49.200000000000017</v>
      </c>
      <c r="BN55" s="411">
        <v>-85.6</v>
      </c>
      <c r="BO55" s="391">
        <f>+-70.1</f>
        <v>-70.099999999999994</v>
      </c>
      <c r="BP55" s="391">
        <f>-100-BO55</f>
        <v>-29.900000000000006</v>
      </c>
      <c r="BQ55" s="391">
        <f>-115.9-BP55-BO55</f>
        <v>-15.900000000000006</v>
      </c>
      <c r="BR55" s="394">
        <f>BS55-BQ55-BP55-BO55</f>
        <v>-120.5</v>
      </c>
      <c r="BS55" s="411">
        <v>-236.4</v>
      </c>
      <c r="BT55" s="391">
        <v>0.2</v>
      </c>
      <c r="BU55" s="391">
        <f>-8.9-BT55</f>
        <v>-9.1</v>
      </c>
      <c r="BV55" s="391">
        <f>21.7-BU55-BT55</f>
        <v>30.599999999999998</v>
      </c>
      <c r="BW55" s="394">
        <f>BX55-BV55-BU55-BT55</f>
        <v>-42.199999999999996</v>
      </c>
      <c r="BX55" s="411">
        <v>-20.5</v>
      </c>
      <c r="BY55" s="415"/>
      <c r="BZ55" s="415"/>
      <c r="CA55" s="415"/>
      <c r="CB55" s="415"/>
      <c r="CC55" s="416">
        <v>0</v>
      </c>
      <c r="CD55" s="416">
        <v>0</v>
      </c>
      <c r="CE55" s="416">
        <v>0</v>
      </c>
      <c r="CF55" s="416">
        <v>0</v>
      </c>
      <c r="CG55" s="416">
        <v>0</v>
      </c>
      <c r="CH55" s="416">
        <v>0</v>
      </c>
    </row>
    <row r="56" spans="1:86">
      <c r="G56" s="230"/>
      <c r="H56" s="47" t="s">
        <v>162</v>
      </c>
      <c r="L56" s="392">
        <f t="shared" ref="L56:AH56" si="58">L30+L42+L53+L55</f>
        <v>242.40000000000026</v>
      </c>
      <c r="M56" s="392">
        <f t="shared" si="58"/>
        <v>-866.7</v>
      </c>
      <c r="N56" s="392">
        <f t="shared" si="58"/>
        <v>229.59999999999985</v>
      </c>
      <c r="O56" s="392">
        <f t="shared" si="58"/>
        <v>-1963.9000000000008</v>
      </c>
      <c r="P56" s="431">
        <f t="shared" si="58"/>
        <v>-2358.6000000000004</v>
      </c>
      <c r="Q56" s="392">
        <f t="shared" si="58"/>
        <v>-548.4</v>
      </c>
      <c r="R56" s="392">
        <f t="shared" si="58"/>
        <v>211.40000000000003</v>
      </c>
      <c r="S56" s="392">
        <f t="shared" si="58"/>
        <v>-499.79999999999939</v>
      </c>
      <c r="T56" s="392">
        <f t="shared" si="58"/>
        <v>939.39999999999975</v>
      </c>
      <c r="U56" s="431">
        <f t="shared" si="58"/>
        <v>102.59999999999908</v>
      </c>
      <c r="V56" s="392">
        <f t="shared" si="58"/>
        <v>-617.9000000000002</v>
      </c>
      <c r="W56" s="392">
        <f t="shared" si="58"/>
        <v>-270.90000000000015</v>
      </c>
      <c r="X56" s="392">
        <f t="shared" si="58"/>
        <v>275</v>
      </c>
      <c r="Y56" s="392">
        <f t="shared" si="58"/>
        <v>724.99999999999989</v>
      </c>
      <c r="Z56" s="424">
        <f t="shared" si="58"/>
        <v>111.19999999999987</v>
      </c>
      <c r="AA56" s="392">
        <f t="shared" si="58"/>
        <v>-75.099999999999952</v>
      </c>
      <c r="AB56" s="392">
        <f t="shared" si="58"/>
        <v>-277.10000000000036</v>
      </c>
      <c r="AC56" s="392">
        <f t="shared" si="58"/>
        <v>1485.2999999999997</v>
      </c>
      <c r="AD56" s="392">
        <f t="shared" si="58"/>
        <v>1143.0999999999997</v>
      </c>
      <c r="AE56" s="431">
        <f t="shared" si="58"/>
        <v>2276.2000000000007</v>
      </c>
      <c r="AF56" s="392">
        <f t="shared" si="58"/>
        <v>-2183.6000000000004</v>
      </c>
      <c r="AG56" s="392">
        <f t="shared" si="58"/>
        <v>9.1999999999997328</v>
      </c>
      <c r="AH56" s="392">
        <f t="shared" si="58"/>
        <v>525.90000000000077</v>
      </c>
      <c r="AI56" s="392">
        <f t="shared" ref="AI56:AR56" si="59">AI30+AI42+AI53+AI55</f>
        <v>614.70000000000061</v>
      </c>
      <c r="AJ56" s="431">
        <f t="shared" si="59"/>
        <v>-1033.7999999999979</v>
      </c>
      <c r="AK56" s="392">
        <f t="shared" si="59"/>
        <v>262.29999999999984</v>
      </c>
      <c r="AL56" s="392">
        <f t="shared" si="59"/>
        <v>438.29999999999984</v>
      </c>
      <c r="AM56" s="392">
        <f t="shared" si="59"/>
        <v>745.30000000000018</v>
      </c>
      <c r="AN56" s="392">
        <f t="shared" si="59"/>
        <v>84.400000000000318</v>
      </c>
      <c r="AO56" s="431">
        <f t="shared" si="59"/>
        <v>1530.3</v>
      </c>
      <c r="AP56" s="392">
        <f t="shared" si="59"/>
        <v>513.20000000000027</v>
      </c>
      <c r="AQ56" s="392">
        <f t="shared" si="59"/>
        <v>-392.90000000000003</v>
      </c>
      <c r="AR56" s="392">
        <f t="shared" si="59"/>
        <v>484.19999999999982</v>
      </c>
      <c r="AS56" s="392">
        <f t="shared" ref="AS56:AY56" si="60">AS30+AS42+AS53+AS55</f>
        <v>-675.19999999999959</v>
      </c>
      <c r="AT56" s="431">
        <f t="shared" si="60"/>
        <v>-70.699999999999278</v>
      </c>
      <c r="AU56" s="392">
        <f t="shared" si="60"/>
        <v>-1800.2999999999997</v>
      </c>
      <c r="AV56" s="392">
        <f t="shared" si="60"/>
        <v>223.60000000000034</v>
      </c>
      <c r="AW56" s="392">
        <f t="shared" si="60"/>
        <v>973.4</v>
      </c>
      <c r="AX56" s="392">
        <f t="shared" si="60"/>
        <v>-1300.4000000000005</v>
      </c>
      <c r="AY56" s="431">
        <f t="shared" si="60"/>
        <v>-1903.7000000000007</v>
      </c>
      <c r="AZ56" s="392">
        <f t="shared" ref="AZ56:BE56" si="61">AZ30+AZ42+AZ53+AZ55</f>
        <v>-82.199999999999903</v>
      </c>
      <c r="BA56" s="392">
        <f t="shared" si="61"/>
        <v>-150.10000000000099</v>
      </c>
      <c r="BB56" s="392">
        <f t="shared" si="61"/>
        <v>582.40000000000146</v>
      </c>
      <c r="BC56" s="392">
        <f t="shared" si="61"/>
        <v>-538.69999999999982</v>
      </c>
      <c r="BD56" s="431">
        <f t="shared" si="61"/>
        <v>-188.599999999999</v>
      </c>
      <c r="BE56" s="392">
        <f t="shared" si="61"/>
        <v>57.800000000000367</v>
      </c>
      <c r="BF56" s="392">
        <f t="shared" ref="BF56:BX56" si="62">BF30+BF42+BF53+BF55</f>
        <v>-122.29999999999966</v>
      </c>
      <c r="BG56" s="392">
        <f t="shared" si="62"/>
        <v>-599.90000000000225</v>
      </c>
      <c r="BH56" s="392">
        <f t="shared" si="62"/>
        <v>705.79999999999893</v>
      </c>
      <c r="BI56" s="431">
        <f t="shared" si="62"/>
        <v>41.400000000000091</v>
      </c>
      <c r="BJ56" s="392">
        <f t="shared" si="62"/>
        <v>-806.69999999999879</v>
      </c>
      <c r="BK56" s="392">
        <f t="shared" si="62"/>
        <v>250.59999999999911</v>
      </c>
      <c r="BL56" s="392">
        <f t="shared" si="62"/>
        <v>-76.699999999999903</v>
      </c>
      <c r="BM56" s="392">
        <f t="shared" si="62"/>
        <v>427.59999999999991</v>
      </c>
      <c r="BN56" s="431">
        <f t="shared" si="62"/>
        <v>-205.19999999999945</v>
      </c>
      <c r="BO56" s="392">
        <f t="shared" si="62"/>
        <v>-1358.8</v>
      </c>
      <c r="BP56" s="392">
        <f t="shared" si="62"/>
        <v>930.40000000000009</v>
      </c>
      <c r="BQ56" s="392">
        <f t="shared" si="62"/>
        <v>251.00000000000043</v>
      </c>
      <c r="BR56" s="392">
        <f t="shared" si="62"/>
        <v>1093.0999999999997</v>
      </c>
      <c r="BS56" s="377">
        <f t="shared" si="62"/>
        <v>915.70000000000016</v>
      </c>
      <c r="BT56" s="392">
        <f t="shared" si="62"/>
        <v>-1965.2</v>
      </c>
      <c r="BU56" s="392">
        <f t="shared" si="62"/>
        <v>452.99999999999966</v>
      </c>
      <c r="BV56" s="392">
        <f t="shared" si="62"/>
        <v>654.40000000000009</v>
      </c>
      <c r="BW56" s="392">
        <f t="shared" si="62"/>
        <v>2811.8999999999996</v>
      </c>
      <c r="BX56" s="377">
        <f t="shared" si="62"/>
        <v>1954.099999999999</v>
      </c>
      <c r="BY56" s="384"/>
      <c r="BZ56" s="384"/>
      <c r="CA56" s="384"/>
      <c r="CB56" s="384"/>
      <c r="CC56" s="377">
        <f t="shared" ref="CC56:CH56" si="63">CC30+CC42+CC53+CC55</f>
        <v>-2247.5650020958328</v>
      </c>
      <c r="CD56" s="377">
        <f t="shared" si="63"/>
        <v>-1159.1573275045521</v>
      </c>
      <c r="CE56" s="377">
        <f t="shared" si="63"/>
        <v>4470.8242368225692</v>
      </c>
      <c r="CF56" s="377">
        <f t="shared" si="63"/>
        <v>879.62808780549676</v>
      </c>
      <c r="CG56" s="377">
        <f t="shared" si="63"/>
        <v>4764.818538850669</v>
      </c>
      <c r="CH56" s="377">
        <f t="shared" si="63"/>
        <v>1666.3943607796718</v>
      </c>
    </row>
    <row r="57" spans="1:86">
      <c r="G57" s="230"/>
      <c r="H57" s="47" t="s">
        <v>328</v>
      </c>
      <c r="L57" s="437">
        <v>5365.3</v>
      </c>
      <c r="M57" s="394">
        <f>L58</f>
        <v>5607.7000000000007</v>
      </c>
      <c r="N57" s="394">
        <f>M58</f>
        <v>4741.0000000000009</v>
      </c>
      <c r="O57" s="392">
        <f>N58</f>
        <v>4970.6000000000004</v>
      </c>
      <c r="P57" s="431">
        <f>L57</f>
        <v>5365.3</v>
      </c>
      <c r="Q57" s="394">
        <f>P58</f>
        <v>3006.7</v>
      </c>
      <c r="R57" s="394">
        <f>Q58</f>
        <v>2458.2999999999997</v>
      </c>
      <c r="S57" s="394">
        <f>R58</f>
        <v>2669.7</v>
      </c>
      <c r="T57" s="392">
        <f>S58</f>
        <v>2169.9000000000005</v>
      </c>
      <c r="U57" s="431">
        <f>P58</f>
        <v>3006.7</v>
      </c>
      <c r="V57" s="394">
        <f>U58</f>
        <v>3109.3</v>
      </c>
      <c r="W57" s="394">
        <f>V58</f>
        <v>2491.4</v>
      </c>
      <c r="X57" s="394">
        <f>W58</f>
        <v>2220.5</v>
      </c>
      <c r="Y57" s="394">
        <f>X58</f>
        <v>2495.5</v>
      </c>
      <c r="Z57" s="431">
        <f>U58</f>
        <v>3109.3</v>
      </c>
      <c r="AA57" s="394">
        <f>Z58</f>
        <v>3220.5</v>
      </c>
      <c r="AB57" s="394">
        <f>AA58</f>
        <v>3145.4</v>
      </c>
      <c r="AC57" s="394">
        <f>AB58</f>
        <v>2868.2999999999997</v>
      </c>
      <c r="AD57" s="394">
        <f>AC58</f>
        <v>4353.5999999999995</v>
      </c>
      <c r="AE57" s="431">
        <f>Z58</f>
        <v>3220.5</v>
      </c>
      <c r="AF57" s="394">
        <f>AE58</f>
        <v>5496.7000000000007</v>
      </c>
      <c r="AG57" s="394">
        <f>AF58</f>
        <v>3313.1000000000004</v>
      </c>
      <c r="AH57" s="394">
        <f>AG58</f>
        <v>3322.3</v>
      </c>
      <c r="AI57" s="394">
        <f>AH58</f>
        <v>3848.2000000000007</v>
      </c>
      <c r="AJ57" s="431">
        <f>AE58</f>
        <v>5496.7000000000007</v>
      </c>
      <c r="AK57" s="394">
        <f>AJ58</f>
        <v>4462.9000000000033</v>
      </c>
      <c r="AL57" s="394">
        <f>AK58</f>
        <v>4725.2000000000035</v>
      </c>
      <c r="AM57" s="394">
        <f>AL58</f>
        <v>5163.5000000000036</v>
      </c>
      <c r="AN57" s="394">
        <f>AM58</f>
        <v>5908.8000000000038</v>
      </c>
      <c r="AO57" s="431">
        <f>AJ58</f>
        <v>4462.9000000000033</v>
      </c>
      <c r="AP57" s="394">
        <f>AO58</f>
        <v>5993.2000000000035</v>
      </c>
      <c r="AQ57" s="394">
        <f>AP58</f>
        <v>6506.4000000000033</v>
      </c>
      <c r="AR57" s="394">
        <f>AQ58</f>
        <v>6113.5000000000036</v>
      </c>
      <c r="AS57" s="394">
        <f>AR58</f>
        <v>6597.7000000000035</v>
      </c>
      <c r="AT57" s="431">
        <f>AO58</f>
        <v>5993.2000000000035</v>
      </c>
      <c r="AU57" s="394">
        <f>AT58</f>
        <v>5922.5000000000045</v>
      </c>
      <c r="AV57" s="394">
        <f>AU58</f>
        <v>4122.2000000000044</v>
      </c>
      <c r="AW57" s="812">
        <f>AV58</f>
        <v>4345.8000000000047</v>
      </c>
      <c r="AX57" s="394">
        <f>AW58</f>
        <v>5319.2000000000044</v>
      </c>
      <c r="AY57" s="431">
        <f>AT58</f>
        <v>5922.5000000000045</v>
      </c>
      <c r="AZ57" s="394">
        <f>AY58</f>
        <v>4018.8000000000038</v>
      </c>
      <c r="BA57" s="394">
        <f>AZ58</f>
        <v>3936.600000000004</v>
      </c>
      <c r="BB57" s="394">
        <f>BA58</f>
        <v>3786.5000000000032</v>
      </c>
      <c r="BC57" s="394">
        <f>BB58</f>
        <v>4368.9000000000051</v>
      </c>
      <c r="BD57" s="431">
        <f>AY58</f>
        <v>4018.8000000000038</v>
      </c>
      <c r="BE57" s="394">
        <f>BD58</f>
        <v>3830.2000000000048</v>
      </c>
      <c r="BF57" s="394">
        <f>BE58</f>
        <v>3888.000000000005</v>
      </c>
      <c r="BG57" s="394">
        <f>BF58</f>
        <v>3765.7000000000053</v>
      </c>
      <c r="BH57" s="394">
        <f>BG58</f>
        <v>3165.8000000000029</v>
      </c>
      <c r="BI57" s="431">
        <f>BD58</f>
        <v>3830.2000000000048</v>
      </c>
      <c r="BJ57" s="394">
        <f>BI58</f>
        <v>3871.6000000000049</v>
      </c>
      <c r="BK57" s="394">
        <f>BJ58</f>
        <v>3064.900000000006</v>
      </c>
      <c r="BL57" s="394">
        <f>BK58</f>
        <v>3315.500000000005</v>
      </c>
      <c r="BM57" s="394">
        <f>BL58</f>
        <v>3238.8000000000052</v>
      </c>
      <c r="BN57" s="431">
        <f>BI58</f>
        <v>3871.6000000000049</v>
      </c>
      <c r="BO57" s="394">
        <f>BN58</f>
        <v>3666.4000000000055</v>
      </c>
      <c r="BP57" s="394">
        <f>BO58</f>
        <v>2307.6000000000058</v>
      </c>
      <c r="BQ57" s="394">
        <f>BP58</f>
        <v>3238.0000000000059</v>
      </c>
      <c r="BR57" s="394">
        <f>BQ58</f>
        <v>3489.0000000000064</v>
      </c>
      <c r="BS57" s="377">
        <f>BN58</f>
        <v>3666.4000000000055</v>
      </c>
      <c r="BT57" s="394">
        <f>BS58</f>
        <v>4582.1000000000058</v>
      </c>
      <c r="BU57" s="394">
        <f>BT58</f>
        <v>2616.900000000006</v>
      </c>
      <c r="BV57" s="394">
        <f>BU58</f>
        <v>3069.9000000000055</v>
      </c>
      <c r="BW57" s="394">
        <f>BV58</f>
        <v>3724.3000000000056</v>
      </c>
      <c r="BX57" s="377">
        <f>BS58</f>
        <v>4582.1000000000058</v>
      </c>
      <c r="BY57" s="384"/>
      <c r="BZ57" s="384"/>
      <c r="CA57" s="384"/>
      <c r="CB57" s="384"/>
      <c r="CC57" s="377">
        <f>BX58</f>
        <v>6536.2000000000044</v>
      </c>
      <c r="CD57" s="377">
        <f>CC58</f>
        <v>4288.6349979041715</v>
      </c>
      <c r="CE57" s="377">
        <f>CD58</f>
        <v>3129.4776703996195</v>
      </c>
      <c r="CF57" s="377">
        <f>CE58</f>
        <v>7600.3019072221887</v>
      </c>
      <c r="CG57" s="377">
        <f>CF58</f>
        <v>8479.9299950276854</v>
      </c>
      <c r="CH57" s="377">
        <f>CG58</f>
        <v>13244.748533878355</v>
      </c>
    </row>
    <row r="58" spans="1:86" s="250" customFormat="1" ht="14.25" thickBot="1">
      <c r="A58"/>
      <c r="B58"/>
      <c r="C58"/>
      <c r="D58"/>
      <c r="E58"/>
      <c r="F58"/>
      <c r="G58" s="418"/>
      <c r="H58" s="438" t="s">
        <v>329</v>
      </c>
      <c r="I58" s="438"/>
      <c r="J58" s="438"/>
      <c r="K58" s="438"/>
      <c r="L58" s="439">
        <f t="shared" ref="L58:T58" si="64">SUM(L56:L57)</f>
        <v>5607.7000000000007</v>
      </c>
      <c r="M58" s="439">
        <f t="shared" si="64"/>
        <v>4741.0000000000009</v>
      </c>
      <c r="N58" s="439">
        <f t="shared" si="64"/>
        <v>4970.6000000000004</v>
      </c>
      <c r="O58" s="440">
        <f t="shared" si="64"/>
        <v>3006.7</v>
      </c>
      <c r="P58" s="441">
        <f t="shared" si="64"/>
        <v>3006.7</v>
      </c>
      <c r="Q58" s="439">
        <f t="shared" si="64"/>
        <v>2458.2999999999997</v>
      </c>
      <c r="R58" s="439">
        <f t="shared" si="64"/>
        <v>2669.7</v>
      </c>
      <c r="S58" s="439">
        <f t="shared" si="64"/>
        <v>2169.9000000000005</v>
      </c>
      <c r="T58" s="440">
        <f t="shared" si="64"/>
        <v>3109.3</v>
      </c>
      <c r="U58" s="441">
        <f>T58</f>
        <v>3109.3</v>
      </c>
      <c r="V58" s="439">
        <f t="shared" ref="V58:AH58" si="65">SUM(V56:V57)</f>
        <v>2491.4</v>
      </c>
      <c r="W58" s="439">
        <f t="shared" si="65"/>
        <v>2220.5</v>
      </c>
      <c r="X58" s="439">
        <f t="shared" si="65"/>
        <v>2495.5</v>
      </c>
      <c r="Y58" s="439">
        <f t="shared" si="65"/>
        <v>3220.5</v>
      </c>
      <c r="Z58" s="441">
        <f t="shared" si="65"/>
        <v>3220.5</v>
      </c>
      <c r="AA58" s="439">
        <f t="shared" si="65"/>
        <v>3145.4</v>
      </c>
      <c r="AB58" s="439">
        <f t="shared" si="65"/>
        <v>2868.2999999999997</v>
      </c>
      <c r="AC58" s="439">
        <f t="shared" si="65"/>
        <v>4353.5999999999995</v>
      </c>
      <c r="AD58" s="439">
        <f t="shared" si="65"/>
        <v>5496.6999999999989</v>
      </c>
      <c r="AE58" s="441">
        <f t="shared" si="65"/>
        <v>5496.7000000000007</v>
      </c>
      <c r="AF58" s="439">
        <f t="shared" si="65"/>
        <v>3313.1000000000004</v>
      </c>
      <c r="AG58" s="439">
        <f t="shared" si="65"/>
        <v>3322.3</v>
      </c>
      <c r="AH58" s="439">
        <f t="shared" si="65"/>
        <v>3848.2000000000007</v>
      </c>
      <c r="AI58" s="439">
        <f t="shared" ref="AI58:AR58" si="66">SUM(AI56:AI57)</f>
        <v>4462.9000000000015</v>
      </c>
      <c r="AJ58" s="441">
        <f t="shared" si="66"/>
        <v>4462.9000000000033</v>
      </c>
      <c r="AK58" s="439">
        <f t="shared" si="66"/>
        <v>4725.2000000000035</v>
      </c>
      <c r="AL58" s="439">
        <f t="shared" si="66"/>
        <v>5163.5000000000036</v>
      </c>
      <c r="AM58" s="439">
        <f t="shared" si="66"/>
        <v>5908.8000000000038</v>
      </c>
      <c r="AN58" s="439">
        <f t="shared" si="66"/>
        <v>5993.2000000000044</v>
      </c>
      <c r="AO58" s="441">
        <f t="shared" si="66"/>
        <v>5993.2000000000035</v>
      </c>
      <c r="AP58" s="439">
        <f t="shared" si="66"/>
        <v>6506.4000000000033</v>
      </c>
      <c r="AQ58" s="439">
        <f t="shared" si="66"/>
        <v>6113.5000000000036</v>
      </c>
      <c r="AR58" s="439">
        <f t="shared" si="66"/>
        <v>6597.7000000000035</v>
      </c>
      <c r="AS58" s="439">
        <f t="shared" ref="AS58:BB58" si="67">SUM(AS56:AS57)</f>
        <v>5922.5000000000036</v>
      </c>
      <c r="AT58" s="441">
        <f t="shared" si="67"/>
        <v>5922.5000000000045</v>
      </c>
      <c r="AU58" s="439">
        <f t="shared" si="67"/>
        <v>4122.2000000000044</v>
      </c>
      <c r="AV58" s="439">
        <f t="shared" si="67"/>
        <v>4345.8000000000047</v>
      </c>
      <c r="AW58" s="813">
        <f t="shared" si="67"/>
        <v>5319.2000000000044</v>
      </c>
      <c r="AX58" s="439">
        <f t="shared" si="67"/>
        <v>4018.8000000000038</v>
      </c>
      <c r="AY58" s="441">
        <f t="shared" si="67"/>
        <v>4018.8000000000038</v>
      </c>
      <c r="AZ58" s="439">
        <f t="shared" si="67"/>
        <v>3936.600000000004</v>
      </c>
      <c r="BA58" s="439">
        <f t="shared" si="67"/>
        <v>3786.5000000000032</v>
      </c>
      <c r="BB58" s="439">
        <f t="shared" si="67"/>
        <v>4368.9000000000051</v>
      </c>
      <c r="BC58" s="439">
        <f t="shared" ref="BC58:BI58" si="68">SUM(BC56:BC57)</f>
        <v>3830.2000000000053</v>
      </c>
      <c r="BD58" s="441">
        <f t="shared" si="68"/>
        <v>3830.2000000000048</v>
      </c>
      <c r="BE58" s="439">
        <f t="shared" si="68"/>
        <v>3888.000000000005</v>
      </c>
      <c r="BF58" s="439">
        <f t="shared" si="68"/>
        <v>3765.7000000000053</v>
      </c>
      <c r="BG58" s="439">
        <f t="shared" si="68"/>
        <v>3165.8000000000029</v>
      </c>
      <c r="BH58" s="439">
        <f t="shared" si="68"/>
        <v>3871.6000000000017</v>
      </c>
      <c r="BI58" s="441">
        <f t="shared" si="68"/>
        <v>3871.6000000000049</v>
      </c>
      <c r="BJ58" s="439">
        <f t="shared" ref="BJ58:BX58" si="69">SUM(BJ56:BJ57)</f>
        <v>3064.900000000006</v>
      </c>
      <c r="BK58" s="439">
        <f t="shared" si="69"/>
        <v>3315.500000000005</v>
      </c>
      <c r="BL58" s="439">
        <f t="shared" si="69"/>
        <v>3238.8000000000052</v>
      </c>
      <c r="BM58" s="439">
        <f t="shared" si="69"/>
        <v>3666.4000000000051</v>
      </c>
      <c r="BN58" s="441">
        <f t="shared" si="69"/>
        <v>3666.4000000000055</v>
      </c>
      <c r="BO58" s="439">
        <f t="shared" si="69"/>
        <v>2307.6000000000058</v>
      </c>
      <c r="BP58" s="439">
        <f t="shared" si="69"/>
        <v>3238.0000000000059</v>
      </c>
      <c r="BQ58" s="439">
        <f t="shared" si="69"/>
        <v>3489.0000000000064</v>
      </c>
      <c r="BR58" s="439">
        <f t="shared" si="69"/>
        <v>4582.1000000000058</v>
      </c>
      <c r="BS58" s="441">
        <f t="shared" si="69"/>
        <v>4582.1000000000058</v>
      </c>
      <c r="BT58" s="439">
        <f t="shared" si="69"/>
        <v>2616.900000000006</v>
      </c>
      <c r="BU58" s="439">
        <f t="shared" si="69"/>
        <v>3069.9000000000055</v>
      </c>
      <c r="BV58" s="439">
        <f t="shared" si="69"/>
        <v>3724.3000000000056</v>
      </c>
      <c r="BW58" s="439">
        <f t="shared" si="69"/>
        <v>6536.2000000000053</v>
      </c>
      <c r="BX58" s="441">
        <f t="shared" si="69"/>
        <v>6536.2000000000044</v>
      </c>
      <c r="BY58" s="439"/>
      <c r="BZ58" s="439"/>
      <c r="CA58" s="439"/>
      <c r="CB58" s="439"/>
      <c r="CC58" s="441">
        <f t="shared" ref="CC58:CH58" si="70">SUM(CC56:CC57)</f>
        <v>4288.6349979041715</v>
      </c>
      <c r="CD58" s="441">
        <f t="shared" si="70"/>
        <v>3129.4776703996195</v>
      </c>
      <c r="CE58" s="441">
        <f t="shared" si="70"/>
        <v>7600.3019072221887</v>
      </c>
      <c r="CF58" s="441">
        <f t="shared" si="70"/>
        <v>8479.9299950276854</v>
      </c>
      <c r="CG58" s="441">
        <f t="shared" si="70"/>
        <v>13244.748533878355</v>
      </c>
      <c r="CH58" s="441">
        <f t="shared" si="70"/>
        <v>14911.142894658027</v>
      </c>
    </row>
    <row r="59" spans="1:86" s="248" customFormat="1">
      <c r="A59"/>
      <c r="B59"/>
      <c r="C59"/>
      <c r="D59"/>
      <c r="E59"/>
      <c r="F59"/>
      <c r="G59" s="442"/>
      <c r="H59" s="1026" t="s">
        <v>645</v>
      </c>
      <c r="I59" s="443"/>
      <c r="J59" s="443"/>
      <c r="K59" s="444"/>
      <c r="L59" s="444"/>
      <c r="M59" s="444"/>
      <c r="N59" s="444"/>
      <c r="O59" s="444"/>
      <c r="P59" s="444"/>
      <c r="Q59" s="444"/>
      <c r="R59" s="444"/>
      <c r="S59" s="444"/>
      <c r="T59" s="444"/>
      <c r="U59" s="444"/>
      <c r="V59" s="444"/>
      <c r="W59" s="444"/>
      <c r="X59" s="444"/>
      <c r="Y59" s="444"/>
      <c r="Z59" s="444"/>
      <c r="AA59" s="444"/>
      <c r="AB59" s="444"/>
      <c r="AC59" s="444"/>
      <c r="AD59" s="444"/>
      <c r="AE59" s="444"/>
      <c r="AF59" s="444"/>
      <c r="AG59" s="444"/>
      <c r="AH59" s="444"/>
      <c r="AI59" s="444"/>
      <c r="AJ59" s="444"/>
      <c r="AK59" s="444"/>
      <c r="AL59" s="444"/>
      <c r="AM59" s="444"/>
      <c r="AN59" s="444"/>
      <c r="AO59" s="444"/>
      <c r="AP59" s="444"/>
      <c r="AQ59" s="444"/>
      <c r="AR59" s="444"/>
      <c r="AS59" s="444"/>
      <c r="AT59" s="444"/>
      <c r="AU59" s="444"/>
      <c r="AV59" s="444"/>
      <c r="AW59" s="444"/>
      <c r="AX59" s="444"/>
      <c r="AY59" s="444"/>
      <c r="AZ59" s="444"/>
      <c r="BA59" s="444"/>
      <c r="BB59" s="444"/>
      <c r="BC59" s="444"/>
      <c r="BD59" s="444"/>
      <c r="BE59" s="444"/>
      <c r="BF59" s="444"/>
      <c r="BG59" s="444"/>
      <c r="BH59" s="444"/>
      <c r="BI59" s="444"/>
      <c r="BJ59" s="444"/>
      <c r="BK59" s="444"/>
      <c r="BL59" s="444"/>
      <c r="BM59" s="444"/>
      <c r="BN59" s="444"/>
      <c r="BO59" s="444"/>
      <c r="BP59" s="444"/>
      <c r="BQ59" s="444"/>
      <c r="BR59" s="444"/>
      <c r="BS59" s="444"/>
      <c r="BT59" s="444"/>
      <c r="BU59" s="444"/>
      <c r="BV59" s="444"/>
      <c r="BW59" s="444"/>
      <c r="BX59" s="444"/>
      <c r="BY59" s="444"/>
      <c r="BZ59" s="444"/>
      <c r="CA59" s="444"/>
      <c r="CB59" s="444"/>
      <c r="CC59" s="444"/>
      <c r="CD59" s="444"/>
      <c r="CE59" s="444"/>
      <c r="CF59" s="444"/>
      <c r="CG59" s="444"/>
      <c r="CH59" s="444"/>
    </row>
    <row r="60" spans="1:86" s="248" customFormat="1">
      <c r="A60"/>
      <c r="B60"/>
      <c r="C60"/>
      <c r="D60"/>
      <c r="E60"/>
      <c r="F60"/>
      <c r="G60" s="442"/>
      <c r="H60" s="292"/>
      <c r="I60" s="443"/>
      <c r="J60" s="443"/>
      <c r="K60" s="444"/>
      <c r="L60" s="444"/>
      <c r="M60" s="444"/>
      <c r="N60" s="444"/>
      <c r="O60" s="444"/>
      <c r="P60" s="444"/>
      <c r="Q60" s="444"/>
      <c r="R60" s="444"/>
      <c r="S60" s="444"/>
      <c r="T60" s="444"/>
      <c r="U60" s="444"/>
      <c r="V60" s="444"/>
      <c r="W60" s="444"/>
      <c r="X60" s="444"/>
      <c r="Y60" s="444"/>
      <c r="Z60" s="444"/>
      <c r="AA60" s="444"/>
      <c r="AB60" s="444"/>
      <c r="AC60" s="444"/>
      <c r="AD60" s="444"/>
      <c r="AE60" s="444"/>
      <c r="AF60" s="444"/>
      <c r="AG60" s="444"/>
      <c r="AH60" s="444"/>
      <c r="AI60" s="444"/>
      <c r="AJ60" s="444"/>
      <c r="AK60" s="444"/>
      <c r="AL60" s="444"/>
      <c r="AM60" s="444"/>
      <c r="AN60" s="444"/>
      <c r="AO60" s="444"/>
      <c r="AP60" s="444"/>
      <c r="AQ60" s="444"/>
      <c r="AR60" s="444"/>
      <c r="AS60" s="444"/>
      <c r="AT60" s="444"/>
      <c r="AU60" s="444"/>
      <c r="AV60" s="444"/>
      <c r="AW60" s="444"/>
      <c r="AX60" s="444"/>
      <c r="AY60" s="444"/>
      <c r="AZ60" s="444"/>
      <c r="BA60" s="444"/>
      <c r="BB60" s="444"/>
      <c r="BC60" s="444"/>
      <c r="BD60" s="444"/>
      <c r="BE60" s="444"/>
      <c r="BF60" s="444"/>
      <c r="BG60" s="444"/>
      <c r="BH60" s="444"/>
      <c r="BI60" s="444"/>
      <c r="BJ60" s="444"/>
      <c r="BK60" s="444"/>
      <c r="BL60" s="444"/>
      <c r="BM60" s="444"/>
      <c r="BN60" s="444"/>
      <c r="BO60" s="444"/>
      <c r="BP60" s="444"/>
      <c r="BQ60" s="444"/>
      <c r="BR60" s="444"/>
      <c r="BS60" s="444"/>
      <c r="BT60" s="444"/>
      <c r="BU60" s="444"/>
      <c r="BV60" s="444"/>
      <c r="BW60" s="444"/>
      <c r="BX60" s="444"/>
      <c r="BY60" s="444"/>
      <c r="BZ60" s="444"/>
      <c r="CA60" s="444"/>
      <c r="CB60" s="444"/>
      <c r="CC60" s="444"/>
      <c r="CD60" s="444"/>
      <c r="CE60" s="444"/>
      <c r="CF60" s="444"/>
      <c r="CG60" s="444"/>
      <c r="CH60" s="444"/>
    </row>
    <row r="61" spans="1:86" ht="15.75">
      <c r="G61" s="230"/>
      <c r="H61" s="10" t="str">
        <f>CompanyName</f>
        <v>Eli Lilly &amp; Co.</v>
      </c>
      <c r="I61" s="10"/>
      <c r="J61" s="10"/>
      <c r="K61" s="10"/>
      <c r="L61" s="445"/>
      <c r="M61" s="445"/>
      <c r="N61" s="445"/>
      <c r="O61" s="445"/>
      <c r="P61" s="445"/>
      <c r="Q61" s="445"/>
      <c r="R61" s="445"/>
      <c r="S61" s="445"/>
      <c r="T61" s="445"/>
      <c r="U61" s="445"/>
      <c r="V61" s="445"/>
      <c r="W61" s="445"/>
      <c r="X61" s="445"/>
      <c r="Y61" s="445"/>
      <c r="Z61" s="446"/>
      <c r="AA61" s="445"/>
      <c r="AB61" s="445"/>
      <c r="AC61" s="445"/>
      <c r="AD61" s="445"/>
      <c r="AE61" s="446"/>
      <c r="AF61" s="445"/>
      <c r="AG61" s="445"/>
      <c r="AH61" s="445"/>
      <c r="AI61" s="445"/>
      <c r="AJ61" s="446"/>
      <c r="AK61" s="446"/>
      <c r="AL61" s="446"/>
      <c r="AM61" s="446"/>
      <c r="AN61" s="446"/>
      <c r="AO61" s="445"/>
      <c r="AP61" s="445"/>
      <c r="AQ61" s="445"/>
      <c r="AR61" s="445"/>
      <c r="AS61" s="445"/>
      <c r="AT61" s="445"/>
      <c r="AU61" s="445"/>
      <c r="AV61" s="445"/>
      <c r="AW61" s="445"/>
      <c r="AX61" s="445"/>
      <c r="AY61" s="445"/>
      <c r="AZ61" s="445"/>
      <c r="BA61" s="445"/>
      <c r="BB61" s="445"/>
      <c r="BC61" s="445"/>
      <c r="BD61" s="445"/>
      <c r="BE61" s="445"/>
      <c r="BF61" s="445"/>
      <c r="BG61" s="445"/>
      <c r="BH61" s="445"/>
      <c r="BI61" s="445"/>
      <c r="BJ61" s="445"/>
      <c r="BK61" s="445"/>
      <c r="BL61" s="445"/>
      <c r="BM61" s="445"/>
      <c r="BN61" s="445"/>
      <c r="BO61" s="445"/>
      <c r="BP61" s="445"/>
      <c r="BQ61" s="445"/>
      <c r="BR61" s="445"/>
      <c r="BS61" s="445"/>
      <c r="BT61" s="445"/>
      <c r="BU61" s="445"/>
      <c r="BV61" s="445"/>
      <c r="BW61" s="445"/>
      <c r="BX61" s="445"/>
      <c r="BY61" s="445"/>
      <c r="BZ61" s="445"/>
      <c r="CA61" s="445"/>
      <c r="CB61" s="445"/>
      <c r="CC61" s="445"/>
      <c r="CD61" s="445"/>
      <c r="CE61" s="445"/>
      <c r="CF61" s="445"/>
      <c r="CG61" s="445"/>
      <c r="CH61" s="445"/>
    </row>
    <row r="62" spans="1:86" ht="15.75">
      <c r="G62" s="230"/>
      <c r="H62" s="10" t="s">
        <v>252</v>
      </c>
      <c r="I62" s="10"/>
      <c r="J62" s="10"/>
      <c r="K62" s="10"/>
      <c r="L62" s="445"/>
      <c r="M62" s="445"/>
      <c r="N62" s="445"/>
      <c r="O62" s="445"/>
      <c r="P62" s="445"/>
      <c r="Q62" s="445"/>
      <c r="R62" s="445"/>
      <c r="S62" s="445"/>
      <c r="T62" s="445"/>
      <c r="U62" s="445"/>
      <c r="V62" s="445"/>
      <c r="W62" s="445"/>
      <c r="X62" s="445"/>
      <c r="Y62" s="445"/>
      <c r="Z62" s="446"/>
      <c r="AA62" s="445"/>
      <c r="AB62" s="445"/>
      <c r="AC62" s="445"/>
      <c r="AD62" s="445"/>
      <c r="AE62" s="446"/>
      <c r="AF62" s="445"/>
      <c r="AG62" s="445"/>
      <c r="AH62" s="445"/>
      <c r="AI62" s="445"/>
      <c r="AJ62" s="446"/>
      <c r="AK62" s="446"/>
      <c r="AL62" s="446"/>
      <c r="AM62" s="446"/>
      <c r="AN62" s="446"/>
      <c r="AO62" s="445"/>
      <c r="AP62" s="445"/>
      <c r="AQ62" s="445"/>
      <c r="AR62" s="445"/>
      <c r="AS62" s="445"/>
      <c r="AT62" s="445"/>
      <c r="AU62" s="445"/>
      <c r="AV62" s="445"/>
      <c r="AW62" s="445"/>
      <c r="AX62" s="445"/>
      <c r="AY62" s="445"/>
      <c r="AZ62" s="445"/>
      <c r="BA62" s="445"/>
      <c r="BB62" s="445"/>
      <c r="BC62" s="445"/>
      <c r="BD62" s="445"/>
      <c r="BE62" s="445"/>
      <c r="BF62" s="445"/>
      <c r="BG62" s="445"/>
      <c r="BH62" s="445"/>
      <c r="BI62" s="445"/>
      <c r="BJ62" s="445"/>
      <c r="BK62" s="445"/>
      <c r="BL62" s="445"/>
      <c r="BM62" s="445"/>
      <c r="BN62" s="445"/>
      <c r="BO62" s="445"/>
      <c r="BP62" s="445"/>
      <c r="BQ62" s="445"/>
      <c r="BR62" s="445"/>
      <c r="BS62" s="445"/>
      <c r="BT62" s="445"/>
      <c r="BU62" s="445"/>
      <c r="BV62" s="445"/>
      <c r="BW62" s="445"/>
      <c r="BX62" s="445"/>
      <c r="BY62" s="445"/>
      <c r="BZ62" s="445"/>
      <c r="CA62" s="445"/>
      <c r="CB62" s="445"/>
      <c r="CC62" s="445"/>
      <c r="CD62" s="445"/>
      <c r="CE62" s="445"/>
      <c r="CF62" s="445"/>
      <c r="CG62" s="445"/>
      <c r="CH62" s="445"/>
    </row>
    <row r="63" spans="1:86" s="77" customFormat="1">
      <c r="A63"/>
      <c r="B63"/>
      <c r="C63"/>
      <c r="D63"/>
      <c r="E63"/>
      <c r="F63"/>
      <c r="G63" s="230"/>
      <c r="I63" s="447"/>
      <c r="J63" s="447"/>
      <c r="K63" s="447"/>
      <c r="L63" s="448"/>
      <c r="M63" s="448"/>
      <c r="N63" s="448"/>
      <c r="O63" s="448"/>
      <c r="P63" s="448"/>
      <c r="Q63" s="448"/>
      <c r="R63" s="448"/>
      <c r="S63" s="448"/>
      <c r="T63" s="448"/>
      <c r="U63" s="448"/>
      <c r="V63" s="448"/>
      <c r="W63" s="448"/>
      <c r="X63" s="448"/>
      <c r="Y63" s="448"/>
      <c r="Z63" s="447"/>
      <c r="AA63" s="448"/>
      <c r="AB63" s="448"/>
      <c r="AC63" s="448"/>
      <c r="AD63" s="448"/>
      <c r="AE63" s="447"/>
      <c r="AF63" s="448"/>
      <c r="AG63" s="448"/>
      <c r="AH63" s="448"/>
      <c r="AI63" s="448"/>
      <c r="AJ63" s="447"/>
      <c r="AK63" s="447"/>
      <c r="AL63" s="447"/>
      <c r="AM63" s="447"/>
      <c r="AN63" s="447"/>
      <c r="AO63" s="447"/>
      <c r="AP63" s="447"/>
      <c r="AQ63" s="447"/>
      <c r="AR63" s="447"/>
      <c r="AS63" s="447"/>
      <c r="AT63" s="447"/>
      <c r="AU63" s="447"/>
      <c r="AV63" s="447"/>
      <c r="AW63" s="447"/>
      <c r="AX63" s="447"/>
      <c r="AY63" s="447"/>
      <c r="AZ63" s="447"/>
      <c r="BA63" s="447"/>
      <c r="BB63" s="447"/>
      <c r="BC63" s="447"/>
      <c r="BD63" s="447"/>
      <c r="BE63" s="447"/>
      <c r="BF63" s="447"/>
      <c r="BG63" s="447"/>
      <c r="BH63" s="447"/>
      <c r="BI63" s="447"/>
      <c r="BJ63" s="447"/>
      <c r="BK63" s="447"/>
      <c r="BL63" s="447"/>
      <c r="BM63" s="447"/>
      <c r="BN63" s="447"/>
      <c r="BO63" s="447"/>
      <c r="BP63" s="447"/>
      <c r="BQ63" s="447"/>
      <c r="BR63" s="447"/>
      <c r="BS63" s="447"/>
      <c r="BT63" s="447"/>
      <c r="BU63" s="447"/>
      <c r="BV63" s="447"/>
      <c r="BW63" s="447"/>
      <c r="BX63" s="447"/>
      <c r="BY63" s="447"/>
      <c r="BZ63" s="447"/>
      <c r="CA63" s="447"/>
      <c r="CB63" s="447"/>
      <c r="CC63" s="447"/>
      <c r="CD63" s="447"/>
      <c r="CE63" s="447"/>
      <c r="CF63" s="447"/>
      <c r="CG63" s="447"/>
      <c r="CH63" s="447"/>
    </row>
    <row r="64" spans="1:86" s="77" customFormat="1" ht="14.25" thickBot="1">
      <c r="A64"/>
      <c r="B64"/>
      <c r="C64"/>
      <c r="D64"/>
      <c r="E64"/>
      <c r="F64"/>
      <c r="G64" s="449"/>
      <c r="H64" s="450" t="str">
        <f>H9</f>
        <v>($M)</v>
      </c>
      <c r="I64" s="450"/>
      <c r="J64" s="450"/>
      <c r="K64" s="450"/>
      <c r="L64" s="43" t="str">
        <f>"1Q:" &amp; RIGHT(YEAR(L$4),2) &amp; IF(L$4&lt;=LatestFiledQ, "A", "E")</f>
        <v>1Q:05A</v>
      </c>
      <c r="M64" s="43" t="str">
        <f>"2Q:" &amp; RIGHT(YEAR(M$4),2) &amp; IF(M$4&lt;=LatestFiledQ, "A", "E")</f>
        <v>2Q:05A</v>
      </c>
      <c r="N64" s="43" t="str">
        <f>"3Q:" &amp; RIGHT(YEAR(N$4),2) &amp; IF(N$4&lt;=LatestFiledQ, "A", "E")</f>
        <v>3Q:05A</v>
      </c>
      <c r="O64" s="43" t="str">
        <f>"4Q:" &amp; RIGHT(YEAR(O$4),2) &amp; IF(O$4&lt;=LatestFiledQ, "A", "E")</f>
        <v>4Q:05A</v>
      </c>
      <c r="P64" s="44" t="str">
        <f>YEAR(P$4) &amp; IF(P$4&lt;=LatestFiledQ, "A", "E")</f>
        <v>2005A</v>
      </c>
      <c r="Q64" s="43" t="str">
        <f>"1Q:" &amp; RIGHT(YEAR(Q$4),2) &amp; IF(Q$4&lt;=LatestFiledQ, "A", "E")</f>
        <v>1Q:06A</v>
      </c>
      <c r="R64" s="43" t="str">
        <f>"2Q:" &amp; RIGHT(YEAR(R$4),2) &amp; IF(R$4&lt;=LatestFiledQ, "A", "E")</f>
        <v>2Q:06A</v>
      </c>
      <c r="S64" s="43" t="str">
        <f>"3Q:" &amp; RIGHT(YEAR(S$4),2) &amp; IF(S$4&lt;=LatestFiledQ, "A", "E")</f>
        <v>3Q:06A</v>
      </c>
      <c r="T64" s="43" t="str">
        <f>"4Q:" &amp; RIGHT(YEAR(T$4),2) &amp; IF(T$4&lt;=LatestFiledQ, "A", "E")</f>
        <v>4Q:06A</v>
      </c>
      <c r="U64" s="44" t="str">
        <f>YEAR(U$4) &amp; IF(U$4&lt;=LatestFiledQ, "A", "E")</f>
        <v>2006A</v>
      </c>
      <c r="V64" s="43" t="str">
        <f>"1Q:" &amp; RIGHT(YEAR(V$4),2) &amp; IF(V$4&lt;=LatestFiledQ, "A", "E")</f>
        <v>1Q:07A</v>
      </c>
      <c r="W64" s="43" t="str">
        <f>"2Q:" &amp; RIGHT(YEAR(W$4),2) &amp; IF(W$4&lt;=LatestFiledQ, "A", "E")</f>
        <v>2Q:07A</v>
      </c>
      <c r="X64" s="43" t="str">
        <f>"3Q:" &amp; RIGHT(YEAR(X$4),2) &amp; IF(X$4&lt;=LatestFiledQ, "A", "E")</f>
        <v>3Q:07A</v>
      </c>
      <c r="Y64" s="43" t="str">
        <f>"4Q:" &amp; RIGHT(YEAR(Y$4),2) &amp; IF(Y$4&lt;=LatestFiledQ, "A", "E")</f>
        <v>4Q:07A</v>
      </c>
      <c r="Z64" s="44" t="str">
        <f>YEAR(Z$4) &amp; IF(Z$4&lt;=LatestFiledQ, "A", "E")</f>
        <v>2007A</v>
      </c>
      <c r="AA64" s="43" t="str">
        <f>"1Q:" &amp; RIGHT(YEAR(AA$4),2) &amp; IF(AA$4&lt;=LatestFiledQ, "A", "E")</f>
        <v>1Q:08A</v>
      </c>
      <c r="AB64" s="43" t="str">
        <f>"2Q:" &amp; RIGHT(YEAR(AB$4),2) &amp; IF(AB$4&lt;=LatestFiledQ, "A", "E")</f>
        <v>2Q:08A</v>
      </c>
      <c r="AC64" s="43" t="str">
        <f>"3Q:" &amp; RIGHT(YEAR(AC$4),2) &amp; IF(AC$4&lt;=LatestFiledQ, "A", "E")</f>
        <v>3Q:08A</v>
      </c>
      <c r="AD64" s="43" t="str">
        <f>"4Q:" &amp; RIGHT(YEAR(AD$4),2) &amp; IF(AD$4&lt;=LatestFiledQ, "A", "E")</f>
        <v>4Q:08A</v>
      </c>
      <c r="AE64" s="44" t="str">
        <f>YEAR(AE$4) &amp; IF(AE$4&lt;=LatestFiledQ, "A", "E")</f>
        <v>2008A</v>
      </c>
      <c r="AF64" s="43" t="str">
        <f>"1Q:" &amp; RIGHT(YEAR(AF$4),2) &amp; IF(AF$4&lt;=LatestFiledQ, "A", "E")</f>
        <v>1Q:09A</v>
      </c>
      <c r="AG64" s="43" t="str">
        <f>"2Q:" &amp; RIGHT(YEAR(AG$4),2) &amp; IF(AG$4&lt;=LatestFiledQ, "A", "E")</f>
        <v>2Q:09A</v>
      </c>
      <c r="AH64" s="43" t="str">
        <f>"3Q:" &amp; RIGHT(YEAR(AH$4),2) &amp; IF(AH$4&lt;=LatestFiledQ, "A", "E")</f>
        <v>3Q:09A</v>
      </c>
      <c r="AI64" s="43" t="str">
        <f>"4Q:" &amp; RIGHT(YEAR(AI$4),2) &amp; IF(AI$4&lt;=LatestFiledQ, "A", "E")</f>
        <v>4Q:09A</v>
      </c>
      <c r="AJ64" s="44" t="str">
        <f>YEAR(AJ$4) &amp; IF(AJ$4&lt;=LatestFiledQ, "A", "E")</f>
        <v>2009A</v>
      </c>
      <c r="AK64" s="43" t="str">
        <f>"1Q:" &amp; RIGHT(YEAR(AK$4),2) &amp; IF(AK$4&lt;=LatestFiledQ, "A", "E")</f>
        <v>1Q:10A</v>
      </c>
      <c r="AL64" s="43" t="str">
        <f>"2Q:" &amp; RIGHT(YEAR(AL$4),2) &amp; IF(AL$4&lt;=LatestFiledQ, "A", "E")</f>
        <v>2Q:10A</v>
      </c>
      <c r="AM64" s="43" t="str">
        <f>"3Q:" &amp; RIGHT(YEAR(AM$4),2) &amp; IF(AM$4&lt;=LatestFiledQ, "A", "E")</f>
        <v>3Q:10A</v>
      </c>
      <c r="AN64" s="43" t="str">
        <f>"4Q:" &amp; RIGHT(YEAR(AN$4),2) &amp; IF(AN$4&lt;=LatestFiledQ, "A", "E")</f>
        <v>4Q:10A</v>
      </c>
      <c r="AO64" s="44" t="str">
        <f>YEAR(AO$4) &amp; IF(AO$4&lt;=LatestFiledQ, "A", "E")</f>
        <v>2010A</v>
      </c>
      <c r="AP64" s="43" t="str">
        <f>"1Q:" &amp; RIGHT(YEAR(AP$4),2) &amp; IF(AP$4&lt;=LatestFiledQ, "A", "E")</f>
        <v>1Q:11A</v>
      </c>
      <c r="AQ64" s="43" t="str">
        <f>"2Q:" &amp; RIGHT(YEAR(AQ$4),2) &amp; IF(AQ$4&lt;=LatestFiledQ, "A", "E")</f>
        <v>2Q:11A</v>
      </c>
      <c r="AR64" s="43" t="str">
        <f>"3Q:" &amp; RIGHT(YEAR(AR$4),2) &amp; IF(AR$4&lt;=LatestFiledQ, "A", "E")</f>
        <v>3Q:11A</v>
      </c>
      <c r="AS64" s="43" t="str">
        <f>"4Q:" &amp; RIGHT(YEAR(AS$4),2) &amp; IF(AS$4&lt;=LatestFiledQ, "A", "E")</f>
        <v>4Q:11A</v>
      </c>
      <c r="AT64" s="44" t="str">
        <f>YEAR(AT$4) &amp; IF(AT$4&lt;=LatestFiledQ, "A", "E")</f>
        <v>2011A</v>
      </c>
      <c r="AU64" s="43" t="str">
        <f>"1Q:" &amp; RIGHT(YEAR(AU$4),2) &amp; IF(AU$4&lt;=LatestFiledQ, "A", "E")</f>
        <v>1Q:12A</v>
      </c>
      <c r="AV64" s="43" t="str">
        <f>"2Q:" &amp; RIGHT(YEAR(AV$4),2) &amp; IF(AV$4&lt;=LatestFiledQ, "A", "E")</f>
        <v>2Q:12A</v>
      </c>
      <c r="AW64" s="43" t="str">
        <f>"3Q:" &amp; RIGHT(YEAR(AW$4),2) &amp; IF(AW$4&lt;=LatestFiledQ, "A", "E")</f>
        <v>3Q:12A</v>
      </c>
      <c r="AX64" s="43" t="str">
        <f>"4Q:" &amp; RIGHT(YEAR(AX$4),2) &amp; IF(AX$4&lt;=LatestFiledQ, "A", "E")</f>
        <v>4Q:12A</v>
      </c>
      <c r="AY64" s="44" t="str">
        <f>YEAR(AY$4) &amp; IF(AY$4&lt;=LatestFiledQ, "A", "E")</f>
        <v>2012A</v>
      </c>
      <c r="AZ64" s="43" t="str">
        <f>"1Q:" &amp; RIGHT(YEAR(AZ$4),2) &amp; IF(AZ$4&lt;=LatestFiledQ, "A", "E")</f>
        <v>1Q:13A</v>
      </c>
      <c r="BA64" s="43" t="str">
        <f>"2Q:" &amp; RIGHT(YEAR(BA$4),2) &amp; IF(BA$4&lt;=LatestFiledQ, "A", "E")</f>
        <v>2Q:13A</v>
      </c>
      <c r="BB64" s="43" t="str">
        <f>"3Q:" &amp; RIGHT(YEAR(BB$4),2) &amp; IF(BB$4&lt;=LatestFiledQ, "A", "E")</f>
        <v>3Q:13A</v>
      </c>
      <c r="BC64" s="43" t="str">
        <f>"4Q:" &amp; RIGHT(YEAR(BC$4),2) &amp; IF(BC$4&lt;=LatestFiledQ, "A", "E")</f>
        <v>4Q:13A</v>
      </c>
      <c r="BD64" s="44" t="str">
        <f>YEAR(BD$4) &amp; IF(BD$4&lt;=LatestFiledQ, "A", "E")</f>
        <v>2013A</v>
      </c>
      <c r="BE64" s="43" t="str">
        <f>"1Q:" &amp; RIGHT(YEAR(BE$4),2) &amp; IF(BE$4&lt;=LatestFiledQ, "A", "E")</f>
        <v>1Q:14A</v>
      </c>
      <c r="BF64" s="43" t="str">
        <f>"2Q:" &amp; RIGHT(YEAR(BF$4),2) &amp; IF(BF$4&lt;=LatestFiledQ, "A", "E")</f>
        <v>2Q:14A</v>
      </c>
      <c r="BG64" s="43" t="str">
        <f>"3Q:" &amp; RIGHT(YEAR(BG$4),2) &amp; IF(BG$4&lt;=LatestFiledQ, "A", "E")</f>
        <v>3Q:14A</v>
      </c>
      <c r="BH64" s="43" t="str">
        <f>"4Q:" &amp; RIGHT(YEAR(BH$4),2) &amp; IF(BH$4&lt;=LatestFiledQ, "A", "E")</f>
        <v>4Q:14A</v>
      </c>
      <c r="BI64" s="44" t="str">
        <f>YEAR(BI$4) &amp; IF(BI$4&lt;=LatestFiledQ, "A", "E")</f>
        <v>2014A</v>
      </c>
      <c r="BJ64" s="43" t="str">
        <f>"1Q:" &amp; RIGHT(YEAR(BJ$4),2) &amp; IF(BJ$4&lt;=LatestFiledQ, "A", "E")</f>
        <v>1Q:15A</v>
      </c>
      <c r="BK64" s="43" t="str">
        <f>"2Q:" &amp; RIGHT(YEAR(BK$4),2) &amp; IF(BK$4&lt;=LatestFiledQ, "A", "E")</f>
        <v>2Q:15A</v>
      </c>
      <c r="BL64" s="43" t="str">
        <f>"3Q:" &amp; RIGHT(YEAR(BL$4),2) &amp; IF(BL$4&lt;=LatestFiledQ, "A", "E")</f>
        <v>3Q:15A</v>
      </c>
      <c r="BM64" s="43" t="str">
        <f>"4Q:" &amp; RIGHT(YEAR(BM$4),2) &amp; IF(BM$4&lt;=LatestFiledQ, "A", "E")</f>
        <v>4Q:15A</v>
      </c>
      <c r="BN64" s="44" t="str">
        <f>YEAR(BN$4) &amp; IF(BN$4&lt;=LatestFiledQ, "A", "E")</f>
        <v>2015A</v>
      </c>
      <c r="BO64" s="43" t="str">
        <f>"1Q:" &amp; RIGHT(YEAR(BO$4),2) &amp; IF(BO$4&lt;=LatestFiledQ, "A", "E")</f>
        <v>1Q:16A</v>
      </c>
      <c r="BP64" s="43" t="str">
        <f>"2Q:" &amp; RIGHT(YEAR(BP$4),2) &amp; IF(BP$4&lt;=LatestFiledQ, "A", "E")</f>
        <v>2Q:16A</v>
      </c>
      <c r="BQ64" s="43" t="str">
        <f>"3Q:" &amp; RIGHT(YEAR(BQ$4),2) &amp; IF(BQ$4&lt;=LatestFiledQ, "A", "E")</f>
        <v>3Q:16A</v>
      </c>
      <c r="BR64" s="43" t="str">
        <f>"4Q:" &amp; RIGHT(YEAR(BR$4),2) &amp; IF(BR$4&lt;=LatestFiledQ, "A", "E")</f>
        <v>4Q:16A</v>
      </c>
      <c r="BS64" s="44" t="str">
        <f>YEAR(BS$4) &amp; IF(BS$4&lt;=LatestFiledQ, "A", "E")</f>
        <v>2016A</v>
      </c>
      <c r="BT64" s="43" t="str">
        <f>"1Q:" &amp; RIGHT(YEAR(BT$4),2) &amp; IF(BT$4&lt;=LatestFiledQ, "A", "E")</f>
        <v>1Q:17A</v>
      </c>
      <c r="BU64" s="43" t="str">
        <f>"2Q:" &amp; RIGHT(YEAR(BU$4),2) &amp; IF(BU$4&lt;=LatestFiledQ, "A", "E")</f>
        <v>2Q:17A</v>
      </c>
      <c r="BV64" s="43" t="str">
        <f>"3Q:" &amp; RIGHT(YEAR(BV$4),2) &amp; IF(BV$4&lt;=LatestFiledQ, "A", "E")</f>
        <v>3Q:17A</v>
      </c>
      <c r="BW64" s="43" t="str">
        <f>"4Q:" &amp; RIGHT(YEAR(BW$4),2) &amp; IF(BW$4&lt;=LatestFiledQ, "A", "E")</f>
        <v>4Q:17A</v>
      </c>
      <c r="BX64" s="44" t="str">
        <f>YEAR(BX$4) &amp; IF(BX$4&lt;=LatestFiledQ, "A", "E")</f>
        <v>2017A</v>
      </c>
      <c r="BY64" s="43" t="str">
        <f>"1Q:" &amp; RIGHT(YEAR(BY$4),2) &amp; IF(BY$4&lt;=LatestFiledQ, "A", "E")</f>
        <v>1Q:18E</v>
      </c>
      <c r="BZ64" s="43" t="str">
        <f>"2Q:" &amp; RIGHT(YEAR(BZ$4),2) &amp; IF(BZ$4&lt;=LatestFiledQ, "A", "E")</f>
        <v>2Q:18E</v>
      </c>
      <c r="CA64" s="43" t="str">
        <f>"3Q:" &amp; RIGHT(YEAR(CA$4),2) &amp; IF(CA$4&lt;=LatestFiledQ, "A", "E")</f>
        <v>3Q:18E</v>
      </c>
      <c r="CB64" s="43" t="str">
        <f>"4Q:" &amp; RIGHT(YEAR(CB$4),2) &amp; IF(CB$4&lt;=LatestFiledQ, "A", "E")</f>
        <v>4Q:18E</v>
      </c>
      <c r="CC64" s="44" t="str">
        <f t="shared" ref="CC64:CH64" si="71">YEAR(CC$4) &amp; IF(CC$4&lt;=LatestFiledQ, "A", "E")</f>
        <v>2018E</v>
      </c>
      <c r="CD64" s="44" t="str">
        <f t="shared" si="71"/>
        <v>2019E</v>
      </c>
      <c r="CE64" s="44" t="str">
        <f t="shared" si="71"/>
        <v>2020E</v>
      </c>
      <c r="CF64" s="44" t="str">
        <f t="shared" si="71"/>
        <v>2021E</v>
      </c>
      <c r="CG64" s="44" t="str">
        <f t="shared" si="71"/>
        <v>2022E</v>
      </c>
      <c r="CH64" s="44" t="str">
        <f t="shared" si="71"/>
        <v>2023E</v>
      </c>
    </row>
    <row r="65" spans="1:86" s="77" customFormat="1" ht="3" customHeight="1">
      <c r="A65"/>
      <c r="B65"/>
      <c r="C65"/>
      <c r="D65"/>
      <c r="E65"/>
      <c r="F65"/>
      <c r="G65" s="230"/>
      <c r="H65" s="451"/>
      <c r="I65" s="451"/>
      <c r="J65" s="451"/>
      <c r="K65" s="451"/>
      <c r="L65" s="251"/>
      <c r="M65" s="251"/>
      <c r="N65" s="251"/>
      <c r="O65" s="251"/>
      <c r="P65" s="252"/>
      <c r="Q65" s="251"/>
      <c r="R65" s="251"/>
      <c r="S65" s="251"/>
      <c r="T65" s="251"/>
      <c r="U65" s="252"/>
      <c r="V65" s="251"/>
      <c r="W65" s="251"/>
      <c r="X65" s="251"/>
      <c r="Y65" s="251"/>
      <c r="Z65" s="252"/>
      <c r="AA65" s="251"/>
      <c r="AB65" s="251"/>
      <c r="AC65" s="251"/>
      <c r="AD65" s="251"/>
      <c r="AE65" s="252"/>
      <c r="AF65" s="253"/>
      <c r="AG65" s="253"/>
      <c r="AH65" s="253"/>
      <c r="AI65" s="253"/>
      <c r="AJ65" s="254"/>
      <c r="AK65" s="253"/>
      <c r="AL65" s="253"/>
      <c r="AM65" s="253"/>
      <c r="AN65" s="253"/>
      <c r="AO65" s="254"/>
      <c r="AP65" s="253"/>
      <c r="AQ65" s="253"/>
      <c r="AR65" s="253"/>
      <c r="AS65" s="253"/>
      <c r="AT65" s="254"/>
      <c r="AU65" s="253"/>
      <c r="AV65" s="253"/>
      <c r="AW65" s="253"/>
      <c r="AX65" s="253"/>
      <c r="AY65" s="254"/>
      <c r="AZ65" s="253"/>
      <c r="BA65" s="253"/>
      <c r="BB65" s="253"/>
      <c r="BC65" s="253"/>
      <c r="BD65" s="254"/>
      <c r="BE65" s="253"/>
      <c r="BF65" s="253"/>
      <c r="BG65" s="253"/>
      <c r="BH65" s="253"/>
      <c r="BI65" s="254"/>
      <c r="BJ65" s="253"/>
      <c r="BK65" s="253"/>
      <c r="BL65" s="253"/>
      <c r="BM65" s="253"/>
      <c r="BN65" s="254"/>
      <c r="BO65" s="253"/>
      <c r="BP65" s="253"/>
      <c r="BQ65" s="253"/>
      <c r="BR65" s="253"/>
      <c r="BS65" s="254"/>
      <c r="BT65" s="253"/>
      <c r="BU65" s="253"/>
      <c r="BV65" s="253"/>
      <c r="BW65" s="253"/>
      <c r="BX65" s="254"/>
      <c r="BY65" s="253"/>
      <c r="BZ65" s="253"/>
      <c r="CA65" s="253"/>
      <c r="CB65" s="253"/>
      <c r="CC65" s="254"/>
      <c r="CD65" s="254"/>
      <c r="CE65" s="254"/>
      <c r="CF65" s="254"/>
      <c r="CG65" s="254"/>
      <c r="CH65" s="254"/>
    </row>
    <row r="66" spans="1:86" s="77" customFormat="1">
      <c r="A66"/>
      <c r="B66"/>
      <c r="C66"/>
      <c r="D66"/>
      <c r="E66"/>
      <c r="F66"/>
      <c r="G66" s="230"/>
      <c r="H66" s="452" t="s">
        <v>471</v>
      </c>
      <c r="I66" s="452"/>
      <c r="J66" s="452"/>
      <c r="K66" s="452"/>
      <c r="L66" s="383">
        <f>SUM(L67:L68)</f>
        <v>5620.3000000000011</v>
      </c>
      <c r="M66" s="383">
        <f>SUM(M67:M68)</f>
        <v>5501.1000000000013</v>
      </c>
      <c r="N66" s="383">
        <f>SUM(N67:N68)</f>
        <v>6232.9000000000005</v>
      </c>
      <c r="O66" s="383">
        <f>SUM(O67:O68)</f>
        <v>5037.7</v>
      </c>
      <c r="P66" s="410">
        <f t="shared" ref="P66:P76" si="72">O66</f>
        <v>5037.7</v>
      </c>
      <c r="Q66" s="383">
        <f>SUM(Q67:Q68)</f>
        <v>4503.7</v>
      </c>
      <c r="R66" s="383">
        <f>SUM(R67:R68)</f>
        <v>4590.7</v>
      </c>
      <c r="S66" s="383">
        <f>SUM(S67:S68)</f>
        <v>3618.5000000000005</v>
      </c>
      <c r="T66" s="383">
        <f>SUM(T67:T68)</f>
        <v>3891</v>
      </c>
      <c r="U66" s="410">
        <f t="shared" ref="U66:U76" si="73">T66</f>
        <v>3891</v>
      </c>
      <c r="V66" s="383">
        <f>SUM(V67:V68)</f>
        <v>3363.9</v>
      </c>
      <c r="W66" s="383">
        <f>SUM(W67:W68)</f>
        <v>3004.4</v>
      </c>
      <c r="X66" s="383">
        <f>SUM(X67:X68)</f>
        <v>3565.8</v>
      </c>
      <c r="Y66" s="383">
        <f>SUM(Y67:Y68)</f>
        <v>4831.2</v>
      </c>
      <c r="Z66" s="410">
        <f t="shared" ref="Z66:Z75" si="74">Y66</f>
        <v>4831.2</v>
      </c>
      <c r="AA66" s="383">
        <f t="shared" ref="AA66:AF66" si="75">SUM(AA67:AA68)</f>
        <v>5434.5</v>
      </c>
      <c r="AB66" s="383">
        <f t="shared" si="75"/>
        <v>5170</v>
      </c>
      <c r="AC66" s="383">
        <f t="shared" si="75"/>
        <v>6118.7999999999993</v>
      </c>
      <c r="AD66" s="383">
        <f t="shared" si="75"/>
        <v>5926.0999999999985</v>
      </c>
      <c r="AE66" s="377">
        <f t="shared" si="75"/>
        <v>5926.0999999999985</v>
      </c>
      <c r="AF66" s="383">
        <f t="shared" si="75"/>
        <v>3508.3</v>
      </c>
      <c r="AG66" s="383">
        <f t="shared" ref="AG66:AL66" si="76">SUM(AG67:AG68)</f>
        <v>3490.4</v>
      </c>
      <c r="AH66" s="383">
        <f t="shared" si="76"/>
        <v>3929.1000000000008</v>
      </c>
      <c r="AI66" s="383">
        <f t="shared" si="76"/>
        <v>4497.6000000000013</v>
      </c>
      <c r="AJ66" s="377">
        <f t="shared" si="76"/>
        <v>4497.6000000000013</v>
      </c>
      <c r="AK66" s="383">
        <f t="shared" si="76"/>
        <v>4758.4000000000033</v>
      </c>
      <c r="AL66" s="383">
        <f t="shared" si="76"/>
        <v>5196.600000000004</v>
      </c>
      <c r="AM66" s="383">
        <f t="shared" ref="AM66:AR66" si="77">SUM(AM67:AM68)</f>
        <v>6140.100000000004</v>
      </c>
      <c r="AN66" s="383">
        <f t="shared" si="77"/>
        <v>6727.0000000000045</v>
      </c>
      <c r="AO66" s="377">
        <f t="shared" si="77"/>
        <v>6727.0000000000045</v>
      </c>
      <c r="AP66" s="383">
        <f t="shared" si="77"/>
        <v>6713.1000000000031</v>
      </c>
      <c r="AQ66" s="383">
        <f t="shared" si="77"/>
        <v>6329.8000000000038</v>
      </c>
      <c r="AR66" s="383">
        <f t="shared" si="77"/>
        <v>6784.3000000000038</v>
      </c>
      <c r="AS66" s="383">
        <f t="shared" ref="AS66:AY66" si="78">SUM(AS67:AS68)</f>
        <v>6897.100000000004</v>
      </c>
      <c r="AT66" s="377">
        <f t="shared" si="78"/>
        <v>6897.100000000004</v>
      </c>
      <c r="AU66" s="383">
        <f t="shared" si="78"/>
        <v>4924.600000000004</v>
      </c>
      <c r="AV66" s="383">
        <f t="shared" si="78"/>
        <v>5261.5000000000045</v>
      </c>
      <c r="AW66" s="383">
        <f t="shared" si="78"/>
        <v>6899.9000000000042</v>
      </c>
      <c r="AX66" s="383">
        <f t="shared" si="78"/>
        <v>5684.3000000000038</v>
      </c>
      <c r="AY66" s="377">
        <f t="shared" si="78"/>
        <v>5684.3000000000038</v>
      </c>
      <c r="AZ66" s="383">
        <f t="shared" ref="AZ66:BE66" si="79">SUM(AZ67:AZ68)</f>
        <v>4732.4000000000042</v>
      </c>
      <c r="BA66" s="383">
        <f t="shared" si="79"/>
        <v>4711.0000000000036</v>
      </c>
      <c r="BB66" s="383">
        <f t="shared" si="79"/>
        <v>5379.3000000000047</v>
      </c>
      <c r="BC66" s="383">
        <f t="shared" si="79"/>
        <v>5397.3000000000047</v>
      </c>
      <c r="BD66" s="377">
        <f t="shared" si="79"/>
        <v>5397.3000000000047</v>
      </c>
      <c r="BE66" s="383">
        <f t="shared" si="79"/>
        <v>5212.4000000000051</v>
      </c>
      <c r="BF66" s="383">
        <f t="shared" ref="BF66:BX66" si="80">SUM(BF67:BF68)</f>
        <v>5126.5000000000055</v>
      </c>
      <c r="BG66" s="383">
        <f t="shared" si="80"/>
        <v>4809.9000000000033</v>
      </c>
      <c r="BH66" s="1077">
        <f t="shared" si="80"/>
        <v>4827.0000000000018</v>
      </c>
      <c r="BI66" s="377">
        <f t="shared" si="80"/>
        <v>4827.0000000000018</v>
      </c>
      <c r="BJ66" s="383">
        <f t="shared" si="80"/>
        <v>4139.900000000006</v>
      </c>
      <c r="BK66" s="383">
        <f t="shared" si="80"/>
        <v>4230.9000000000051</v>
      </c>
      <c r="BL66" s="383">
        <f t="shared" si="80"/>
        <v>4319.2000000000053</v>
      </c>
      <c r="BM66" s="383">
        <f t="shared" si="80"/>
        <v>4451.8000000000047</v>
      </c>
      <c r="BN66" s="377">
        <f t="shared" si="80"/>
        <v>4451.8000000000047</v>
      </c>
      <c r="BO66" s="383">
        <f t="shared" si="80"/>
        <v>2995.0000000000059</v>
      </c>
      <c r="BP66" s="383">
        <f t="shared" si="80"/>
        <v>3934.8000000000056</v>
      </c>
      <c r="BQ66" s="383">
        <f t="shared" si="80"/>
        <v>4226.8000000000065</v>
      </c>
      <c r="BR66" s="383">
        <f t="shared" si="80"/>
        <v>6038.6000000000058</v>
      </c>
      <c r="BS66" s="377">
        <f t="shared" si="80"/>
        <v>6038.6000000000058</v>
      </c>
      <c r="BT66" s="383">
        <f t="shared" si="80"/>
        <v>3505.6000000000058</v>
      </c>
      <c r="BU66" s="383">
        <f t="shared" si="80"/>
        <v>5434.1000000000058</v>
      </c>
      <c r="BV66" s="383">
        <f t="shared" si="80"/>
        <v>6943.1000000000058</v>
      </c>
      <c r="BW66" s="383">
        <f t="shared" si="80"/>
        <v>8034.1000000000058</v>
      </c>
      <c r="BX66" s="377">
        <f t="shared" si="80"/>
        <v>8034.100000000004</v>
      </c>
      <c r="BY66" s="384"/>
      <c r="BZ66" s="384"/>
      <c r="CA66" s="384"/>
      <c r="CB66" s="384"/>
      <c r="CC66" s="377">
        <f t="shared" ref="CC66:CH66" si="81">SUM(CC67:CC68)</f>
        <v>5786.5349979041712</v>
      </c>
      <c r="CD66" s="377">
        <f t="shared" si="81"/>
        <v>4627.3776703996191</v>
      </c>
      <c r="CE66" s="377">
        <f t="shared" si="81"/>
        <v>9098.2019072221883</v>
      </c>
      <c r="CF66" s="377">
        <f t="shared" si="81"/>
        <v>9977.8299950276851</v>
      </c>
      <c r="CG66" s="377">
        <f t="shared" si="81"/>
        <v>14742.648533878355</v>
      </c>
      <c r="CH66" s="377">
        <f t="shared" si="81"/>
        <v>16409.042894658029</v>
      </c>
    </row>
    <row r="67" spans="1:86" s="77" customFormat="1" hidden="1" outlineLevel="1">
      <c r="A67"/>
      <c r="B67"/>
      <c r="C67"/>
      <c r="D67"/>
      <c r="E67"/>
      <c r="F67"/>
      <c r="G67" s="230"/>
      <c r="H67" s="406" t="s">
        <v>472</v>
      </c>
      <c r="L67" s="383">
        <f>L58</f>
        <v>5607.7000000000007</v>
      </c>
      <c r="M67" s="383">
        <f>M58</f>
        <v>4741.0000000000009</v>
      </c>
      <c r="N67" s="383">
        <f>N58</f>
        <v>4970.6000000000004</v>
      </c>
      <c r="O67" s="383">
        <f>O58</f>
        <v>3006.7</v>
      </c>
      <c r="P67" s="410">
        <f t="shared" si="72"/>
        <v>3006.7</v>
      </c>
      <c r="Q67" s="383">
        <f>Q58</f>
        <v>2458.2999999999997</v>
      </c>
      <c r="R67" s="383">
        <f>R58</f>
        <v>2669.7</v>
      </c>
      <c r="S67" s="383">
        <f>S58</f>
        <v>2169.9000000000005</v>
      </c>
      <c r="T67" s="383">
        <f>T58</f>
        <v>3109.3</v>
      </c>
      <c r="U67" s="410">
        <f t="shared" si="73"/>
        <v>3109.3</v>
      </c>
      <c r="V67" s="383">
        <f>V58</f>
        <v>2491.4</v>
      </c>
      <c r="W67" s="383">
        <f>W58</f>
        <v>2220.5</v>
      </c>
      <c r="X67" s="383">
        <f>X58</f>
        <v>2495.5</v>
      </c>
      <c r="Y67" s="383">
        <f>Y58</f>
        <v>3220.5</v>
      </c>
      <c r="Z67" s="410">
        <f t="shared" si="74"/>
        <v>3220.5</v>
      </c>
      <c r="AA67" s="383">
        <f>AA58</f>
        <v>3145.4</v>
      </c>
      <c r="AB67" s="383">
        <f>AB58</f>
        <v>2868.2999999999997</v>
      </c>
      <c r="AC67" s="383">
        <f>AC58</f>
        <v>4353.5999999999995</v>
      </c>
      <c r="AD67" s="383">
        <f>AD58</f>
        <v>5496.6999999999989</v>
      </c>
      <c r="AE67" s="377">
        <f>AD67</f>
        <v>5496.6999999999989</v>
      </c>
      <c r="AF67" s="383">
        <f>AF58</f>
        <v>3313.1000000000004</v>
      </c>
      <c r="AG67" s="383">
        <f>AG58</f>
        <v>3322.3</v>
      </c>
      <c r="AH67" s="383">
        <f>AH58</f>
        <v>3848.2000000000007</v>
      </c>
      <c r="AI67" s="383">
        <f>AI58</f>
        <v>4462.9000000000015</v>
      </c>
      <c r="AJ67" s="377">
        <f>AI67</f>
        <v>4462.9000000000015</v>
      </c>
      <c r="AK67" s="383">
        <f>AK58</f>
        <v>4725.2000000000035</v>
      </c>
      <c r="AL67" s="383">
        <f>AL58</f>
        <v>5163.5000000000036</v>
      </c>
      <c r="AM67" s="383">
        <f>AM58</f>
        <v>5908.8000000000038</v>
      </c>
      <c r="AN67" s="383">
        <f>AN58</f>
        <v>5993.2000000000044</v>
      </c>
      <c r="AO67" s="377">
        <f>AN67</f>
        <v>5993.2000000000044</v>
      </c>
      <c r="AP67" s="383">
        <f>AP58</f>
        <v>6506.4000000000033</v>
      </c>
      <c r="AQ67" s="383">
        <f>AQ58</f>
        <v>6113.5000000000036</v>
      </c>
      <c r="AR67" s="383">
        <f>AR58</f>
        <v>6597.7000000000035</v>
      </c>
      <c r="AS67" s="383">
        <f>AS58</f>
        <v>5922.5000000000036</v>
      </c>
      <c r="AT67" s="377">
        <f>AS67</f>
        <v>5922.5000000000036</v>
      </c>
      <c r="AU67" s="383">
        <f>AU58</f>
        <v>4122.2000000000044</v>
      </c>
      <c r="AV67" s="383">
        <f>AV58</f>
        <v>4345.8000000000047</v>
      </c>
      <c r="AW67" s="383">
        <f>AW58</f>
        <v>5319.2000000000044</v>
      </c>
      <c r="AX67" s="383">
        <f>AX58</f>
        <v>4018.8000000000038</v>
      </c>
      <c r="AY67" s="377">
        <f>AX67</f>
        <v>4018.8000000000038</v>
      </c>
      <c r="AZ67" s="383">
        <f>AZ58</f>
        <v>3936.600000000004</v>
      </c>
      <c r="BA67" s="383">
        <f>BA58</f>
        <v>3786.5000000000032</v>
      </c>
      <c r="BB67" s="383">
        <f>BB58</f>
        <v>4368.9000000000051</v>
      </c>
      <c r="BC67" s="383">
        <f>BC58</f>
        <v>3830.2000000000053</v>
      </c>
      <c r="BD67" s="377">
        <f>BC67</f>
        <v>3830.2000000000053</v>
      </c>
      <c r="BE67" s="383">
        <f>BE58</f>
        <v>3888.000000000005</v>
      </c>
      <c r="BF67" s="383">
        <f>BF58</f>
        <v>3765.7000000000053</v>
      </c>
      <c r="BG67" s="383">
        <f>BG58</f>
        <v>3165.8000000000029</v>
      </c>
      <c r="BH67" s="1077">
        <f>BH58</f>
        <v>3871.6000000000017</v>
      </c>
      <c r="BI67" s="377">
        <f>BH67</f>
        <v>3871.6000000000017</v>
      </c>
      <c r="BJ67" s="383">
        <f>BJ58</f>
        <v>3064.900000000006</v>
      </c>
      <c r="BK67" s="383">
        <f>BK58</f>
        <v>3315.500000000005</v>
      </c>
      <c r="BL67" s="383">
        <f>BL58</f>
        <v>3238.8000000000052</v>
      </c>
      <c r="BM67" s="383">
        <f>BM58</f>
        <v>3666.4000000000051</v>
      </c>
      <c r="BN67" s="377">
        <f>BM67</f>
        <v>3666.4000000000051</v>
      </c>
      <c r="BO67" s="383">
        <f t="shared" ref="BO67:BX67" si="82">BO58</f>
        <v>2307.6000000000058</v>
      </c>
      <c r="BP67" s="383">
        <f t="shared" si="82"/>
        <v>3238.0000000000059</v>
      </c>
      <c r="BQ67" s="383">
        <f t="shared" si="82"/>
        <v>3489.0000000000064</v>
      </c>
      <c r="BR67" s="383">
        <f t="shared" si="82"/>
        <v>4582.1000000000058</v>
      </c>
      <c r="BS67" s="377">
        <f t="shared" si="82"/>
        <v>4582.1000000000058</v>
      </c>
      <c r="BT67" s="383">
        <f t="shared" si="82"/>
        <v>2616.900000000006</v>
      </c>
      <c r="BU67" s="383">
        <f t="shared" si="82"/>
        <v>3069.9000000000055</v>
      </c>
      <c r="BV67" s="383">
        <f t="shared" si="82"/>
        <v>3724.3000000000056</v>
      </c>
      <c r="BW67" s="383">
        <f t="shared" si="82"/>
        <v>6536.2000000000053</v>
      </c>
      <c r="BX67" s="377">
        <f t="shared" si="82"/>
        <v>6536.2000000000044</v>
      </c>
      <c r="BY67" s="384"/>
      <c r="BZ67" s="384"/>
      <c r="CA67" s="384"/>
      <c r="CB67" s="384"/>
      <c r="CC67" s="377">
        <f t="shared" ref="CC67:CH67" si="83">CC58</f>
        <v>4288.6349979041715</v>
      </c>
      <c r="CD67" s="377">
        <f t="shared" si="83"/>
        <v>3129.4776703996195</v>
      </c>
      <c r="CE67" s="377">
        <f t="shared" si="83"/>
        <v>7600.3019072221887</v>
      </c>
      <c r="CF67" s="377">
        <f t="shared" si="83"/>
        <v>8479.9299950276854</v>
      </c>
      <c r="CG67" s="377">
        <f t="shared" si="83"/>
        <v>13244.748533878355</v>
      </c>
      <c r="CH67" s="377">
        <f t="shared" si="83"/>
        <v>14911.142894658027</v>
      </c>
    </row>
    <row r="68" spans="1:86" s="77" customFormat="1" hidden="1" outlineLevel="1">
      <c r="A68"/>
      <c r="B68"/>
      <c r="C68"/>
      <c r="D68"/>
      <c r="E68"/>
      <c r="F68"/>
      <c r="G68" s="230"/>
      <c r="H68" s="406" t="s">
        <v>288</v>
      </c>
      <c r="L68" s="391">
        <v>12.6</v>
      </c>
      <c r="M68" s="391">
        <v>760.1</v>
      </c>
      <c r="N68" s="391">
        <v>1262.3</v>
      </c>
      <c r="O68" s="437">
        <v>2031</v>
      </c>
      <c r="P68" s="429">
        <f t="shared" si="72"/>
        <v>2031</v>
      </c>
      <c r="Q68" s="391">
        <v>2045.4</v>
      </c>
      <c r="R68" s="391">
        <v>1921</v>
      </c>
      <c r="S68" s="391">
        <v>1448.6</v>
      </c>
      <c r="T68" s="437">
        <v>781.7</v>
      </c>
      <c r="U68" s="429">
        <f t="shared" si="73"/>
        <v>781.7</v>
      </c>
      <c r="V68" s="391">
        <v>872.5</v>
      </c>
      <c r="W68" s="391">
        <v>783.9</v>
      </c>
      <c r="X68" s="391">
        <v>1070.3</v>
      </c>
      <c r="Y68" s="391">
        <v>1610.7</v>
      </c>
      <c r="Z68" s="429">
        <f t="shared" si="74"/>
        <v>1610.7</v>
      </c>
      <c r="AA68" s="391">
        <v>2289.1</v>
      </c>
      <c r="AB68" s="391">
        <v>2301.6999999999998</v>
      </c>
      <c r="AC68" s="391">
        <v>1765.2</v>
      </c>
      <c r="AD68" s="391">
        <v>429.4</v>
      </c>
      <c r="AE68" s="424">
        <f>AD68</f>
        <v>429.4</v>
      </c>
      <c r="AF68" s="391">
        <v>195.2</v>
      </c>
      <c r="AG68" s="391">
        <v>168.1</v>
      </c>
      <c r="AH68" s="391">
        <v>80.900000000000006</v>
      </c>
      <c r="AI68" s="391">
        <v>34.700000000000003</v>
      </c>
      <c r="AJ68" s="424">
        <f>AI68</f>
        <v>34.700000000000003</v>
      </c>
      <c r="AK68" s="391">
        <v>33.200000000000003</v>
      </c>
      <c r="AL68" s="391">
        <v>33.1</v>
      </c>
      <c r="AM68" s="391">
        <v>231.3</v>
      </c>
      <c r="AN68" s="391">
        <v>733.8</v>
      </c>
      <c r="AO68" s="424">
        <f>AN68</f>
        <v>733.8</v>
      </c>
      <c r="AP68" s="391">
        <v>206.7</v>
      </c>
      <c r="AQ68" s="391">
        <v>216.3</v>
      </c>
      <c r="AR68" s="391">
        <v>186.6</v>
      </c>
      <c r="AS68" s="391">
        <v>974.6</v>
      </c>
      <c r="AT68" s="424">
        <f>AS68</f>
        <v>974.6</v>
      </c>
      <c r="AU68" s="391">
        <v>802.4</v>
      </c>
      <c r="AV68" s="391">
        <v>915.7</v>
      </c>
      <c r="AW68" s="437">
        <v>1580.7</v>
      </c>
      <c r="AX68" s="437">
        <v>1665.5</v>
      </c>
      <c r="AY68" s="424">
        <f>AX68</f>
        <v>1665.5</v>
      </c>
      <c r="AZ68" s="391">
        <v>795.8</v>
      </c>
      <c r="BA68" s="391">
        <v>924.5</v>
      </c>
      <c r="BB68" s="437">
        <v>1010.4</v>
      </c>
      <c r="BC68" s="437">
        <v>1567.1</v>
      </c>
      <c r="BD68" s="424">
        <f>BC68</f>
        <v>1567.1</v>
      </c>
      <c r="BE68" s="391">
        <v>1324.4</v>
      </c>
      <c r="BF68" s="391">
        <v>1360.8</v>
      </c>
      <c r="BG68" s="391">
        <v>1644.1</v>
      </c>
      <c r="BH68" s="1082">
        <v>955.4</v>
      </c>
      <c r="BI68" s="424">
        <f>BH68</f>
        <v>955.4</v>
      </c>
      <c r="BJ68" s="391">
        <v>1075</v>
      </c>
      <c r="BK68" s="391">
        <v>915.4</v>
      </c>
      <c r="BL68" s="391">
        <v>1080.4000000000001</v>
      </c>
      <c r="BM68" s="391">
        <v>785.4</v>
      </c>
      <c r="BN68" s="424">
        <f>BM68</f>
        <v>785.4</v>
      </c>
      <c r="BO68" s="391">
        <v>687.4</v>
      </c>
      <c r="BP68" s="391">
        <v>696.8</v>
      </c>
      <c r="BQ68" s="391">
        <v>737.8</v>
      </c>
      <c r="BR68" s="391">
        <v>1456.5</v>
      </c>
      <c r="BS68" s="424">
        <f>BR68</f>
        <v>1456.5</v>
      </c>
      <c r="BT68" s="391">
        <v>888.7</v>
      </c>
      <c r="BU68" s="391">
        <v>2364.1999999999998</v>
      </c>
      <c r="BV68" s="391">
        <v>3218.8</v>
      </c>
      <c r="BW68" s="391">
        <v>1497.9</v>
      </c>
      <c r="BX68" s="424">
        <f>BW68</f>
        <v>1497.9</v>
      </c>
      <c r="BY68" s="432"/>
      <c r="BZ68" s="432"/>
      <c r="CA68" s="432"/>
      <c r="CB68" s="432"/>
      <c r="CC68" s="1196">
        <f>BX68</f>
        <v>1497.9</v>
      </c>
      <c r="CD68" s="1196">
        <f>CC68</f>
        <v>1497.9</v>
      </c>
      <c r="CE68" s="1196">
        <f>CD68</f>
        <v>1497.9</v>
      </c>
      <c r="CF68" s="1196">
        <f>CE68</f>
        <v>1497.9</v>
      </c>
      <c r="CG68" s="1196">
        <f>CF68</f>
        <v>1497.9</v>
      </c>
      <c r="CH68" s="1196">
        <f>CG68</f>
        <v>1497.9</v>
      </c>
    </row>
    <row r="69" spans="1:86" s="77" customFormat="1" collapsed="1">
      <c r="A69"/>
      <c r="B69"/>
      <c r="C69"/>
      <c r="D69"/>
      <c r="E69"/>
      <c r="F69"/>
      <c r="G69" s="230"/>
      <c r="H69" s="77" t="s">
        <v>562</v>
      </c>
      <c r="L69" s="392">
        <f>SUM(L70:L71)</f>
        <v>2581.8000000000002</v>
      </c>
      <c r="M69" s="392">
        <f>SUM(M70:M71)</f>
        <v>2459.5</v>
      </c>
      <c r="N69" s="392">
        <f>SUM(N70:N71)</f>
        <v>2417.6</v>
      </c>
      <c r="O69" s="392">
        <f>SUM(O70:O71)</f>
        <v>2761.7000000000003</v>
      </c>
      <c r="P69" s="429">
        <f t="shared" si="72"/>
        <v>2761.7000000000003</v>
      </c>
      <c r="Q69" s="392">
        <f>SUM(Q70:Q71)</f>
        <v>2491</v>
      </c>
      <c r="R69" s="392">
        <f>SUM(R70:R71)</f>
        <v>2516.8000000000002</v>
      </c>
      <c r="S69" s="392">
        <f>SUM(S70:S71)</f>
        <v>2477.5</v>
      </c>
      <c r="T69" s="392">
        <f>SUM(T70:T71)</f>
        <v>2694.4</v>
      </c>
      <c r="U69" s="429">
        <f t="shared" si="73"/>
        <v>2694.4</v>
      </c>
      <c r="V69" s="392">
        <f>SUM(V70:V71)</f>
        <v>2706.6000000000004</v>
      </c>
      <c r="W69" s="392">
        <f>SUM(W70:W71)</f>
        <v>2814.2</v>
      </c>
      <c r="X69" s="392">
        <f>SUM(X70:X71)</f>
        <v>2938.7000000000003</v>
      </c>
      <c r="Y69" s="392">
        <f>SUM(Y70:Y71)</f>
        <v>3704.8</v>
      </c>
      <c r="Z69" s="429">
        <f t="shared" si="74"/>
        <v>3704.8</v>
      </c>
      <c r="AA69" s="392">
        <f>SUM(AA70:AA71)</f>
        <v>3370.1</v>
      </c>
      <c r="AB69" s="392">
        <f>SUM(AB70:AB71)</f>
        <v>3477.2</v>
      </c>
      <c r="AC69" s="392">
        <f>SUM(AC70:AC71)</f>
        <v>3259</v>
      </c>
      <c r="AD69" s="392">
        <f>SUM(AD70:AD71)</f>
        <v>3277.3</v>
      </c>
      <c r="AE69" s="424">
        <f>AE70+AE71</f>
        <v>3277.3</v>
      </c>
      <c r="AF69" s="392">
        <f>SUM(AF70:AF71)</f>
        <v>3159.9</v>
      </c>
      <c r="AG69" s="392">
        <f>SUM(AG70:AG71)</f>
        <v>3329.9</v>
      </c>
      <c r="AH69" s="392">
        <f>SUM(AH70:AH71)</f>
        <v>3482.9</v>
      </c>
      <c r="AI69" s="392">
        <f>SUM(AI70:AI71)</f>
        <v>3831.8</v>
      </c>
      <c r="AJ69" s="424">
        <f>AJ70+AJ71</f>
        <v>3831.8</v>
      </c>
      <c r="AK69" s="392">
        <f>SUM(AK70:AK71)</f>
        <v>3729.9</v>
      </c>
      <c r="AL69" s="392">
        <f>SUM(AL70:AL71)</f>
        <v>3653</v>
      </c>
      <c r="AM69" s="392">
        <f>SUM(AM70:AM71)</f>
        <v>3874.8</v>
      </c>
      <c r="AN69" s="392">
        <f>SUM(AN70:AN71)</f>
        <v>4158.1000000000004</v>
      </c>
      <c r="AO69" s="424">
        <f>AO70+AO71</f>
        <v>4158.1000000000004</v>
      </c>
      <c r="AP69" s="392">
        <f>SUM(AP70:AP71)</f>
        <v>4183.1000000000004</v>
      </c>
      <c r="AQ69" s="392">
        <f>SUM(AQ70:AQ71)</f>
        <v>4446.5</v>
      </c>
      <c r="AR69" s="392">
        <f>SUM(AR70:AR71)</f>
        <v>4097.5999999999995</v>
      </c>
      <c r="AS69" s="392">
        <f>SUM(AS70:AS71)</f>
        <v>4237.8999999999996</v>
      </c>
      <c r="AT69" s="424">
        <f>AT70+AT71</f>
        <v>4237.8999999999996</v>
      </c>
      <c r="AU69" s="392">
        <f>SUM(AU70:AU71)</f>
        <v>3931.3</v>
      </c>
      <c r="AV69" s="392">
        <f>SUM(AV70:AV71)</f>
        <v>3771.7</v>
      </c>
      <c r="AW69" s="392">
        <f>SUM(AW70:AW71)</f>
        <v>3795.5</v>
      </c>
      <c r="AX69" s="392">
        <f>SUM(AX70:AX71)</f>
        <v>3888.3</v>
      </c>
      <c r="AY69" s="424">
        <f>AY70+AY71</f>
        <v>3888.3</v>
      </c>
      <c r="AZ69" s="392">
        <f>SUM(AZ70:AZ71)</f>
        <v>4029.1</v>
      </c>
      <c r="BA69" s="392">
        <f>SUM(BA70:BA71)</f>
        <v>4214</v>
      </c>
      <c r="BB69" s="392">
        <f>SUM(BB70:BB71)</f>
        <v>3995.4</v>
      </c>
      <c r="BC69" s="392">
        <f>SUM(BC70:BC71)</f>
        <v>4022.8</v>
      </c>
      <c r="BD69" s="424">
        <f>BD70+BD71</f>
        <v>4022.8</v>
      </c>
      <c r="BE69" s="392">
        <f>SUM(BE70:BE71)</f>
        <v>3746.1000000000004</v>
      </c>
      <c r="BF69" s="392">
        <f>SUM(BF70:BF71)</f>
        <v>3754.1000000000004</v>
      </c>
      <c r="BG69" s="392">
        <f>SUM(BG70:BG71)</f>
        <v>3634.6</v>
      </c>
      <c r="BH69" s="1076">
        <f>SUM(BH70:BH71)</f>
        <v>3801.3</v>
      </c>
      <c r="BI69" s="424">
        <f>BI70+BI71</f>
        <v>3801.3</v>
      </c>
      <c r="BJ69" s="392">
        <f>SUM(BJ70:BJ71)</f>
        <v>3825.7</v>
      </c>
      <c r="BK69" s="392">
        <f>SUM(BK70:BK71)</f>
        <v>4096.6000000000004</v>
      </c>
      <c r="BL69" s="392">
        <f>SUM(BL70:BL71)</f>
        <v>4067.7</v>
      </c>
      <c r="BM69" s="392">
        <f>SUM(BM70:BM71)</f>
        <v>4071.6</v>
      </c>
      <c r="BN69" s="424">
        <f>BN70+BN71</f>
        <v>4071.6</v>
      </c>
      <c r="BO69" s="392">
        <f>SUM(BO70:BO71)</f>
        <v>4187.3999999999996</v>
      </c>
      <c r="BP69" s="392">
        <f>SUM(BP70:BP71)</f>
        <v>4493.1000000000004</v>
      </c>
      <c r="BQ69" s="392">
        <f>SUM(BQ70:BQ71)</f>
        <v>4521.3999999999996</v>
      </c>
      <c r="BR69" s="392">
        <f>SUM(BR70:BR71)</f>
        <v>4766.3</v>
      </c>
      <c r="BS69" s="424">
        <f>BS70+BS71</f>
        <v>4766.3</v>
      </c>
      <c r="BT69" s="392">
        <f>SUM(BT70:BT71)</f>
        <v>4613.8999999999996</v>
      </c>
      <c r="BU69" s="392">
        <f>SUM(BU70:BU71)</f>
        <v>4956.0999999999995</v>
      </c>
      <c r="BV69" s="392">
        <f>SUM(BV70:BV71)</f>
        <v>5014.5</v>
      </c>
      <c r="BW69" s="392">
        <f>SUM(BW70:BW71)</f>
        <v>5262.2</v>
      </c>
      <c r="BX69" s="424">
        <f>BX70+BX71</f>
        <v>5262.2</v>
      </c>
      <c r="BY69" s="384"/>
      <c r="BZ69" s="384"/>
      <c r="CA69" s="384"/>
      <c r="CB69" s="384"/>
      <c r="CC69" s="377">
        <f>2*CC187/CC122-BX69</f>
        <v>4346.7355999999991</v>
      </c>
      <c r="CD69" s="377">
        <f>2*CD187/CD122-CC69</f>
        <v>5297.1943803921577</v>
      </c>
      <c r="CE69" s="377">
        <f>2*CE187/CE122-CD69</f>
        <v>4515.8869865309198</v>
      </c>
      <c r="CF69" s="377">
        <f>2*CF187/CF122-CE69</f>
        <v>5653.2433979248481</v>
      </c>
      <c r="CG69" s="377">
        <f>2*CG187/CG122-CF69</f>
        <v>4815.0648578105092</v>
      </c>
      <c r="CH69" s="377">
        <f>2*CH187/CH122-CG69</f>
        <v>6000.6763242282932</v>
      </c>
    </row>
    <row r="70" spans="1:86" s="77" customFormat="1" hidden="1" outlineLevel="1">
      <c r="A70"/>
      <c r="B70"/>
      <c r="C70"/>
      <c r="D70"/>
      <c r="E70"/>
      <c r="F70"/>
      <c r="G70" s="230"/>
      <c r="H70" s="406" t="s">
        <v>585</v>
      </c>
      <c r="L70" s="391">
        <v>2112.4</v>
      </c>
      <c r="M70" s="391">
        <v>2085.6999999999998</v>
      </c>
      <c r="N70" s="391">
        <v>2058.9</v>
      </c>
      <c r="O70" s="437">
        <v>2313.3000000000002</v>
      </c>
      <c r="P70" s="429">
        <f t="shared" si="72"/>
        <v>2313.3000000000002</v>
      </c>
      <c r="Q70" s="391">
        <v>2113.6</v>
      </c>
      <c r="R70" s="391">
        <v>2101.8000000000002</v>
      </c>
      <c r="S70" s="391">
        <v>2077.9</v>
      </c>
      <c r="T70" s="437">
        <v>2298.6</v>
      </c>
      <c r="U70" s="429">
        <f t="shared" si="73"/>
        <v>2298.6</v>
      </c>
      <c r="V70" s="391">
        <v>2253.8000000000002</v>
      </c>
      <c r="W70" s="391">
        <v>2414.1999999999998</v>
      </c>
      <c r="X70" s="391">
        <v>2516.3000000000002</v>
      </c>
      <c r="Y70" s="391">
        <v>2673.9</v>
      </c>
      <c r="Z70" s="429">
        <f t="shared" si="74"/>
        <v>2673.9</v>
      </c>
      <c r="AA70" s="391">
        <v>2661.1</v>
      </c>
      <c r="AB70" s="391">
        <v>2739</v>
      </c>
      <c r="AC70" s="391">
        <v>2702</v>
      </c>
      <c r="AD70" s="391">
        <v>2778.8</v>
      </c>
      <c r="AE70" s="424">
        <f t="shared" ref="AE70:AE75" si="84">AD70</f>
        <v>2778.8</v>
      </c>
      <c r="AF70" s="391">
        <v>2676.4</v>
      </c>
      <c r="AG70" s="391">
        <v>2841.3</v>
      </c>
      <c r="AH70" s="391">
        <v>3016.8</v>
      </c>
      <c r="AI70" s="391">
        <v>3343.3</v>
      </c>
      <c r="AJ70" s="424">
        <f t="shared" ref="AJ70:AJ75" si="85">AI70</f>
        <v>3343.3</v>
      </c>
      <c r="AK70" s="391">
        <v>3194.3</v>
      </c>
      <c r="AL70" s="391">
        <v>3065.2</v>
      </c>
      <c r="AM70" s="391">
        <v>3336</v>
      </c>
      <c r="AN70" s="391">
        <v>3493.8</v>
      </c>
      <c r="AO70" s="424">
        <f t="shared" ref="AO70:AO75" si="86">AN70</f>
        <v>3493.8</v>
      </c>
      <c r="AP70" s="391">
        <v>3694.3</v>
      </c>
      <c r="AQ70" s="391">
        <v>3833.6</v>
      </c>
      <c r="AR70" s="391">
        <v>3533.2</v>
      </c>
      <c r="AS70" s="391">
        <v>3597.7</v>
      </c>
      <c r="AT70" s="424">
        <f t="shared" ref="AT70:AT75" si="87">AS70</f>
        <v>3597.7</v>
      </c>
      <c r="AU70" s="391">
        <v>3402.1</v>
      </c>
      <c r="AV70" s="391">
        <v>3181.7</v>
      </c>
      <c r="AW70" s="437">
        <v>3268.2</v>
      </c>
      <c r="AX70" s="437">
        <v>3336.3</v>
      </c>
      <c r="AY70" s="424">
        <f t="shared" ref="AY70:AY75" si="88">AX70</f>
        <v>3336.3</v>
      </c>
      <c r="AZ70" s="391">
        <v>3439.7</v>
      </c>
      <c r="BA70" s="391">
        <v>3579.1</v>
      </c>
      <c r="BB70" s="437">
        <v>3445</v>
      </c>
      <c r="BC70" s="437">
        <v>3434.4</v>
      </c>
      <c r="BD70" s="424">
        <f t="shared" ref="BD70:BD75" si="89">BC70</f>
        <v>3434.4</v>
      </c>
      <c r="BE70" s="391">
        <v>3002.9</v>
      </c>
      <c r="BF70" s="391">
        <v>3187.9</v>
      </c>
      <c r="BG70" s="391">
        <v>3053.5</v>
      </c>
      <c r="BH70" s="1082">
        <v>3234.6</v>
      </c>
      <c r="BI70" s="424">
        <f t="shared" ref="BI70:BI75" si="90">BH70</f>
        <v>3234.6</v>
      </c>
      <c r="BJ70" s="391">
        <v>3142.5</v>
      </c>
      <c r="BK70" s="391">
        <v>3348.8</v>
      </c>
      <c r="BL70" s="391">
        <v>3401.9</v>
      </c>
      <c r="BM70" s="391">
        <v>3513</v>
      </c>
      <c r="BN70" s="424">
        <f t="shared" ref="BN70:BN75" si="91">BM70</f>
        <v>3513</v>
      </c>
      <c r="BO70" s="391">
        <v>3622.6</v>
      </c>
      <c r="BP70" s="391">
        <v>3947.9</v>
      </c>
      <c r="BQ70" s="391">
        <v>3848.5</v>
      </c>
      <c r="BR70" s="391">
        <v>4029.4</v>
      </c>
      <c r="BS70" s="424">
        <f t="shared" ref="BS70:BS75" si="92">BR70</f>
        <v>4029.4</v>
      </c>
      <c r="BT70" s="391">
        <v>4017.2</v>
      </c>
      <c r="BU70" s="391">
        <v>4349.8999999999996</v>
      </c>
      <c r="BV70" s="391">
        <v>4401.3</v>
      </c>
      <c r="BW70" s="391">
        <v>4546.3</v>
      </c>
      <c r="BX70" s="424">
        <f t="shared" ref="BX70:BX75" si="93">BW70</f>
        <v>4546.3</v>
      </c>
      <c r="BY70" s="384"/>
      <c r="BZ70" s="384"/>
      <c r="CA70" s="384"/>
      <c r="CB70" s="384"/>
      <c r="CC70" s="377"/>
      <c r="CD70" s="377"/>
      <c r="CE70" s="377"/>
      <c r="CF70" s="377"/>
      <c r="CG70" s="377"/>
      <c r="CH70" s="377"/>
    </row>
    <row r="71" spans="1:86" s="77" customFormat="1" hidden="1" outlineLevel="1">
      <c r="A71"/>
      <c r="B71"/>
      <c r="C71"/>
      <c r="D71"/>
      <c r="E71"/>
      <c r="F71"/>
      <c r="G71" s="230"/>
      <c r="H71" s="406" t="s">
        <v>586</v>
      </c>
      <c r="L71" s="391">
        <v>469.4</v>
      </c>
      <c r="M71" s="391">
        <v>373.8</v>
      </c>
      <c r="N71" s="391">
        <v>358.7</v>
      </c>
      <c r="O71" s="391">
        <v>448.4</v>
      </c>
      <c r="P71" s="429">
        <f t="shared" si="72"/>
        <v>448.4</v>
      </c>
      <c r="Q71" s="391">
        <v>377.4</v>
      </c>
      <c r="R71" s="391">
        <v>415</v>
      </c>
      <c r="S71" s="391">
        <v>399.6</v>
      </c>
      <c r="T71" s="391">
        <v>395.8</v>
      </c>
      <c r="U71" s="429">
        <f t="shared" si="73"/>
        <v>395.8</v>
      </c>
      <c r="V71" s="391">
        <v>452.8</v>
      </c>
      <c r="W71" s="391">
        <v>400</v>
      </c>
      <c r="X71" s="391">
        <v>422.4</v>
      </c>
      <c r="Y71" s="391">
        <v>1030.9000000000001</v>
      </c>
      <c r="Z71" s="429">
        <f t="shared" si="74"/>
        <v>1030.9000000000001</v>
      </c>
      <c r="AA71" s="391">
        <v>709</v>
      </c>
      <c r="AB71" s="391">
        <v>738.2</v>
      </c>
      <c r="AC71" s="391">
        <v>557</v>
      </c>
      <c r="AD71" s="391">
        <v>498.5</v>
      </c>
      <c r="AE71" s="424">
        <f t="shared" si="84"/>
        <v>498.5</v>
      </c>
      <c r="AF71" s="391">
        <v>483.5</v>
      </c>
      <c r="AG71" s="391">
        <v>488.6</v>
      </c>
      <c r="AH71" s="391">
        <v>466.1</v>
      </c>
      <c r="AI71" s="391">
        <v>488.5</v>
      </c>
      <c r="AJ71" s="424">
        <f t="shared" si="85"/>
        <v>488.5</v>
      </c>
      <c r="AK71" s="391">
        <v>535.6</v>
      </c>
      <c r="AL71" s="391">
        <v>587.79999999999995</v>
      </c>
      <c r="AM71" s="391">
        <v>538.79999999999995</v>
      </c>
      <c r="AN71" s="391">
        <v>664.3</v>
      </c>
      <c r="AO71" s="424">
        <f t="shared" si="86"/>
        <v>664.3</v>
      </c>
      <c r="AP71" s="391">
        <v>488.8</v>
      </c>
      <c r="AQ71" s="391">
        <v>612.9</v>
      </c>
      <c r="AR71" s="391">
        <v>564.4</v>
      </c>
      <c r="AS71" s="391">
        <v>640.20000000000005</v>
      </c>
      <c r="AT71" s="424">
        <f t="shared" si="87"/>
        <v>640.20000000000005</v>
      </c>
      <c r="AU71" s="391">
        <v>529.20000000000005</v>
      </c>
      <c r="AV71" s="391">
        <v>590</v>
      </c>
      <c r="AW71" s="391">
        <v>527.29999999999995</v>
      </c>
      <c r="AX71" s="391">
        <v>552</v>
      </c>
      <c r="AY71" s="424">
        <f t="shared" si="88"/>
        <v>552</v>
      </c>
      <c r="AZ71" s="391">
        <v>589.4</v>
      </c>
      <c r="BA71" s="391">
        <v>634.9</v>
      </c>
      <c r="BB71" s="391">
        <v>550.4</v>
      </c>
      <c r="BC71" s="391">
        <v>588.4</v>
      </c>
      <c r="BD71" s="424">
        <f t="shared" si="89"/>
        <v>588.4</v>
      </c>
      <c r="BE71" s="391">
        <v>743.2</v>
      </c>
      <c r="BF71" s="391">
        <v>566.20000000000005</v>
      </c>
      <c r="BG71" s="391">
        <v>581.1</v>
      </c>
      <c r="BH71" s="1082">
        <v>566.70000000000005</v>
      </c>
      <c r="BI71" s="424">
        <f t="shared" si="90"/>
        <v>566.70000000000005</v>
      </c>
      <c r="BJ71" s="391">
        <v>683.2</v>
      </c>
      <c r="BK71" s="391">
        <v>747.8</v>
      </c>
      <c r="BL71" s="391">
        <v>665.8</v>
      </c>
      <c r="BM71" s="391">
        <v>558.6</v>
      </c>
      <c r="BN71" s="424">
        <f t="shared" si="91"/>
        <v>558.6</v>
      </c>
      <c r="BO71" s="391">
        <v>564.79999999999995</v>
      </c>
      <c r="BP71" s="391">
        <v>545.20000000000005</v>
      </c>
      <c r="BQ71" s="391">
        <v>672.9</v>
      </c>
      <c r="BR71" s="391">
        <v>736.9</v>
      </c>
      <c r="BS71" s="424">
        <f t="shared" si="92"/>
        <v>736.9</v>
      </c>
      <c r="BT71" s="391">
        <v>596.70000000000005</v>
      </c>
      <c r="BU71" s="391">
        <v>606.20000000000005</v>
      </c>
      <c r="BV71" s="391">
        <v>613.20000000000005</v>
      </c>
      <c r="BW71" s="391">
        <v>715.9</v>
      </c>
      <c r="BX71" s="424">
        <f t="shared" si="93"/>
        <v>715.9</v>
      </c>
      <c r="BY71" s="413"/>
      <c r="BZ71" s="413"/>
      <c r="CA71" s="413"/>
      <c r="CB71" s="413"/>
      <c r="CC71" s="412"/>
      <c r="CD71" s="412"/>
      <c r="CE71" s="412"/>
      <c r="CF71" s="412"/>
      <c r="CG71" s="412"/>
      <c r="CH71" s="412"/>
    </row>
    <row r="72" spans="1:86" s="77" customFormat="1" collapsed="1">
      <c r="A72"/>
      <c r="B72"/>
      <c r="C72"/>
      <c r="D72"/>
      <c r="E72"/>
      <c r="F72"/>
      <c r="G72" s="230"/>
      <c r="H72" s="77" t="s">
        <v>563</v>
      </c>
      <c r="L72" s="391">
        <v>2198.3000000000002</v>
      </c>
      <c r="M72" s="391">
        <v>1988.8</v>
      </c>
      <c r="N72" s="391">
        <v>1949.9</v>
      </c>
      <c r="O72" s="437">
        <v>1878</v>
      </c>
      <c r="P72" s="429">
        <f t="shared" si="72"/>
        <v>1878</v>
      </c>
      <c r="Q72" s="392">
        <v>1969.1</v>
      </c>
      <c r="R72" s="392">
        <v>2099.1999999999998</v>
      </c>
      <c r="S72" s="392">
        <v>2199.8000000000002</v>
      </c>
      <c r="T72" s="394">
        <v>2270.3000000000002</v>
      </c>
      <c r="U72" s="429">
        <f t="shared" si="73"/>
        <v>2270.3000000000002</v>
      </c>
      <c r="V72" s="392">
        <v>2277.8000000000002</v>
      </c>
      <c r="W72" s="392">
        <v>2330</v>
      </c>
      <c r="X72" s="392">
        <v>2498</v>
      </c>
      <c r="Y72" s="392">
        <v>2523.6999999999998</v>
      </c>
      <c r="Z72" s="429">
        <f t="shared" si="74"/>
        <v>2523.6999999999998</v>
      </c>
      <c r="AA72" s="391">
        <v>2594.4</v>
      </c>
      <c r="AB72" s="391">
        <v>2546.4</v>
      </c>
      <c r="AC72" s="391">
        <v>2111.6</v>
      </c>
      <c r="AD72" s="391">
        <v>2493.1999999999998</v>
      </c>
      <c r="AE72" s="424">
        <f t="shared" si="84"/>
        <v>2493.1999999999998</v>
      </c>
      <c r="AF72" s="391">
        <v>2549</v>
      </c>
      <c r="AG72" s="391">
        <v>2999.7</v>
      </c>
      <c r="AH72" s="391">
        <v>3128.2</v>
      </c>
      <c r="AI72" s="391">
        <v>2849.9</v>
      </c>
      <c r="AJ72" s="424">
        <f t="shared" si="85"/>
        <v>2849.9</v>
      </c>
      <c r="AK72" s="391">
        <v>2471.1</v>
      </c>
      <c r="AL72" s="391">
        <v>2174.4</v>
      </c>
      <c r="AM72" s="391">
        <v>2679.6</v>
      </c>
      <c r="AN72" s="391">
        <v>2517.6999999999998</v>
      </c>
      <c r="AO72" s="424">
        <f t="shared" si="86"/>
        <v>2517.6999999999998</v>
      </c>
      <c r="AP72" s="391">
        <v>2767.2</v>
      </c>
      <c r="AQ72" s="391">
        <v>2870.2</v>
      </c>
      <c r="AR72" s="391">
        <v>2513.3000000000002</v>
      </c>
      <c r="AS72" s="391">
        <v>2299.8000000000002</v>
      </c>
      <c r="AT72" s="424">
        <f t="shared" si="87"/>
        <v>2299.8000000000002</v>
      </c>
      <c r="AU72" s="391">
        <v>2424.1999999999998</v>
      </c>
      <c r="AV72" s="391">
        <v>2320.8000000000002</v>
      </c>
      <c r="AW72" s="437">
        <v>2553.4</v>
      </c>
      <c r="AX72" s="437">
        <v>2643.8</v>
      </c>
      <c r="AY72" s="424">
        <f t="shared" si="88"/>
        <v>2643.8</v>
      </c>
      <c r="AZ72" s="391">
        <v>2576.6999999999998</v>
      </c>
      <c r="BA72" s="391">
        <v>2725.4</v>
      </c>
      <c r="BB72" s="437">
        <v>2974.1</v>
      </c>
      <c r="BC72" s="437">
        <v>2928.8</v>
      </c>
      <c r="BD72" s="424">
        <f t="shared" si="89"/>
        <v>2928.8</v>
      </c>
      <c r="BE72" s="391">
        <v>2969</v>
      </c>
      <c r="BF72" s="391">
        <v>3190.3</v>
      </c>
      <c r="BG72" s="391">
        <v>2844.5</v>
      </c>
      <c r="BH72" s="1082">
        <v>2740</v>
      </c>
      <c r="BI72" s="424">
        <f t="shared" si="90"/>
        <v>2740</v>
      </c>
      <c r="BJ72" s="391">
        <v>2980.2</v>
      </c>
      <c r="BK72" s="391">
        <v>3288.4</v>
      </c>
      <c r="BL72" s="391">
        <v>3417.7</v>
      </c>
      <c r="BM72" s="391">
        <v>3445.8</v>
      </c>
      <c r="BN72" s="424">
        <f t="shared" si="91"/>
        <v>3445.8</v>
      </c>
      <c r="BO72" s="391">
        <v>3740.2</v>
      </c>
      <c r="BP72" s="391">
        <v>3759.9</v>
      </c>
      <c r="BQ72" s="391">
        <v>3881.2</v>
      </c>
      <c r="BR72" s="391">
        <v>3561.9</v>
      </c>
      <c r="BS72" s="424">
        <f t="shared" si="92"/>
        <v>3561.9</v>
      </c>
      <c r="BT72" s="391">
        <v>4035.1</v>
      </c>
      <c r="BU72" s="391">
        <v>4346</v>
      </c>
      <c r="BV72" s="391">
        <v>4406.8999999999996</v>
      </c>
      <c r="BW72" s="391">
        <v>4458.3</v>
      </c>
      <c r="BX72" s="424">
        <f t="shared" si="93"/>
        <v>4458.3</v>
      </c>
      <c r="BY72" s="384"/>
      <c r="BZ72" s="384"/>
      <c r="CA72" s="384"/>
      <c r="CB72" s="384"/>
      <c r="CC72" s="377">
        <f>2*CC188/CC123-BX72</f>
        <v>3558.9392213333322</v>
      </c>
      <c r="CD72" s="377">
        <f>2*CD188/CD123-CC72</f>
        <v>4408.8757284666672</v>
      </c>
      <c r="CE72" s="377">
        <f>2*CE188/CE123-CD72</f>
        <v>3585.514558453332</v>
      </c>
      <c r="CF72" s="377">
        <f>2*CF188/CF123-CE72</f>
        <v>4522.6720680860672</v>
      </c>
      <c r="CG72" s="377">
        <f>2*CG188/CG123-CF72</f>
        <v>3642.6083713875123</v>
      </c>
      <c r="CH72" s="377">
        <f>2*CH188/CH123-CG72</f>
        <v>4606.196903447415</v>
      </c>
    </row>
    <row r="73" spans="1:86" s="77" customFormat="1">
      <c r="A73"/>
      <c r="B73"/>
      <c r="C73"/>
      <c r="D73"/>
      <c r="E73"/>
      <c r="F73"/>
      <c r="G73" s="230"/>
      <c r="H73" s="385" t="s">
        <v>564</v>
      </c>
      <c r="I73" s="385"/>
      <c r="J73" s="385"/>
      <c r="K73" s="385"/>
      <c r="L73" s="386">
        <f>L74+L75</f>
        <v>856.9</v>
      </c>
      <c r="M73" s="386">
        <f>M74+M75</f>
        <v>1103</v>
      </c>
      <c r="N73" s="386">
        <f>N74+N75</f>
        <v>1347.4</v>
      </c>
      <c r="O73" s="386">
        <f>O74+O75</f>
        <v>1118.4000000000001</v>
      </c>
      <c r="P73" s="387">
        <f t="shared" si="72"/>
        <v>1118.4000000000001</v>
      </c>
      <c r="Q73" s="386">
        <f>Q74+Q75</f>
        <v>1396.8000000000002</v>
      </c>
      <c r="R73" s="386">
        <f>R74+R75</f>
        <v>1381.9</v>
      </c>
      <c r="S73" s="386">
        <f>S74+S75</f>
        <v>1475.4</v>
      </c>
      <c r="T73" s="386">
        <f>T74+T75</f>
        <v>838.7</v>
      </c>
      <c r="U73" s="387">
        <f t="shared" si="73"/>
        <v>838.7</v>
      </c>
      <c r="V73" s="386">
        <f>V74+V75</f>
        <v>897.7</v>
      </c>
      <c r="W73" s="386">
        <f>W74+W75</f>
        <v>1412.6999999999998</v>
      </c>
      <c r="X73" s="386">
        <f>X74+X75</f>
        <v>1451.1999999999998</v>
      </c>
      <c r="Y73" s="386">
        <f>Y74+Y75</f>
        <v>1197.2</v>
      </c>
      <c r="Z73" s="387">
        <f t="shared" si="74"/>
        <v>1197.2</v>
      </c>
      <c r="AA73" s="386">
        <f>AA74+AA75</f>
        <v>1095.1999999999998</v>
      </c>
      <c r="AB73" s="386">
        <f>AB74+AB75</f>
        <v>1483.5</v>
      </c>
      <c r="AC73" s="386">
        <f>AC74+AC75</f>
        <v>1456.4</v>
      </c>
      <c r="AD73" s="386">
        <f>AD74+AD75</f>
        <v>756.7</v>
      </c>
      <c r="AE73" s="424">
        <f t="shared" si="84"/>
        <v>756.7</v>
      </c>
      <c r="AF73" s="386">
        <f>AF74+AF75</f>
        <v>1043.2</v>
      </c>
      <c r="AG73" s="386">
        <f>AG74+AG75</f>
        <v>1115.3000000000002</v>
      </c>
      <c r="AH73" s="386">
        <f>AH74+AH75</f>
        <v>1269.8</v>
      </c>
      <c r="AI73" s="386">
        <f>AI74+AI75</f>
        <v>1307.2</v>
      </c>
      <c r="AJ73" s="424">
        <f t="shared" si="85"/>
        <v>1307.2</v>
      </c>
      <c r="AK73" s="386">
        <f>AK74+AK75</f>
        <v>1293</v>
      </c>
      <c r="AL73" s="386">
        <f>AL74+AL75</f>
        <v>1442.4</v>
      </c>
      <c r="AM73" s="386">
        <f>AM74+AM75</f>
        <v>1489.8</v>
      </c>
      <c r="AN73" s="386">
        <f>AN74+AN75</f>
        <v>1437.1999999999998</v>
      </c>
      <c r="AO73" s="424">
        <f t="shared" si="86"/>
        <v>1437.1999999999998</v>
      </c>
      <c r="AP73" s="386">
        <f>AP74+AP75</f>
        <v>1690.9</v>
      </c>
      <c r="AQ73" s="386">
        <f>AQ74+AQ75</f>
        <v>1303.8</v>
      </c>
      <c r="AR73" s="386">
        <f>AR74+AR75</f>
        <v>1177.5</v>
      </c>
      <c r="AS73" s="386">
        <f>AS74+AS75</f>
        <v>813.4</v>
      </c>
      <c r="AT73" s="424">
        <f t="shared" si="87"/>
        <v>813.4</v>
      </c>
      <c r="AU73" s="386">
        <f>AU74+AU75</f>
        <v>1322.5</v>
      </c>
      <c r="AV73" s="386">
        <f>AV74+AV75</f>
        <v>953.3</v>
      </c>
      <c r="AW73" s="386">
        <f>AW74+AW75</f>
        <v>790.1</v>
      </c>
      <c r="AX73" s="386">
        <f>AX74+AX75</f>
        <v>822.3</v>
      </c>
      <c r="AY73" s="424">
        <f t="shared" si="88"/>
        <v>822.3</v>
      </c>
      <c r="AZ73" s="386">
        <f>AZ74+AZ75</f>
        <v>987.9</v>
      </c>
      <c r="BA73" s="386">
        <f>BA74+BA75</f>
        <v>988.9</v>
      </c>
      <c r="BB73" s="386">
        <f>BB74+BB75</f>
        <v>853.4</v>
      </c>
      <c r="BC73" s="386">
        <f>BC74+BC75</f>
        <v>755.8</v>
      </c>
      <c r="BD73" s="424">
        <f t="shared" si="89"/>
        <v>755.8</v>
      </c>
      <c r="BE73" s="386">
        <f>BE74+BE75</f>
        <v>1111.8</v>
      </c>
      <c r="BF73" s="386">
        <f>BF74+BF75</f>
        <v>1085.8</v>
      </c>
      <c r="BG73" s="386">
        <f>BG74+BG75</f>
        <v>821.5</v>
      </c>
      <c r="BH73" s="1079">
        <f>BH74+BH75</f>
        <v>560</v>
      </c>
      <c r="BI73" s="424">
        <f t="shared" si="90"/>
        <v>560</v>
      </c>
      <c r="BJ73" s="386">
        <f>BJ74+BJ75</f>
        <v>797</v>
      </c>
      <c r="BK73" s="386">
        <f>BK74+BK75</f>
        <v>730.1</v>
      </c>
      <c r="BL73" s="386">
        <f>BL74+BL75</f>
        <v>762.4</v>
      </c>
      <c r="BM73" s="386">
        <f>BM74+BM75</f>
        <v>604.4</v>
      </c>
      <c r="BN73" s="424">
        <f t="shared" si="91"/>
        <v>604.4</v>
      </c>
      <c r="BO73" s="386">
        <f>BO74+BO75</f>
        <v>792</v>
      </c>
      <c r="BP73" s="386">
        <f>BP74+BP75</f>
        <v>789.5</v>
      </c>
      <c r="BQ73" s="386">
        <f>BQ74+BQ75</f>
        <v>756.5</v>
      </c>
      <c r="BR73" s="386">
        <f>BR74+BR75</f>
        <v>734.6</v>
      </c>
      <c r="BS73" s="424">
        <f t="shared" si="92"/>
        <v>734.6</v>
      </c>
      <c r="BT73" s="386">
        <f>BT74+BT75</f>
        <v>821.6</v>
      </c>
      <c r="BU73" s="386">
        <f>BU74+BU75</f>
        <v>1010.3</v>
      </c>
      <c r="BV73" s="386">
        <f>BV74+BV75</f>
        <v>1063.9000000000001</v>
      </c>
      <c r="BW73" s="386">
        <f>BW74+BW75</f>
        <v>1447.5</v>
      </c>
      <c r="BX73" s="424">
        <f t="shared" si="93"/>
        <v>1447.5</v>
      </c>
      <c r="BY73" s="400"/>
      <c r="BZ73" s="400"/>
      <c r="CA73" s="400"/>
      <c r="CB73" s="400"/>
      <c r="CC73" s="412">
        <f>BX73</f>
        <v>1447.5</v>
      </c>
      <c r="CD73" s="412">
        <f>CC73</f>
        <v>1447.5</v>
      </c>
      <c r="CE73" s="412">
        <f>CD73</f>
        <v>1447.5</v>
      </c>
      <c r="CF73" s="412">
        <f>CE73</f>
        <v>1447.5</v>
      </c>
      <c r="CG73" s="412">
        <f>CF73</f>
        <v>1447.5</v>
      </c>
      <c r="CH73" s="412">
        <f>CG73</f>
        <v>1447.5</v>
      </c>
    </row>
    <row r="74" spans="1:86" hidden="1" outlineLevel="1">
      <c r="G74" s="230"/>
      <c r="H74" s="401" t="s">
        <v>587</v>
      </c>
      <c r="I74" s="396"/>
      <c r="J74" s="396"/>
      <c r="K74" s="396"/>
      <c r="L74" s="397">
        <v>501.9</v>
      </c>
      <c r="M74" s="397">
        <v>392.4</v>
      </c>
      <c r="N74" s="397">
        <v>614.9</v>
      </c>
      <c r="O74" s="453">
        <v>756.4</v>
      </c>
      <c r="P74" s="387">
        <f t="shared" si="72"/>
        <v>756.4</v>
      </c>
      <c r="Q74" s="397">
        <v>661.1</v>
      </c>
      <c r="R74" s="397">
        <v>648.9</v>
      </c>
      <c r="S74" s="397">
        <v>731.2</v>
      </c>
      <c r="T74" s="453">
        <v>519.20000000000005</v>
      </c>
      <c r="U74" s="387">
        <f t="shared" si="73"/>
        <v>519.20000000000005</v>
      </c>
      <c r="V74" s="397">
        <v>507.1</v>
      </c>
      <c r="W74" s="397">
        <v>494.9</v>
      </c>
      <c r="X74" s="397">
        <v>380.9</v>
      </c>
      <c r="Y74" s="397">
        <v>583.6</v>
      </c>
      <c r="Z74" s="387">
        <f t="shared" si="74"/>
        <v>583.6</v>
      </c>
      <c r="AA74" s="397">
        <v>565.4</v>
      </c>
      <c r="AB74" s="397">
        <v>622.5</v>
      </c>
      <c r="AC74" s="397">
        <v>631.4</v>
      </c>
      <c r="AD74" s="397">
        <v>382.1</v>
      </c>
      <c r="AE74" s="424">
        <f t="shared" si="84"/>
        <v>382.1</v>
      </c>
      <c r="AF74" s="397">
        <v>391.2</v>
      </c>
      <c r="AG74" s="397">
        <v>290.60000000000002</v>
      </c>
      <c r="AH74" s="397">
        <v>263.7</v>
      </c>
      <c r="AI74" s="397">
        <v>271</v>
      </c>
      <c r="AJ74" s="424">
        <f t="shared" si="85"/>
        <v>271</v>
      </c>
      <c r="AK74" s="397">
        <v>275.2</v>
      </c>
      <c r="AL74" s="397">
        <v>314.39999999999998</v>
      </c>
      <c r="AM74" s="397">
        <v>297.8</v>
      </c>
      <c r="AN74" s="397">
        <v>828.3</v>
      </c>
      <c r="AO74" s="424">
        <f t="shared" si="86"/>
        <v>828.3</v>
      </c>
      <c r="AP74" s="397">
        <v>550.1</v>
      </c>
      <c r="AQ74" s="397">
        <v>436.5</v>
      </c>
      <c r="AR74" s="397">
        <v>378.4</v>
      </c>
      <c r="AS74" s="397">
        <v>158.5</v>
      </c>
      <c r="AT74" s="424">
        <f t="shared" si="87"/>
        <v>158.5</v>
      </c>
      <c r="AU74" s="397">
        <v>324</v>
      </c>
      <c r="AV74" s="397">
        <v>0</v>
      </c>
      <c r="AW74" s="397">
        <v>0</v>
      </c>
      <c r="AX74" s="397">
        <v>0</v>
      </c>
      <c r="AY74" s="424">
        <f t="shared" si="88"/>
        <v>0</v>
      </c>
      <c r="AZ74" s="397">
        <v>0</v>
      </c>
      <c r="BA74" s="397">
        <v>0</v>
      </c>
      <c r="BB74" s="397">
        <v>0</v>
      </c>
      <c r="BC74" s="397">
        <v>0</v>
      </c>
      <c r="BD74" s="424">
        <f t="shared" si="89"/>
        <v>0</v>
      </c>
      <c r="BE74" s="397">
        <v>0</v>
      </c>
      <c r="BF74" s="397">
        <v>0</v>
      </c>
      <c r="BG74" s="397">
        <v>0</v>
      </c>
      <c r="BH74" s="1083">
        <v>0</v>
      </c>
      <c r="BI74" s="424">
        <f t="shared" si="90"/>
        <v>0</v>
      </c>
      <c r="BJ74" s="397">
        <v>0</v>
      </c>
      <c r="BK74" s="397">
        <v>0</v>
      </c>
      <c r="BL74" s="397">
        <v>0</v>
      </c>
      <c r="BM74" s="397">
        <v>0</v>
      </c>
      <c r="BN74" s="424">
        <f t="shared" si="91"/>
        <v>0</v>
      </c>
      <c r="BO74" s="397">
        <v>0</v>
      </c>
      <c r="BP74" s="397">
        <v>0</v>
      </c>
      <c r="BQ74" s="397">
        <v>0</v>
      </c>
      <c r="BR74" s="397">
        <v>0</v>
      </c>
      <c r="BS74" s="424">
        <f t="shared" si="92"/>
        <v>0</v>
      </c>
      <c r="BT74" s="397">
        <v>0</v>
      </c>
      <c r="BU74" s="397"/>
      <c r="BV74" s="397"/>
      <c r="BW74" s="397">
        <v>0</v>
      </c>
      <c r="BX74" s="424">
        <f t="shared" si="93"/>
        <v>0</v>
      </c>
      <c r="BY74" s="454"/>
      <c r="BZ74" s="454"/>
      <c r="CA74" s="454"/>
      <c r="CB74" s="454"/>
      <c r="CC74" s="385"/>
      <c r="CD74" s="385"/>
      <c r="CE74" s="385"/>
      <c r="CF74" s="385"/>
      <c r="CG74" s="385"/>
      <c r="CH74" s="385"/>
    </row>
    <row r="75" spans="1:86" hidden="1" outlineLevel="1">
      <c r="G75" s="230"/>
      <c r="H75" s="401" t="s">
        <v>273</v>
      </c>
      <c r="I75" s="396"/>
      <c r="J75" s="396"/>
      <c r="K75" s="396"/>
      <c r="L75" s="397">
        <v>355</v>
      </c>
      <c r="M75" s="397">
        <v>710.6</v>
      </c>
      <c r="N75" s="397">
        <v>732.5</v>
      </c>
      <c r="O75" s="453">
        <v>362</v>
      </c>
      <c r="P75" s="387">
        <f t="shared" si="72"/>
        <v>362</v>
      </c>
      <c r="Q75" s="397">
        <v>735.7</v>
      </c>
      <c r="R75" s="397">
        <v>733</v>
      </c>
      <c r="S75" s="397">
        <v>744.2</v>
      </c>
      <c r="T75" s="453">
        <v>319.5</v>
      </c>
      <c r="U75" s="387">
        <f t="shared" si="73"/>
        <v>319.5</v>
      </c>
      <c r="V75" s="397">
        <v>390.6</v>
      </c>
      <c r="W75" s="397">
        <v>917.8</v>
      </c>
      <c r="X75" s="397">
        <v>1070.3</v>
      </c>
      <c r="Y75" s="397">
        <v>613.6</v>
      </c>
      <c r="Z75" s="387">
        <f t="shared" si="74"/>
        <v>613.6</v>
      </c>
      <c r="AA75" s="397">
        <v>529.79999999999995</v>
      </c>
      <c r="AB75" s="397">
        <v>861</v>
      </c>
      <c r="AC75" s="397">
        <v>825</v>
      </c>
      <c r="AD75" s="397">
        <v>374.6</v>
      </c>
      <c r="AE75" s="424">
        <f t="shared" si="84"/>
        <v>374.6</v>
      </c>
      <c r="AF75" s="397">
        <v>652</v>
      </c>
      <c r="AG75" s="397">
        <v>824.7</v>
      </c>
      <c r="AH75" s="397">
        <v>1006.1</v>
      </c>
      <c r="AI75" s="397">
        <v>1036.2</v>
      </c>
      <c r="AJ75" s="424">
        <f t="shared" si="85"/>
        <v>1036.2</v>
      </c>
      <c r="AK75" s="397">
        <v>1017.8</v>
      </c>
      <c r="AL75" s="397">
        <v>1128</v>
      </c>
      <c r="AM75" s="397">
        <v>1192</v>
      </c>
      <c r="AN75" s="397">
        <v>608.9</v>
      </c>
      <c r="AO75" s="424">
        <f t="shared" si="86"/>
        <v>608.9</v>
      </c>
      <c r="AP75" s="397">
        <v>1140.8</v>
      </c>
      <c r="AQ75" s="397">
        <v>867.3</v>
      </c>
      <c r="AR75" s="397">
        <v>799.1</v>
      </c>
      <c r="AS75" s="397">
        <v>654.9</v>
      </c>
      <c r="AT75" s="424">
        <f t="shared" si="87"/>
        <v>654.9</v>
      </c>
      <c r="AU75" s="397">
        <v>998.5</v>
      </c>
      <c r="AV75" s="397">
        <v>953.3</v>
      </c>
      <c r="AW75" s="809">
        <v>790.1</v>
      </c>
      <c r="AX75" s="809">
        <v>822.3</v>
      </c>
      <c r="AY75" s="424">
        <f t="shared" si="88"/>
        <v>822.3</v>
      </c>
      <c r="AZ75" s="397">
        <v>987.9</v>
      </c>
      <c r="BA75" s="397">
        <v>988.9</v>
      </c>
      <c r="BB75" s="809">
        <v>853.4</v>
      </c>
      <c r="BC75" s="809">
        <v>755.8</v>
      </c>
      <c r="BD75" s="424">
        <f t="shared" si="89"/>
        <v>755.8</v>
      </c>
      <c r="BE75" s="397">
        <v>1111.8</v>
      </c>
      <c r="BF75" s="397">
        <v>1085.8</v>
      </c>
      <c r="BG75" s="397">
        <v>821.5</v>
      </c>
      <c r="BH75" s="1083">
        <v>560</v>
      </c>
      <c r="BI75" s="424">
        <f t="shared" si="90"/>
        <v>560</v>
      </c>
      <c r="BJ75" s="397">
        <v>797</v>
      </c>
      <c r="BK75" s="397">
        <v>730.1</v>
      </c>
      <c r="BL75" s="397">
        <v>762.4</v>
      </c>
      <c r="BM75" s="397">
        <v>604.4</v>
      </c>
      <c r="BN75" s="424">
        <f t="shared" si="91"/>
        <v>604.4</v>
      </c>
      <c r="BO75" s="397">
        <v>792</v>
      </c>
      <c r="BP75" s="397">
        <v>789.5</v>
      </c>
      <c r="BQ75" s="397">
        <v>756.5</v>
      </c>
      <c r="BR75" s="397">
        <v>734.6</v>
      </c>
      <c r="BS75" s="424">
        <f t="shared" si="92"/>
        <v>734.6</v>
      </c>
      <c r="BT75" s="397">
        <v>821.6</v>
      </c>
      <c r="BU75" s="397">
        <v>1010.3</v>
      </c>
      <c r="BV75" s="397">
        <v>1063.9000000000001</v>
      </c>
      <c r="BW75" s="397">
        <v>1447.5</v>
      </c>
      <c r="BX75" s="424">
        <f t="shared" si="93"/>
        <v>1447.5</v>
      </c>
      <c r="BY75" s="454"/>
      <c r="BZ75" s="454"/>
      <c r="CA75" s="454"/>
      <c r="CB75" s="454"/>
      <c r="CC75" s="385"/>
      <c r="CD75" s="385"/>
      <c r="CE75" s="385"/>
      <c r="CF75" s="385"/>
      <c r="CG75" s="385"/>
      <c r="CH75" s="385"/>
    </row>
    <row r="76" spans="1:86" collapsed="1">
      <c r="G76" s="230"/>
      <c r="H76" s="419" t="s">
        <v>274</v>
      </c>
      <c r="I76" s="419"/>
      <c r="J76" s="419"/>
      <c r="K76" s="419"/>
      <c r="L76" s="420">
        <f>L66+L69+L72+L73</f>
        <v>11257.300000000001</v>
      </c>
      <c r="M76" s="420">
        <f>M66+M69+M72+M73</f>
        <v>11052.400000000001</v>
      </c>
      <c r="N76" s="420">
        <f>N66+N69+N72+N73</f>
        <v>11947.8</v>
      </c>
      <c r="O76" s="420">
        <f>O66+O69+O72+O73</f>
        <v>10795.8</v>
      </c>
      <c r="P76" s="428">
        <f t="shared" si="72"/>
        <v>10795.8</v>
      </c>
      <c r="Q76" s="420">
        <f>Q66+Q69+Q72+Q73</f>
        <v>10360.599999999999</v>
      </c>
      <c r="R76" s="420">
        <f>R66+R69+R72+R73</f>
        <v>10588.6</v>
      </c>
      <c r="S76" s="420">
        <f>S66+S69+S72+S73</f>
        <v>9771.1999999999989</v>
      </c>
      <c r="T76" s="420">
        <f>T66+T69+T72+T73</f>
        <v>9694.4000000000015</v>
      </c>
      <c r="U76" s="428">
        <f t="shared" si="73"/>
        <v>9694.4000000000015</v>
      </c>
      <c r="V76" s="420">
        <f t="shared" ref="V76:AF76" si="94">V66+V69+V72+V73</f>
        <v>9246</v>
      </c>
      <c r="W76" s="420">
        <f t="shared" si="94"/>
        <v>9561.2999999999993</v>
      </c>
      <c r="X76" s="420">
        <f t="shared" si="94"/>
        <v>10453.700000000001</v>
      </c>
      <c r="Y76" s="420">
        <f t="shared" si="94"/>
        <v>12256.900000000001</v>
      </c>
      <c r="Z76" s="423">
        <f t="shared" si="94"/>
        <v>12256.900000000001</v>
      </c>
      <c r="AA76" s="420">
        <f t="shared" si="94"/>
        <v>12494.2</v>
      </c>
      <c r="AB76" s="420">
        <f t="shared" si="94"/>
        <v>12677.1</v>
      </c>
      <c r="AC76" s="420">
        <f t="shared" si="94"/>
        <v>12945.8</v>
      </c>
      <c r="AD76" s="420">
        <f t="shared" si="94"/>
        <v>12453.3</v>
      </c>
      <c r="AE76" s="423">
        <f t="shared" si="94"/>
        <v>12453.3</v>
      </c>
      <c r="AF76" s="420">
        <f t="shared" si="94"/>
        <v>10260.400000000001</v>
      </c>
      <c r="AG76" s="420">
        <f t="shared" ref="AG76:AL76" si="95">AG66+AG69+AG72+AG73</f>
        <v>10935.3</v>
      </c>
      <c r="AH76" s="420">
        <f t="shared" si="95"/>
        <v>11810</v>
      </c>
      <c r="AI76" s="420">
        <f t="shared" si="95"/>
        <v>12486.500000000002</v>
      </c>
      <c r="AJ76" s="423">
        <f t="shared" si="95"/>
        <v>12486.500000000002</v>
      </c>
      <c r="AK76" s="420">
        <f t="shared" si="95"/>
        <v>12252.400000000003</v>
      </c>
      <c r="AL76" s="420">
        <f t="shared" si="95"/>
        <v>12466.400000000003</v>
      </c>
      <c r="AM76" s="420">
        <f t="shared" ref="AM76:AR76" si="96">AM66+AM69+AM72+AM73</f>
        <v>14184.300000000005</v>
      </c>
      <c r="AN76" s="420">
        <f t="shared" si="96"/>
        <v>14840.000000000007</v>
      </c>
      <c r="AO76" s="423">
        <f t="shared" si="96"/>
        <v>14840.000000000007</v>
      </c>
      <c r="AP76" s="420">
        <f t="shared" si="96"/>
        <v>15354.300000000005</v>
      </c>
      <c r="AQ76" s="420">
        <f t="shared" si="96"/>
        <v>14950.300000000003</v>
      </c>
      <c r="AR76" s="420">
        <f t="shared" si="96"/>
        <v>14572.700000000004</v>
      </c>
      <c r="AS76" s="420">
        <f t="shared" ref="AS76:AX76" si="97">AS66+AS69+AS72+AS73</f>
        <v>14248.200000000003</v>
      </c>
      <c r="AT76" s="423">
        <f t="shared" si="97"/>
        <v>14248.200000000003</v>
      </c>
      <c r="AU76" s="420">
        <f t="shared" si="97"/>
        <v>12602.600000000006</v>
      </c>
      <c r="AV76" s="420">
        <f t="shared" si="97"/>
        <v>12307.300000000003</v>
      </c>
      <c r="AW76" s="420">
        <f t="shared" si="97"/>
        <v>14038.900000000005</v>
      </c>
      <c r="AX76" s="799">
        <f t="shared" si="97"/>
        <v>13038.700000000004</v>
      </c>
      <c r="AY76" s="423">
        <f t="shared" ref="AY76:BD76" si="98">AY66+AY69+AY72+AY73</f>
        <v>13038.700000000004</v>
      </c>
      <c r="AZ76" s="420">
        <f t="shared" si="98"/>
        <v>12326.100000000004</v>
      </c>
      <c r="BA76" s="420">
        <f t="shared" si="98"/>
        <v>12639.300000000003</v>
      </c>
      <c r="BB76" s="420">
        <f t="shared" si="98"/>
        <v>13202.200000000004</v>
      </c>
      <c r="BC76" s="799">
        <f t="shared" si="98"/>
        <v>13104.700000000004</v>
      </c>
      <c r="BD76" s="423">
        <f t="shared" si="98"/>
        <v>13104.700000000004</v>
      </c>
      <c r="BE76" s="420">
        <f t="shared" ref="BE76:BX76" si="99">BE66+BE69+BE72+BE73</f>
        <v>13039.300000000005</v>
      </c>
      <c r="BF76" s="420">
        <f t="shared" si="99"/>
        <v>13156.700000000004</v>
      </c>
      <c r="BG76" s="420">
        <f t="shared" si="99"/>
        <v>12110.500000000004</v>
      </c>
      <c r="BH76" s="799">
        <f t="shared" si="99"/>
        <v>11928.300000000003</v>
      </c>
      <c r="BI76" s="423">
        <f t="shared" si="99"/>
        <v>11928.300000000003</v>
      </c>
      <c r="BJ76" s="420">
        <f t="shared" si="99"/>
        <v>11742.800000000007</v>
      </c>
      <c r="BK76" s="420">
        <f t="shared" si="99"/>
        <v>12346.000000000005</v>
      </c>
      <c r="BL76" s="420">
        <f t="shared" si="99"/>
        <v>12567.000000000005</v>
      </c>
      <c r="BM76" s="420">
        <f t="shared" si="99"/>
        <v>12573.600000000004</v>
      </c>
      <c r="BN76" s="423">
        <f t="shared" si="99"/>
        <v>12573.600000000004</v>
      </c>
      <c r="BO76" s="420">
        <f t="shared" si="99"/>
        <v>11714.600000000006</v>
      </c>
      <c r="BP76" s="420">
        <f t="shared" si="99"/>
        <v>12977.300000000005</v>
      </c>
      <c r="BQ76" s="420">
        <f t="shared" si="99"/>
        <v>13385.900000000005</v>
      </c>
      <c r="BR76" s="420">
        <f t="shared" si="99"/>
        <v>15101.400000000005</v>
      </c>
      <c r="BS76" s="423">
        <f t="shared" si="99"/>
        <v>15101.400000000005</v>
      </c>
      <c r="BT76" s="420">
        <f t="shared" si="99"/>
        <v>12976.200000000006</v>
      </c>
      <c r="BU76" s="420">
        <f t="shared" si="99"/>
        <v>15746.500000000004</v>
      </c>
      <c r="BV76" s="420">
        <f t="shared" si="99"/>
        <v>17428.400000000005</v>
      </c>
      <c r="BW76" s="420">
        <f t="shared" si="99"/>
        <v>19202.100000000006</v>
      </c>
      <c r="BX76" s="423">
        <f t="shared" si="99"/>
        <v>19202.100000000002</v>
      </c>
      <c r="BY76" s="421"/>
      <c r="BZ76" s="421"/>
      <c r="CA76" s="421"/>
      <c r="CB76" s="421"/>
      <c r="CC76" s="423">
        <f t="shared" ref="CC76:CH76" si="100">CC66+CC69+CC72+CC73</f>
        <v>15139.709819237503</v>
      </c>
      <c r="CD76" s="423">
        <f t="shared" si="100"/>
        <v>15780.947779258444</v>
      </c>
      <c r="CE76" s="423">
        <f t="shared" si="100"/>
        <v>18647.10345220644</v>
      </c>
      <c r="CF76" s="423">
        <f t="shared" si="100"/>
        <v>21601.245461038601</v>
      </c>
      <c r="CG76" s="423">
        <f t="shared" si="100"/>
        <v>24647.821763076376</v>
      </c>
      <c r="CH76" s="423">
        <f t="shared" si="100"/>
        <v>28463.416122333736</v>
      </c>
    </row>
    <row r="77" spans="1:86">
      <c r="G77" s="230"/>
      <c r="H77" s="250"/>
      <c r="I77" s="250"/>
      <c r="J77" s="250"/>
      <c r="K77" s="250"/>
      <c r="L77" s="455"/>
      <c r="M77" s="455"/>
      <c r="N77" s="455"/>
      <c r="O77" s="456"/>
      <c r="P77" s="457"/>
      <c r="Q77" s="455"/>
      <c r="R77" s="455"/>
      <c r="S77" s="455"/>
      <c r="T77" s="456"/>
      <c r="U77" s="457"/>
      <c r="V77" s="455"/>
      <c r="W77" s="455"/>
      <c r="X77" s="455"/>
      <c r="Y77" s="456"/>
      <c r="Z77" s="457"/>
      <c r="AA77" s="455"/>
      <c r="AB77" s="455"/>
      <c r="AC77" s="455"/>
      <c r="AD77" s="456"/>
      <c r="AE77" s="457"/>
      <c r="AF77" s="455"/>
      <c r="AG77" s="455"/>
      <c r="AH77" s="455"/>
      <c r="AI77" s="456"/>
      <c r="AJ77" s="457"/>
      <c r="AK77" s="455"/>
      <c r="AL77" s="455"/>
      <c r="AM77" s="455"/>
      <c r="AN77" s="456"/>
      <c r="AO77" s="457"/>
      <c r="AP77" s="455"/>
      <c r="AQ77" s="455"/>
      <c r="AR77" s="455"/>
      <c r="AS77" s="456"/>
      <c r="AT77" s="457"/>
      <c r="AU77" s="455"/>
      <c r="AV77" s="455"/>
      <c r="AW77" s="937"/>
      <c r="AX77" s="937"/>
      <c r="AY77" s="457"/>
      <c r="AZ77" s="455"/>
      <c r="BA77" s="455"/>
      <c r="BB77" s="456"/>
      <c r="BC77" s="937"/>
      <c r="BD77" s="457"/>
      <c r="BE77" s="455"/>
      <c r="BF77" s="455"/>
      <c r="BG77" s="455"/>
      <c r="BH77" s="1084"/>
      <c r="BI77" s="457"/>
      <c r="BJ77" s="455"/>
      <c r="BK77" s="455"/>
      <c r="BL77" s="455"/>
      <c r="BM77" s="1084"/>
      <c r="BN77" s="457"/>
      <c r="BO77" s="455"/>
      <c r="BP77" s="455"/>
      <c r="BQ77" s="455"/>
      <c r="BR77" s="456"/>
      <c r="BS77" s="457"/>
      <c r="BT77" s="455"/>
      <c r="BU77" s="455"/>
      <c r="BV77" s="455"/>
      <c r="BW77" s="456"/>
      <c r="BX77" s="457"/>
      <c r="BY77" s="456"/>
      <c r="BZ77" s="456"/>
      <c r="CA77" s="456"/>
      <c r="CB77" s="456"/>
      <c r="CC77" s="457"/>
      <c r="CD77" s="457"/>
      <c r="CE77" s="457"/>
      <c r="CF77" s="457"/>
      <c r="CG77" s="457"/>
      <c r="CH77" s="457"/>
    </row>
    <row r="78" spans="1:86">
      <c r="G78" s="230"/>
      <c r="H78" s="458" t="s">
        <v>49</v>
      </c>
      <c r="I78" s="458"/>
      <c r="J78" s="458"/>
      <c r="K78" s="458"/>
      <c r="L78" s="391">
        <v>7581.9</v>
      </c>
      <c r="M78" s="391">
        <v>7737.9</v>
      </c>
      <c r="N78" s="391">
        <v>7834.8</v>
      </c>
      <c r="O78" s="437">
        <v>7912.5</v>
      </c>
      <c r="P78" s="429">
        <v>7912.5</v>
      </c>
      <c r="Q78" s="391">
        <v>7946.3</v>
      </c>
      <c r="R78" s="391">
        <v>8088</v>
      </c>
      <c r="S78" s="391">
        <v>8215.4</v>
      </c>
      <c r="T78" s="437">
        <v>8152.3</v>
      </c>
      <c r="U78" s="429">
        <v>8152.3</v>
      </c>
      <c r="V78" s="391">
        <v>8209.1</v>
      </c>
      <c r="W78" s="391">
        <v>8309.7000000000007</v>
      </c>
      <c r="X78" s="391">
        <v>8440.7000000000007</v>
      </c>
      <c r="Y78" s="391">
        <v>8575.1</v>
      </c>
      <c r="Z78" s="429">
        <v>8575.1</v>
      </c>
      <c r="AA78" s="391">
        <v>8662.1</v>
      </c>
      <c r="AB78" s="391">
        <v>8670.5</v>
      </c>
      <c r="AC78" s="391">
        <v>8262.1</v>
      </c>
      <c r="AD78" s="391">
        <v>8626.2999999999993</v>
      </c>
      <c r="AE78" s="424">
        <f t="shared" ref="AE78:AE83" si="101">AD78</f>
        <v>8626.2999999999993</v>
      </c>
      <c r="AF78" s="391">
        <v>8450.2000000000007</v>
      </c>
      <c r="AG78" s="391">
        <v>8594.2999999999993</v>
      </c>
      <c r="AH78" s="391">
        <v>8232.7000000000007</v>
      </c>
      <c r="AI78" s="391">
        <v>8197.4</v>
      </c>
      <c r="AJ78" s="424">
        <f t="shared" ref="AJ78:AJ83" si="102">AI78</f>
        <v>8197.4</v>
      </c>
      <c r="AK78" s="391">
        <v>7987</v>
      </c>
      <c r="AL78" s="391">
        <v>7784.4</v>
      </c>
      <c r="AM78" s="391">
        <v>7941.9</v>
      </c>
      <c r="AN78" s="391">
        <v>7940.7</v>
      </c>
      <c r="AO78" s="424">
        <f t="shared" ref="AO78:AO83" si="103">AN78</f>
        <v>7940.7</v>
      </c>
      <c r="AP78" s="391">
        <v>7967.7</v>
      </c>
      <c r="AQ78" s="391">
        <v>7953.7</v>
      </c>
      <c r="AR78" s="391">
        <v>7812.2</v>
      </c>
      <c r="AS78" s="391">
        <v>7760.3</v>
      </c>
      <c r="AT78" s="424">
        <f t="shared" ref="AT78:AT83" si="104">AS78</f>
        <v>7760.3</v>
      </c>
      <c r="AU78" s="391">
        <v>7754.6</v>
      </c>
      <c r="AV78" s="391">
        <v>7619.9</v>
      </c>
      <c r="AW78" s="923">
        <v>7638.9</v>
      </c>
      <c r="AX78" s="923">
        <v>7760.2</v>
      </c>
      <c r="AY78" s="424">
        <f t="shared" ref="AY78:AY83" si="105">AX78</f>
        <v>7760.2</v>
      </c>
      <c r="AZ78" s="391">
        <v>7623.4</v>
      </c>
      <c r="BA78" s="391">
        <v>7636.7</v>
      </c>
      <c r="BB78" s="437">
        <f>7767.4</f>
        <v>7767.4</v>
      </c>
      <c r="BC78" s="923">
        <v>7975.5</v>
      </c>
      <c r="BD78" s="424">
        <f t="shared" ref="BD78:BD83" si="106">BC78</f>
        <v>7975.5</v>
      </c>
      <c r="BE78" s="391">
        <v>7970.7</v>
      </c>
      <c r="BF78" s="391">
        <v>8100.9</v>
      </c>
      <c r="BG78" s="391">
        <v>8043.3</v>
      </c>
      <c r="BH78" s="1082">
        <v>7963.9</v>
      </c>
      <c r="BI78" s="424">
        <f t="shared" ref="BI78:BI83" si="107">BH78</f>
        <v>7963.9</v>
      </c>
      <c r="BJ78" s="391">
        <v>7950.7</v>
      </c>
      <c r="BK78" s="391">
        <v>8022.6</v>
      </c>
      <c r="BL78" s="391">
        <v>8075.3</v>
      </c>
      <c r="BM78" s="391">
        <v>8053.5</v>
      </c>
      <c r="BN78" s="424">
        <f t="shared" ref="BN78:BN83" si="108">BM78</f>
        <v>8053.5</v>
      </c>
      <c r="BO78" s="391">
        <v>8033.1</v>
      </c>
      <c r="BP78" s="391">
        <v>8066.1</v>
      </c>
      <c r="BQ78" s="391">
        <v>8251.9</v>
      </c>
      <c r="BR78" s="391">
        <v>8252.6</v>
      </c>
      <c r="BS78" s="424">
        <f t="shared" ref="BS78:BS83" si="109">BR78</f>
        <v>8252.6</v>
      </c>
      <c r="BT78" s="391">
        <v>8425.5</v>
      </c>
      <c r="BU78" s="391">
        <f>17533-8950.2</f>
        <v>8582.7999999999993</v>
      </c>
      <c r="BV78" s="391">
        <v>8598.5</v>
      </c>
      <c r="BW78" s="391">
        <v>8826.5</v>
      </c>
      <c r="BX78" s="424">
        <f t="shared" ref="BX78:BX83" si="110">BW78</f>
        <v>8826.5</v>
      </c>
      <c r="BY78" s="384"/>
      <c r="BZ78" s="384"/>
      <c r="CA78" s="384"/>
      <c r="CB78" s="384"/>
      <c r="CC78" s="377">
        <f>BX78-CC17-CC32</f>
        <v>9163.5</v>
      </c>
      <c r="CD78" s="377">
        <f>CC78-CD17-CD32</f>
        <v>9300.5</v>
      </c>
      <c r="CE78" s="377">
        <f>CD78-CE17-CE32</f>
        <v>9437.5</v>
      </c>
      <c r="CF78" s="377">
        <f>CE78-CF17-CF32</f>
        <v>9574.5</v>
      </c>
      <c r="CG78" s="377">
        <f>CF78-CG17-CG32</f>
        <v>9711.5</v>
      </c>
      <c r="CH78" s="377">
        <f>CG78-CH17-CH32</f>
        <v>9848.5</v>
      </c>
    </row>
    <row r="79" spans="1:86">
      <c r="G79" s="230"/>
      <c r="H79" s="458" t="s">
        <v>575</v>
      </c>
      <c r="L79" s="391">
        <v>0</v>
      </c>
      <c r="M79" s="391">
        <v>0</v>
      </c>
      <c r="N79" s="391">
        <v>0</v>
      </c>
      <c r="O79" s="391">
        <v>0</v>
      </c>
      <c r="P79" s="429">
        <f>O79</f>
        <v>0</v>
      </c>
      <c r="Q79" s="391">
        <v>0</v>
      </c>
      <c r="R79" s="391">
        <v>0</v>
      </c>
      <c r="S79" s="391">
        <v>0</v>
      </c>
      <c r="T79" s="437">
        <v>130</v>
      </c>
      <c r="U79" s="429">
        <f>T79</f>
        <v>130</v>
      </c>
      <c r="V79" s="391">
        <f>2415.3</f>
        <v>2415.3000000000002</v>
      </c>
      <c r="W79" s="391">
        <f>2494.3</f>
        <v>2494.3000000000002</v>
      </c>
      <c r="X79" s="391">
        <f>2453.6</f>
        <v>2453.6</v>
      </c>
      <c r="Y79" s="391">
        <f>2455.4</f>
        <v>2455.4</v>
      </c>
      <c r="Z79" s="429">
        <f>Y79</f>
        <v>2455.4</v>
      </c>
      <c r="AA79" s="391">
        <v>2378.5</v>
      </c>
      <c r="AB79" s="391">
        <f>2337.4</f>
        <v>2337.4</v>
      </c>
      <c r="AC79" s="391">
        <f>2298.8</f>
        <v>2298.8000000000002</v>
      </c>
      <c r="AD79" s="391">
        <v>3929.1</v>
      </c>
      <c r="AE79" s="424">
        <f>AD79</f>
        <v>3929.1</v>
      </c>
      <c r="AF79" s="391">
        <f>3857.9</f>
        <v>3857.9</v>
      </c>
      <c r="AG79" s="391">
        <v>3790.3</v>
      </c>
      <c r="AH79" s="391">
        <v>3738.9</v>
      </c>
      <c r="AI79" s="391">
        <v>3699.8</v>
      </c>
      <c r="AJ79" s="424">
        <f>AI79</f>
        <v>3699.8</v>
      </c>
      <c r="AK79" s="391">
        <v>4031.6</v>
      </c>
      <c r="AL79" s="391">
        <v>4036</v>
      </c>
      <c r="AM79" s="391">
        <v>4308.5</v>
      </c>
      <c r="AN79" s="391">
        <v>4818.8</v>
      </c>
      <c r="AO79" s="424">
        <f>AN79</f>
        <v>4818.8</v>
      </c>
      <c r="AP79" s="391">
        <v>4731.3</v>
      </c>
      <c r="AQ79" s="391">
        <v>4955.3999999999996</v>
      </c>
      <c r="AR79" s="391">
        <v>5221.8999999999996</v>
      </c>
      <c r="AS79" s="391">
        <v>5128.1000000000004</v>
      </c>
      <c r="AT79" s="424">
        <f>AS79</f>
        <v>5128.1000000000004</v>
      </c>
      <c r="AU79" s="391">
        <v>5266.7</v>
      </c>
      <c r="AV79" s="391">
        <v>5142.8</v>
      </c>
      <c r="AW79" s="923">
        <v>5031.1000000000004</v>
      </c>
      <c r="AX79" s="923">
        <v>4752.7</v>
      </c>
      <c r="AY79" s="424">
        <f>AX79</f>
        <v>4752.7</v>
      </c>
      <c r="AZ79" s="391">
        <v>4618.6000000000004</v>
      </c>
      <c r="BA79" s="391">
        <v>4508.5</v>
      </c>
      <c r="BB79" s="437">
        <v>4455.1000000000004</v>
      </c>
      <c r="BC79" s="923">
        <v>4331.1000000000004</v>
      </c>
      <c r="BD79" s="424">
        <f>BC79</f>
        <v>4331.1000000000004</v>
      </c>
      <c r="BE79" s="391">
        <v>4203.1000000000004</v>
      </c>
      <c r="BF79" s="391">
        <v>4670.1000000000004</v>
      </c>
      <c r="BG79" s="391">
        <v>4750.8</v>
      </c>
      <c r="BH79" s="1082">
        <f>1758.1+2884.2</f>
        <v>4642.2999999999993</v>
      </c>
      <c r="BI79" s="424">
        <f>BH79</f>
        <v>4642.2999999999993</v>
      </c>
      <c r="BJ79" s="391">
        <f>3946.9+4947.7</f>
        <v>8894.6</v>
      </c>
      <c r="BK79" s="391">
        <f>4024.7+4842.9</f>
        <v>8867.5999999999985</v>
      </c>
      <c r="BL79" s="391">
        <f>4054.9+4615.9</f>
        <v>8670.7999999999993</v>
      </c>
      <c r="BM79" s="391">
        <f>5034.8+4039.9</f>
        <v>9074.7000000000007</v>
      </c>
      <c r="BN79" s="424">
        <f t="shared" si="108"/>
        <v>9074.7000000000007</v>
      </c>
      <c r="BO79" s="391">
        <f>4045.1+4889.8</f>
        <v>8934.9</v>
      </c>
      <c r="BP79" s="391">
        <f>4026.5+4806.3</f>
        <v>8832.7999999999993</v>
      </c>
      <c r="BQ79" s="391">
        <f>4007.7+4638.5</f>
        <v>8646.2000000000007</v>
      </c>
      <c r="BR79" s="391">
        <f>3972.7+4357.9</f>
        <v>8330.5999999999985</v>
      </c>
      <c r="BS79" s="424">
        <f t="shared" si="109"/>
        <v>8330.5999999999985</v>
      </c>
      <c r="BT79" s="391">
        <f>4188+4716.7</f>
        <v>8904.7000000000007</v>
      </c>
      <c r="BU79" s="391">
        <f>4290.8+4542.6</f>
        <v>8833.4000000000015</v>
      </c>
      <c r="BV79" s="391">
        <f>4365.6+4271.6</f>
        <v>8637.2000000000007</v>
      </c>
      <c r="BW79" s="391">
        <f>4370.1+4029.2</f>
        <v>8399.2999999999993</v>
      </c>
      <c r="BX79" s="424">
        <f t="shared" si="110"/>
        <v>8399.2999999999993</v>
      </c>
      <c r="BY79" s="432"/>
      <c r="BZ79" s="432"/>
      <c r="CA79" s="432"/>
      <c r="CB79" s="432"/>
      <c r="CC79" s="377">
        <f>BX79-CC18</f>
        <v>7907.5999999999995</v>
      </c>
      <c r="CD79" s="377">
        <f>CC79-CD18</f>
        <v>7593.4999999999991</v>
      </c>
      <c r="CE79" s="377">
        <f>CD79-CE18</f>
        <v>7280.6999999999989</v>
      </c>
      <c r="CF79" s="377">
        <f>CE79-CF18</f>
        <v>6967.8999999999987</v>
      </c>
      <c r="CG79" s="377">
        <f>CF79-CG18</f>
        <v>6655.0999999999985</v>
      </c>
      <c r="CH79" s="377">
        <f>CG79-CH18</f>
        <v>6342.2999999999984</v>
      </c>
    </row>
    <row r="80" spans="1:86">
      <c r="G80" s="230"/>
      <c r="H80" s="47" t="s">
        <v>50</v>
      </c>
      <c r="L80" s="392">
        <f>SUM(L81:L83)</f>
        <v>4400.5</v>
      </c>
      <c r="M80" s="392">
        <f>SUM(M81:M83)</f>
        <v>4727.8999999999996</v>
      </c>
      <c r="N80" s="392">
        <f>SUM(N81:N83)</f>
        <v>5021.7000000000007</v>
      </c>
      <c r="O80" s="392">
        <f>SUM(O81:O83)</f>
        <v>5872.5</v>
      </c>
      <c r="P80" s="429">
        <f>O80</f>
        <v>5872.5</v>
      </c>
      <c r="Q80" s="392">
        <f>SUM(Q81:Q83)</f>
        <v>5840</v>
      </c>
      <c r="R80" s="392">
        <f>SUM(R81:R83)</f>
        <v>5759</v>
      </c>
      <c r="S80" s="392">
        <f>SUM(S81:S83)</f>
        <v>5926.7999999999993</v>
      </c>
      <c r="T80" s="392">
        <f>SUM(T81:T83)</f>
        <v>3978.7</v>
      </c>
      <c r="U80" s="429">
        <f>T80</f>
        <v>3978.7</v>
      </c>
      <c r="V80" s="392">
        <f>SUM(V81:V83)</f>
        <v>3862.9</v>
      </c>
      <c r="W80" s="392">
        <f>SUM(W81:W83)</f>
        <v>3690.3</v>
      </c>
      <c r="X80" s="392">
        <f>SUM(X81:X83)</f>
        <v>3625.5</v>
      </c>
      <c r="Y80" s="392">
        <f>SUM(Y81:Y83)</f>
        <v>3500.3999999999996</v>
      </c>
      <c r="Z80" s="429">
        <f>Y80</f>
        <v>3500.3999999999996</v>
      </c>
      <c r="AA80" s="392">
        <f>SUM(AA81:AA83)</f>
        <v>3685.3999999999996</v>
      </c>
      <c r="AB80" s="392">
        <f>SUM(AB81:AB83)</f>
        <v>4067</v>
      </c>
      <c r="AC80" s="392">
        <f>SUM(AC81:AC83)</f>
        <v>4200.3999999999996</v>
      </c>
      <c r="AD80" s="392">
        <f>SUM(AD81:AD83)</f>
        <v>4203.8999999999996</v>
      </c>
      <c r="AE80" s="424">
        <f t="shared" si="101"/>
        <v>4203.8999999999996</v>
      </c>
      <c r="AF80" s="392">
        <f>SUM(AF81:AF83)</f>
        <v>4028.3</v>
      </c>
      <c r="AG80" s="392">
        <f>SUM(AG81:AG83)</f>
        <v>3611.6</v>
      </c>
      <c r="AH80" s="392">
        <f>SUM(AH81:AH83)</f>
        <v>3346.3</v>
      </c>
      <c r="AI80" s="392">
        <f>SUM(AI81:AI83)</f>
        <v>3077.2</v>
      </c>
      <c r="AJ80" s="424">
        <f t="shared" si="102"/>
        <v>3077.2</v>
      </c>
      <c r="AK80" s="392">
        <f>SUM(AK81:AK83)</f>
        <v>2926.8</v>
      </c>
      <c r="AL80" s="392">
        <f>SUM(AL81:AL83)</f>
        <v>3436.3</v>
      </c>
      <c r="AM80" s="392">
        <f>SUM(AM81:AM83)</f>
        <v>3469.6000000000004</v>
      </c>
      <c r="AN80" s="392">
        <f>SUM(AN81:AN83)</f>
        <v>3401.9</v>
      </c>
      <c r="AO80" s="424">
        <f t="shared" si="103"/>
        <v>3401.9</v>
      </c>
      <c r="AP80" s="392">
        <f>SUM(AP81:AP83)</f>
        <v>3642</v>
      </c>
      <c r="AQ80" s="392">
        <f>SUM(AQ81:AQ83)</f>
        <v>4919.8999999999996</v>
      </c>
      <c r="AR80" s="392">
        <f>SUM(AR81:AR83)</f>
        <v>5435.4</v>
      </c>
      <c r="AS80" s="392">
        <f>SUM(AS81:AS83)</f>
        <v>6523.2000000000007</v>
      </c>
      <c r="AT80" s="424">
        <f t="shared" si="104"/>
        <v>6523.2000000000007</v>
      </c>
      <c r="AU80" s="392">
        <f>SUM(AU81:AU83)</f>
        <v>6614.3</v>
      </c>
      <c r="AV80" s="392">
        <f>SUM(AV81:AV83)</f>
        <v>6742.6</v>
      </c>
      <c r="AW80" s="392">
        <f>SUM(AW81:AW83)</f>
        <v>7612.1</v>
      </c>
      <c r="AX80" s="392">
        <f>SUM(AX81:AX83)</f>
        <v>8847.2999999999993</v>
      </c>
      <c r="AY80" s="424">
        <f t="shared" si="105"/>
        <v>8847.2999999999993</v>
      </c>
      <c r="AZ80" s="392">
        <f>SUM(AZ81:AZ83)</f>
        <v>7732</v>
      </c>
      <c r="BA80" s="392">
        <f>SUM(BA81:BA83)</f>
        <v>8441.5</v>
      </c>
      <c r="BB80" s="392">
        <f>SUM(BB81:BB83)</f>
        <v>8540.9</v>
      </c>
      <c r="BC80" s="392">
        <f>SUM(BC81:BC83)</f>
        <v>9837.4</v>
      </c>
      <c r="BD80" s="424">
        <f t="shared" si="106"/>
        <v>9837.4</v>
      </c>
      <c r="BE80" s="392">
        <f>SUM(BE81:BE83)</f>
        <v>9543.7999999999993</v>
      </c>
      <c r="BF80" s="392">
        <f>SUM(BF81:BF83)</f>
        <v>9090.7000000000007</v>
      </c>
      <c r="BG80" s="392">
        <f>SUM(BG81:BG83)</f>
        <v>9744.2000000000007</v>
      </c>
      <c r="BH80" s="1076">
        <f>SUM(BH81:BH83)</f>
        <v>11773.1</v>
      </c>
      <c r="BI80" s="424">
        <f t="shared" si="107"/>
        <v>11773.1</v>
      </c>
      <c r="BJ80" s="392">
        <f>SUM(BJ81:BJ83)</f>
        <v>7065.9</v>
      </c>
      <c r="BK80" s="392">
        <f>SUM(BK81:BK83)</f>
        <v>6800.4000000000005</v>
      </c>
      <c r="BL80" s="392">
        <f>SUM(BL81:BL83)</f>
        <v>6991.6</v>
      </c>
      <c r="BM80" s="392">
        <f>SUM(BM81:BM83)</f>
        <v>5867.1</v>
      </c>
      <c r="BN80" s="424">
        <f t="shared" si="108"/>
        <v>5867.1</v>
      </c>
      <c r="BO80" s="392">
        <f>SUM(BO81:BO83)</f>
        <v>6009.2000000000007</v>
      </c>
      <c r="BP80" s="392">
        <f>SUM(BP81:BP83)</f>
        <v>6599.1</v>
      </c>
      <c r="BQ80" s="392">
        <f>SUM(BQ81:BQ83)</f>
        <v>7306.3</v>
      </c>
      <c r="BR80" s="392">
        <f>SUM(BR81:BR83)</f>
        <v>7121.3</v>
      </c>
      <c r="BS80" s="424">
        <f t="shared" si="109"/>
        <v>7121.3</v>
      </c>
      <c r="BT80" s="392">
        <f>SUM(BT81:BT83)</f>
        <v>7317.9</v>
      </c>
      <c r="BU80" s="392">
        <f>SUM(BU81:BU83)</f>
        <v>7783.8</v>
      </c>
      <c r="BV80" s="392">
        <f>SUM(BV81:BV83)</f>
        <v>8346.2999999999993</v>
      </c>
      <c r="BW80" s="392">
        <f>SUM(BW81:BW83)</f>
        <v>8553.1</v>
      </c>
      <c r="BX80" s="424">
        <f t="shared" si="110"/>
        <v>8553.1</v>
      </c>
      <c r="BY80" s="400"/>
      <c r="BZ80" s="400"/>
      <c r="CA80" s="400"/>
      <c r="CB80" s="400"/>
      <c r="CC80" s="412">
        <v>6000</v>
      </c>
      <c r="CD80" s="412">
        <f>CC80</f>
        <v>6000</v>
      </c>
      <c r="CE80" s="412">
        <f>CD80</f>
        <v>6000</v>
      </c>
      <c r="CF80" s="412">
        <f>CE80</f>
        <v>6000</v>
      </c>
      <c r="CG80" s="412">
        <f>CF80</f>
        <v>6000</v>
      </c>
      <c r="CH80" s="412">
        <f>CG80</f>
        <v>6000</v>
      </c>
    </row>
    <row r="81" spans="7:86" hidden="1" outlineLevel="1">
      <c r="G81" s="230"/>
      <c r="H81" s="405" t="s">
        <v>51</v>
      </c>
      <c r="L81" s="391">
        <v>2233</v>
      </c>
      <c r="M81" s="391">
        <v>2188.1999999999998</v>
      </c>
      <c r="N81" s="391">
        <v>2367.9</v>
      </c>
      <c r="O81" s="437">
        <v>2419.6</v>
      </c>
      <c r="P81" s="429">
        <f>O81</f>
        <v>2419.6</v>
      </c>
      <c r="Q81" s="391">
        <v>2390.4</v>
      </c>
      <c r="R81" s="391">
        <v>2360.8000000000002</v>
      </c>
      <c r="S81" s="391">
        <v>2450.1</v>
      </c>
      <c r="T81" s="437">
        <v>1091.5</v>
      </c>
      <c r="U81" s="429">
        <f>T81</f>
        <v>1091.5</v>
      </c>
      <c r="V81" s="391">
        <v>1074.5999999999999</v>
      </c>
      <c r="W81" s="391">
        <v>1099.5</v>
      </c>
      <c r="X81" s="391">
        <v>1161.8</v>
      </c>
      <c r="Y81" s="391">
        <v>1670.5</v>
      </c>
      <c r="Z81" s="429">
        <f>Y81</f>
        <v>1670.5</v>
      </c>
      <c r="AA81" s="391">
        <v>1842.5</v>
      </c>
      <c r="AB81" s="391">
        <v>1851.5</v>
      </c>
      <c r="AC81" s="391">
        <v>1843.8</v>
      </c>
      <c r="AD81" s="391">
        <v>0</v>
      </c>
      <c r="AE81" s="459">
        <f t="shared" si="101"/>
        <v>0</v>
      </c>
      <c r="AF81" s="391">
        <v>0</v>
      </c>
      <c r="AG81" s="391">
        <v>0</v>
      </c>
      <c r="AH81" s="391">
        <v>0</v>
      </c>
      <c r="AI81" s="391">
        <v>0</v>
      </c>
      <c r="AJ81" s="459">
        <f t="shared" si="102"/>
        <v>0</v>
      </c>
      <c r="AK81" s="391">
        <v>0</v>
      </c>
      <c r="AL81" s="391">
        <v>0</v>
      </c>
      <c r="AM81" s="391">
        <v>0</v>
      </c>
      <c r="AN81" s="391">
        <v>0</v>
      </c>
      <c r="AO81" s="459">
        <f t="shared" si="103"/>
        <v>0</v>
      </c>
      <c r="AP81" s="391">
        <v>0</v>
      </c>
      <c r="AQ81" s="391">
        <v>0</v>
      </c>
      <c r="AR81" s="391">
        <v>0</v>
      </c>
      <c r="AS81" s="391">
        <v>0</v>
      </c>
      <c r="AT81" s="459">
        <f t="shared" si="104"/>
        <v>0</v>
      </c>
      <c r="AU81" s="391">
        <v>0</v>
      </c>
      <c r="AV81" s="391">
        <v>0</v>
      </c>
      <c r="AW81" s="391">
        <v>0</v>
      </c>
      <c r="AX81" s="391">
        <v>0</v>
      </c>
      <c r="AY81" s="459">
        <f t="shared" si="105"/>
        <v>0</v>
      </c>
      <c r="AZ81" s="391">
        <v>0</v>
      </c>
      <c r="BA81" s="391">
        <v>0</v>
      </c>
      <c r="BB81" s="391">
        <v>0</v>
      </c>
      <c r="BC81" s="391">
        <v>0</v>
      </c>
      <c r="BD81" s="459">
        <f t="shared" si="106"/>
        <v>0</v>
      </c>
      <c r="BE81" s="391">
        <v>0</v>
      </c>
      <c r="BF81" s="391">
        <v>0</v>
      </c>
      <c r="BG81" s="391">
        <v>0</v>
      </c>
      <c r="BH81" s="1082">
        <v>0</v>
      </c>
      <c r="BI81" s="459">
        <f t="shared" si="107"/>
        <v>0</v>
      </c>
      <c r="BJ81" s="391">
        <v>0</v>
      </c>
      <c r="BK81" s="391">
        <v>0</v>
      </c>
      <c r="BL81" s="391">
        <v>0</v>
      </c>
      <c r="BM81" s="391">
        <v>0</v>
      </c>
      <c r="BN81" s="459">
        <f t="shared" si="108"/>
        <v>0</v>
      </c>
      <c r="BO81" s="391">
        <v>0</v>
      </c>
      <c r="BP81" s="391">
        <v>0</v>
      </c>
      <c r="BQ81" s="391">
        <v>0</v>
      </c>
      <c r="BR81" s="391">
        <v>0</v>
      </c>
      <c r="BS81" s="459">
        <f t="shared" si="109"/>
        <v>0</v>
      </c>
      <c r="BT81" s="391">
        <v>0</v>
      </c>
      <c r="BU81" s="391"/>
      <c r="BV81" s="391"/>
      <c r="BW81" s="391">
        <v>0</v>
      </c>
      <c r="BX81" s="459">
        <f t="shared" si="110"/>
        <v>0</v>
      </c>
      <c r="BY81" s="432"/>
      <c r="BZ81" s="432"/>
      <c r="CA81" s="432"/>
      <c r="CB81" s="432"/>
      <c r="CC81" s="416"/>
      <c r="CD81" s="416"/>
      <c r="CE81" s="416"/>
      <c r="CF81" s="416"/>
      <c r="CG81" s="416"/>
      <c r="CH81" s="416"/>
    </row>
    <row r="82" spans="7:86" hidden="1" outlineLevel="1">
      <c r="G82" s="230"/>
      <c r="H82" s="405" t="s">
        <v>52</v>
      </c>
      <c r="L82" s="391">
        <v>500.6</v>
      </c>
      <c r="M82" s="391">
        <v>502.1</v>
      </c>
      <c r="N82" s="391">
        <v>520.9</v>
      </c>
      <c r="O82" s="437">
        <v>1296.5999999999999</v>
      </c>
      <c r="P82" s="429">
        <f>O82</f>
        <v>1296.5999999999999</v>
      </c>
      <c r="Q82" s="391">
        <v>1318.4</v>
      </c>
      <c r="R82" s="391">
        <v>1287.8</v>
      </c>
      <c r="S82" s="391">
        <v>1294.5</v>
      </c>
      <c r="T82" s="437">
        <v>1001.9</v>
      </c>
      <c r="U82" s="429">
        <f>T82</f>
        <v>1001.9</v>
      </c>
      <c r="V82" s="391">
        <v>945.4</v>
      </c>
      <c r="W82" s="391">
        <v>552.9</v>
      </c>
      <c r="X82" s="391">
        <v>570.6</v>
      </c>
      <c r="Y82" s="391">
        <v>577.1</v>
      </c>
      <c r="Z82" s="429">
        <f>Y82</f>
        <v>577.1</v>
      </c>
      <c r="AA82" s="391">
        <v>596.1</v>
      </c>
      <c r="AB82" s="391">
        <v>1070.8</v>
      </c>
      <c r="AC82" s="391">
        <v>1186.5999999999999</v>
      </c>
      <c r="AD82" s="391">
        <v>1544.6</v>
      </c>
      <c r="AE82" s="424">
        <f t="shared" si="101"/>
        <v>1544.6</v>
      </c>
      <c r="AF82" s="391">
        <v>1363.8</v>
      </c>
      <c r="AG82" s="391">
        <v>1239</v>
      </c>
      <c r="AH82" s="391">
        <v>1173.8</v>
      </c>
      <c r="AI82" s="391">
        <v>1155.8</v>
      </c>
      <c r="AJ82" s="424">
        <f t="shared" si="102"/>
        <v>1155.8</v>
      </c>
      <c r="AK82" s="391">
        <v>1099.2</v>
      </c>
      <c r="AL82" s="391">
        <v>1064.7</v>
      </c>
      <c r="AM82" s="391">
        <v>1340.2</v>
      </c>
      <c r="AN82" s="391">
        <v>1779.5</v>
      </c>
      <c r="AO82" s="424">
        <f t="shared" si="103"/>
        <v>1779.5</v>
      </c>
      <c r="AP82" s="391">
        <v>1898.7</v>
      </c>
      <c r="AQ82" s="391">
        <v>2943</v>
      </c>
      <c r="AR82" s="391">
        <v>3219.6</v>
      </c>
      <c r="AS82" s="391">
        <v>4029.8</v>
      </c>
      <c r="AT82" s="424">
        <f t="shared" si="104"/>
        <v>4029.8</v>
      </c>
      <c r="AU82" s="391">
        <v>4521.1000000000004</v>
      </c>
      <c r="AV82" s="391">
        <v>4547.6000000000004</v>
      </c>
      <c r="AW82" s="923">
        <v>5224.3</v>
      </c>
      <c r="AX82" s="923">
        <v>6313.3</v>
      </c>
      <c r="AY82" s="424">
        <f t="shared" si="105"/>
        <v>6313.3</v>
      </c>
      <c r="AZ82" s="391">
        <v>5636.2</v>
      </c>
      <c r="BA82" s="391">
        <v>6561.4</v>
      </c>
      <c r="BB82" s="437">
        <f>7220.2</f>
        <v>7220.2</v>
      </c>
      <c r="BC82" s="923">
        <v>7624.9</v>
      </c>
      <c r="BD82" s="424">
        <f t="shared" si="106"/>
        <v>7624.9</v>
      </c>
      <c r="BE82" s="391">
        <v>7204.8</v>
      </c>
      <c r="BF82" s="391">
        <v>6649.7</v>
      </c>
      <c r="BG82" s="391">
        <v>7405.5</v>
      </c>
      <c r="BH82" s="1082">
        <f>4568.9+5405.6</f>
        <v>9974.5</v>
      </c>
      <c r="BI82" s="424">
        <f t="shared" si="107"/>
        <v>9974.5</v>
      </c>
      <c r="BJ82" s="391">
        <v>4576.5</v>
      </c>
      <c r="BK82" s="391">
        <v>4099.1000000000004</v>
      </c>
      <c r="BL82" s="391">
        <v>4102</v>
      </c>
      <c r="BM82" s="391">
        <v>3646.6</v>
      </c>
      <c r="BN82" s="424">
        <f t="shared" si="108"/>
        <v>3646.6</v>
      </c>
      <c r="BO82" s="391">
        <v>3764.3</v>
      </c>
      <c r="BP82" s="391">
        <v>4449.2</v>
      </c>
      <c r="BQ82" s="391">
        <v>5027</v>
      </c>
      <c r="BR82" s="391">
        <v>5207.5</v>
      </c>
      <c r="BS82" s="424">
        <f t="shared" si="109"/>
        <v>5207.5</v>
      </c>
      <c r="BT82" s="391">
        <v>5297.7</v>
      </c>
      <c r="BU82" s="391">
        <v>5723.3</v>
      </c>
      <c r="BV82" s="391">
        <v>6148.7</v>
      </c>
      <c r="BW82" s="391">
        <v>5678.8</v>
      </c>
      <c r="BX82" s="424">
        <f t="shared" si="110"/>
        <v>5678.8</v>
      </c>
      <c r="BY82" s="432"/>
      <c r="BZ82" s="432"/>
      <c r="CA82" s="432"/>
      <c r="CB82" s="432"/>
      <c r="CC82" s="436"/>
      <c r="CD82" s="436"/>
      <c r="CE82" s="436"/>
      <c r="CF82" s="436"/>
      <c r="CG82" s="436"/>
      <c r="CH82" s="436"/>
    </row>
    <row r="83" spans="7:86" hidden="1" outlineLevel="1">
      <c r="G83" s="230"/>
      <c r="H83" s="405" t="s">
        <v>576</v>
      </c>
      <c r="L83" s="391">
        <v>1666.9</v>
      </c>
      <c r="M83" s="391">
        <v>2037.6</v>
      </c>
      <c r="N83" s="391">
        <v>2132.9</v>
      </c>
      <c r="O83" s="437">
        <v>2156.3000000000002</v>
      </c>
      <c r="P83" s="429">
        <f>O83</f>
        <v>2156.3000000000002</v>
      </c>
      <c r="Q83" s="391">
        <v>2131.1999999999998</v>
      </c>
      <c r="R83" s="391">
        <v>2110.4</v>
      </c>
      <c r="S83" s="391">
        <v>2182.1999999999998</v>
      </c>
      <c r="T83" s="391">
        <v>1885.3</v>
      </c>
      <c r="U83" s="429">
        <f>T83</f>
        <v>1885.3</v>
      </c>
      <c r="V83" s="391">
        <v>1842.9</v>
      </c>
      <c r="W83" s="391">
        <v>2037.9</v>
      </c>
      <c r="X83" s="391">
        <v>1893.1</v>
      </c>
      <c r="Y83" s="391">
        <v>1252.8</v>
      </c>
      <c r="Z83" s="424">
        <f>Y83</f>
        <v>1252.8</v>
      </c>
      <c r="AA83" s="391">
        <v>1246.8</v>
      </c>
      <c r="AB83" s="391">
        <v>1144.7</v>
      </c>
      <c r="AC83" s="391">
        <v>1170</v>
      </c>
      <c r="AD83" s="391">
        <v>2659.3</v>
      </c>
      <c r="AE83" s="424">
        <f t="shared" si="101"/>
        <v>2659.3</v>
      </c>
      <c r="AF83" s="391">
        <v>2664.5</v>
      </c>
      <c r="AG83" s="391">
        <v>2372.6</v>
      </c>
      <c r="AH83" s="391">
        <v>2172.5</v>
      </c>
      <c r="AI83" s="391">
        <v>1921.4</v>
      </c>
      <c r="AJ83" s="429">
        <f t="shared" si="102"/>
        <v>1921.4</v>
      </c>
      <c r="AK83" s="391">
        <v>1827.6</v>
      </c>
      <c r="AL83" s="391">
        <v>2371.6</v>
      </c>
      <c r="AM83" s="391">
        <v>2129.4</v>
      </c>
      <c r="AN83" s="391">
        <v>1622.4</v>
      </c>
      <c r="AO83" s="429">
        <f t="shared" si="103"/>
        <v>1622.4</v>
      </c>
      <c r="AP83" s="391">
        <v>1743.3</v>
      </c>
      <c r="AQ83" s="391">
        <v>1976.9</v>
      </c>
      <c r="AR83" s="391">
        <v>2215.8000000000002</v>
      </c>
      <c r="AS83" s="391">
        <v>2493.4</v>
      </c>
      <c r="AT83" s="429">
        <f t="shared" si="104"/>
        <v>2493.4</v>
      </c>
      <c r="AU83" s="391">
        <v>2093.1999999999998</v>
      </c>
      <c r="AV83" s="391">
        <v>2195</v>
      </c>
      <c r="AW83" s="923">
        <v>2387.8000000000002</v>
      </c>
      <c r="AX83" s="923">
        <v>2534</v>
      </c>
      <c r="AY83" s="429">
        <f t="shared" si="105"/>
        <v>2534</v>
      </c>
      <c r="AZ83" s="391">
        <v>2095.8000000000002</v>
      </c>
      <c r="BA83" s="391">
        <v>1880.1</v>
      </c>
      <c r="BB83" s="437">
        <v>1320.7</v>
      </c>
      <c r="BC83" s="923">
        <v>2212.5</v>
      </c>
      <c r="BD83" s="429">
        <f t="shared" si="106"/>
        <v>2212.5</v>
      </c>
      <c r="BE83" s="391">
        <v>2339</v>
      </c>
      <c r="BF83" s="391">
        <v>2441</v>
      </c>
      <c r="BG83" s="391">
        <v>2338.6999999999998</v>
      </c>
      <c r="BH83" s="1082">
        <v>1798.6</v>
      </c>
      <c r="BI83" s="429">
        <f t="shared" si="107"/>
        <v>1798.6</v>
      </c>
      <c r="BJ83" s="391">
        <f>2489.4</f>
        <v>2489.4</v>
      </c>
      <c r="BK83" s="391">
        <v>2701.3</v>
      </c>
      <c r="BL83" s="391">
        <v>2889.6</v>
      </c>
      <c r="BM83" s="391">
        <v>2220.5</v>
      </c>
      <c r="BN83" s="429">
        <f t="shared" si="108"/>
        <v>2220.5</v>
      </c>
      <c r="BO83" s="391">
        <v>2244.9</v>
      </c>
      <c r="BP83" s="391">
        <v>2149.9</v>
      </c>
      <c r="BQ83" s="391">
        <v>2279.3000000000002</v>
      </c>
      <c r="BR83" s="391">
        <v>1913.8</v>
      </c>
      <c r="BS83" s="429">
        <f t="shared" si="109"/>
        <v>1913.8</v>
      </c>
      <c r="BT83" s="391">
        <v>2020.2</v>
      </c>
      <c r="BU83" s="391">
        <v>2060.5</v>
      </c>
      <c r="BV83" s="391">
        <v>2197.6</v>
      </c>
      <c r="BW83" s="391">
        <v>2874.3</v>
      </c>
      <c r="BX83" s="429">
        <f t="shared" si="110"/>
        <v>2874.3</v>
      </c>
      <c r="BY83" s="432"/>
      <c r="BZ83" s="432"/>
      <c r="CA83" s="432"/>
      <c r="CB83" s="432"/>
      <c r="CC83" s="436"/>
      <c r="CD83" s="436"/>
      <c r="CE83" s="436"/>
      <c r="CF83" s="436"/>
      <c r="CG83" s="436"/>
      <c r="CH83" s="436"/>
    </row>
    <row r="84" spans="7:86" ht="14.25" collapsed="1" thickBot="1">
      <c r="G84" s="230"/>
      <c r="H84" s="438" t="s">
        <v>53</v>
      </c>
      <c r="I84" s="438"/>
      <c r="J84" s="438"/>
      <c r="K84" s="438"/>
      <c r="L84" s="440">
        <f t="shared" ref="L84:AH84" si="111">L76+L78+L80+L79</f>
        <v>23239.7</v>
      </c>
      <c r="M84" s="440">
        <f t="shared" si="111"/>
        <v>23518.200000000004</v>
      </c>
      <c r="N84" s="440">
        <f t="shared" si="111"/>
        <v>24804.3</v>
      </c>
      <c r="O84" s="440">
        <f t="shared" si="111"/>
        <v>24580.799999999999</v>
      </c>
      <c r="P84" s="460">
        <f t="shared" si="111"/>
        <v>24580.799999999999</v>
      </c>
      <c r="Q84" s="440">
        <f t="shared" si="111"/>
        <v>24146.899999999998</v>
      </c>
      <c r="R84" s="440">
        <f t="shared" si="111"/>
        <v>24435.599999999999</v>
      </c>
      <c r="S84" s="440">
        <f t="shared" si="111"/>
        <v>23913.399999999998</v>
      </c>
      <c r="T84" s="440">
        <f t="shared" si="111"/>
        <v>21955.4</v>
      </c>
      <c r="U84" s="460">
        <f t="shared" si="111"/>
        <v>21955.4</v>
      </c>
      <c r="V84" s="440">
        <f t="shared" si="111"/>
        <v>23733.3</v>
      </c>
      <c r="W84" s="440">
        <f t="shared" si="111"/>
        <v>24055.599999999999</v>
      </c>
      <c r="X84" s="440">
        <f t="shared" si="111"/>
        <v>24973.5</v>
      </c>
      <c r="Y84" s="440">
        <f t="shared" si="111"/>
        <v>26787.800000000003</v>
      </c>
      <c r="Z84" s="461">
        <f t="shared" si="111"/>
        <v>26787.800000000003</v>
      </c>
      <c r="AA84" s="440">
        <f t="shared" si="111"/>
        <v>27220.200000000004</v>
      </c>
      <c r="AB84" s="440">
        <f t="shared" si="111"/>
        <v>27752</v>
      </c>
      <c r="AC84" s="440">
        <f t="shared" si="111"/>
        <v>27707.100000000002</v>
      </c>
      <c r="AD84" s="440">
        <f t="shared" si="111"/>
        <v>29212.6</v>
      </c>
      <c r="AE84" s="461">
        <f t="shared" si="111"/>
        <v>29212.6</v>
      </c>
      <c r="AF84" s="440">
        <f t="shared" si="111"/>
        <v>26596.800000000003</v>
      </c>
      <c r="AG84" s="440">
        <f t="shared" si="111"/>
        <v>26931.499999999996</v>
      </c>
      <c r="AH84" s="440">
        <f t="shared" si="111"/>
        <v>27127.9</v>
      </c>
      <c r="AI84" s="440">
        <f t="shared" ref="AI84:AO84" si="112">AI76+AI78+AI80+AI79</f>
        <v>27460.9</v>
      </c>
      <c r="AJ84" s="461">
        <f t="shared" si="112"/>
        <v>27460.9</v>
      </c>
      <c r="AK84" s="440">
        <f t="shared" si="112"/>
        <v>27197.8</v>
      </c>
      <c r="AL84" s="440">
        <f t="shared" si="112"/>
        <v>27723.100000000002</v>
      </c>
      <c r="AM84" s="440">
        <f t="shared" si="112"/>
        <v>29904.300000000003</v>
      </c>
      <c r="AN84" s="440">
        <f t="shared" si="112"/>
        <v>31001.400000000009</v>
      </c>
      <c r="AO84" s="461">
        <f t="shared" si="112"/>
        <v>31001.400000000009</v>
      </c>
      <c r="AP84" s="440">
        <f t="shared" ref="AP84:AU84" si="113">AP76+AP78+AP80+AP79</f>
        <v>31695.300000000003</v>
      </c>
      <c r="AQ84" s="440">
        <f t="shared" si="113"/>
        <v>32779.300000000003</v>
      </c>
      <c r="AR84" s="440">
        <f t="shared" si="113"/>
        <v>33042.200000000004</v>
      </c>
      <c r="AS84" s="440">
        <f t="shared" si="113"/>
        <v>33659.800000000003</v>
      </c>
      <c r="AT84" s="792">
        <f t="shared" si="113"/>
        <v>33659.800000000003</v>
      </c>
      <c r="AU84" s="440">
        <f t="shared" si="113"/>
        <v>32238.200000000004</v>
      </c>
      <c r="AV84" s="440">
        <f t="shared" ref="AV84:BB84" si="114">AV76+AV78+AV80+AV79</f>
        <v>31812.600000000002</v>
      </c>
      <c r="AW84" s="440">
        <f t="shared" si="114"/>
        <v>34321</v>
      </c>
      <c r="AX84" s="440">
        <f t="shared" si="114"/>
        <v>34398.9</v>
      </c>
      <c r="AY84" s="792">
        <f t="shared" si="114"/>
        <v>34398.9</v>
      </c>
      <c r="AZ84" s="440">
        <f t="shared" si="114"/>
        <v>32300.100000000006</v>
      </c>
      <c r="BA84" s="440">
        <f t="shared" si="114"/>
        <v>33226</v>
      </c>
      <c r="BB84" s="440">
        <f t="shared" si="114"/>
        <v>33965.600000000006</v>
      </c>
      <c r="BC84" s="440">
        <f t="shared" ref="BC84:BI84" si="115">BC76+BC78+BC80+BC79</f>
        <v>35248.700000000004</v>
      </c>
      <c r="BD84" s="792">
        <f t="shared" si="115"/>
        <v>35248.700000000004</v>
      </c>
      <c r="BE84" s="440">
        <f t="shared" si="115"/>
        <v>34756.9</v>
      </c>
      <c r="BF84" s="440">
        <f t="shared" si="115"/>
        <v>35018.400000000009</v>
      </c>
      <c r="BG84" s="440">
        <f t="shared" si="115"/>
        <v>34648.800000000003</v>
      </c>
      <c r="BH84" s="1080">
        <f t="shared" si="115"/>
        <v>36307.600000000006</v>
      </c>
      <c r="BI84" s="792">
        <f t="shared" si="115"/>
        <v>36307.600000000006</v>
      </c>
      <c r="BJ84" s="440">
        <f t="shared" ref="BJ84:BO84" si="116">BJ76+BJ78+BJ80+BJ79</f>
        <v>35654.000000000007</v>
      </c>
      <c r="BK84" s="440">
        <f t="shared" si="116"/>
        <v>36036.600000000006</v>
      </c>
      <c r="BL84" s="440">
        <f t="shared" si="116"/>
        <v>36304.700000000012</v>
      </c>
      <c r="BM84" s="440">
        <f t="shared" si="116"/>
        <v>35568.900000000009</v>
      </c>
      <c r="BN84" s="792">
        <f t="shared" si="116"/>
        <v>35568.900000000009</v>
      </c>
      <c r="BO84" s="440">
        <f t="shared" si="116"/>
        <v>34691.800000000003</v>
      </c>
      <c r="BP84" s="440">
        <f t="shared" ref="BP84:BW84" si="117">BP76+BP78+BP80+BP79</f>
        <v>36475.300000000003</v>
      </c>
      <c r="BQ84" s="440">
        <f t="shared" si="117"/>
        <v>37590.300000000003</v>
      </c>
      <c r="BR84" s="440">
        <f t="shared" si="117"/>
        <v>38805.900000000009</v>
      </c>
      <c r="BS84" s="792">
        <f t="shared" si="117"/>
        <v>38805.900000000009</v>
      </c>
      <c r="BT84" s="440">
        <f t="shared" si="117"/>
        <v>37624.300000000003</v>
      </c>
      <c r="BU84" s="440">
        <f t="shared" si="117"/>
        <v>40946.5</v>
      </c>
      <c r="BV84" s="440">
        <f>BV76+BV78+BV80+BV79</f>
        <v>43010.400000000009</v>
      </c>
      <c r="BW84" s="440">
        <f t="shared" si="117"/>
        <v>44981</v>
      </c>
      <c r="BX84" s="792">
        <f>BX76+BX78+BX80+BX79</f>
        <v>44981</v>
      </c>
      <c r="BY84" s="439"/>
      <c r="BZ84" s="439"/>
      <c r="CA84" s="439"/>
      <c r="CB84" s="439"/>
      <c r="CC84" s="461">
        <f t="shared" ref="CC84:CH84" si="118">CC76+CC78+CC80+CC79</f>
        <v>38210.809819237504</v>
      </c>
      <c r="CD84" s="461">
        <f t="shared" si="118"/>
        <v>38674.947779258444</v>
      </c>
      <c r="CE84" s="461">
        <f t="shared" si="118"/>
        <v>41365.303452206441</v>
      </c>
      <c r="CF84" s="461">
        <f t="shared" si="118"/>
        <v>44143.645461038606</v>
      </c>
      <c r="CG84" s="461">
        <f t="shared" si="118"/>
        <v>47014.421763076374</v>
      </c>
      <c r="CH84" s="461">
        <f t="shared" si="118"/>
        <v>50654.216122333732</v>
      </c>
    </row>
    <row r="85" spans="7:86">
      <c r="G85" s="230"/>
      <c r="L85" s="384"/>
      <c r="M85" s="384"/>
      <c r="N85" s="384"/>
      <c r="O85" s="384"/>
      <c r="P85" s="377"/>
      <c r="Q85" s="384"/>
      <c r="R85" s="384"/>
      <c r="S85" s="384"/>
      <c r="T85" s="384"/>
      <c r="U85" s="377"/>
      <c r="V85" s="384"/>
      <c r="W85" s="384"/>
      <c r="X85" s="384"/>
      <c r="Y85" s="384"/>
      <c r="Z85" s="77"/>
      <c r="AA85" s="384"/>
      <c r="AB85" s="384"/>
      <c r="AC85" s="384"/>
      <c r="AD85" s="384"/>
      <c r="AE85" s="77"/>
      <c r="AF85" s="384"/>
      <c r="AG85" s="384"/>
      <c r="AH85" s="384"/>
      <c r="AI85" s="384"/>
      <c r="AJ85" s="77"/>
      <c r="AK85" s="384"/>
      <c r="AL85" s="384"/>
      <c r="AM85" s="408"/>
      <c r="AN85" s="384"/>
      <c r="AP85" s="384"/>
      <c r="AQ85" s="384"/>
      <c r="AR85" s="384"/>
      <c r="AS85" s="384"/>
      <c r="AU85" s="384"/>
      <c r="AV85" s="384"/>
      <c r="AW85" s="67"/>
      <c r="AX85" s="317"/>
      <c r="AZ85" s="384"/>
      <c r="BA85" s="384"/>
      <c r="BB85" s="408"/>
      <c r="BC85" s="317"/>
      <c r="BE85" s="384"/>
      <c r="BF85" s="408"/>
      <c r="BG85" s="408"/>
      <c r="BH85" s="67"/>
      <c r="BJ85" s="384"/>
      <c r="BK85" s="67"/>
      <c r="BL85" s="67"/>
      <c r="BM85" s="317"/>
      <c r="BO85" s="384"/>
      <c r="BP85" s="384"/>
      <c r="BQ85" s="384"/>
      <c r="BR85" s="408"/>
      <c r="BT85" s="384"/>
      <c r="BU85" s="384"/>
      <c r="BV85" s="384"/>
      <c r="BW85" s="408"/>
      <c r="BY85" s="408"/>
      <c r="BZ85" s="408"/>
      <c r="CA85" s="408"/>
      <c r="CB85" s="408"/>
    </row>
    <row r="86" spans="7:86">
      <c r="G86" s="230"/>
      <c r="H86" s="47" t="s">
        <v>54</v>
      </c>
      <c r="L86" s="391">
        <v>233.1</v>
      </c>
      <c r="M86" s="391">
        <v>230.6</v>
      </c>
      <c r="N86" s="391">
        <v>629.1</v>
      </c>
      <c r="O86" s="437">
        <v>734.7</v>
      </c>
      <c r="P86" s="429">
        <f t="shared" ref="P86:P93" si="119">O86</f>
        <v>734.7</v>
      </c>
      <c r="Q86" s="392">
        <v>736</v>
      </c>
      <c r="R86" s="392">
        <v>738.6</v>
      </c>
      <c r="S86" s="392">
        <v>334.2</v>
      </c>
      <c r="T86" s="394">
        <v>219.4</v>
      </c>
      <c r="U86" s="429">
        <f t="shared" ref="U86:U93" si="120">T86</f>
        <v>219.4</v>
      </c>
      <c r="V86" s="392">
        <v>734</v>
      </c>
      <c r="W86" s="392">
        <v>464.2</v>
      </c>
      <c r="X86" s="392">
        <v>442.1</v>
      </c>
      <c r="Y86" s="392">
        <v>413.7</v>
      </c>
      <c r="Z86" s="429">
        <f t="shared" ref="Z86:Z93" si="121">Y86</f>
        <v>413.7</v>
      </c>
      <c r="AA86" s="391">
        <v>73</v>
      </c>
      <c r="AB86" s="391">
        <v>68</v>
      </c>
      <c r="AC86" s="391">
        <v>426.5</v>
      </c>
      <c r="AD86" s="391">
        <v>5846.3</v>
      </c>
      <c r="AE86" s="424">
        <f t="shared" ref="AE86:AE93" si="122">AD86</f>
        <v>5846.3</v>
      </c>
      <c r="AF86" s="391">
        <v>1602.8</v>
      </c>
      <c r="AG86" s="391">
        <v>1034.9000000000001</v>
      </c>
      <c r="AH86" s="391">
        <v>622.5</v>
      </c>
      <c r="AI86" s="391">
        <v>27.4</v>
      </c>
      <c r="AJ86" s="424">
        <f t="shared" ref="AJ86:AJ93" si="123">AI86</f>
        <v>27.4</v>
      </c>
      <c r="AK86" s="391">
        <v>20.100000000000001</v>
      </c>
      <c r="AL86" s="391">
        <v>26.7</v>
      </c>
      <c r="AM86" s="391">
        <v>155.1</v>
      </c>
      <c r="AN86" s="391">
        <v>156</v>
      </c>
      <c r="AO86" s="424">
        <f t="shared" ref="AO86:AO93" si="124">AN86</f>
        <v>156</v>
      </c>
      <c r="AP86" s="391">
        <v>1539.9</v>
      </c>
      <c r="AQ86" s="391">
        <v>1528.5</v>
      </c>
      <c r="AR86" s="391">
        <v>1628.7</v>
      </c>
      <c r="AS86" s="391">
        <v>1522.3</v>
      </c>
      <c r="AT86" s="424">
        <f t="shared" ref="AT86:AT93" si="125">AS86</f>
        <v>1522.3</v>
      </c>
      <c r="AU86" s="391">
        <v>10.6</v>
      </c>
      <c r="AV86" s="391">
        <v>9.1</v>
      </c>
      <c r="AW86" s="923">
        <v>9.1</v>
      </c>
      <c r="AX86" s="923">
        <v>11.9</v>
      </c>
      <c r="AY86" s="424">
        <f t="shared" ref="AY86:AY93" si="126">AX86</f>
        <v>11.9</v>
      </c>
      <c r="AZ86" s="391">
        <v>1028</v>
      </c>
      <c r="BA86" s="391">
        <v>1023.2</v>
      </c>
      <c r="BB86" s="437">
        <v>1019.1</v>
      </c>
      <c r="BC86" s="923">
        <v>1012.6</v>
      </c>
      <c r="BD86" s="424">
        <f t="shared" ref="BD86:BD93" si="127">BC86</f>
        <v>1012.6</v>
      </c>
      <c r="BE86" s="391">
        <v>9.1</v>
      </c>
      <c r="BF86" s="391">
        <v>10.3</v>
      </c>
      <c r="BG86" s="391">
        <v>313</v>
      </c>
      <c r="BH86" s="1082">
        <v>2688.7</v>
      </c>
      <c r="BI86" s="424">
        <f t="shared" ref="BI86:BI93" si="128">BH86</f>
        <v>2688.7</v>
      </c>
      <c r="BJ86" s="391">
        <v>805.4</v>
      </c>
      <c r="BK86" s="391">
        <v>10.8</v>
      </c>
      <c r="BL86" s="391">
        <v>9.3000000000000007</v>
      </c>
      <c r="BM86" s="391">
        <v>6.1</v>
      </c>
      <c r="BN86" s="424">
        <f t="shared" ref="BN86:BN93" si="129">BM86</f>
        <v>6.1</v>
      </c>
      <c r="BO86" s="391">
        <v>648.29999999999995</v>
      </c>
      <c r="BP86" s="391">
        <v>645.79999999999995</v>
      </c>
      <c r="BQ86" s="391">
        <v>641.5</v>
      </c>
      <c r="BR86" s="391">
        <v>1937.4</v>
      </c>
      <c r="BS86" s="424">
        <f t="shared" ref="BS86:BS93" si="130">BR86</f>
        <v>1937.4</v>
      </c>
      <c r="BT86" s="391">
        <v>2609.3000000000002</v>
      </c>
      <c r="BU86" s="391">
        <v>2444.1999999999998</v>
      </c>
      <c r="BV86" s="391">
        <v>3538.1</v>
      </c>
      <c r="BW86" s="391">
        <v>3706.6</v>
      </c>
      <c r="BX86" s="424">
        <f t="shared" ref="BX86:BX93" si="131">BW86</f>
        <v>3706.6</v>
      </c>
      <c r="BY86" s="1042"/>
      <c r="BZ86" s="1042"/>
      <c r="CA86" s="1042"/>
      <c r="CB86" s="1042"/>
      <c r="CC86" s="1041">
        <f>DEBT!CC13</f>
        <v>0</v>
      </c>
      <c r="CD86" s="1041">
        <f>DEBT!CD13</f>
        <v>0</v>
      </c>
      <c r="CE86" s="1041">
        <f>DEBT!CE13</f>
        <v>0</v>
      </c>
      <c r="CF86" s="1041">
        <f>DEBT!CF13</f>
        <v>0</v>
      </c>
      <c r="CG86" s="1041">
        <f>DEBT!CG13</f>
        <v>0</v>
      </c>
      <c r="CH86" s="1041">
        <f>DEBT!CH13</f>
        <v>0</v>
      </c>
    </row>
    <row r="87" spans="7:86">
      <c r="G87" s="230"/>
      <c r="H87" s="396" t="s">
        <v>538</v>
      </c>
      <c r="L87" s="391">
        <v>670.5</v>
      </c>
      <c r="M87" s="391">
        <v>608.5</v>
      </c>
      <c r="N87" s="391">
        <v>611.29999999999995</v>
      </c>
      <c r="O87" s="437">
        <v>781.3</v>
      </c>
      <c r="P87" s="429">
        <f t="shared" si="119"/>
        <v>781.3</v>
      </c>
      <c r="Q87" s="391">
        <v>637.70000000000005</v>
      </c>
      <c r="R87" s="391">
        <v>648.9</v>
      </c>
      <c r="S87" s="391">
        <v>630.6</v>
      </c>
      <c r="T87" s="437">
        <v>789.4</v>
      </c>
      <c r="U87" s="429">
        <f t="shared" si="120"/>
        <v>789.4</v>
      </c>
      <c r="V87" s="391">
        <v>606</v>
      </c>
      <c r="W87" s="391">
        <v>719.3</v>
      </c>
      <c r="X87" s="391">
        <v>744.9</v>
      </c>
      <c r="Y87" s="391">
        <v>1018.5</v>
      </c>
      <c r="Z87" s="429">
        <f t="shared" si="121"/>
        <v>1018.5</v>
      </c>
      <c r="AA87" s="391">
        <v>789.8</v>
      </c>
      <c r="AB87" s="391">
        <v>810.7</v>
      </c>
      <c r="AC87" s="391">
        <v>854.4</v>
      </c>
      <c r="AD87" s="391">
        <v>885.8</v>
      </c>
      <c r="AE87" s="424">
        <f t="shared" si="122"/>
        <v>885.8</v>
      </c>
      <c r="AF87" s="391">
        <v>1022.7</v>
      </c>
      <c r="AG87" s="391">
        <v>918.6</v>
      </c>
      <c r="AH87" s="391">
        <v>887.7</v>
      </c>
      <c r="AI87" s="391">
        <v>968.1</v>
      </c>
      <c r="AJ87" s="424">
        <f t="shared" si="123"/>
        <v>968.1</v>
      </c>
      <c r="AK87" s="391">
        <v>964</v>
      </c>
      <c r="AL87" s="391">
        <v>950.3</v>
      </c>
      <c r="AM87" s="391">
        <v>1034.7</v>
      </c>
      <c r="AN87" s="391">
        <v>1072.2</v>
      </c>
      <c r="AO87" s="424">
        <f t="shared" si="124"/>
        <v>1072.2</v>
      </c>
      <c r="AP87" s="391">
        <v>1183.2</v>
      </c>
      <c r="AQ87" s="391">
        <v>1187.5999999999999</v>
      </c>
      <c r="AR87" s="391">
        <v>1154.3</v>
      </c>
      <c r="AS87" s="391">
        <v>1125.2</v>
      </c>
      <c r="AT87" s="424">
        <f t="shared" si="125"/>
        <v>1125.2</v>
      </c>
      <c r="AU87" s="391">
        <v>1246.3</v>
      </c>
      <c r="AV87" s="391">
        <v>1201.5999999999999</v>
      </c>
      <c r="AW87" s="923">
        <v>1328.7</v>
      </c>
      <c r="AX87" s="923">
        <v>1188.3</v>
      </c>
      <c r="AY87" s="424">
        <f t="shared" si="126"/>
        <v>1188.3</v>
      </c>
      <c r="AZ87" s="391">
        <v>974.4</v>
      </c>
      <c r="BA87" s="391">
        <v>1141</v>
      </c>
      <c r="BB87" s="437">
        <v>1247.4000000000001</v>
      </c>
      <c r="BC87" s="923">
        <v>1119.3</v>
      </c>
      <c r="BD87" s="424">
        <f t="shared" si="127"/>
        <v>1119.3</v>
      </c>
      <c r="BE87" s="391">
        <v>1149.9000000000001</v>
      </c>
      <c r="BF87" s="391">
        <v>1124.5999999999999</v>
      </c>
      <c r="BG87" s="391">
        <v>1023.3</v>
      </c>
      <c r="BH87" s="1082">
        <v>1128.0999999999999</v>
      </c>
      <c r="BI87" s="424">
        <f t="shared" si="128"/>
        <v>1128.0999999999999</v>
      </c>
      <c r="BJ87" s="391">
        <v>1179.5999999999999</v>
      </c>
      <c r="BK87" s="391">
        <v>1153</v>
      </c>
      <c r="BL87" s="391">
        <v>1179.3</v>
      </c>
      <c r="BM87" s="391">
        <v>1338.2</v>
      </c>
      <c r="BN87" s="424">
        <f t="shared" si="129"/>
        <v>1338.2</v>
      </c>
      <c r="BO87" s="391">
        <v>1151.5999999999999</v>
      </c>
      <c r="BP87" s="391">
        <v>1207.8</v>
      </c>
      <c r="BQ87" s="391">
        <v>1161.2</v>
      </c>
      <c r="BR87" s="391">
        <v>1349.3</v>
      </c>
      <c r="BS87" s="424">
        <f t="shared" si="130"/>
        <v>1349.3</v>
      </c>
      <c r="BT87" s="391">
        <v>1220.0999999999999</v>
      </c>
      <c r="BU87" s="391">
        <v>1257.2</v>
      </c>
      <c r="BV87" s="391">
        <v>1200.0999999999999</v>
      </c>
      <c r="BW87" s="391">
        <v>1410.7</v>
      </c>
      <c r="BX87" s="424">
        <f t="shared" si="131"/>
        <v>1410.7</v>
      </c>
      <c r="BY87" s="384"/>
      <c r="BZ87" s="384"/>
      <c r="CA87" s="384"/>
      <c r="CB87" s="384"/>
      <c r="CC87" s="377">
        <f>2*CC188/CC124-BX87</f>
        <v>1595.7647079999995</v>
      </c>
      <c r="CD87" s="377">
        <f>2*CD188/CD124-CC87</f>
        <v>1392.1658981750004</v>
      </c>
      <c r="CE87" s="377">
        <f>2*CE188/CE124-CD87</f>
        <v>1605.7304594199993</v>
      </c>
      <c r="CF87" s="377">
        <f>2*CF188/CF124-CE87</f>
        <v>1434.8395255322755</v>
      </c>
      <c r="CG87" s="377">
        <f>2*CG188/CG124-CF87</f>
        <v>1627.1406392703168</v>
      </c>
      <c r="CH87" s="377">
        <f>2*CH188/CH124-CG87</f>
        <v>1466.1613387927812</v>
      </c>
    </row>
    <row r="88" spans="7:86">
      <c r="G88" s="230"/>
      <c r="H88" s="396" t="s">
        <v>108</v>
      </c>
      <c r="L88" s="392">
        <f>SUM(L89:L93)</f>
        <v>4478.1000000000004</v>
      </c>
      <c r="M88" s="392">
        <f>SUM(M89:M93)</f>
        <v>5623.2999999999993</v>
      </c>
      <c r="N88" s="392">
        <f>SUM(N89:N93)</f>
        <v>3851.1</v>
      </c>
      <c r="O88" s="392">
        <f>SUM(O89:O93)</f>
        <v>4200.3</v>
      </c>
      <c r="P88" s="424">
        <f t="shared" si="119"/>
        <v>4200.3</v>
      </c>
      <c r="Q88" s="392">
        <f>SUM(Q89:Q93)</f>
        <v>3152.5</v>
      </c>
      <c r="R88" s="392">
        <f>SUM(R89:R93)</f>
        <v>3257.8</v>
      </c>
      <c r="S88" s="392">
        <f>SUM(S89:S93)</f>
        <v>2918</v>
      </c>
      <c r="T88" s="392">
        <f>SUM(T89:T93)</f>
        <v>4076.7</v>
      </c>
      <c r="U88" s="424">
        <f t="shared" si="120"/>
        <v>4076.7</v>
      </c>
      <c r="V88" s="392">
        <f>SUM(V89:V93)</f>
        <v>2812.3</v>
      </c>
      <c r="W88" s="392">
        <f>SUM(W89:W93)</f>
        <v>3361.7000000000003</v>
      </c>
      <c r="X88" s="392">
        <f>SUM(X89:X93)</f>
        <v>2884.6</v>
      </c>
      <c r="Y88" s="392">
        <f>SUM(Y89:Y93)</f>
        <v>3836.1</v>
      </c>
      <c r="Z88" s="424">
        <f t="shared" si="121"/>
        <v>3836.1</v>
      </c>
      <c r="AA88" s="392">
        <f>SUM(AA89:AA93)</f>
        <v>3301.5</v>
      </c>
      <c r="AB88" s="392">
        <f>SUM(AB89:AB93)</f>
        <v>4380.0999999999995</v>
      </c>
      <c r="AC88" s="392">
        <f>SUM(AC89:AC93)</f>
        <v>5228.8999999999996</v>
      </c>
      <c r="AD88" s="392">
        <f>SUM(AD89:AD93)</f>
        <v>6377.5999999999995</v>
      </c>
      <c r="AE88" s="424">
        <f t="shared" si="122"/>
        <v>6377.5999999999995</v>
      </c>
      <c r="AF88" s="392">
        <f>SUM(AF89:AF93)</f>
        <v>4732.2</v>
      </c>
      <c r="AG88" s="392">
        <f>SUM(AG89:AG93)</f>
        <v>5035.8</v>
      </c>
      <c r="AH88" s="392">
        <f>SUM(AH89:AH93)</f>
        <v>4557.3</v>
      </c>
      <c r="AI88" s="392">
        <f>SUM(AI89:AI93)</f>
        <v>5572.6</v>
      </c>
      <c r="AJ88" s="424">
        <f t="shared" si="123"/>
        <v>5572.6</v>
      </c>
      <c r="AK88" s="392">
        <f>SUM(AK89:AK93)</f>
        <v>4673.5</v>
      </c>
      <c r="AL88" s="392">
        <f>SUM(AL89:AL93)</f>
        <v>5347.6</v>
      </c>
      <c r="AM88" s="392">
        <f>SUM(AM89:AM93)</f>
        <v>4907.6000000000004</v>
      </c>
      <c r="AN88" s="392">
        <f>SUM(AN89:AN93)</f>
        <v>5873.2</v>
      </c>
      <c r="AO88" s="424">
        <f t="shared" si="124"/>
        <v>5873.2</v>
      </c>
      <c r="AP88" s="392">
        <f>SUM(AP89:AP93)</f>
        <v>4928.7</v>
      </c>
      <c r="AQ88" s="392">
        <f>SUM(AQ89:AQ93)</f>
        <v>5904.4</v>
      </c>
      <c r="AR88" s="392">
        <f>SUM(AR89:AR93)</f>
        <v>5436.3</v>
      </c>
      <c r="AS88" s="392">
        <f>SUM(AS89:AS93)</f>
        <v>6283.4</v>
      </c>
      <c r="AT88" s="424">
        <f t="shared" si="125"/>
        <v>6283.4</v>
      </c>
      <c r="AU88" s="392">
        <f>SUM(AU89:AU93)</f>
        <v>5296.8</v>
      </c>
      <c r="AV88" s="392">
        <f>SUM(AV89:AV93)</f>
        <v>5399</v>
      </c>
      <c r="AW88" s="392">
        <f>SUM(AW89:AW93)</f>
        <v>5622.9</v>
      </c>
      <c r="AX88" s="392">
        <f>SUM(AX89:AX93)</f>
        <v>7189.3</v>
      </c>
      <c r="AY88" s="424">
        <f t="shared" si="126"/>
        <v>7189.3</v>
      </c>
      <c r="AZ88" s="392">
        <f>SUM(AZ89:AZ93)</f>
        <v>5591.2</v>
      </c>
      <c r="BA88" s="392">
        <f>SUM(BA89:BA93)</f>
        <v>6244.3</v>
      </c>
      <c r="BB88" s="392">
        <f>SUM(BB89:BB93)</f>
        <v>5809.6</v>
      </c>
      <c r="BC88" s="392">
        <f>SUM(BC89:BC93)</f>
        <v>6784.7</v>
      </c>
      <c r="BD88" s="424">
        <f t="shared" si="127"/>
        <v>6784.7</v>
      </c>
      <c r="BE88" s="392">
        <f>SUM(BE89:BE93)</f>
        <v>5472.7000000000007</v>
      </c>
      <c r="BF88" s="392">
        <f>SUM(BF89:BF93)</f>
        <v>6282.5</v>
      </c>
      <c r="BG88" s="392">
        <f>SUM(BG89:BG93)</f>
        <v>6238.2999999999993</v>
      </c>
      <c r="BH88" s="1076">
        <f>SUM(BH89:BH93)</f>
        <v>5924.2000000000007</v>
      </c>
      <c r="BI88" s="424">
        <f t="shared" si="128"/>
        <v>5924.2000000000007</v>
      </c>
      <c r="BJ88" s="392">
        <f>SUM(BJ89:BJ93)</f>
        <v>6357.9000000000005</v>
      </c>
      <c r="BK88" s="392">
        <f>SUM(BK89:BK93)</f>
        <v>7068.2</v>
      </c>
      <c r="BL88" s="392">
        <f>SUM(BL89:BL93)</f>
        <v>7114.7</v>
      </c>
      <c r="BM88" s="392">
        <f>SUM(BM89:BM93)</f>
        <v>6885.3</v>
      </c>
      <c r="BN88" s="424">
        <f t="shared" si="129"/>
        <v>6885.3</v>
      </c>
      <c r="BO88" s="392">
        <f>SUM(BO89:BO93)</f>
        <v>5541</v>
      </c>
      <c r="BP88" s="392">
        <f>SUM(BP89:BP93)</f>
        <v>6547.4</v>
      </c>
      <c r="BQ88" s="392">
        <f>SUM(BQ89:BQ93)</f>
        <v>6470.1</v>
      </c>
      <c r="BR88" s="392">
        <f>SUM(BR89:BR93)</f>
        <v>7699.9000000000015</v>
      </c>
      <c r="BS88" s="424">
        <f t="shared" si="130"/>
        <v>7699.9000000000015</v>
      </c>
      <c r="BT88" s="392">
        <f>SUM(BT89:BT93)</f>
        <v>6618.6</v>
      </c>
      <c r="BU88" s="392">
        <f>SUM(BU89:BU93)</f>
        <v>7593.1</v>
      </c>
      <c r="BV88" s="392">
        <f>SUM(BV89:BV93)</f>
        <v>7928.2999999999993</v>
      </c>
      <c r="BW88" s="392">
        <f>SUM(BW89:BW93)</f>
        <v>9418.6</v>
      </c>
      <c r="BX88" s="424">
        <f t="shared" si="131"/>
        <v>9418.6</v>
      </c>
      <c r="BY88" s="432"/>
      <c r="BZ88" s="432"/>
      <c r="CA88" s="432"/>
      <c r="CB88" s="432"/>
      <c r="CC88" s="436">
        <f>BX88</f>
        <v>9418.6</v>
      </c>
      <c r="CD88" s="436">
        <f>CC88</f>
        <v>9418.6</v>
      </c>
      <c r="CE88" s="436">
        <f>CD88</f>
        <v>9418.6</v>
      </c>
      <c r="CF88" s="436">
        <f>CE88</f>
        <v>9418.6</v>
      </c>
      <c r="CG88" s="436">
        <f>CF88</f>
        <v>9418.6</v>
      </c>
      <c r="CH88" s="436">
        <f>CG88</f>
        <v>9418.6</v>
      </c>
    </row>
    <row r="89" spans="7:86" hidden="1" outlineLevel="1">
      <c r="G89" s="230"/>
      <c r="H89" s="405" t="s">
        <v>109</v>
      </c>
      <c r="L89" s="391">
        <v>365.9</v>
      </c>
      <c r="M89" s="391">
        <v>454</v>
      </c>
      <c r="N89" s="391">
        <v>447.6</v>
      </c>
      <c r="O89" s="437">
        <v>548.79999999999995</v>
      </c>
      <c r="P89" s="429">
        <f t="shared" si="119"/>
        <v>548.79999999999995</v>
      </c>
      <c r="Q89" s="391">
        <v>336.4</v>
      </c>
      <c r="R89" s="391">
        <v>374.1</v>
      </c>
      <c r="S89" s="391">
        <v>454.3</v>
      </c>
      <c r="T89" s="437">
        <v>607.70000000000005</v>
      </c>
      <c r="U89" s="429">
        <f t="shared" si="120"/>
        <v>607.70000000000005</v>
      </c>
      <c r="V89" s="391">
        <v>359.2</v>
      </c>
      <c r="W89" s="391">
        <v>488.8</v>
      </c>
      <c r="X89" s="391">
        <v>635.5</v>
      </c>
      <c r="Y89" s="391">
        <v>823.8</v>
      </c>
      <c r="Z89" s="429">
        <f t="shared" si="121"/>
        <v>823.8</v>
      </c>
      <c r="AA89" s="391">
        <v>468.2</v>
      </c>
      <c r="AB89" s="391">
        <v>551.5</v>
      </c>
      <c r="AC89" s="391">
        <v>662.5</v>
      </c>
      <c r="AD89" s="391">
        <v>771</v>
      </c>
      <c r="AE89" s="424">
        <f t="shared" si="122"/>
        <v>771</v>
      </c>
      <c r="AF89" s="391">
        <v>472.4</v>
      </c>
      <c r="AG89" s="391">
        <v>569</v>
      </c>
      <c r="AH89" s="391">
        <v>730.6</v>
      </c>
      <c r="AI89" s="391">
        <v>894.2</v>
      </c>
      <c r="AJ89" s="424">
        <f t="shared" si="123"/>
        <v>894.2</v>
      </c>
      <c r="AK89" s="391">
        <v>506.1</v>
      </c>
      <c r="AL89" s="391">
        <v>585.5</v>
      </c>
      <c r="AM89" s="391">
        <v>748.6</v>
      </c>
      <c r="AN89" s="391">
        <v>851.8</v>
      </c>
      <c r="AO89" s="424">
        <f t="shared" si="124"/>
        <v>851.8</v>
      </c>
      <c r="AP89" s="391">
        <v>524</v>
      </c>
      <c r="AQ89" s="391">
        <v>584.70000000000005</v>
      </c>
      <c r="AR89" s="391">
        <v>689.3</v>
      </c>
      <c r="AS89" s="391">
        <v>804.7</v>
      </c>
      <c r="AT89" s="424">
        <f t="shared" si="125"/>
        <v>804.7</v>
      </c>
      <c r="AU89" s="391">
        <v>533.79999999999995</v>
      </c>
      <c r="AV89" s="391">
        <v>602.9</v>
      </c>
      <c r="AW89" s="923">
        <v>772.7</v>
      </c>
      <c r="AX89" s="923">
        <v>940.3</v>
      </c>
      <c r="AY89" s="424">
        <f t="shared" si="126"/>
        <v>940.3</v>
      </c>
      <c r="AZ89" s="391">
        <v>543.70000000000005</v>
      </c>
      <c r="BA89" s="391">
        <v>671.3</v>
      </c>
      <c r="BB89" s="437">
        <v>805.2</v>
      </c>
      <c r="BC89" s="923">
        <v>943.9</v>
      </c>
      <c r="BD89" s="424">
        <f t="shared" si="127"/>
        <v>943.9</v>
      </c>
      <c r="BE89" s="391">
        <v>554.79999999999995</v>
      </c>
      <c r="BF89" s="391">
        <v>633.4</v>
      </c>
      <c r="BG89" s="391">
        <v>701.1</v>
      </c>
      <c r="BH89" s="1082">
        <v>759</v>
      </c>
      <c r="BI89" s="424">
        <f t="shared" si="128"/>
        <v>759</v>
      </c>
      <c r="BJ89" s="391">
        <v>518.70000000000005</v>
      </c>
      <c r="BK89" s="391">
        <v>672.6</v>
      </c>
      <c r="BL89" s="391">
        <v>829.6</v>
      </c>
      <c r="BM89" s="391">
        <v>967</v>
      </c>
      <c r="BN89" s="424">
        <f t="shared" si="129"/>
        <v>967</v>
      </c>
      <c r="BO89" s="391">
        <v>548.70000000000005</v>
      </c>
      <c r="BP89" s="391">
        <v>622.5</v>
      </c>
      <c r="BQ89" s="391">
        <v>738.5</v>
      </c>
      <c r="BR89" s="397">
        <v>896.9</v>
      </c>
      <c r="BS89" s="424">
        <f t="shared" si="130"/>
        <v>896.9</v>
      </c>
      <c r="BT89" s="391">
        <v>566.5</v>
      </c>
      <c r="BU89" s="391">
        <v>668.4</v>
      </c>
      <c r="BV89" s="391">
        <v>821.1</v>
      </c>
      <c r="BW89" s="397">
        <v>997.9</v>
      </c>
      <c r="BX89" s="424">
        <f t="shared" si="131"/>
        <v>997.9</v>
      </c>
      <c r="BY89" s="384"/>
      <c r="BZ89" s="384"/>
      <c r="CA89" s="384"/>
      <c r="CB89" s="384"/>
      <c r="CC89" s="377"/>
      <c r="CD89" s="377"/>
      <c r="CE89" s="377"/>
      <c r="CF89" s="377"/>
      <c r="CG89" s="377"/>
      <c r="CH89" s="377"/>
    </row>
    <row r="90" spans="7:86" hidden="1" outlineLevel="1">
      <c r="G90" s="230"/>
      <c r="H90" s="405" t="s">
        <v>752</v>
      </c>
      <c r="L90" s="391">
        <v>0</v>
      </c>
      <c r="M90" s="391"/>
      <c r="N90" s="391"/>
      <c r="O90" s="437">
        <v>491.2</v>
      </c>
      <c r="P90" s="429">
        <f t="shared" si="119"/>
        <v>491.2</v>
      </c>
      <c r="Q90" s="391">
        <v>0</v>
      </c>
      <c r="R90" s="391">
        <v>0</v>
      </c>
      <c r="S90" s="391">
        <v>0</v>
      </c>
      <c r="T90" s="437">
        <v>508.3</v>
      </c>
      <c r="U90" s="429">
        <f t="shared" si="120"/>
        <v>508.3</v>
      </c>
      <c r="V90" s="391">
        <v>0</v>
      </c>
      <c r="W90" s="391">
        <v>0</v>
      </c>
      <c r="X90" s="391">
        <v>0</v>
      </c>
      <c r="Y90" s="391">
        <v>706.8</v>
      </c>
      <c r="Z90" s="429">
        <f t="shared" si="121"/>
        <v>706.8</v>
      </c>
      <c r="AA90" s="391">
        <v>728.1</v>
      </c>
      <c r="AB90" s="391">
        <v>787.6</v>
      </c>
      <c r="AC90" s="391">
        <v>799.8</v>
      </c>
      <c r="AD90" s="391">
        <v>873.4</v>
      </c>
      <c r="AE90" s="424">
        <f t="shared" si="122"/>
        <v>873.4</v>
      </c>
      <c r="AF90" s="391">
        <v>889.7</v>
      </c>
      <c r="AG90" s="391">
        <v>951</v>
      </c>
      <c r="AH90" s="391">
        <v>999.3</v>
      </c>
      <c r="AI90" s="391">
        <v>1109.8</v>
      </c>
      <c r="AJ90" s="424">
        <f t="shared" si="123"/>
        <v>1109.8</v>
      </c>
      <c r="AK90" s="391">
        <v>1202.2</v>
      </c>
      <c r="AL90" s="391">
        <v>1288.3</v>
      </c>
      <c r="AM90" s="391">
        <v>1294.3</v>
      </c>
      <c r="AN90" s="391">
        <v>1372.6</v>
      </c>
      <c r="AO90" s="424">
        <f t="shared" si="124"/>
        <v>1372.6</v>
      </c>
      <c r="AP90" s="391">
        <v>1489.5</v>
      </c>
      <c r="AQ90" s="391">
        <v>1807.6</v>
      </c>
      <c r="AR90" s="391">
        <v>1882.3</v>
      </c>
      <c r="AS90" s="391">
        <v>1771.3</v>
      </c>
      <c r="AT90" s="424">
        <f t="shared" si="125"/>
        <v>1771.3</v>
      </c>
      <c r="AU90" s="391">
        <v>1619.8</v>
      </c>
      <c r="AV90" s="391">
        <v>1628.6</v>
      </c>
      <c r="AW90" s="923">
        <v>1695.6</v>
      </c>
      <c r="AX90" s="923">
        <v>1777.2</v>
      </c>
      <c r="AY90" s="424">
        <f t="shared" si="126"/>
        <v>1777.2</v>
      </c>
      <c r="AZ90" s="391">
        <v>1693.8</v>
      </c>
      <c r="BA90" s="391">
        <v>1797.5</v>
      </c>
      <c r="BB90" s="437">
        <v>2014.1</v>
      </c>
      <c r="BC90" s="923">
        <v>1941.7</v>
      </c>
      <c r="BD90" s="424">
        <f t="shared" si="127"/>
        <v>1941.7</v>
      </c>
      <c r="BE90" s="391">
        <v>1724.2</v>
      </c>
      <c r="BF90" s="391">
        <v>1875.7</v>
      </c>
      <c r="BG90" s="391">
        <v>1970.6</v>
      </c>
      <c r="BH90" s="1082">
        <v>2068.8000000000002</v>
      </c>
      <c r="BI90" s="424">
        <f t="shared" si="128"/>
        <v>2068.8000000000002</v>
      </c>
      <c r="BJ90" s="391">
        <v>2025.7</v>
      </c>
      <c r="BK90" s="391">
        <v>2328.1</v>
      </c>
      <c r="BL90" s="391">
        <v>2541.8000000000002</v>
      </c>
      <c r="BM90" s="391">
        <v>2560.1</v>
      </c>
      <c r="BN90" s="424">
        <f t="shared" si="129"/>
        <v>2560.1</v>
      </c>
      <c r="BO90" s="391">
        <v>2601.1</v>
      </c>
      <c r="BP90" s="391">
        <v>3098.8</v>
      </c>
      <c r="BQ90" s="391">
        <v>3547.5</v>
      </c>
      <c r="BR90" s="397">
        <v>3914.9</v>
      </c>
      <c r="BS90" s="424">
        <f t="shared" si="130"/>
        <v>3914.9</v>
      </c>
      <c r="BT90" s="391">
        <v>3697.5</v>
      </c>
      <c r="BU90" s="391">
        <v>4029.1</v>
      </c>
      <c r="BV90" s="391">
        <v>4332.7</v>
      </c>
      <c r="BW90" s="397">
        <v>4465.1000000000004</v>
      </c>
      <c r="BX90" s="424">
        <f t="shared" si="131"/>
        <v>4465.1000000000004</v>
      </c>
      <c r="BY90" s="384"/>
      <c r="BZ90" s="384"/>
      <c r="CA90" s="384"/>
      <c r="CB90" s="384"/>
      <c r="CC90" s="377"/>
      <c r="CD90" s="377"/>
      <c r="CE90" s="377"/>
      <c r="CF90" s="377"/>
      <c r="CG90" s="377"/>
      <c r="CH90" s="377"/>
    </row>
    <row r="91" spans="7:86" hidden="1" outlineLevel="1">
      <c r="G91" s="230"/>
      <c r="H91" s="405" t="s">
        <v>753</v>
      </c>
      <c r="L91" s="391">
        <v>0</v>
      </c>
      <c r="M91" s="391">
        <v>420.5</v>
      </c>
      <c r="N91" s="391">
        <v>0</v>
      </c>
      <c r="O91" s="437">
        <v>436.5</v>
      </c>
      <c r="P91" s="429">
        <f t="shared" si="119"/>
        <v>436.5</v>
      </c>
      <c r="Q91" s="391">
        <v>0</v>
      </c>
      <c r="R91" s="391">
        <v>438.3</v>
      </c>
      <c r="S91" s="391">
        <v>0</v>
      </c>
      <c r="T91" s="437">
        <v>463.3</v>
      </c>
      <c r="U91" s="429">
        <f t="shared" si="120"/>
        <v>463.3</v>
      </c>
      <c r="V91" s="391">
        <v>0</v>
      </c>
      <c r="W91" s="391">
        <v>464.1</v>
      </c>
      <c r="X91" s="391">
        <v>0</v>
      </c>
      <c r="Y91" s="391">
        <v>513.6</v>
      </c>
      <c r="Z91" s="429">
        <f t="shared" si="121"/>
        <v>513.6</v>
      </c>
      <c r="AA91" s="391">
        <v>0</v>
      </c>
      <c r="AB91" s="391">
        <v>521.79999999999995</v>
      </c>
      <c r="AC91" s="391">
        <v>0</v>
      </c>
      <c r="AD91" s="391">
        <v>536.79999999999995</v>
      </c>
      <c r="AE91" s="424">
        <f t="shared" si="122"/>
        <v>536.79999999999995</v>
      </c>
      <c r="AF91" s="391">
        <v>0</v>
      </c>
      <c r="AG91" s="391">
        <v>538</v>
      </c>
      <c r="AH91" s="391">
        <v>0</v>
      </c>
      <c r="AI91" s="391">
        <v>538</v>
      </c>
      <c r="AJ91" s="424">
        <f t="shared" si="123"/>
        <v>538</v>
      </c>
      <c r="AK91" s="391">
        <v>0</v>
      </c>
      <c r="AL91" s="391">
        <v>545.70000000000005</v>
      </c>
      <c r="AM91" s="391">
        <v>0</v>
      </c>
      <c r="AN91" s="391">
        <v>540</v>
      </c>
      <c r="AO91" s="424">
        <f t="shared" si="124"/>
        <v>540</v>
      </c>
      <c r="AP91" s="391">
        <v>0</v>
      </c>
      <c r="AQ91" s="391">
        <v>542.29999999999995</v>
      </c>
      <c r="AR91" s="391">
        <v>0</v>
      </c>
      <c r="AS91" s="391">
        <v>542.29999999999995</v>
      </c>
      <c r="AT91" s="424">
        <f t="shared" si="125"/>
        <v>542.29999999999995</v>
      </c>
      <c r="AU91" s="391">
        <v>0</v>
      </c>
      <c r="AV91" s="391">
        <v>543.6</v>
      </c>
      <c r="AW91" s="391">
        <v>0</v>
      </c>
      <c r="AX91" s="923">
        <v>541.4</v>
      </c>
      <c r="AY91" s="424">
        <f t="shared" si="126"/>
        <v>541.4</v>
      </c>
      <c r="AZ91" s="391">
        <v>0</v>
      </c>
      <c r="BA91" s="391">
        <v>527</v>
      </c>
      <c r="BB91" s="391">
        <v>0</v>
      </c>
      <c r="BC91" s="923">
        <v>523.5</v>
      </c>
      <c r="BD91" s="424">
        <f t="shared" si="127"/>
        <v>523.5</v>
      </c>
      <c r="BE91" s="391">
        <v>0</v>
      </c>
      <c r="BF91" s="391">
        <v>524.1</v>
      </c>
      <c r="BG91" s="391">
        <v>0</v>
      </c>
      <c r="BH91" s="1082">
        <v>530.29999999999995</v>
      </c>
      <c r="BI91" s="424">
        <f t="shared" si="128"/>
        <v>530.29999999999995</v>
      </c>
      <c r="BJ91" s="391">
        <v>0</v>
      </c>
      <c r="BK91" s="391">
        <v>529.20000000000005</v>
      </c>
      <c r="BL91" s="391">
        <v>0</v>
      </c>
      <c r="BM91" s="391">
        <v>539</v>
      </c>
      <c r="BN91" s="424">
        <f t="shared" si="129"/>
        <v>539</v>
      </c>
      <c r="BO91" s="391">
        <v>0</v>
      </c>
      <c r="BP91" s="391">
        <v>537.5</v>
      </c>
      <c r="BQ91" s="391">
        <v>0</v>
      </c>
      <c r="BR91" s="397">
        <v>548.1</v>
      </c>
      <c r="BS91" s="424">
        <f t="shared" si="130"/>
        <v>548.1</v>
      </c>
      <c r="BT91" s="391">
        <v>0</v>
      </c>
      <c r="BU91" s="391">
        <v>547.5</v>
      </c>
      <c r="BV91" s="391">
        <v>0</v>
      </c>
      <c r="BW91" s="397">
        <v>590.6</v>
      </c>
      <c r="BX91" s="424">
        <f t="shared" si="131"/>
        <v>590.6</v>
      </c>
      <c r="BY91" s="384"/>
      <c r="BZ91" s="384"/>
      <c r="CA91" s="384"/>
      <c r="CB91" s="384"/>
      <c r="CC91" s="377"/>
      <c r="CD91" s="377"/>
      <c r="CE91" s="377"/>
      <c r="CF91" s="377"/>
      <c r="CG91" s="377"/>
      <c r="CH91" s="377"/>
    </row>
    <row r="92" spans="7:86" hidden="1" outlineLevel="1">
      <c r="G92" s="230"/>
      <c r="H92" s="405" t="s">
        <v>754</v>
      </c>
      <c r="L92" s="391">
        <v>2099.5</v>
      </c>
      <c r="M92" s="391">
        <v>1844.1</v>
      </c>
      <c r="N92" s="391">
        <v>1158.5999999999999</v>
      </c>
      <c r="O92" s="437">
        <v>884.9</v>
      </c>
      <c r="P92" s="429">
        <f t="shared" si="119"/>
        <v>884.9</v>
      </c>
      <c r="Q92" s="391">
        <v>896.7</v>
      </c>
      <c r="R92" s="391">
        <v>700.9</v>
      </c>
      <c r="S92" s="391">
        <v>725.2</v>
      </c>
      <c r="T92" s="437">
        <v>640.6</v>
      </c>
      <c r="U92" s="429">
        <f t="shared" si="120"/>
        <v>640.6</v>
      </c>
      <c r="V92" s="391">
        <v>285.5</v>
      </c>
      <c r="W92" s="391">
        <v>175.5</v>
      </c>
      <c r="X92" s="391">
        <v>130.6</v>
      </c>
      <c r="Y92" s="391">
        <v>238.4</v>
      </c>
      <c r="Z92" s="429">
        <f t="shared" si="121"/>
        <v>238.4</v>
      </c>
      <c r="AA92" s="391">
        <v>280.5</v>
      </c>
      <c r="AB92" s="391">
        <v>504.5</v>
      </c>
      <c r="AC92" s="391">
        <v>403.7</v>
      </c>
      <c r="AD92" s="391">
        <v>229.2</v>
      </c>
      <c r="AE92" s="424">
        <f t="shared" si="122"/>
        <v>229.2</v>
      </c>
      <c r="AF92" s="391">
        <v>709.6</v>
      </c>
      <c r="AG92" s="391">
        <v>342.8</v>
      </c>
      <c r="AH92" s="391">
        <v>275.89999999999998</v>
      </c>
      <c r="AI92" s="391">
        <v>346.7</v>
      </c>
      <c r="AJ92" s="424">
        <f t="shared" si="123"/>
        <v>346.7</v>
      </c>
      <c r="AK92" s="391">
        <v>192.1</v>
      </c>
      <c r="AL92" s="391">
        <v>435.3</v>
      </c>
      <c r="AM92" s="391">
        <v>281</v>
      </c>
      <c r="AN92" s="391">
        <v>457.5</v>
      </c>
      <c r="AO92" s="424">
        <f t="shared" si="124"/>
        <v>457.5</v>
      </c>
      <c r="AP92" s="391">
        <v>315.2</v>
      </c>
      <c r="AQ92" s="391">
        <v>183.1</v>
      </c>
      <c r="AR92" s="391">
        <v>144.4</v>
      </c>
      <c r="AS92" s="391">
        <v>261.60000000000002</v>
      </c>
      <c r="AT92" s="424">
        <f t="shared" si="125"/>
        <v>261.60000000000002</v>
      </c>
      <c r="AU92" s="391">
        <v>388.8</v>
      </c>
      <c r="AV92" s="391">
        <v>33.5</v>
      </c>
      <c r="AW92" s="923">
        <v>338.2</v>
      </c>
      <c r="AX92" s="923">
        <v>143.5</v>
      </c>
      <c r="AY92" s="424">
        <f t="shared" si="126"/>
        <v>143.5</v>
      </c>
      <c r="AZ92" s="391">
        <v>352.7</v>
      </c>
      <c r="BA92" s="391">
        <v>37.299999999999997</v>
      </c>
      <c r="BB92" s="437">
        <v>37.5</v>
      </c>
      <c r="BC92" s="923">
        <v>254.4</v>
      </c>
      <c r="BD92" s="424">
        <f t="shared" si="127"/>
        <v>254.4</v>
      </c>
      <c r="BE92" s="391">
        <v>102.5</v>
      </c>
      <c r="BF92" s="391">
        <v>168.6</v>
      </c>
      <c r="BG92" s="391">
        <v>153.5</v>
      </c>
      <c r="BH92" s="1082">
        <v>93.5</v>
      </c>
      <c r="BI92" s="424">
        <f t="shared" si="128"/>
        <v>93.5</v>
      </c>
      <c r="BJ92" s="391">
        <v>1296.7</v>
      </c>
      <c r="BK92" s="391">
        <v>912.8</v>
      </c>
      <c r="BL92" s="391">
        <v>700</v>
      </c>
      <c r="BM92" s="391">
        <v>358.9</v>
      </c>
      <c r="BN92" s="424">
        <f t="shared" si="129"/>
        <v>358.9</v>
      </c>
      <c r="BO92" s="391">
        <v>114.6</v>
      </c>
      <c r="BP92" s="391">
        <v>88</v>
      </c>
      <c r="BQ92" s="391">
        <v>183</v>
      </c>
      <c r="BR92" s="397">
        <v>119.1</v>
      </c>
      <c r="BS92" s="424">
        <f t="shared" si="130"/>
        <v>119.1</v>
      </c>
      <c r="BT92" s="391">
        <v>122</v>
      </c>
      <c r="BU92" s="391">
        <v>236</v>
      </c>
      <c r="BV92" s="391">
        <v>414.4</v>
      </c>
      <c r="BW92" s="397">
        <v>532.9</v>
      </c>
      <c r="BX92" s="424">
        <f t="shared" si="131"/>
        <v>532.9</v>
      </c>
      <c r="BY92" s="384"/>
      <c r="BZ92" s="384"/>
      <c r="CA92" s="384"/>
      <c r="CB92" s="384"/>
      <c r="CC92" s="377"/>
      <c r="CD92" s="377"/>
      <c r="CE92" s="377"/>
      <c r="CF92" s="377"/>
      <c r="CG92" s="377"/>
      <c r="CH92" s="377"/>
    </row>
    <row r="93" spans="7:86" hidden="1" outlineLevel="1">
      <c r="G93" s="230"/>
      <c r="H93" s="401" t="s">
        <v>298</v>
      </c>
      <c r="I93" s="396"/>
      <c r="J93" s="396"/>
      <c r="K93" s="396"/>
      <c r="L93" s="397">
        <v>2012.7</v>
      </c>
      <c r="M93" s="397">
        <v>2904.7</v>
      </c>
      <c r="N93" s="397">
        <v>2244.9</v>
      </c>
      <c r="O93" s="453">
        <v>1838.9</v>
      </c>
      <c r="P93" s="387">
        <f t="shared" si="119"/>
        <v>1838.9</v>
      </c>
      <c r="Q93" s="397">
        <v>1919.4</v>
      </c>
      <c r="R93" s="397">
        <v>1744.5</v>
      </c>
      <c r="S93" s="397">
        <v>1738.5</v>
      </c>
      <c r="T93" s="453">
        <v>1856.8</v>
      </c>
      <c r="U93" s="387">
        <f t="shared" si="120"/>
        <v>1856.8</v>
      </c>
      <c r="V93" s="397">
        <v>2167.6</v>
      </c>
      <c r="W93" s="397">
        <v>2233.3000000000002</v>
      </c>
      <c r="X93" s="397">
        <v>2118.5</v>
      </c>
      <c r="Y93" s="397">
        <v>1553.5</v>
      </c>
      <c r="Z93" s="387">
        <f t="shared" si="121"/>
        <v>1553.5</v>
      </c>
      <c r="AA93" s="397">
        <v>1824.7</v>
      </c>
      <c r="AB93" s="397">
        <v>2014.7</v>
      </c>
      <c r="AC93" s="397">
        <f>1885.9+1477</f>
        <v>3362.9</v>
      </c>
      <c r="AD93" s="397">
        <v>3967.2</v>
      </c>
      <c r="AE93" s="424">
        <f t="shared" si="122"/>
        <v>3967.2</v>
      </c>
      <c r="AF93" s="397">
        <v>2660.5</v>
      </c>
      <c r="AG93" s="397">
        <v>2635</v>
      </c>
      <c r="AH93" s="397">
        <f>2311.9+239.6</f>
        <v>2551.5</v>
      </c>
      <c r="AI93" s="397">
        <v>2683.9</v>
      </c>
      <c r="AJ93" s="424">
        <f t="shared" si="123"/>
        <v>2683.9</v>
      </c>
      <c r="AK93" s="397">
        <v>2773.1</v>
      </c>
      <c r="AL93" s="397">
        <v>2492.8000000000002</v>
      </c>
      <c r="AM93" s="397">
        <v>2583.6999999999998</v>
      </c>
      <c r="AN93" s="397">
        <v>2651.3</v>
      </c>
      <c r="AO93" s="424">
        <f t="shared" si="124"/>
        <v>2651.3</v>
      </c>
      <c r="AP93" s="397">
        <v>2600</v>
      </c>
      <c r="AQ93" s="397">
        <v>2786.7</v>
      </c>
      <c r="AR93" s="397">
        <v>2720.3</v>
      </c>
      <c r="AS93" s="397">
        <v>2903.5</v>
      </c>
      <c r="AT93" s="424">
        <f t="shared" si="125"/>
        <v>2903.5</v>
      </c>
      <c r="AU93" s="397">
        <v>2754.4</v>
      </c>
      <c r="AV93" s="397">
        <v>2590.4</v>
      </c>
      <c r="AW93" s="905">
        <v>2816.4</v>
      </c>
      <c r="AX93" s="905">
        <f>1048+2738.9</f>
        <v>3786.9</v>
      </c>
      <c r="AY93" s="424">
        <f t="shared" si="126"/>
        <v>3786.9</v>
      </c>
      <c r="AZ93" s="397">
        <f>726.6+2274.4</f>
        <v>3001</v>
      </c>
      <c r="BA93" s="397">
        <f>913.6+2297.6</f>
        <v>3211.2</v>
      </c>
      <c r="BB93" s="453">
        <f>2110.9+841.9</f>
        <v>2952.8</v>
      </c>
      <c r="BC93" s="905">
        <f>792.8+2328.4</f>
        <v>3121.2</v>
      </c>
      <c r="BD93" s="424">
        <f t="shared" si="127"/>
        <v>3121.2</v>
      </c>
      <c r="BE93" s="397">
        <f>760.4+2330.8</f>
        <v>3091.2000000000003</v>
      </c>
      <c r="BF93" s="397">
        <f>1044.4+2036.3</f>
        <v>3080.7</v>
      </c>
      <c r="BG93" s="397">
        <f>1352.5+2060.6</f>
        <v>3413.1</v>
      </c>
      <c r="BH93" s="1083">
        <v>2472.6</v>
      </c>
      <c r="BI93" s="424">
        <f t="shared" si="128"/>
        <v>2472.6</v>
      </c>
      <c r="BJ93" s="397">
        <v>2516.8000000000002</v>
      </c>
      <c r="BK93" s="397">
        <f>2625.5</f>
        <v>2625.5</v>
      </c>
      <c r="BL93" s="397">
        <f>2099.7+943.6</f>
        <v>3043.2999999999997</v>
      </c>
      <c r="BM93" s="397">
        <v>2460.3000000000002</v>
      </c>
      <c r="BN93" s="424">
        <f t="shared" si="129"/>
        <v>2460.3000000000002</v>
      </c>
      <c r="BO93" s="397">
        <v>2276.6</v>
      </c>
      <c r="BP93" s="397">
        <v>2200.6</v>
      </c>
      <c r="BQ93" s="397">
        <v>2001.1</v>
      </c>
      <c r="BR93" s="397">
        <v>2220.9</v>
      </c>
      <c r="BS93" s="424">
        <f t="shared" si="130"/>
        <v>2220.9</v>
      </c>
      <c r="BT93" s="397">
        <v>2232.6</v>
      </c>
      <c r="BU93" s="397">
        <v>2112.1</v>
      </c>
      <c r="BV93" s="397">
        <v>2360.1</v>
      </c>
      <c r="BW93" s="397">
        <v>2832.1</v>
      </c>
      <c r="BX93" s="424">
        <f t="shared" si="131"/>
        <v>2832.1</v>
      </c>
      <c r="BY93" s="400"/>
      <c r="BZ93" s="400"/>
      <c r="CA93" s="400"/>
      <c r="CB93" s="400"/>
      <c r="CC93" s="399"/>
      <c r="CD93" s="399"/>
      <c r="CE93" s="399"/>
      <c r="CF93" s="399"/>
      <c r="CG93" s="399"/>
      <c r="CH93" s="399"/>
    </row>
    <row r="94" spans="7:86" collapsed="1">
      <c r="G94" s="230"/>
      <c r="H94" s="419" t="s">
        <v>82</v>
      </c>
      <c r="I94" s="419"/>
      <c r="J94" s="419"/>
      <c r="K94" s="419"/>
      <c r="L94" s="420">
        <f t="shared" ref="L94:AF94" si="132">SUM(L86:L88)</f>
        <v>5381.7000000000007</v>
      </c>
      <c r="M94" s="420">
        <f t="shared" si="132"/>
        <v>6462.4</v>
      </c>
      <c r="N94" s="420">
        <f t="shared" si="132"/>
        <v>5091.5</v>
      </c>
      <c r="O94" s="420">
        <f t="shared" si="132"/>
        <v>5716.3</v>
      </c>
      <c r="P94" s="423">
        <f t="shared" si="132"/>
        <v>5716.3</v>
      </c>
      <c r="Q94" s="420">
        <f t="shared" si="132"/>
        <v>4526.2</v>
      </c>
      <c r="R94" s="420">
        <f t="shared" si="132"/>
        <v>4645.3</v>
      </c>
      <c r="S94" s="420">
        <f t="shared" si="132"/>
        <v>3882.8</v>
      </c>
      <c r="T94" s="420">
        <f t="shared" si="132"/>
        <v>5085.5</v>
      </c>
      <c r="U94" s="423">
        <f t="shared" si="132"/>
        <v>5085.5</v>
      </c>
      <c r="V94" s="420">
        <f t="shared" si="132"/>
        <v>4152.3</v>
      </c>
      <c r="W94" s="420">
        <f t="shared" si="132"/>
        <v>4545.2000000000007</v>
      </c>
      <c r="X94" s="420">
        <f t="shared" si="132"/>
        <v>4071.6</v>
      </c>
      <c r="Y94" s="420">
        <f t="shared" si="132"/>
        <v>5268.3</v>
      </c>
      <c r="Z94" s="423">
        <f t="shared" si="132"/>
        <v>5268.3</v>
      </c>
      <c r="AA94" s="420">
        <f t="shared" si="132"/>
        <v>4164.3</v>
      </c>
      <c r="AB94" s="420">
        <f t="shared" si="132"/>
        <v>5258.7999999999993</v>
      </c>
      <c r="AC94" s="420">
        <f t="shared" si="132"/>
        <v>6509.7999999999993</v>
      </c>
      <c r="AD94" s="420">
        <f t="shared" si="132"/>
        <v>13109.7</v>
      </c>
      <c r="AE94" s="423">
        <f t="shared" si="132"/>
        <v>13109.7</v>
      </c>
      <c r="AF94" s="420">
        <f t="shared" si="132"/>
        <v>7357.7</v>
      </c>
      <c r="AG94" s="420">
        <f t="shared" ref="AG94:AL94" si="133">SUM(AG86:AG88)</f>
        <v>6989.3</v>
      </c>
      <c r="AH94" s="420">
        <f t="shared" si="133"/>
        <v>6067.5</v>
      </c>
      <c r="AI94" s="420">
        <f t="shared" si="133"/>
        <v>6568.1</v>
      </c>
      <c r="AJ94" s="423">
        <f t="shared" si="133"/>
        <v>6568.1</v>
      </c>
      <c r="AK94" s="420">
        <f t="shared" si="133"/>
        <v>5657.6</v>
      </c>
      <c r="AL94" s="420">
        <f t="shared" si="133"/>
        <v>6324.6</v>
      </c>
      <c r="AM94" s="420">
        <f t="shared" ref="AM94:AR94" si="134">SUM(AM86:AM88)</f>
        <v>6097.4000000000005</v>
      </c>
      <c r="AN94" s="420">
        <f t="shared" si="134"/>
        <v>7101.4</v>
      </c>
      <c r="AO94" s="423">
        <f t="shared" si="134"/>
        <v>7101.4</v>
      </c>
      <c r="AP94" s="420">
        <f t="shared" si="134"/>
        <v>7651.8</v>
      </c>
      <c r="AQ94" s="420">
        <f t="shared" si="134"/>
        <v>8620.5</v>
      </c>
      <c r="AR94" s="420">
        <f t="shared" si="134"/>
        <v>8219.2999999999993</v>
      </c>
      <c r="AS94" s="420">
        <f t="shared" ref="AS94:AX94" si="135">SUM(AS86:AS88)</f>
        <v>8930.9</v>
      </c>
      <c r="AT94" s="423">
        <f t="shared" si="135"/>
        <v>8930.9</v>
      </c>
      <c r="AU94" s="420">
        <f t="shared" si="135"/>
        <v>6553.7</v>
      </c>
      <c r="AV94" s="420">
        <f t="shared" si="135"/>
        <v>6609.7</v>
      </c>
      <c r="AW94" s="420">
        <f t="shared" si="135"/>
        <v>6960.7</v>
      </c>
      <c r="AX94" s="420">
        <f t="shared" si="135"/>
        <v>8389.5</v>
      </c>
      <c r="AY94" s="423">
        <f t="shared" ref="AY94:BD94" si="136">SUM(AY86:AY88)</f>
        <v>8389.5</v>
      </c>
      <c r="AZ94" s="420">
        <f t="shared" si="136"/>
        <v>7593.6</v>
      </c>
      <c r="BA94" s="420">
        <f t="shared" si="136"/>
        <v>8408.5</v>
      </c>
      <c r="BB94" s="420">
        <f t="shared" si="136"/>
        <v>8076.1</v>
      </c>
      <c r="BC94" s="420">
        <f t="shared" si="136"/>
        <v>8916.6</v>
      </c>
      <c r="BD94" s="423">
        <f t="shared" si="136"/>
        <v>8916.6</v>
      </c>
      <c r="BE94" s="420">
        <f t="shared" ref="BE94:BN94" si="137">SUM(BE86:BE88)</f>
        <v>6631.7000000000007</v>
      </c>
      <c r="BF94" s="420">
        <f t="shared" si="137"/>
        <v>7417.4</v>
      </c>
      <c r="BG94" s="420">
        <f t="shared" si="137"/>
        <v>7574.5999999999995</v>
      </c>
      <c r="BH94" s="799">
        <f t="shared" si="137"/>
        <v>9741</v>
      </c>
      <c r="BI94" s="423">
        <f t="shared" si="137"/>
        <v>9741</v>
      </c>
      <c r="BJ94" s="420">
        <f t="shared" si="137"/>
        <v>8342.9000000000015</v>
      </c>
      <c r="BK94" s="420">
        <f t="shared" si="137"/>
        <v>8232</v>
      </c>
      <c r="BL94" s="420">
        <f t="shared" si="137"/>
        <v>8303.2999999999993</v>
      </c>
      <c r="BM94" s="420">
        <f t="shared" si="137"/>
        <v>8229.6</v>
      </c>
      <c r="BN94" s="423">
        <f t="shared" si="137"/>
        <v>8229.6</v>
      </c>
      <c r="BO94" s="420">
        <f t="shared" ref="BO94:BW94" si="138">SUM(BO86:BO88)</f>
        <v>7340.9</v>
      </c>
      <c r="BP94" s="420">
        <f t="shared" si="138"/>
        <v>8401</v>
      </c>
      <c r="BQ94" s="420">
        <f t="shared" si="138"/>
        <v>8272.8000000000011</v>
      </c>
      <c r="BR94" s="420">
        <f t="shared" si="138"/>
        <v>10986.600000000002</v>
      </c>
      <c r="BS94" s="423">
        <f t="shared" si="138"/>
        <v>10986.600000000002</v>
      </c>
      <c r="BT94" s="420">
        <f t="shared" si="138"/>
        <v>10448</v>
      </c>
      <c r="BU94" s="420">
        <f t="shared" si="138"/>
        <v>11294.5</v>
      </c>
      <c r="BV94" s="420">
        <f>SUM(BV86:BV88)</f>
        <v>12666.5</v>
      </c>
      <c r="BW94" s="420">
        <f t="shared" si="138"/>
        <v>14535.900000000001</v>
      </c>
      <c r="BX94" s="423">
        <f>SUM(BX86:BX88)</f>
        <v>14535.900000000001</v>
      </c>
      <c r="BY94" s="421"/>
      <c r="BZ94" s="421"/>
      <c r="CA94" s="421"/>
      <c r="CB94" s="421"/>
      <c r="CC94" s="423">
        <f t="shared" ref="CC94:CH94" si="139">SUM(CC86:CC88)</f>
        <v>11014.364707999999</v>
      </c>
      <c r="CD94" s="423">
        <f t="shared" si="139"/>
        <v>10810.765898175001</v>
      </c>
      <c r="CE94" s="423">
        <f t="shared" si="139"/>
        <v>11024.33045942</v>
      </c>
      <c r="CF94" s="423">
        <f t="shared" si="139"/>
        <v>10853.439525532276</v>
      </c>
      <c r="CG94" s="423">
        <f t="shared" si="139"/>
        <v>11045.740639270318</v>
      </c>
      <c r="CH94" s="423">
        <f t="shared" si="139"/>
        <v>10884.761338792781</v>
      </c>
    </row>
    <row r="95" spans="7:86">
      <c r="G95" s="230"/>
      <c r="L95" s="384"/>
      <c r="M95" s="384"/>
      <c r="N95" s="384"/>
      <c r="O95" s="384"/>
      <c r="Q95" s="384"/>
      <c r="R95" s="384"/>
      <c r="S95" s="384"/>
      <c r="T95" s="384"/>
      <c r="V95" s="384"/>
      <c r="W95" s="384"/>
      <c r="X95" s="384"/>
      <c r="Y95" s="384"/>
      <c r="AA95" s="384"/>
      <c r="AB95" s="384"/>
      <c r="AC95" s="384"/>
      <c r="AD95" s="384"/>
      <c r="AF95" s="384"/>
      <c r="AG95" s="384"/>
      <c r="AH95" s="384"/>
      <c r="AI95" s="384"/>
      <c r="AK95" s="384"/>
      <c r="AL95" s="384"/>
      <c r="AM95" s="384"/>
      <c r="AN95" s="384"/>
      <c r="AO95" s="47"/>
      <c r="AP95" s="384"/>
      <c r="AQ95" s="384"/>
      <c r="AR95" s="384"/>
      <c r="AS95" s="384"/>
      <c r="AT95" s="47"/>
      <c r="AU95" s="810"/>
      <c r="AV95" s="810"/>
      <c r="AW95" s="317"/>
      <c r="AX95" s="317"/>
      <c r="AY95" s="47"/>
      <c r="AZ95" s="810"/>
      <c r="BA95" s="810"/>
      <c r="BB95" s="408"/>
      <c r="BC95" s="317"/>
      <c r="BD95" s="47"/>
      <c r="BE95" s="810"/>
      <c r="BF95" s="810"/>
      <c r="BG95" s="810"/>
      <c r="BH95" s="1078"/>
      <c r="BI95" s="47"/>
      <c r="BJ95" s="810"/>
      <c r="BK95" s="810"/>
      <c r="BL95" s="810"/>
      <c r="BM95" s="810"/>
      <c r="BN95" s="47"/>
      <c r="BO95" s="810"/>
      <c r="BP95" s="810"/>
      <c r="BQ95" s="810"/>
      <c r="BR95" s="408"/>
      <c r="BT95" s="810"/>
      <c r="BU95" s="810"/>
      <c r="BV95" s="810"/>
      <c r="BW95" s="408"/>
      <c r="BY95" s="408"/>
      <c r="BZ95" s="408"/>
      <c r="CA95" s="408"/>
      <c r="CB95" s="408"/>
    </row>
    <row r="96" spans="7:86">
      <c r="G96" s="230"/>
      <c r="H96" s="47" t="s">
        <v>83</v>
      </c>
      <c r="L96" s="391">
        <v>4357</v>
      </c>
      <c r="M96" s="391">
        <v>4445.5</v>
      </c>
      <c r="N96" s="391">
        <v>5881.1</v>
      </c>
      <c r="O96" s="437">
        <v>5763.5</v>
      </c>
      <c r="P96" s="429">
        <f>O96</f>
        <v>5763.5</v>
      </c>
      <c r="Q96" s="391">
        <v>5612.5</v>
      </c>
      <c r="R96" s="391">
        <v>5578</v>
      </c>
      <c r="S96" s="391">
        <v>4553.3</v>
      </c>
      <c r="T96" s="437">
        <v>3494.4</v>
      </c>
      <c r="U96" s="429">
        <f>T96</f>
        <v>3494.4</v>
      </c>
      <c r="V96" s="391">
        <v>4624.2</v>
      </c>
      <c r="W96" s="391">
        <v>4574</v>
      </c>
      <c r="X96" s="391">
        <v>4532.2</v>
      </c>
      <c r="Y96" s="391">
        <v>4593.5</v>
      </c>
      <c r="Z96" s="429">
        <f>Y96</f>
        <v>4593.5</v>
      </c>
      <c r="AA96" s="391">
        <v>4648.3</v>
      </c>
      <c r="AB96" s="391">
        <v>4545.8</v>
      </c>
      <c r="AC96" s="391">
        <v>4185.6000000000004</v>
      </c>
      <c r="AD96" s="391">
        <v>4615.7</v>
      </c>
      <c r="AE96" s="424">
        <f>AD96</f>
        <v>4615.7</v>
      </c>
      <c r="AF96" s="391">
        <v>6870.8</v>
      </c>
      <c r="AG96" s="391">
        <v>6688</v>
      </c>
      <c r="AH96" s="391">
        <v>6769.7</v>
      </c>
      <c r="AI96" s="391">
        <v>6634.7</v>
      </c>
      <c r="AJ96" s="424">
        <f>AI96</f>
        <v>6634.7</v>
      </c>
      <c r="AK96" s="391">
        <v>6661.3</v>
      </c>
      <c r="AL96" s="391">
        <v>6862.2</v>
      </c>
      <c r="AM96" s="391">
        <v>6982</v>
      </c>
      <c r="AN96" s="391">
        <v>6770.5</v>
      </c>
      <c r="AO96" s="424">
        <f>AN96</f>
        <v>6770.5</v>
      </c>
      <c r="AP96" s="391">
        <v>5132.3999999999996</v>
      </c>
      <c r="AQ96" s="391">
        <v>5200.1000000000004</v>
      </c>
      <c r="AR96" s="391">
        <v>5451.3</v>
      </c>
      <c r="AS96" s="391">
        <v>5464.7</v>
      </c>
      <c r="AT96" s="424">
        <f>AS96</f>
        <v>5464.7</v>
      </c>
      <c r="AU96" s="391">
        <v>5403.2</v>
      </c>
      <c r="AV96" s="391">
        <v>5500.2</v>
      </c>
      <c r="AW96" s="923">
        <v>5510.9</v>
      </c>
      <c r="AX96" s="923">
        <v>5519.4</v>
      </c>
      <c r="AY96" s="424">
        <f>AX96</f>
        <v>5519.4</v>
      </c>
      <c r="AZ96" s="391">
        <v>4431.6000000000004</v>
      </c>
      <c r="BA96" s="391">
        <v>4290.8</v>
      </c>
      <c r="BB96" s="437">
        <v>4263.8</v>
      </c>
      <c r="BC96" s="923">
        <v>4200.3</v>
      </c>
      <c r="BD96" s="424">
        <f>BC96</f>
        <v>4200.3</v>
      </c>
      <c r="BE96" s="391">
        <v>5255.3</v>
      </c>
      <c r="BF96" s="391">
        <v>5301</v>
      </c>
      <c r="BG96" s="391">
        <v>5292.6</v>
      </c>
      <c r="BH96" s="391">
        <v>5332.8</v>
      </c>
      <c r="BI96" s="424">
        <f>BH96</f>
        <v>5332.8</v>
      </c>
      <c r="BJ96" s="391">
        <v>7415.3</v>
      </c>
      <c r="BK96" s="391">
        <v>7988.6</v>
      </c>
      <c r="BL96" s="391">
        <v>8069.6</v>
      </c>
      <c r="BM96" s="391">
        <v>7972.4</v>
      </c>
      <c r="BN96" s="424">
        <f>BM96</f>
        <v>7972.4</v>
      </c>
      <c r="BO96" s="391">
        <v>7477.6</v>
      </c>
      <c r="BP96" s="391">
        <v>8685.5</v>
      </c>
      <c r="BQ96" s="391">
        <v>8707.2999999999993</v>
      </c>
      <c r="BR96" s="391">
        <v>8367.7999999999993</v>
      </c>
      <c r="BS96" s="424">
        <f>BR96</f>
        <v>8367.7999999999993</v>
      </c>
      <c r="BT96" s="391">
        <v>7637.5</v>
      </c>
      <c r="BU96" s="391">
        <v>9867.9</v>
      </c>
      <c r="BV96" s="391">
        <v>9926.6</v>
      </c>
      <c r="BW96" s="391">
        <v>9940.5</v>
      </c>
      <c r="BX96" s="424">
        <f>BW96</f>
        <v>9940.5</v>
      </c>
      <c r="BY96" s="384"/>
      <c r="BZ96" s="384"/>
      <c r="CA96" s="384"/>
      <c r="CB96" s="384"/>
      <c r="CC96" s="377">
        <f>DEBT!CC18</f>
        <v>5605.8200000000006</v>
      </c>
      <c r="CD96" s="377">
        <f>DEBT!CD18</f>
        <v>4704.45</v>
      </c>
      <c r="CE96" s="377">
        <f>DEBT!CE18</f>
        <v>4704.45</v>
      </c>
      <c r="CF96" s="377">
        <f>DEBT!CF18</f>
        <v>4704.45</v>
      </c>
      <c r="CG96" s="377">
        <f>DEBT!CG18</f>
        <v>4050.15</v>
      </c>
      <c r="CH96" s="377">
        <f>DEBT!CH18</f>
        <v>4050.15</v>
      </c>
    </row>
    <row r="97" spans="7:86">
      <c r="G97" s="230"/>
      <c r="H97" s="47" t="s">
        <v>84</v>
      </c>
      <c r="L97" s="392">
        <f>SUM(L98:L99)</f>
        <v>1903.1999999999998</v>
      </c>
      <c r="M97" s="392">
        <f>SUM(M98:M99)</f>
        <v>2243.1</v>
      </c>
      <c r="N97" s="392">
        <f>SUM(N98:N99)</f>
        <v>2447.5</v>
      </c>
      <c r="O97" s="392">
        <f>SUM(O98:O99)</f>
        <v>2309.1</v>
      </c>
      <c r="P97" s="429">
        <f>O97</f>
        <v>2309.1</v>
      </c>
      <c r="Q97" s="392">
        <f>SUM(Q98:Q99)</f>
        <v>2314</v>
      </c>
      <c r="R97" s="392">
        <f>SUM(R98:R99)</f>
        <v>2283.8000000000002</v>
      </c>
      <c r="S97" s="392">
        <f>SUM(S98:S99)</f>
        <v>2422.6</v>
      </c>
      <c r="T97" s="392">
        <f>SUM(T98:T99)</f>
        <v>2394.8000000000002</v>
      </c>
      <c r="U97" s="429">
        <f>T97</f>
        <v>2394.8000000000002</v>
      </c>
      <c r="V97" s="392">
        <f>SUM(V98:V99)</f>
        <v>3422.9</v>
      </c>
      <c r="W97" s="392">
        <f>SUM(W98:W99)</f>
        <v>3376.4</v>
      </c>
      <c r="X97" s="392">
        <f>SUM(X98:X99)</f>
        <v>3422.8</v>
      </c>
      <c r="Y97" s="392">
        <f>SUM(Y98:Y99)</f>
        <v>3261.6</v>
      </c>
      <c r="Z97" s="429">
        <f>Y97</f>
        <v>3261.6</v>
      </c>
      <c r="AA97" s="392">
        <f>SUM(AA98:AA99)</f>
        <v>3497.4</v>
      </c>
      <c r="AB97" s="392">
        <f>SUM(AB98:AB99)</f>
        <v>3209.4</v>
      </c>
      <c r="AC97" s="392">
        <f>SUM(AC98:AC99)</f>
        <v>3270.0999999999995</v>
      </c>
      <c r="AD97" s="392">
        <f>SUM(AD98:AD99)</f>
        <v>4751.9000000000005</v>
      </c>
      <c r="AE97" s="424">
        <f>AD97</f>
        <v>4751.9000000000005</v>
      </c>
      <c r="AF97" s="392">
        <f>SUM(AF98:AF99)</f>
        <v>4643.5</v>
      </c>
      <c r="AG97" s="392">
        <f>SUM(AG98:AG99)</f>
        <v>4694.2</v>
      </c>
      <c r="AH97" s="392">
        <f>SUM(AH98:AH99)</f>
        <v>4385.7</v>
      </c>
      <c r="AI97" s="392">
        <f>SUM(AI98:AI99)</f>
        <v>4732.8</v>
      </c>
      <c r="AJ97" s="424">
        <f>AI97</f>
        <v>4732.8</v>
      </c>
      <c r="AK97" s="392">
        <f>SUM(AK98:AK99)</f>
        <v>4416.5999999999995</v>
      </c>
      <c r="AL97" s="392">
        <f>SUM(AL98:AL99)</f>
        <v>4300.9999999999991</v>
      </c>
      <c r="AM97" s="392">
        <f>SUM(AM98:AM99)</f>
        <v>4419.3999999999996</v>
      </c>
      <c r="AN97" s="392">
        <f>SUM(AN98:AN99)</f>
        <v>4716.7</v>
      </c>
      <c r="AO97" s="424">
        <f>AN97</f>
        <v>4716.7</v>
      </c>
      <c r="AP97" s="392">
        <f>SUM(AP98:AP99)</f>
        <v>4976.9000000000005</v>
      </c>
      <c r="AQ97" s="392">
        <f>SUM(AQ98:AQ99)</f>
        <v>4681.7</v>
      </c>
      <c r="AR97" s="392">
        <f>SUM(AR98:AR99)</f>
        <v>4313.7</v>
      </c>
      <c r="AS97" s="392">
        <f>SUM(AS98:AS99)</f>
        <v>5728.6</v>
      </c>
      <c r="AT97" s="424">
        <f>AS97</f>
        <v>5728.6</v>
      </c>
      <c r="AU97" s="392">
        <f>SUM(AU98:AU99)</f>
        <v>5458.7</v>
      </c>
      <c r="AV97" s="392">
        <f>SUM(AV98:AV99)</f>
        <v>5394.8</v>
      </c>
      <c r="AW97" s="392">
        <f>SUM(AW98:AW99)</f>
        <v>5792.5</v>
      </c>
      <c r="AX97" s="392">
        <f>SUM(AX98:AX99)</f>
        <v>5716.1</v>
      </c>
      <c r="AY97" s="424">
        <f>AX97</f>
        <v>5716.1</v>
      </c>
      <c r="AZ97" s="392">
        <f>SUM(AZ98:AZ99)</f>
        <v>5319.3</v>
      </c>
      <c r="BA97" s="392">
        <f>SUM(BA98:BA99)</f>
        <v>5290.2999999999993</v>
      </c>
      <c r="BB97" s="392">
        <f>SUM(BB98:BB99)</f>
        <v>4729.6000000000004</v>
      </c>
      <c r="BC97" s="392">
        <f>SUM(BC98:BC99)</f>
        <v>4491.1000000000004</v>
      </c>
      <c r="BD97" s="424">
        <f>BC97</f>
        <v>4491.1000000000004</v>
      </c>
      <c r="BE97" s="392">
        <f>SUM(BE98:BE99)</f>
        <v>4521.2</v>
      </c>
      <c r="BF97" s="392">
        <f>SUM(BF98:BF99)</f>
        <v>4305.2</v>
      </c>
      <c r="BG97" s="392">
        <f>SUM(BG98:BG99)</f>
        <v>4099.1000000000004</v>
      </c>
      <c r="BH97" s="1076">
        <f>SUM(BH98:BH99)</f>
        <v>5845.7000000000007</v>
      </c>
      <c r="BI97" s="424">
        <f>BH97</f>
        <v>5845.7000000000007</v>
      </c>
      <c r="BJ97" s="392">
        <f>SUM(BJ98:BJ99)</f>
        <v>4949.2000000000007</v>
      </c>
      <c r="BK97" s="392">
        <f>SUM(BK98:BK99)</f>
        <v>5110.5999999999995</v>
      </c>
      <c r="BL97" s="392">
        <f>SUM(BL98:BL99)</f>
        <v>4690.8999999999996</v>
      </c>
      <c r="BM97" s="392">
        <f>SUM(BM98:BM99)</f>
        <v>4776.6000000000004</v>
      </c>
      <c r="BN97" s="424">
        <f>BM97</f>
        <v>4776.6000000000004</v>
      </c>
      <c r="BO97" s="392">
        <f>SUM(BO98:BO99)</f>
        <v>4843.8999999999996</v>
      </c>
      <c r="BP97" s="392">
        <f>SUM(BP98:BP99)</f>
        <v>4732.6000000000004</v>
      </c>
      <c r="BQ97" s="392">
        <f>SUM(BQ98:BQ99)</f>
        <v>4994.4000000000005</v>
      </c>
      <c r="BR97" s="392">
        <f>SUM(BR98:BR99)</f>
        <v>5371</v>
      </c>
      <c r="BS97" s="424">
        <f>BR97</f>
        <v>5371</v>
      </c>
      <c r="BT97" s="392">
        <f>SUM(BT98:BT99)</f>
        <v>5435.0999999999995</v>
      </c>
      <c r="BU97" s="392">
        <f>SUM(BU98:BU99)</f>
        <v>5614.4</v>
      </c>
      <c r="BV97" s="392">
        <f>SUM(BV98:BV99)</f>
        <v>5456.7</v>
      </c>
      <c r="BW97" s="392">
        <f>SUM(BW98:BW99)</f>
        <v>8836.7000000000007</v>
      </c>
      <c r="BX97" s="424">
        <f>BW97</f>
        <v>8836.7000000000007</v>
      </c>
      <c r="BY97" s="432"/>
      <c r="BZ97" s="432"/>
      <c r="CA97" s="432"/>
      <c r="CB97" s="432"/>
      <c r="CC97" s="436">
        <f>BX97</f>
        <v>8836.7000000000007</v>
      </c>
      <c r="CD97" s="436">
        <f>CC97</f>
        <v>8836.7000000000007</v>
      </c>
      <c r="CE97" s="436">
        <f>CD97</f>
        <v>8836.7000000000007</v>
      </c>
      <c r="CF97" s="436">
        <f>CE97</f>
        <v>8836.7000000000007</v>
      </c>
      <c r="CG97" s="436">
        <f>CF97</f>
        <v>8836.7000000000007</v>
      </c>
      <c r="CH97" s="436">
        <f>CG97</f>
        <v>8836.7000000000007</v>
      </c>
    </row>
    <row r="98" spans="7:86" hidden="1" outlineLevel="1">
      <c r="G98" s="230"/>
      <c r="H98" s="462" t="s">
        <v>587</v>
      </c>
      <c r="I98" s="452"/>
      <c r="J98" s="452"/>
      <c r="K98" s="452"/>
      <c r="L98" s="391">
        <v>698.1</v>
      </c>
      <c r="M98" s="391">
        <v>480.8</v>
      </c>
      <c r="N98" s="391">
        <v>718.6</v>
      </c>
      <c r="O98" s="437">
        <v>695.1</v>
      </c>
      <c r="P98" s="429">
        <f>O98</f>
        <v>695.1</v>
      </c>
      <c r="Q98" s="391">
        <v>746.7</v>
      </c>
      <c r="R98" s="391">
        <v>759.4</v>
      </c>
      <c r="S98" s="391">
        <v>847.8</v>
      </c>
      <c r="T98" s="437">
        <v>62.2</v>
      </c>
      <c r="U98" s="429">
        <f>T98</f>
        <v>62.2</v>
      </c>
      <c r="V98" s="391">
        <v>57.4</v>
      </c>
      <c r="W98" s="391">
        <v>56.9</v>
      </c>
      <c r="X98" s="391">
        <v>55.8</v>
      </c>
      <c r="Y98" s="391">
        <v>287.5</v>
      </c>
      <c r="Z98" s="429">
        <f>Y98</f>
        <v>287.5</v>
      </c>
      <c r="AA98" s="391">
        <v>339.3</v>
      </c>
      <c r="AB98" s="391">
        <v>63.1</v>
      </c>
      <c r="AC98" s="391">
        <v>284.2</v>
      </c>
      <c r="AD98" s="391">
        <v>74.7</v>
      </c>
      <c r="AE98" s="424">
        <f>AD98</f>
        <v>74.7</v>
      </c>
      <c r="AF98" s="391">
        <v>72.099999999999994</v>
      </c>
      <c r="AG98" s="391">
        <v>79.400000000000006</v>
      </c>
      <c r="AH98" s="391">
        <v>101.8</v>
      </c>
      <c r="AI98" s="391">
        <v>84.8</v>
      </c>
      <c r="AJ98" s="424">
        <f>AI98</f>
        <v>84.8</v>
      </c>
      <c r="AK98" s="391">
        <v>81.2</v>
      </c>
      <c r="AL98" s="391">
        <v>80.7</v>
      </c>
      <c r="AM98" s="391">
        <v>84.5</v>
      </c>
      <c r="AN98" s="391">
        <v>1234.8</v>
      </c>
      <c r="AO98" s="424">
        <f>AN98</f>
        <v>1234.8</v>
      </c>
      <c r="AP98" s="391">
        <v>1224.3</v>
      </c>
      <c r="AQ98" s="391">
        <v>1283</v>
      </c>
      <c r="AR98" s="391">
        <v>1058.8</v>
      </c>
      <c r="AS98" s="391">
        <v>1086.3</v>
      </c>
      <c r="AT98" s="424">
        <f>AS98</f>
        <v>1086.3</v>
      </c>
      <c r="AU98" s="391">
        <v>1158.3</v>
      </c>
      <c r="AV98" s="391">
        <v>1207.5</v>
      </c>
      <c r="AW98" s="935">
        <v>1275.0999999999999</v>
      </c>
      <c r="AX98" s="935">
        <v>1334.3</v>
      </c>
      <c r="AY98" s="424">
        <f>AX98</f>
        <v>1334.3</v>
      </c>
      <c r="AZ98" s="391">
        <v>1363.7</v>
      </c>
      <c r="BA98" s="391">
        <v>1410.6</v>
      </c>
      <c r="BB98" s="995">
        <v>853.5</v>
      </c>
      <c r="BC98" s="935">
        <v>1078.7</v>
      </c>
      <c r="BD98" s="424">
        <f>BC98</f>
        <v>1078.7</v>
      </c>
      <c r="BE98" s="391">
        <v>906.6</v>
      </c>
      <c r="BF98" s="391">
        <v>940.1</v>
      </c>
      <c r="BG98" s="391">
        <v>932.8</v>
      </c>
      <c r="BH98" s="1082">
        <v>998.5</v>
      </c>
      <c r="BI98" s="424">
        <f>BH98</f>
        <v>998.5</v>
      </c>
      <c r="BJ98" s="391">
        <v>954</v>
      </c>
      <c r="BK98" s="391">
        <v>1026.8</v>
      </c>
      <c r="BL98" s="391">
        <v>910.6</v>
      </c>
      <c r="BM98" s="391">
        <v>868.9</v>
      </c>
      <c r="BN98" s="424">
        <f>BM98</f>
        <v>868.9</v>
      </c>
      <c r="BO98" s="391">
        <v>908</v>
      </c>
      <c r="BP98" s="391">
        <v>805.1</v>
      </c>
      <c r="BQ98" s="391">
        <v>805.6</v>
      </c>
      <c r="BR98" s="391">
        <v>688.9</v>
      </c>
      <c r="BS98" s="424">
        <f>BR98</f>
        <v>688.9</v>
      </c>
      <c r="BT98" s="391">
        <v>697.2</v>
      </c>
      <c r="BU98" s="391">
        <v>705</v>
      </c>
      <c r="BV98" s="391">
        <v>710</v>
      </c>
      <c r="BW98" s="391">
        <v>3776.5</v>
      </c>
      <c r="BX98" s="424">
        <f>BW98</f>
        <v>3776.5</v>
      </c>
      <c r="BY98" s="408"/>
      <c r="BZ98" s="408"/>
      <c r="CA98" s="408"/>
      <c r="CB98" s="408"/>
    </row>
    <row r="99" spans="7:86" hidden="1" outlineLevel="1">
      <c r="G99" s="230"/>
      <c r="H99" s="406" t="s">
        <v>298</v>
      </c>
      <c r="I99" s="77"/>
      <c r="J99" s="77"/>
      <c r="K99" s="77"/>
      <c r="L99" s="391">
        <v>1205.0999999999999</v>
      </c>
      <c r="M99" s="391">
        <v>1762.3</v>
      </c>
      <c r="N99" s="391">
        <v>1728.9</v>
      </c>
      <c r="O99" s="437">
        <v>1614</v>
      </c>
      <c r="P99" s="429">
        <f>O99</f>
        <v>1614</v>
      </c>
      <c r="Q99" s="391">
        <v>1567.3</v>
      </c>
      <c r="R99" s="391">
        <v>1524.4</v>
      </c>
      <c r="S99" s="391">
        <v>1574.8</v>
      </c>
      <c r="T99" s="437">
        <f>745.7+1586.9</f>
        <v>2332.6000000000004</v>
      </c>
      <c r="U99" s="429">
        <f>T99</f>
        <v>2332.6000000000004</v>
      </c>
      <c r="V99" s="391">
        <f>1509.8+841.5+1014.2</f>
        <v>3365.5</v>
      </c>
      <c r="W99" s="391">
        <f>1516+764+1039.5</f>
        <v>3319.5</v>
      </c>
      <c r="X99" s="391">
        <f>1550.4+737+1079.6</f>
        <v>3367</v>
      </c>
      <c r="Y99" s="391">
        <f>1145.1+632.3+1196.7</f>
        <v>2974.1</v>
      </c>
      <c r="Z99" s="429">
        <f>Y99</f>
        <v>2974.1</v>
      </c>
      <c r="AA99" s="391">
        <f>1169.6+951+1037.5</f>
        <v>3158.1</v>
      </c>
      <c r="AB99" s="391">
        <f>1011.3+970.3+1164.7</f>
        <v>3146.3</v>
      </c>
      <c r="AC99" s="391">
        <f>1105.8+930.8+949.3</f>
        <v>2985.8999999999996</v>
      </c>
      <c r="AD99" s="391">
        <f>2387.6+906.2+1383.4</f>
        <v>4677.2000000000007</v>
      </c>
      <c r="AE99" s="424">
        <f>AD99</f>
        <v>4677.2000000000007</v>
      </c>
      <c r="AF99" s="391">
        <f>2308.9+942.8+1319.7</f>
        <v>4571.3999999999996</v>
      </c>
      <c r="AG99" s="391">
        <f>1331+2314.2+969.6</f>
        <v>4614.8</v>
      </c>
      <c r="AH99" s="391">
        <f>1284.6+2009.3+990</f>
        <v>4283.8999999999996</v>
      </c>
      <c r="AI99" s="391">
        <f>2334.7+1088.4+1224.9</f>
        <v>4648</v>
      </c>
      <c r="AJ99" s="424">
        <f>AI99</f>
        <v>4648</v>
      </c>
      <c r="AK99" s="391">
        <f>2024.2+1138.3+1172.9</f>
        <v>4335.3999999999996</v>
      </c>
      <c r="AL99" s="391">
        <f>1882.4+1227.3+1110.6</f>
        <v>4220.2999999999993</v>
      </c>
      <c r="AM99" s="391">
        <f>1817.8+1303.8+1213.3</f>
        <v>4334.8999999999996</v>
      </c>
      <c r="AN99" s="391">
        <f>1887.4+1594.5</f>
        <v>3481.9</v>
      </c>
      <c r="AO99" s="424">
        <f>AN99</f>
        <v>3481.9</v>
      </c>
      <c r="AP99" s="391">
        <f>1866.4+1886.2</f>
        <v>3752.6000000000004</v>
      </c>
      <c r="AQ99" s="391">
        <f>1550.1+1848.6</f>
        <v>3398.7</v>
      </c>
      <c r="AR99" s="391">
        <f>1805.9+1449</f>
        <v>3254.9</v>
      </c>
      <c r="AS99" s="391">
        <f>1573.8+3068.5</f>
        <v>4642.3</v>
      </c>
      <c r="AT99" s="424">
        <f>AS99</f>
        <v>4642.3</v>
      </c>
      <c r="AU99" s="391">
        <f>1533.9+2766.5</f>
        <v>4300.3999999999996</v>
      </c>
      <c r="AV99" s="391">
        <f>1472.8+2714.5</f>
        <v>4187.3</v>
      </c>
      <c r="AW99" s="935">
        <f>2702.4+1815</f>
        <v>4517.3999999999996</v>
      </c>
      <c r="AX99" s="935">
        <f>3012.4+1369.4</f>
        <v>4381.8</v>
      </c>
      <c r="AY99" s="424">
        <f>AX99</f>
        <v>4381.8</v>
      </c>
      <c r="AZ99" s="391">
        <f>2660.4+1295.2</f>
        <v>3955.6000000000004</v>
      </c>
      <c r="BA99" s="391">
        <f>1258+2621.7</f>
        <v>3879.7</v>
      </c>
      <c r="BB99" s="995">
        <f>2607.9+1268.2</f>
        <v>3876.1000000000004</v>
      </c>
      <c r="BC99" s="935">
        <f>1549.4+1863</f>
        <v>3412.4</v>
      </c>
      <c r="BD99" s="424">
        <f>BC99</f>
        <v>3412.4</v>
      </c>
      <c r="BE99" s="391">
        <f>1553.1+2061.5</f>
        <v>3614.6</v>
      </c>
      <c r="BF99" s="391">
        <f>1528.5+1836.6</f>
        <v>3365.1</v>
      </c>
      <c r="BG99" s="391">
        <f>1524.1+1642.2</f>
        <v>3166.3</v>
      </c>
      <c r="BH99" s="1082">
        <f>2562.9+2284.3</f>
        <v>4847.2000000000007</v>
      </c>
      <c r="BI99" s="424">
        <f>BH99</f>
        <v>4847.2000000000007</v>
      </c>
      <c r="BJ99" s="391">
        <f>2520.8+1474.4</f>
        <v>3995.2000000000003</v>
      </c>
      <c r="BK99" s="391">
        <f>1454.1+2629.7</f>
        <v>4083.7999999999997</v>
      </c>
      <c r="BL99" s="391">
        <f>2358.2+1422.1</f>
        <v>3780.2999999999997</v>
      </c>
      <c r="BM99" s="391">
        <f>2160.3+1747.4</f>
        <v>3907.7000000000003</v>
      </c>
      <c r="BN99" s="424">
        <f>BM99</f>
        <v>3907.7000000000003</v>
      </c>
      <c r="BO99" s="391">
        <f>2106.6+1829.3</f>
        <v>3935.8999999999996</v>
      </c>
      <c r="BP99" s="391">
        <f>2020.4+1907.1</f>
        <v>3927.5</v>
      </c>
      <c r="BQ99" s="391">
        <f>2111+2077.8</f>
        <v>4188.8</v>
      </c>
      <c r="BR99" s="391">
        <f>2453.9+2228.2</f>
        <v>4682.1000000000004</v>
      </c>
      <c r="BS99" s="424">
        <f>BR99</f>
        <v>4682.1000000000004</v>
      </c>
      <c r="BT99" s="391">
        <f>2455.7+2282.2</f>
        <v>4737.8999999999996</v>
      </c>
      <c r="BU99" s="391">
        <f>2465.6+2443.8</f>
        <v>4909.3999999999996</v>
      </c>
      <c r="BV99" s="391">
        <f>2458.1+2288.6</f>
        <v>4746.7</v>
      </c>
      <c r="BW99" s="391">
        <f>3513.9+1546.3</f>
        <v>5060.2</v>
      </c>
      <c r="BX99" s="424">
        <f>BW99</f>
        <v>5060.2</v>
      </c>
      <c r="BY99" s="408"/>
      <c r="BZ99" s="408"/>
      <c r="CA99" s="408"/>
      <c r="CB99" s="408"/>
    </row>
    <row r="100" spans="7:86" collapsed="1">
      <c r="G100" s="230"/>
      <c r="H100" s="419" t="s">
        <v>85</v>
      </c>
      <c r="I100" s="419"/>
      <c r="J100" s="419"/>
      <c r="K100" s="419"/>
      <c r="L100" s="420">
        <f>L97+L96+L94</f>
        <v>11641.900000000001</v>
      </c>
      <c r="M100" s="420">
        <f>M97+M96+M94</f>
        <v>13151</v>
      </c>
      <c r="N100" s="420">
        <f>N97+N96+N94</f>
        <v>13420.1</v>
      </c>
      <c r="O100" s="420">
        <f>O97+O96+O94</f>
        <v>13788.900000000001</v>
      </c>
      <c r="P100" s="428">
        <f>O100</f>
        <v>13788.900000000001</v>
      </c>
      <c r="Q100" s="420">
        <f>Q97+Q96+Q94</f>
        <v>12452.7</v>
      </c>
      <c r="R100" s="420">
        <f>R97+R96+R94</f>
        <v>12507.1</v>
      </c>
      <c r="S100" s="420">
        <f>S97+S96+S94</f>
        <v>10858.7</v>
      </c>
      <c r="T100" s="420">
        <f>T97+T96+T94</f>
        <v>10974.7</v>
      </c>
      <c r="U100" s="428">
        <f>T100</f>
        <v>10974.7</v>
      </c>
      <c r="V100" s="420">
        <f>V97+V96+V94</f>
        <v>12199.400000000001</v>
      </c>
      <c r="W100" s="420">
        <f>W97+W96+W94</f>
        <v>12495.6</v>
      </c>
      <c r="X100" s="420">
        <f>X97+X96+X94</f>
        <v>12026.6</v>
      </c>
      <c r="Y100" s="420">
        <f>Y97+Y96+Y94</f>
        <v>13123.400000000001</v>
      </c>
      <c r="Z100" s="428">
        <f>Y100</f>
        <v>13123.400000000001</v>
      </c>
      <c r="AA100" s="420">
        <f>AA97+AA96+AA94</f>
        <v>12310</v>
      </c>
      <c r="AB100" s="420">
        <f>AB97+AB96+AB94</f>
        <v>13014</v>
      </c>
      <c r="AC100" s="420">
        <f>AC94+AC96+AC97</f>
        <v>13965.5</v>
      </c>
      <c r="AD100" s="420">
        <f>AD94+AD96+AD97</f>
        <v>22477.300000000003</v>
      </c>
      <c r="AE100" s="423">
        <f>AE94+AE96+AE97</f>
        <v>22477.300000000003</v>
      </c>
      <c r="AF100" s="420">
        <f>AF97+AF96+AF94</f>
        <v>18872</v>
      </c>
      <c r="AG100" s="420">
        <f>AG97+AG96+AG94</f>
        <v>18371.5</v>
      </c>
      <c r="AH100" s="420">
        <f>AH97+AH96+AH94</f>
        <v>17222.900000000001</v>
      </c>
      <c r="AI100" s="420">
        <f>AI94+AI96+AI97</f>
        <v>17935.599999999999</v>
      </c>
      <c r="AJ100" s="423">
        <f>AJ94+AJ96+AJ97</f>
        <v>17935.599999999999</v>
      </c>
      <c r="AK100" s="420">
        <f>AK97+AK96+AK94</f>
        <v>16735.5</v>
      </c>
      <c r="AL100" s="420">
        <f>AL97+AL96+AL94</f>
        <v>17487.8</v>
      </c>
      <c r="AM100" s="420">
        <f>AM97+AM96+AM94</f>
        <v>17498.8</v>
      </c>
      <c r="AN100" s="420">
        <f>AN94+AN96+AN97</f>
        <v>18588.599999999999</v>
      </c>
      <c r="AO100" s="423">
        <f>AO94+AO96+AO97</f>
        <v>18588.599999999999</v>
      </c>
      <c r="AP100" s="420">
        <f>AP97+AP96+AP94</f>
        <v>17761.099999999999</v>
      </c>
      <c r="AQ100" s="420">
        <f>AQ97+AQ96+AQ94</f>
        <v>18502.3</v>
      </c>
      <c r="AR100" s="420">
        <f>AR97+AR96+AR94</f>
        <v>17984.3</v>
      </c>
      <c r="AS100" s="420">
        <f>AS94+AS96+AS97</f>
        <v>20124.199999999997</v>
      </c>
      <c r="AT100" s="423">
        <f>AT94+AT96+AT97</f>
        <v>20124.199999999997</v>
      </c>
      <c r="AU100" s="420">
        <f>AU97+AU96+AU94</f>
        <v>17415.599999999999</v>
      </c>
      <c r="AV100" s="420">
        <f>AV97+AV96+AV94</f>
        <v>17504.7</v>
      </c>
      <c r="AW100" s="420">
        <f>AW97+AW96+AW94</f>
        <v>18264.099999999999</v>
      </c>
      <c r="AX100" s="420">
        <f>AX97+AX96+AX94</f>
        <v>19625</v>
      </c>
      <c r="AY100" s="423">
        <f>AY94+AY96+AY97</f>
        <v>19625</v>
      </c>
      <c r="AZ100" s="420">
        <f>AZ97+AZ96+AZ94</f>
        <v>17344.5</v>
      </c>
      <c r="BA100" s="420">
        <f>BA97+BA96+BA94</f>
        <v>17989.599999999999</v>
      </c>
      <c r="BB100" s="420">
        <f>BB97+BB96+BB94</f>
        <v>17069.5</v>
      </c>
      <c r="BC100" s="420">
        <f>BC97+BC96+BC94</f>
        <v>17608</v>
      </c>
      <c r="BD100" s="423">
        <f>BD94+BD96+BD97</f>
        <v>17608</v>
      </c>
      <c r="BE100" s="420">
        <f>BE97+BE96+BE94</f>
        <v>16408.2</v>
      </c>
      <c r="BF100" s="420">
        <f>BF97+BF96+BF94</f>
        <v>17023.599999999999</v>
      </c>
      <c r="BG100" s="420">
        <f>BG97+BG96+BG94</f>
        <v>16966.3</v>
      </c>
      <c r="BH100" s="799">
        <f>BH97+BH96+BH94</f>
        <v>20919.5</v>
      </c>
      <c r="BI100" s="423">
        <f>BI94+BI96+BI97</f>
        <v>20919.5</v>
      </c>
      <c r="BJ100" s="420">
        <f>BJ97+BJ96+BJ94</f>
        <v>20707.400000000001</v>
      </c>
      <c r="BK100" s="420">
        <f>BK97+BK96+BK94</f>
        <v>21331.200000000001</v>
      </c>
      <c r="BL100" s="420">
        <f>BL97+BL96+BL94</f>
        <v>21063.8</v>
      </c>
      <c r="BM100" s="420">
        <f>BM97+BM96+BM94</f>
        <v>20978.6</v>
      </c>
      <c r="BN100" s="423">
        <f>BN94+BN96+BN97</f>
        <v>20978.6</v>
      </c>
      <c r="BO100" s="420">
        <f>BO97+BO96+BO94</f>
        <v>19662.400000000001</v>
      </c>
      <c r="BP100" s="420">
        <f>BP97+BP96+BP94</f>
        <v>21819.1</v>
      </c>
      <c r="BQ100" s="420">
        <f>BQ97+BQ96+BQ94</f>
        <v>21974.5</v>
      </c>
      <c r="BR100" s="420">
        <f>BR97+BR96+BR94</f>
        <v>24725.4</v>
      </c>
      <c r="BS100" s="423">
        <f>BS94+BS96+BS97</f>
        <v>24725.4</v>
      </c>
      <c r="BT100" s="420">
        <f>BT97+BT96+BT94</f>
        <v>23520.6</v>
      </c>
      <c r="BU100" s="420">
        <f>BU97+BU96+BU94</f>
        <v>26776.799999999999</v>
      </c>
      <c r="BV100" s="420">
        <f>BV97+BV96+BV94</f>
        <v>28049.8</v>
      </c>
      <c r="BW100" s="420">
        <f>BW97+BW96+BW94</f>
        <v>33313.100000000006</v>
      </c>
      <c r="BX100" s="423">
        <f>BX94+BX96+BX97</f>
        <v>33313.100000000006</v>
      </c>
      <c r="BY100" s="421"/>
      <c r="BZ100" s="421"/>
      <c r="CA100" s="421"/>
      <c r="CB100" s="421"/>
      <c r="CC100" s="423">
        <f t="shared" ref="CC100:CH100" si="140">CC94+CC96+CC97</f>
        <v>25456.884708000001</v>
      </c>
      <c r="CD100" s="423">
        <f t="shared" si="140"/>
        <v>24351.915898175001</v>
      </c>
      <c r="CE100" s="423">
        <f t="shared" si="140"/>
        <v>24565.48045942</v>
      </c>
      <c r="CF100" s="423">
        <f t="shared" si="140"/>
        <v>24394.589525532276</v>
      </c>
      <c r="CG100" s="423">
        <f t="shared" si="140"/>
        <v>23932.590639270318</v>
      </c>
      <c r="CH100" s="423">
        <f t="shared" si="140"/>
        <v>23771.611338792783</v>
      </c>
    </row>
    <row r="101" spans="7:86">
      <c r="G101" s="230"/>
      <c r="L101" s="383"/>
      <c r="M101" s="383"/>
      <c r="N101" s="383"/>
      <c r="O101" s="384"/>
      <c r="P101" s="377"/>
      <c r="Q101" s="383"/>
      <c r="R101" s="383"/>
      <c r="S101" s="383"/>
      <c r="T101" s="384"/>
      <c r="U101" s="377"/>
      <c r="V101" s="383"/>
      <c r="W101" s="383"/>
      <c r="X101" s="383"/>
      <c r="Y101" s="384"/>
      <c r="Z101" s="77"/>
      <c r="AA101" s="383"/>
      <c r="AB101" s="383"/>
      <c r="AC101" s="383"/>
      <c r="AD101" s="384"/>
      <c r="AE101" s="77"/>
      <c r="AF101" s="383"/>
      <c r="AG101" s="383"/>
      <c r="AH101" s="383"/>
      <c r="AI101" s="384"/>
      <c r="AJ101" s="77"/>
      <c r="AK101" s="383"/>
      <c r="AL101" s="383"/>
      <c r="AM101" s="383"/>
      <c r="AN101" s="384"/>
      <c r="AP101" s="383"/>
      <c r="AQ101" s="383"/>
      <c r="AR101" s="383"/>
      <c r="AS101" s="384"/>
      <c r="AU101" s="383"/>
      <c r="AV101" s="383"/>
      <c r="AW101" s="317"/>
      <c r="AX101" s="317"/>
      <c r="AZ101" s="383"/>
      <c r="BA101" s="383"/>
      <c r="BB101" s="408"/>
      <c r="BC101" s="317"/>
      <c r="BE101" s="383"/>
      <c r="BF101" s="383"/>
      <c r="BG101" s="383"/>
      <c r="BH101" s="1077"/>
      <c r="BJ101" s="383"/>
      <c r="BK101" s="383"/>
      <c r="BL101" s="383"/>
      <c r="BM101" s="383"/>
      <c r="BO101" s="383"/>
      <c r="BP101" s="383"/>
      <c r="BQ101" s="383"/>
      <c r="BR101" s="408"/>
      <c r="BT101" s="383"/>
      <c r="BU101" s="383"/>
      <c r="BV101" s="383"/>
      <c r="BW101" s="408"/>
      <c r="BY101" s="408"/>
      <c r="BZ101" s="408"/>
      <c r="CA101" s="408"/>
      <c r="CB101" s="408"/>
    </row>
    <row r="102" spans="7:86">
      <c r="G102" s="230"/>
      <c r="H102" s="452" t="s">
        <v>96</v>
      </c>
      <c r="I102" s="452"/>
      <c r="J102" s="452"/>
      <c r="K102" s="452"/>
      <c r="L102" s="383"/>
      <c r="M102" s="383"/>
      <c r="N102" s="383"/>
      <c r="O102" s="384"/>
      <c r="P102" s="416">
        <v>0</v>
      </c>
      <c r="Q102" s="383"/>
      <c r="R102" s="383"/>
      <c r="S102" s="383"/>
      <c r="T102" s="384"/>
      <c r="U102" s="416">
        <v>0</v>
      </c>
      <c r="V102" s="383"/>
      <c r="W102" s="383"/>
      <c r="X102" s="383"/>
      <c r="Y102" s="384"/>
      <c r="Z102" s="416">
        <v>0</v>
      </c>
      <c r="AA102" s="383"/>
      <c r="AB102" s="383"/>
      <c r="AC102" s="383"/>
      <c r="AD102" s="384"/>
      <c r="AE102" s="416">
        <v>0</v>
      </c>
      <c r="AF102" s="383"/>
      <c r="AG102" s="383"/>
      <c r="AH102" s="383"/>
      <c r="AI102" s="384"/>
      <c r="AJ102" s="416">
        <v>0</v>
      </c>
      <c r="AK102" s="383"/>
      <c r="AL102" s="383"/>
      <c r="AM102" s="383"/>
      <c r="AN102" s="384"/>
      <c r="AO102" s="416">
        <v>0</v>
      </c>
      <c r="AP102" s="383"/>
      <c r="AQ102" s="383"/>
      <c r="AR102" s="383"/>
      <c r="AS102" s="384"/>
      <c r="AT102" s="416">
        <v>0</v>
      </c>
      <c r="AU102" s="383"/>
      <c r="AV102" s="383"/>
      <c r="AW102" s="317"/>
      <c r="AX102" s="317"/>
      <c r="AY102" s="416">
        <v>0</v>
      </c>
      <c r="AZ102" s="383"/>
      <c r="BA102" s="383"/>
      <c r="BB102" s="408"/>
      <c r="BC102" s="317"/>
      <c r="BD102" s="416">
        <v>0</v>
      </c>
      <c r="BE102" s="383"/>
      <c r="BF102" s="383"/>
      <c r="BG102" s="383"/>
      <c r="BH102" s="1077"/>
      <c r="BI102" s="416">
        <v>0</v>
      </c>
      <c r="BJ102" s="383"/>
      <c r="BK102" s="383"/>
      <c r="BL102" s="383"/>
      <c r="BM102" s="383"/>
      <c r="BN102" s="416">
        <v>0</v>
      </c>
      <c r="BO102" s="383"/>
      <c r="BP102" s="383"/>
      <c r="BQ102" s="383"/>
      <c r="BR102" s="408"/>
      <c r="BS102" s="416">
        <v>0</v>
      </c>
      <c r="BT102" s="383"/>
      <c r="BU102" s="383"/>
      <c r="BV102" s="383"/>
      <c r="BW102" s="408"/>
      <c r="BX102" s="416">
        <v>0</v>
      </c>
      <c r="BY102" s="408"/>
      <c r="BZ102" s="408"/>
      <c r="CA102" s="408"/>
      <c r="CB102" s="408"/>
      <c r="CC102" s="416">
        <v>0</v>
      </c>
      <c r="CD102" s="416">
        <v>0</v>
      </c>
      <c r="CE102" s="416">
        <v>0</v>
      </c>
      <c r="CF102" s="416">
        <v>0</v>
      </c>
      <c r="CG102" s="416">
        <v>0</v>
      </c>
      <c r="CH102" s="416">
        <v>0</v>
      </c>
    </row>
    <row r="103" spans="7:86">
      <c r="G103" s="230"/>
      <c r="H103" s="452" t="s">
        <v>97</v>
      </c>
      <c r="I103" s="452"/>
      <c r="J103" s="452"/>
      <c r="K103" s="452"/>
      <c r="L103" s="392">
        <f>SUM(L105:L110)-L111</f>
        <v>11597.8</v>
      </c>
      <c r="M103" s="392">
        <f>SUM(M105:M110)-M111</f>
        <v>10269.200000000001</v>
      </c>
      <c r="N103" s="392">
        <f>SUM(N105:N110)-N111</f>
        <v>11383.299999999997</v>
      </c>
      <c r="O103" s="392">
        <f>SUM(O105:O110)-O111</f>
        <v>10791.900000000001</v>
      </c>
      <c r="P103" s="429">
        <f t="shared" ref="P103:P112" si="141">O103</f>
        <v>10791.900000000001</v>
      </c>
      <c r="Q103" s="392">
        <f>SUM(Q105:Q110)-Q111</f>
        <v>11694.2</v>
      </c>
      <c r="R103" s="392">
        <f>SUM(R105:R110)-R111</f>
        <v>11928.499999999998</v>
      </c>
      <c r="S103" s="392">
        <f>SUM(S105:S110)-S111</f>
        <v>13054.7</v>
      </c>
      <c r="T103" s="392">
        <f>SUM(T105:T110)-T111</f>
        <v>10980.699999999999</v>
      </c>
      <c r="U103" s="429">
        <f t="shared" ref="U103:U112" si="142">T103</f>
        <v>10980.699999999999</v>
      </c>
      <c r="V103" s="392">
        <f>SUM(V105:V110)-V111</f>
        <v>11533.900000000001</v>
      </c>
      <c r="W103" s="392">
        <f>SUM(W105:W110)-W111</f>
        <v>11560</v>
      </c>
      <c r="X103" s="392">
        <f>SUM(X105:X110)-X111</f>
        <v>12946.900000000001</v>
      </c>
      <c r="Y103" s="392">
        <f>SUM(Y105:Y110)-Y111</f>
        <v>13664.400000000001</v>
      </c>
      <c r="Z103" s="429">
        <f t="shared" ref="Z103:Z112" si="143">Y103</f>
        <v>13664.400000000001</v>
      </c>
      <c r="AA103" s="392">
        <f t="shared" ref="AA103:AF103" si="144">SUM(AA105:AA110)-AA111</f>
        <v>14910.199999999997</v>
      </c>
      <c r="AB103" s="392">
        <f t="shared" si="144"/>
        <v>14737.999999999998</v>
      </c>
      <c r="AC103" s="392">
        <f t="shared" si="144"/>
        <v>13741.6</v>
      </c>
      <c r="AD103" s="392">
        <f t="shared" si="144"/>
        <v>6735.2999999999993</v>
      </c>
      <c r="AE103" s="429">
        <f t="shared" si="144"/>
        <v>6735.2999999999993</v>
      </c>
      <c r="AF103" s="392">
        <f t="shared" si="144"/>
        <v>7720.9999999999973</v>
      </c>
      <c r="AG103" s="392">
        <f t="shared" ref="AG103:AL103" si="145">SUM(AG105:AG110)-AG111</f>
        <v>8563.0999999999985</v>
      </c>
      <c r="AH103" s="392">
        <f t="shared" si="145"/>
        <v>9904.6000000000022</v>
      </c>
      <c r="AI103" s="392">
        <f t="shared" si="145"/>
        <v>9523.7000000000007</v>
      </c>
      <c r="AJ103" s="429">
        <f t="shared" si="145"/>
        <v>9523.7000000000007</v>
      </c>
      <c r="AK103" s="392">
        <f t="shared" si="145"/>
        <v>10459.600000000002</v>
      </c>
      <c r="AL103" s="392">
        <f t="shared" si="145"/>
        <v>10241.5</v>
      </c>
      <c r="AM103" s="392">
        <f t="shared" ref="AM103:AR103" si="146">SUM(AM105:AM110)-AM111</f>
        <v>12413.099999999997</v>
      </c>
      <c r="AN103" s="392">
        <f t="shared" si="146"/>
        <v>12420.300000000001</v>
      </c>
      <c r="AO103" s="429">
        <f t="shared" si="146"/>
        <v>12420.300000000001</v>
      </c>
      <c r="AP103" s="392">
        <f t="shared" si="146"/>
        <v>13938.100000000002</v>
      </c>
      <c r="AQ103" s="392">
        <f t="shared" si="146"/>
        <v>14276.800000000005</v>
      </c>
      <c r="AR103" s="392">
        <f t="shared" si="146"/>
        <v>15060.6</v>
      </c>
      <c r="AS103" s="392">
        <f t="shared" ref="AS103:AX103" si="147">SUM(AS105:AS110)-AS111</f>
        <v>13541.700000000003</v>
      </c>
      <c r="AT103" s="429">
        <f t="shared" si="147"/>
        <v>13541.700000000003</v>
      </c>
      <c r="AU103" s="392">
        <f t="shared" si="147"/>
        <v>14834.100000000002</v>
      </c>
      <c r="AV103" s="392">
        <f t="shared" si="147"/>
        <v>14310.400000000001</v>
      </c>
      <c r="AW103" s="392">
        <f t="shared" si="147"/>
        <v>16064.500000000002</v>
      </c>
      <c r="AX103" s="392">
        <f t="shared" si="147"/>
        <v>14765.2</v>
      </c>
      <c r="AY103" s="429">
        <f t="shared" ref="AY103:BD103" si="148">SUM(AY105:AY110)-AY111</f>
        <v>14765.2</v>
      </c>
      <c r="AZ103" s="392">
        <f t="shared" si="148"/>
        <v>14948.600000000002</v>
      </c>
      <c r="BA103" s="392">
        <f t="shared" si="148"/>
        <v>15227.399999999996</v>
      </c>
      <c r="BB103" s="392">
        <f t="shared" si="148"/>
        <v>16887.100000000002</v>
      </c>
      <c r="BC103" s="392">
        <f t="shared" si="148"/>
        <v>17631.400000000001</v>
      </c>
      <c r="BD103" s="429">
        <f t="shared" si="148"/>
        <v>17631.400000000001</v>
      </c>
      <c r="BE103" s="392">
        <f t="shared" ref="BE103:BX103" si="149">SUM(BE105:BE110)-BE111</f>
        <v>18338.099999999999</v>
      </c>
      <c r="BF103" s="392">
        <f t="shared" si="149"/>
        <v>17983.699999999997</v>
      </c>
      <c r="BG103" s="392">
        <f t="shared" si="149"/>
        <v>17669.3</v>
      </c>
      <c r="BH103" s="392">
        <f t="shared" si="149"/>
        <v>15373.200000000003</v>
      </c>
      <c r="BI103" s="429">
        <f t="shared" si="149"/>
        <v>15373.200000000003</v>
      </c>
      <c r="BJ103" s="392">
        <f t="shared" si="149"/>
        <v>14919.8</v>
      </c>
      <c r="BK103" s="392">
        <f t="shared" si="149"/>
        <v>14670.3</v>
      </c>
      <c r="BL103" s="392">
        <f t="shared" si="149"/>
        <v>15221.399999999998</v>
      </c>
      <c r="BM103" s="392">
        <f t="shared" si="149"/>
        <v>14571.3</v>
      </c>
      <c r="BN103" s="429">
        <f t="shared" si="149"/>
        <v>14571.3</v>
      </c>
      <c r="BO103" s="392">
        <f t="shared" si="149"/>
        <v>15009.899999999998</v>
      </c>
      <c r="BP103" s="392">
        <f t="shared" si="149"/>
        <v>14637.3</v>
      </c>
      <c r="BQ103" s="392">
        <f t="shared" si="149"/>
        <v>24014.6</v>
      </c>
      <c r="BR103" s="392">
        <f t="shared" si="149"/>
        <v>14007.7</v>
      </c>
      <c r="BS103" s="429">
        <f t="shared" si="149"/>
        <v>14007.7</v>
      </c>
      <c r="BT103" s="392">
        <f t="shared" si="149"/>
        <v>14031.000000000004</v>
      </c>
      <c r="BU103" s="392">
        <f t="shared" si="149"/>
        <v>14100.800000000001</v>
      </c>
      <c r="BV103" s="392">
        <f t="shared" si="149"/>
        <v>14890.300000000001</v>
      </c>
      <c r="BW103" s="392">
        <f t="shared" si="149"/>
        <v>11592.199999999999</v>
      </c>
      <c r="BX103" s="429">
        <f t="shared" si="149"/>
        <v>11592.199999999999</v>
      </c>
      <c r="BY103" s="384"/>
      <c r="BZ103" s="384"/>
      <c r="CA103" s="384"/>
      <c r="CB103" s="384"/>
      <c r="CC103" s="410">
        <f t="shared" ref="CC103:CH103" si="150">CC113-CC102-CC112</f>
        <v>12678.225111237502</v>
      </c>
      <c r="CD103" s="410">
        <f t="shared" si="150"/>
        <v>14247.331881083443</v>
      </c>
      <c r="CE103" s="410">
        <f t="shared" si="150"/>
        <v>16724.122992786441</v>
      </c>
      <c r="CF103" s="410">
        <f t="shared" si="150"/>
        <v>19673.35593550633</v>
      </c>
      <c r="CG103" s="410">
        <f t="shared" si="150"/>
        <v>23006.131123806055</v>
      </c>
      <c r="CH103" s="410">
        <f t="shared" si="150"/>
        <v>26806.904783540947</v>
      </c>
    </row>
    <row r="104" spans="7:86" hidden="1" outlineLevel="1">
      <c r="G104" s="230"/>
      <c r="H104" s="784" t="s">
        <v>137</v>
      </c>
      <c r="I104" s="452"/>
      <c r="J104" s="452"/>
      <c r="K104" s="452"/>
      <c r="L104" s="392">
        <f t="shared" ref="L104:AN104" si="151">L103-L107</f>
        <v>1135.3999999999996</v>
      </c>
      <c r="M104" s="392">
        <f t="shared" si="151"/>
        <v>887.20000000000073</v>
      </c>
      <c r="N104" s="392">
        <f t="shared" si="151"/>
        <v>1210.9999999999982</v>
      </c>
      <c r="O104" s="392">
        <f t="shared" si="151"/>
        <v>764.70000000000073</v>
      </c>
      <c r="P104" s="429">
        <f t="shared" si="151"/>
        <v>764.70000000000073</v>
      </c>
      <c r="Q104" s="392">
        <f t="shared" si="151"/>
        <v>829.20000000000073</v>
      </c>
      <c r="R104" s="392">
        <f t="shared" si="151"/>
        <v>1110.8999999999978</v>
      </c>
      <c r="S104" s="392">
        <f t="shared" si="151"/>
        <v>1362.2000000000007</v>
      </c>
      <c r="T104" s="392">
        <f t="shared" si="151"/>
        <v>53.999999999998181</v>
      </c>
      <c r="U104" s="429">
        <f t="shared" si="151"/>
        <v>53.999999999998181</v>
      </c>
      <c r="V104" s="392">
        <f t="shared" si="151"/>
        <v>106.70000000000073</v>
      </c>
      <c r="W104" s="392">
        <f t="shared" si="151"/>
        <v>396.89999999999964</v>
      </c>
      <c r="X104" s="392">
        <f t="shared" si="151"/>
        <v>856.80000000000109</v>
      </c>
      <c r="Y104" s="392">
        <f t="shared" si="151"/>
        <v>1697.2000000000007</v>
      </c>
      <c r="Z104" s="429">
        <f t="shared" si="151"/>
        <v>1697.2000000000007</v>
      </c>
      <c r="AA104" s="392">
        <f t="shared" si="151"/>
        <v>1876.3999999999978</v>
      </c>
      <c r="AB104" s="392">
        <f t="shared" si="151"/>
        <v>1937.5999999999985</v>
      </c>
      <c r="AC104" s="392">
        <f t="shared" si="151"/>
        <v>1405.3000000000011</v>
      </c>
      <c r="AD104" s="392">
        <f t="shared" si="151"/>
        <v>-919.60000000000036</v>
      </c>
      <c r="AE104" s="429">
        <f t="shared" si="151"/>
        <v>-919.60000000000036</v>
      </c>
      <c r="AF104" s="392">
        <f t="shared" si="151"/>
        <v>-1246.9000000000024</v>
      </c>
      <c r="AG104" s="392">
        <f t="shared" si="151"/>
        <v>-486.40000000000146</v>
      </c>
      <c r="AH104" s="392">
        <f t="shared" si="151"/>
        <v>-88.099999999998545</v>
      </c>
      <c r="AI104" s="392">
        <f t="shared" si="151"/>
        <v>-306.69999999999891</v>
      </c>
      <c r="AJ104" s="429">
        <f t="shared" si="151"/>
        <v>-306.69999999999891</v>
      </c>
      <c r="AK104" s="392">
        <f t="shared" si="151"/>
        <v>-617.59999999999854</v>
      </c>
      <c r="AL104" s="392">
        <f t="shared" si="151"/>
        <v>-1102.2000000000007</v>
      </c>
      <c r="AM104" s="392">
        <f t="shared" si="151"/>
        <v>-234.00000000000364</v>
      </c>
      <c r="AN104" s="392">
        <f t="shared" si="151"/>
        <v>-312.29999999999927</v>
      </c>
      <c r="AO104" s="785">
        <f t="shared" ref="AO104:BB104" si="152">AO103-AO107</f>
        <v>-312.29999999999927</v>
      </c>
      <c r="AP104" s="786">
        <f t="shared" si="152"/>
        <v>152.80000000000291</v>
      </c>
      <c r="AQ104" s="786">
        <f t="shared" si="152"/>
        <v>388.600000000004</v>
      </c>
      <c r="AR104" s="786">
        <f t="shared" si="152"/>
        <v>-65.299999999999272</v>
      </c>
      <c r="AS104" s="786">
        <f t="shared" si="152"/>
        <v>-1356.0999999999967</v>
      </c>
      <c r="AT104" s="785">
        <f t="shared" si="152"/>
        <v>-1356.0999999999967</v>
      </c>
      <c r="AU104" s="786">
        <f t="shared" si="152"/>
        <v>-1072.5999999999985</v>
      </c>
      <c r="AV104" s="786">
        <f t="shared" si="152"/>
        <v>-1425.7999999999993</v>
      </c>
      <c r="AW104" s="786">
        <f t="shared" si="152"/>
        <v>-997.69999999999891</v>
      </c>
      <c r="AX104" s="786">
        <f t="shared" si="152"/>
        <v>-1323</v>
      </c>
      <c r="AY104" s="785">
        <f t="shared" si="152"/>
        <v>-1323</v>
      </c>
      <c r="AZ104" s="786">
        <f t="shared" si="152"/>
        <v>-1513.7999999999993</v>
      </c>
      <c r="BA104" s="786">
        <f t="shared" si="152"/>
        <v>-1381.2000000000025</v>
      </c>
      <c r="BB104" s="786">
        <f t="shared" si="152"/>
        <v>-923.89999999999782</v>
      </c>
      <c r="BC104" s="786">
        <f t="shared" ref="BC104:BI104" si="153">BC103-BC107</f>
        <v>639</v>
      </c>
      <c r="BD104" s="785">
        <f t="shared" si="153"/>
        <v>639</v>
      </c>
      <c r="BE104" s="786">
        <f t="shared" si="153"/>
        <v>672.79999999999927</v>
      </c>
      <c r="BF104" s="786">
        <f t="shared" si="153"/>
        <v>779.39999999999782</v>
      </c>
      <c r="BG104" s="786">
        <f t="shared" si="153"/>
        <v>262.39999999999782</v>
      </c>
      <c r="BH104" s="786">
        <f t="shared" si="153"/>
        <v>-1109.4999999999982</v>
      </c>
      <c r="BI104" s="785">
        <f t="shared" si="153"/>
        <v>-1109.4999999999982</v>
      </c>
      <c r="BJ104" s="786">
        <f t="shared" ref="BJ104:BX104" si="154">BJ103-BJ107</f>
        <v>-1787</v>
      </c>
      <c r="BK104" s="786">
        <f t="shared" si="154"/>
        <v>-1444.6000000000004</v>
      </c>
      <c r="BL104" s="786">
        <f t="shared" si="154"/>
        <v>-1635.3000000000029</v>
      </c>
      <c r="BM104" s="786">
        <f t="shared" si="154"/>
        <v>-1440.5</v>
      </c>
      <c r="BN104" s="785">
        <f t="shared" si="154"/>
        <v>-1440.5</v>
      </c>
      <c r="BO104" s="786">
        <f t="shared" si="154"/>
        <v>-1145.1000000000022</v>
      </c>
      <c r="BP104" s="786">
        <f t="shared" si="154"/>
        <v>-1186.8000000000011</v>
      </c>
      <c r="BQ104" s="786">
        <f t="shared" si="154"/>
        <v>7413</v>
      </c>
      <c r="BR104" s="786">
        <f t="shared" si="154"/>
        <v>-2038.5999999999985</v>
      </c>
      <c r="BS104" s="785">
        <f t="shared" si="154"/>
        <v>-2038.5999999999985</v>
      </c>
      <c r="BT104" s="786">
        <f t="shared" si="154"/>
        <v>-1845.6999999999971</v>
      </c>
      <c r="BU104" s="786">
        <f t="shared" si="154"/>
        <v>-1489.2999999999993</v>
      </c>
      <c r="BV104" s="786">
        <f t="shared" si="154"/>
        <v>-1255.1999999999989</v>
      </c>
      <c r="BW104" s="786">
        <f t="shared" si="154"/>
        <v>-2301.9000000000015</v>
      </c>
      <c r="BX104" s="785">
        <f t="shared" si="154"/>
        <v>-2301.9000000000015</v>
      </c>
      <c r="BY104" s="384"/>
      <c r="BZ104" s="384"/>
      <c r="CA104" s="384"/>
      <c r="CB104" s="384"/>
      <c r="CC104" s="785">
        <f t="shared" ref="CC104:CH104" si="155">CC103-CC107</f>
        <v>-3301.8999999999978</v>
      </c>
      <c r="CD104" s="785">
        <f t="shared" si="155"/>
        <v>-4301.8999999999978</v>
      </c>
      <c r="CE104" s="785">
        <f t="shared" si="155"/>
        <v>-5051.8999999999978</v>
      </c>
      <c r="CF104" s="785">
        <f t="shared" si="155"/>
        <v>-5801.8999999999942</v>
      </c>
      <c r="CG104" s="785">
        <f t="shared" si="155"/>
        <v>-6551.9000000000015</v>
      </c>
      <c r="CH104" s="785">
        <f t="shared" si="155"/>
        <v>-7301.9000000000051</v>
      </c>
    </row>
    <row r="105" spans="7:86" hidden="1" outlineLevel="1">
      <c r="G105" s="230"/>
      <c r="H105" s="405" t="s">
        <v>688</v>
      </c>
      <c r="L105" s="391">
        <v>708.6</v>
      </c>
      <c r="M105" s="391">
        <v>709.2</v>
      </c>
      <c r="N105" s="391">
        <v>710.2</v>
      </c>
      <c r="O105" s="437">
        <v>706.9</v>
      </c>
      <c r="P105" s="429">
        <f t="shared" si="141"/>
        <v>706.9</v>
      </c>
      <c r="Q105" s="391">
        <v>706.9</v>
      </c>
      <c r="R105" s="391">
        <v>707</v>
      </c>
      <c r="S105" s="391">
        <v>707.6</v>
      </c>
      <c r="T105" s="437">
        <v>707.9</v>
      </c>
      <c r="U105" s="429">
        <f t="shared" si="142"/>
        <v>707.9</v>
      </c>
      <c r="V105" s="391">
        <v>709.3</v>
      </c>
      <c r="W105" s="391">
        <v>709.5</v>
      </c>
      <c r="X105" s="391">
        <v>709.5</v>
      </c>
      <c r="Y105" s="391">
        <v>709.5</v>
      </c>
      <c r="Z105" s="429">
        <f t="shared" si="143"/>
        <v>709.5</v>
      </c>
      <c r="AA105" s="391">
        <v>711.2</v>
      </c>
      <c r="AB105" s="391">
        <v>711.2</v>
      </c>
      <c r="AC105" s="391">
        <v>711.1</v>
      </c>
      <c r="AD105" s="391">
        <v>711.1</v>
      </c>
      <c r="AE105" s="424">
        <f t="shared" ref="AE105:AE112" si="156">AD105</f>
        <v>711.1</v>
      </c>
      <c r="AF105" s="391">
        <v>718.7</v>
      </c>
      <c r="AG105" s="391">
        <v>718.7</v>
      </c>
      <c r="AH105" s="391">
        <v>718.7</v>
      </c>
      <c r="AI105" s="391">
        <v>718.7</v>
      </c>
      <c r="AJ105" s="424">
        <f t="shared" ref="AJ105:AJ112" si="157">AI105</f>
        <v>718.7</v>
      </c>
      <c r="AK105" s="391">
        <v>721.3</v>
      </c>
      <c r="AL105" s="391">
        <v>721.3</v>
      </c>
      <c r="AM105" s="391">
        <v>721.3</v>
      </c>
      <c r="AN105" s="391">
        <v>721.3</v>
      </c>
      <c r="AO105" s="424">
        <f t="shared" ref="AO105:AO112" si="158">AN105</f>
        <v>721.3</v>
      </c>
      <c r="AP105" s="391">
        <v>724.1</v>
      </c>
      <c r="AQ105" s="391">
        <v>724.1</v>
      </c>
      <c r="AR105" s="391">
        <v>724.1</v>
      </c>
      <c r="AS105" s="391">
        <v>724.1</v>
      </c>
      <c r="AT105" s="424">
        <f t="shared" ref="AT105:AT112" si="159">AS105</f>
        <v>724.1</v>
      </c>
      <c r="AU105" s="391">
        <v>725.8</v>
      </c>
      <c r="AV105" s="391">
        <v>725.8</v>
      </c>
      <c r="AW105" s="923">
        <v>725.8</v>
      </c>
      <c r="AX105" s="923">
        <v>716.6</v>
      </c>
      <c r="AY105" s="424">
        <f t="shared" ref="AY105:AY112" si="160">AX105</f>
        <v>716.6</v>
      </c>
      <c r="AZ105" s="391">
        <v>704.5</v>
      </c>
      <c r="BA105" s="391">
        <v>704.7</v>
      </c>
      <c r="BB105" s="437">
        <v>704.7</v>
      </c>
      <c r="BC105" s="923">
        <v>698.5</v>
      </c>
      <c r="BD105" s="424">
        <f t="shared" ref="BD105:BD112" si="161">BC105</f>
        <v>698.5</v>
      </c>
      <c r="BE105" s="391">
        <v>700.1</v>
      </c>
      <c r="BF105" s="391">
        <v>699</v>
      </c>
      <c r="BG105" s="391">
        <v>696.6</v>
      </c>
      <c r="BH105" s="391">
        <v>694.6</v>
      </c>
      <c r="BI105" s="424">
        <f t="shared" ref="BI105:BI112" si="162">BH105</f>
        <v>694.6</v>
      </c>
      <c r="BJ105" s="391">
        <v>694.1</v>
      </c>
      <c r="BK105" s="391">
        <v>693.3</v>
      </c>
      <c r="BL105" s="391">
        <v>693</v>
      </c>
      <c r="BM105" s="391">
        <v>691.3</v>
      </c>
      <c r="BN105" s="424">
        <f t="shared" ref="BN105:BN112" si="163">BM105</f>
        <v>691.3</v>
      </c>
      <c r="BO105" s="391">
        <v>690.3</v>
      </c>
      <c r="BP105" s="391">
        <v>690.3</v>
      </c>
      <c r="BQ105" s="391">
        <v>690.4</v>
      </c>
      <c r="BR105" s="391">
        <v>688.5</v>
      </c>
      <c r="BS105" s="424">
        <f t="shared" ref="BS105:BS112" si="164">BR105</f>
        <v>688.5</v>
      </c>
      <c r="BT105" s="391">
        <v>690</v>
      </c>
      <c r="BU105" s="391">
        <v>688.5</v>
      </c>
      <c r="BV105" s="391">
        <v>688.5</v>
      </c>
      <c r="BW105" s="391">
        <v>687.9</v>
      </c>
      <c r="BX105" s="424">
        <f t="shared" ref="BX105:BX112" si="165">BW105</f>
        <v>687.9</v>
      </c>
      <c r="BY105" s="384"/>
      <c r="BZ105" s="384"/>
      <c r="CA105" s="384"/>
      <c r="CB105" s="384"/>
      <c r="CC105" s="377"/>
      <c r="CD105" s="377"/>
      <c r="CE105" s="377"/>
      <c r="CF105" s="377"/>
      <c r="CG105" s="377"/>
      <c r="CH105" s="377"/>
    </row>
    <row r="106" spans="7:86" hidden="1" outlineLevel="1">
      <c r="G106" s="230"/>
      <c r="H106" s="405" t="s">
        <v>646</v>
      </c>
      <c r="L106" s="391">
        <v>3227.9</v>
      </c>
      <c r="M106" s="391">
        <v>3324</v>
      </c>
      <c r="N106" s="391">
        <v>3598.1</v>
      </c>
      <c r="O106" s="437">
        <v>3323.8</v>
      </c>
      <c r="P106" s="429">
        <f t="shared" si="141"/>
        <v>3323.8</v>
      </c>
      <c r="Q106" s="391">
        <v>3255.3</v>
      </c>
      <c r="R106" s="391">
        <v>3365.2</v>
      </c>
      <c r="S106" s="391">
        <v>3482.3</v>
      </c>
      <c r="T106" s="437">
        <v>3571.9</v>
      </c>
      <c r="U106" s="429">
        <f t="shared" si="142"/>
        <v>3571.9</v>
      </c>
      <c r="V106" s="391">
        <v>3589.3</v>
      </c>
      <c r="W106" s="391">
        <v>3663</v>
      </c>
      <c r="X106" s="391">
        <v>3747.3</v>
      </c>
      <c r="Y106" s="391">
        <v>3805.2</v>
      </c>
      <c r="Z106" s="429">
        <f t="shared" si="143"/>
        <v>3805.2</v>
      </c>
      <c r="AA106" s="391">
        <v>3787.7</v>
      </c>
      <c r="AB106" s="391">
        <v>3837.5</v>
      </c>
      <c r="AC106" s="391">
        <v>3913.1</v>
      </c>
      <c r="AD106" s="391">
        <v>3976.6</v>
      </c>
      <c r="AE106" s="424">
        <f t="shared" si="156"/>
        <v>3976.6</v>
      </c>
      <c r="AF106" s="391">
        <v>4360.5</v>
      </c>
      <c r="AG106" s="391">
        <v>4455.3999999999996</v>
      </c>
      <c r="AH106" s="391">
        <v>4560.2</v>
      </c>
      <c r="AI106" s="391">
        <v>4635.6000000000004</v>
      </c>
      <c r="AJ106" s="424">
        <f t="shared" si="157"/>
        <v>4635.6000000000004</v>
      </c>
      <c r="AK106" s="391">
        <v>4623.8999999999996</v>
      </c>
      <c r="AL106" s="391">
        <v>4668</v>
      </c>
      <c r="AM106" s="391">
        <v>4743.2</v>
      </c>
      <c r="AN106" s="391">
        <v>4798.5</v>
      </c>
      <c r="AO106" s="424">
        <f t="shared" si="158"/>
        <v>4798.5</v>
      </c>
      <c r="AP106" s="391">
        <v>4736.8</v>
      </c>
      <c r="AQ106" s="391">
        <v>4793.5</v>
      </c>
      <c r="AR106" s="391">
        <v>4838.8</v>
      </c>
      <c r="AS106" s="391">
        <v>4886.8</v>
      </c>
      <c r="AT106" s="424">
        <f t="shared" si="159"/>
        <v>4886.8</v>
      </c>
      <c r="AU106" s="391">
        <v>4858.2</v>
      </c>
      <c r="AV106" s="391">
        <v>4890.1000000000004</v>
      </c>
      <c r="AW106" s="923">
        <v>4919.8999999999996</v>
      </c>
      <c r="AX106" s="923">
        <v>4963.1000000000004</v>
      </c>
      <c r="AY106" s="424">
        <f t="shared" si="160"/>
        <v>4963.1000000000004</v>
      </c>
      <c r="AZ106" s="391">
        <v>4902.8999999999996</v>
      </c>
      <c r="BA106" s="391">
        <v>4969.6000000000004</v>
      </c>
      <c r="BB106" s="437">
        <v>5042.3</v>
      </c>
      <c r="BC106" s="923">
        <v>5050</v>
      </c>
      <c r="BD106" s="424">
        <f t="shared" si="161"/>
        <v>5050</v>
      </c>
      <c r="BE106" s="391">
        <v>5034.6000000000004</v>
      </c>
      <c r="BF106" s="391">
        <v>5120.3</v>
      </c>
      <c r="BG106" s="391">
        <v>5222</v>
      </c>
      <c r="BH106" s="391">
        <v>5292.3</v>
      </c>
      <c r="BI106" s="424">
        <f t="shared" si="162"/>
        <v>5292.3</v>
      </c>
      <c r="BJ106" s="391">
        <v>5279.6</v>
      </c>
      <c r="BK106" s="391">
        <v>5368.5</v>
      </c>
      <c r="BL106" s="391">
        <v>5441.9</v>
      </c>
      <c r="BM106" s="391">
        <v>5552.1</v>
      </c>
      <c r="BN106" s="424">
        <f t="shared" si="163"/>
        <v>5552.1</v>
      </c>
      <c r="BO106" s="391">
        <v>5523</v>
      </c>
      <c r="BP106" s="391">
        <v>5587.8</v>
      </c>
      <c r="BQ106" s="391">
        <v>5648.6</v>
      </c>
      <c r="BR106" s="391">
        <v>5640.6</v>
      </c>
      <c r="BS106" s="424">
        <f t="shared" si="164"/>
        <v>5640.6</v>
      </c>
      <c r="BT106" s="391">
        <v>5617.6</v>
      </c>
      <c r="BU106" s="391">
        <v>5686.1</v>
      </c>
      <c r="BV106" s="391">
        <v>5754.7</v>
      </c>
      <c r="BW106" s="391">
        <v>5817.8</v>
      </c>
      <c r="BX106" s="424">
        <f t="shared" si="165"/>
        <v>5817.8</v>
      </c>
      <c r="BY106" s="384"/>
      <c r="BZ106" s="384"/>
      <c r="CA106" s="384"/>
      <c r="CB106" s="384"/>
      <c r="CC106" s="377"/>
      <c r="CD106" s="377"/>
      <c r="CE106" s="377"/>
      <c r="CF106" s="377"/>
      <c r="CG106" s="377"/>
      <c r="CH106" s="377"/>
    </row>
    <row r="107" spans="7:86" hidden="1" outlineLevel="1">
      <c r="G107" s="230"/>
      <c r="H107" s="405" t="s">
        <v>41</v>
      </c>
      <c r="L107" s="391">
        <v>10462.4</v>
      </c>
      <c r="M107" s="391">
        <v>9382</v>
      </c>
      <c r="N107" s="391">
        <v>10172.299999999999</v>
      </c>
      <c r="O107" s="437">
        <v>10027.200000000001</v>
      </c>
      <c r="P107" s="429">
        <f t="shared" si="141"/>
        <v>10027.200000000001</v>
      </c>
      <c r="Q107" s="391">
        <v>10865</v>
      </c>
      <c r="R107" s="391">
        <v>10817.6</v>
      </c>
      <c r="S107" s="391">
        <v>11692.5</v>
      </c>
      <c r="T107" s="437">
        <v>10926.7</v>
      </c>
      <c r="U107" s="429">
        <f t="shared" si="142"/>
        <v>10926.7</v>
      </c>
      <c r="V107" s="391">
        <v>11427.2</v>
      </c>
      <c r="W107" s="391">
        <v>11163.1</v>
      </c>
      <c r="X107" s="391">
        <v>12090.1</v>
      </c>
      <c r="Y107" s="391">
        <v>11967.2</v>
      </c>
      <c r="Z107" s="429">
        <f t="shared" si="143"/>
        <v>11967.2</v>
      </c>
      <c r="AA107" s="391">
        <v>13033.8</v>
      </c>
      <c r="AB107" s="391">
        <v>12800.4</v>
      </c>
      <c r="AC107" s="391">
        <v>12336.3</v>
      </c>
      <c r="AD107" s="391">
        <v>7654.9</v>
      </c>
      <c r="AE107" s="424">
        <f t="shared" si="156"/>
        <v>7654.9</v>
      </c>
      <c r="AF107" s="391">
        <v>8967.9</v>
      </c>
      <c r="AG107" s="391">
        <v>9049.5</v>
      </c>
      <c r="AH107" s="391">
        <v>9992.7000000000007</v>
      </c>
      <c r="AI107" s="391">
        <v>9830.4</v>
      </c>
      <c r="AJ107" s="424">
        <f t="shared" si="157"/>
        <v>9830.4</v>
      </c>
      <c r="AK107" s="391">
        <v>11077.2</v>
      </c>
      <c r="AL107" s="391">
        <v>11343.7</v>
      </c>
      <c r="AM107" s="391">
        <v>12647.1</v>
      </c>
      <c r="AN107" s="391">
        <v>12732.6</v>
      </c>
      <c r="AO107" s="424">
        <f t="shared" si="158"/>
        <v>12732.6</v>
      </c>
      <c r="AP107" s="391">
        <v>13785.3</v>
      </c>
      <c r="AQ107" s="391">
        <v>13888.2</v>
      </c>
      <c r="AR107" s="391">
        <v>15125.9</v>
      </c>
      <c r="AS107" s="391">
        <v>14897.8</v>
      </c>
      <c r="AT107" s="424">
        <f t="shared" si="159"/>
        <v>14897.8</v>
      </c>
      <c r="AU107" s="391">
        <v>15906.7</v>
      </c>
      <c r="AV107" s="391">
        <v>15736.2</v>
      </c>
      <c r="AW107" s="923">
        <v>17062.2</v>
      </c>
      <c r="AX107" s="923">
        <v>16088.2</v>
      </c>
      <c r="AY107" s="424">
        <f t="shared" si="160"/>
        <v>16088.2</v>
      </c>
      <c r="AZ107" s="391">
        <v>16462.400000000001</v>
      </c>
      <c r="BA107" s="391">
        <v>16608.599999999999</v>
      </c>
      <c r="BB107" s="437">
        <v>17811</v>
      </c>
      <c r="BC107" s="923">
        <v>16992.400000000001</v>
      </c>
      <c r="BD107" s="424">
        <f t="shared" si="161"/>
        <v>16992.400000000001</v>
      </c>
      <c r="BE107" s="391">
        <v>17665.3</v>
      </c>
      <c r="BF107" s="391">
        <v>17204.3</v>
      </c>
      <c r="BG107" s="391">
        <v>17406.900000000001</v>
      </c>
      <c r="BH107" s="391">
        <v>16482.7</v>
      </c>
      <c r="BI107" s="424">
        <f t="shared" si="162"/>
        <v>16482.7</v>
      </c>
      <c r="BJ107" s="391">
        <v>16706.8</v>
      </c>
      <c r="BK107" s="391">
        <v>16114.9</v>
      </c>
      <c r="BL107" s="391">
        <v>16856.7</v>
      </c>
      <c r="BM107" s="391">
        <v>16011.8</v>
      </c>
      <c r="BN107" s="424">
        <f t="shared" si="163"/>
        <v>16011.8</v>
      </c>
      <c r="BO107" s="391">
        <v>16155</v>
      </c>
      <c r="BP107" s="391">
        <v>15824.1</v>
      </c>
      <c r="BQ107" s="391">
        <v>16601.599999999999</v>
      </c>
      <c r="BR107" s="391">
        <v>16046.3</v>
      </c>
      <c r="BS107" s="424">
        <f t="shared" si="164"/>
        <v>16046.3</v>
      </c>
      <c r="BT107" s="391">
        <v>15876.7</v>
      </c>
      <c r="BU107" s="391">
        <v>15590.1</v>
      </c>
      <c r="BV107" s="391">
        <v>16145.5</v>
      </c>
      <c r="BW107" s="391">
        <v>13894.1</v>
      </c>
      <c r="BX107" s="424">
        <f t="shared" si="165"/>
        <v>13894.1</v>
      </c>
      <c r="BY107" s="384"/>
      <c r="BZ107" s="384"/>
      <c r="CA107" s="384"/>
      <c r="CB107" s="384"/>
      <c r="CC107" s="377">
        <f>BX107+CC44+CC15</f>
        <v>15980.125111237499</v>
      </c>
      <c r="CD107" s="377">
        <f>CC107+CD44+CD15</f>
        <v>18549.23188108344</v>
      </c>
      <c r="CE107" s="377">
        <f>CD107+CE44+CE15</f>
        <v>21776.022992786438</v>
      </c>
      <c r="CF107" s="377">
        <f>CE107+CF44+CF15</f>
        <v>25475.255935506324</v>
      </c>
      <c r="CG107" s="377">
        <f>CF107+CG44+CG15</f>
        <v>29558.031123806057</v>
      </c>
      <c r="CH107" s="377">
        <f>CG107+CH44+CH15</f>
        <v>34108.804783540952</v>
      </c>
    </row>
    <row r="108" spans="7:86" hidden="1" outlineLevel="1">
      <c r="G108" s="230"/>
      <c r="H108" s="405" t="s">
        <v>443</v>
      </c>
      <c r="L108" s="391">
        <v>-2635</v>
      </c>
      <c r="M108" s="391">
        <v>-2635</v>
      </c>
      <c r="N108" s="391">
        <v>-2635</v>
      </c>
      <c r="O108" s="437">
        <v>-2635</v>
      </c>
      <c r="P108" s="429">
        <f t="shared" si="141"/>
        <v>-2635</v>
      </c>
      <c r="Q108" s="391">
        <v>-2635</v>
      </c>
      <c r="R108" s="391">
        <v>-2635</v>
      </c>
      <c r="S108" s="391">
        <v>-2635</v>
      </c>
      <c r="T108" s="437">
        <v>-2635</v>
      </c>
      <c r="U108" s="429">
        <f t="shared" si="142"/>
        <v>-2635</v>
      </c>
      <c r="V108" s="391">
        <v>-2635</v>
      </c>
      <c r="W108" s="391">
        <v>-2635</v>
      </c>
      <c r="X108" s="391">
        <v>-2635</v>
      </c>
      <c r="Y108" s="391">
        <v>-2635</v>
      </c>
      <c r="Z108" s="429">
        <f t="shared" si="143"/>
        <v>-2635</v>
      </c>
      <c r="AA108" s="391">
        <v>-2635</v>
      </c>
      <c r="AB108" s="391">
        <v>-2635</v>
      </c>
      <c r="AC108" s="391">
        <v>-2635</v>
      </c>
      <c r="AD108" s="391">
        <v>-2635</v>
      </c>
      <c r="AE108" s="424">
        <f t="shared" si="156"/>
        <v>-2635</v>
      </c>
      <c r="AF108" s="391">
        <v>-3013.2</v>
      </c>
      <c r="AG108" s="391">
        <v>-3013.2</v>
      </c>
      <c r="AH108" s="391">
        <v>-3013.2</v>
      </c>
      <c r="AI108" s="391">
        <v>-3013.2</v>
      </c>
      <c r="AJ108" s="424">
        <f t="shared" si="157"/>
        <v>-3013.2</v>
      </c>
      <c r="AK108" s="391">
        <v>-3013.2</v>
      </c>
      <c r="AL108" s="391">
        <v>-3013.2</v>
      </c>
      <c r="AM108" s="391">
        <v>-3013.2</v>
      </c>
      <c r="AN108" s="391">
        <v>-3013.2</v>
      </c>
      <c r="AO108" s="424">
        <f t="shared" si="158"/>
        <v>-3013.2</v>
      </c>
      <c r="AP108" s="391">
        <v>-3013.1</v>
      </c>
      <c r="AQ108" s="391">
        <v>-3013.1</v>
      </c>
      <c r="AR108" s="391">
        <v>-3013.1</v>
      </c>
      <c r="AS108" s="391">
        <v>-3013.1</v>
      </c>
      <c r="AT108" s="424">
        <f t="shared" si="159"/>
        <v>-3013.1</v>
      </c>
      <c r="AU108" s="391">
        <v>-3013.1</v>
      </c>
      <c r="AV108" s="391">
        <v>-3013.2</v>
      </c>
      <c r="AW108" s="923">
        <v>-3013.2</v>
      </c>
      <c r="AX108" s="923">
        <v>-3013.2</v>
      </c>
      <c r="AY108" s="424">
        <f t="shared" si="160"/>
        <v>-3013.2</v>
      </c>
      <c r="AZ108" s="391">
        <v>-3013.2</v>
      </c>
      <c r="BA108" s="391">
        <v>-3013.2</v>
      </c>
      <c r="BB108" s="437">
        <v>-3013.2</v>
      </c>
      <c r="BC108" s="923">
        <v>-3013.2</v>
      </c>
      <c r="BD108" s="424">
        <f t="shared" si="161"/>
        <v>-3013.2</v>
      </c>
      <c r="BE108" s="391">
        <v>-3013.2</v>
      </c>
      <c r="BF108" s="391">
        <v>-3013.2</v>
      </c>
      <c r="BG108" s="391">
        <v>-3013.2</v>
      </c>
      <c r="BH108" s="391">
        <v>-3013.2</v>
      </c>
      <c r="BI108" s="424">
        <f t="shared" si="162"/>
        <v>-3013.2</v>
      </c>
      <c r="BJ108" s="391">
        <v>-3013.2</v>
      </c>
      <c r="BK108" s="391">
        <v>-3013.2</v>
      </c>
      <c r="BL108" s="391">
        <v>-3013.2</v>
      </c>
      <c r="BM108" s="391">
        <v>-3013.2</v>
      </c>
      <c r="BN108" s="424">
        <f t="shared" si="163"/>
        <v>-3013.2</v>
      </c>
      <c r="BO108" s="391">
        <f>-3013.2</f>
        <v>-3013.2</v>
      </c>
      <c r="BP108" s="391">
        <v>-3013.2</v>
      </c>
      <c r="BQ108" s="391">
        <v>-3103.2</v>
      </c>
      <c r="BR108" s="391">
        <v>-3013.2</v>
      </c>
      <c r="BS108" s="424">
        <f t="shared" si="164"/>
        <v>-3013.2</v>
      </c>
      <c r="BT108" s="391">
        <v>-3013.2</v>
      </c>
      <c r="BU108" s="391">
        <v>-3013.2</v>
      </c>
      <c r="BV108" s="391">
        <v>-3013.2</v>
      </c>
      <c r="BW108" s="391">
        <v>-3013.2</v>
      </c>
      <c r="BX108" s="424">
        <f t="shared" si="165"/>
        <v>-3013.2</v>
      </c>
      <c r="BY108" s="384"/>
      <c r="BZ108" s="384"/>
      <c r="CA108" s="384"/>
      <c r="CB108" s="384"/>
      <c r="CC108" s="377"/>
      <c r="CD108" s="377"/>
      <c r="CE108" s="377"/>
      <c r="CF108" s="377"/>
      <c r="CG108" s="377"/>
      <c r="CH108" s="377"/>
    </row>
    <row r="109" spans="7:86" hidden="1" outlineLevel="1">
      <c r="G109" s="230"/>
      <c r="H109" s="405" t="s">
        <v>86</v>
      </c>
      <c r="L109" s="391">
        <v>-110.6</v>
      </c>
      <c r="M109" s="391">
        <v>-109</v>
      </c>
      <c r="N109" s="391">
        <v>-108.1</v>
      </c>
      <c r="O109" s="437">
        <v>-106.3</v>
      </c>
      <c r="P109" s="429">
        <f t="shared" si="141"/>
        <v>-106.3</v>
      </c>
      <c r="Q109" s="391">
        <v>-105</v>
      </c>
      <c r="R109" s="391">
        <v>-103.7</v>
      </c>
      <c r="S109" s="391">
        <v>-102.5</v>
      </c>
      <c r="T109" s="437">
        <v>-100.7</v>
      </c>
      <c r="U109" s="429">
        <f t="shared" si="142"/>
        <v>-100.7</v>
      </c>
      <c r="V109" s="391">
        <v>-99.5</v>
      </c>
      <c r="W109" s="391">
        <v>-98.2</v>
      </c>
      <c r="X109" s="391">
        <v>-97</v>
      </c>
      <c r="Y109" s="391">
        <v>-95.2</v>
      </c>
      <c r="Z109" s="429">
        <f t="shared" si="143"/>
        <v>-95.2</v>
      </c>
      <c r="AA109" s="391">
        <v>-95.3</v>
      </c>
      <c r="AB109" s="391">
        <v>-91</v>
      </c>
      <c r="AC109" s="391">
        <v>-88.8</v>
      </c>
      <c r="AD109" s="391">
        <v>-86.3</v>
      </c>
      <c r="AE109" s="424">
        <f t="shared" si="156"/>
        <v>-86.3</v>
      </c>
      <c r="AF109" s="391">
        <v>-84.1</v>
      </c>
      <c r="AG109" s="391">
        <v>-82</v>
      </c>
      <c r="AH109" s="391">
        <v>-79.900000000000006</v>
      </c>
      <c r="AI109" s="391">
        <v>-77.400000000000006</v>
      </c>
      <c r="AJ109" s="424">
        <f t="shared" si="157"/>
        <v>-77.400000000000006</v>
      </c>
      <c r="AK109" s="391">
        <v>-75.3</v>
      </c>
      <c r="AL109" s="391">
        <v>-73.3</v>
      </c>
      <c r="AM109" s="391">
        <v>-58.1</v>
      </c>
      <c r="AN109" s="391">
        <v>-52.4</v>
      </c>
      <c r="AO109" s="424">
        <f t="shared" si="158"/>
        <v>-52.4</v>
      </c>
      <c r="AP109" s="391">
        <v>-10.9</v>
      </c>
      <c r="AQ109" s="391">
        <v>-10.7</v>
      </c>
      <c r="AR109" s="391">
        <v>-14.4</v>
      </c>
      <c r="AS109" s="391">
        <v>0</v>
      </c>
      <c r="AT109" s="429">
        <f t="shared" si="159"/>
        <v>0</v>
      </c>
      <c r="AU109" s="391">
        <v>0</v>
      </c>
      <c r="AV109" s="391">
        <v>0</v>
      </c>
      <c r="AW109" s="391">
        <v>0</v>
      </c>
      <c r="AX109" s="391">
        <v>0</v>
      </c>
      <c r="AY109" s="429">
        <f t="shared" si="160"/>
        <v>0</v>
      </c>
      <c r="AZ109" s="391">
        <v>0</v>
      </c>
      <c r="BA109" s="391">
        <v>0</v>
      </c>
      <c r="BB109" s="391">
        <v>0</v>
      </c>
      <c r="BC109" s="391">
        <v>0</v>
      </c>
      <c r="BD109" s="429">
        <f t="shared" si="161"/>
        <v>0</v>
      </c>
      <c r="BE109" s="391">
        <v>0</v>
      </c>
      <c r="BF109" s="391">
        <v>0</v>
      </c>
      <c r="BG109" s="391">
        <v>0</v>
      </c>
      <c r="BH109" s="391">
        <v>0</v>
      </c>
      <c r="BI109" s="429">
        <f t="shared" si="162"/>
        <v>0</v>
      </c>
      <c r="BJ109" s="391">
        <v>0</v>
      </c>
      <c r="BK109" s="391">
        <v>0</v>
      </c>
      <c r="BL109" s="391">
        <v>0</v>
      </c>
      <c r="BM109" s="391">
        <v>0</v>
      </c>
      <c r="BN109" s="429">
        <f t="shared" si="163"/>
        <v>0</v>
      </c>
      <c r="BO109" s="391">
        <v>0</v>
      </c>
      <c r="BP109" s="391">
        <v>0</v>
      </c>
      <c r="BQ109" s="391">
        <v>0</v>
      </c>
      <c r="BR109" s="391">
        <v>0</v>
      </c>
      <c r="BS109" s="429">
        <f t="shared" si="164"/>
        <v>0</v>
      </c>
      <c r="BT109" s="391">
        <v>0</v>
      </c>
      <c r="BU109" s="391">
        <v>0</v>
      </c>
      <c r="BV109" s="391">
        <v>0</v>
      </c>
      <c r="BW109" s="391">
        <v>0</v>
      </c>
      <c r="BX109" s="429">
        <f t="shared" si="165"/>
        <v>0</v>
      </c>
      <c r="BY109" s="384"/>
      <c r="BZ109" s="384"/>
      <c r="CA109" s="384"/>
      <c r="CB109" s="384"/>
      <c r="CC109" s="377"/>
      <c r="CD109" s="377"/>
      <c r="CE109" s="377"/>
      <c r="CF109" s="377"/>
      <c r="CG109" s="377"/>
      <c r="CH109" s="377"/>
    </row>
    <row r="110" spans="7:86" hidden="1" outlineLevel="1">
      <c r="G110" s="230"/>
      <c r="H110" s="405" t="s">
        <v>647</v>
      </c>
      <c r="L110" s="391">
        <v>47.6</v>
      </c>
      <c r="M110" s="391">
        <v>-298</v>
      </c>
      <c r="N110" s="391">
        <v>-250.1</v>
      </c>
      <c r="O110" s="437">
        <v>-420.6</v>
      </c>
      <c r="P110" s="429">
        <f t="shared" si="141"/>
        <v>-420.6</v>
      </c>
      <c r="Q110" s="391">
        <v>-290.39999999999998</v>
      </c>
      <c r="R110" s="391">
        <v>-120</v>
      </c>
      <c r="S110" s="391">
        <v>12.4</v>
      </c>
      <c r="T110" s="437">
        <v>-1388.7</v>
      </c>
      <c r="U110" s="429">
        <f t="shared" si="142"/>
        <v>-1388.7</v>
      </c>
      <c r="V110" s="391">
        <v>-1357</v>
      </c>
      <c r="W110" s="391">
        <v>-1142</v>
      </c>
      <c r="X110" s="391">
        <v>-767.6</v>
      </c>
      <c r="Y110" s="391">
        <v>13.2</v>
      </c>
      <c r="Z110" s="429">
        <f t="shared" si="143"/>
        <v>13.2</v>
      </c>
      <c r="AA110" s="391">
        <v>207</v>
      </c>
      <c r="AB110" s="391">
        <v>214.1</v>
      </c>
      <c r="AC110" s="391">
        <v>-395.9</v>
      </c>
      <c r="AD110" s="391">
        <v>-2786.8</v>
      </c>
      <c r="AE110" s="424">
        <f t="shared" si="156"/>
        <v>-2786.8</v>
      </c>
      <c r="AF110" s="391">
        <v>-3130.3</v>
      </c>
      <c r="AG110" s="391">
        <v>-2466.8000000000002</v>
      </c>
      <c r="AH110" s="391">
        <v>-2175.4</v>
      </c>
      <c r="AI110" s="391">
        <v>-2471.9</v>
      </c>
      <c r="AJ110" s="424">
        <f t="shared" si="157"/>
        <v>-2471.9</v>
      </c>
      <c r="AK110" s="391">
        <v>-2776.9</v>
      </c>
      <c r="AL110" s="391">
        <v>-3307.6</v>
      </c>
      <c r="AM110" s="391">
        <v>-2529.8000000000002</v>
      </c>
      <c r="AN110" s="391">
        <v>-2670.1</v>
      </c>
      <c r="AO110" s="424">
        <f t="shared" si="158"/>
        <v>-2670.1</v>
      </c>
      <c r="AP110" s="391">
        <v>-2188.8000000000002</v>
      </c>
      <c r="AQ110" s="391">
        <v>-2009.9</v>
      </c>
      <c r="AR110" s="391">
        <v>-2505.4</v>
      </c>
      <c r="AS110" s="391">
        <v>-3858.6</v>
      </c>
      <c r="AT110" s="424">
        <f t="shared" si="159"/>
        <v>-3858.6</v>
      </c>
      <c r="AU110" s="391">
        <v>-3549.2</v>
      </c>
      <c r="AV110" s="391">
        <v>-3934.2</v>
      </c>
      <c r="AW110" s="923">
        <v>-3535.9</v>
      </c>
      <c r="AX110" s="923">
        <v>-3797.1</v>
      </c>
      <c r="AY110" s="424">
        <f t="shared" si="160"/>
        <v>-3797.1</v>
      </c>
      <c r="AZ110" s="391">
        <v>-4014.4</v>
      </c>
      <c r="BA110" s="391">
        <v>-3948.7</v>
      </c>
      <c r="BB110" s="437">
        <v>-3564.1</v>
      </c>
      <c r="BC110" s="923">
        <v>-2002.7</v>
      </c>
      <c r="BD110" s="424">
        <f t="shared" si="161"/>
        <v>-2002.7</v>
      </c>
      <c r="BE110" s="391">
        <v>-1957.3</v>
      </c>
      <c r="BF110" s="391">
        <v>-1935.3</v>
      </c>
      <c r="BG110" s="391">
        <v>-2551.6</v>
      </c>
      <c r="BH110" s="391">
        <v>-3991.8</v>
      </c>
      <c r="BI110" s="424">
        <f t="shared" si="162"/>
        <v>-3991.8</v>
      </c>
      <c r="BJ110" s="391">
        <v>-4657.5</v>
      </c>
      <c r="BK110" s="391">
        <v>-4403.2</v>
      </c>
      <c r="BL110" s="391">
        <v>-4667</v>
      </c>
      <c r="BM110" s="391">
        <v>-4580.7</v>
      </c>
      <c r="BN110" s="424">
        <f t="shared" si="163"/>
        <v>-4580.7</v>
      </c>
      <c r="BO110" s="391">
        <f>-4264.7</f>
        <v>-4264.7</v>
      </c>
      <c r="BP110" s="391">
        <v>-4371.2</v>
      </c>
      <c r="BQ110" s="391">
        <v>4257.7</v>
      </c>
      <c r="BR110" s="391">
        <v>-5274</v>
      </c>
      <c r="BS110" s="424">
        <f t="shared" si="164"/>
        <v>-5274</v>
      </c>
      <c r="BT110" s="391">
        <v>-5064.3</v>
      </c>
      <c r="BU110" s="391">
        <v>-4774.8999999999996</v>
      </c>
      <c r="BV110" s="391">
        <v>-4609.3999999999996</v>
      </c>
      <c r="BW110" s="391">
        <v>-5718.6</v>
      </c>
      <c r="BX110" s="424">
        <f t="shared" si="165"/>
        <v>-5718.6</v>
      </c>
      <c r="BY110" s="384"/>
      <c r="BZ110" s="384"/>
      <c r="CA110" s="384"/>
      <c r="CB110" s="384"/>
      <c r="CC110" s="377"/>
      <c r="CD110" s="377"/>
      <c r="CE110" s="377"/>
      <c r="CF110" s="377"/>
      <c r="CG110" s="377"/>
      <c r="CH110" s="377"/>
    </row>
    <row r="111" spans="7:86" hidden="1" outlineLevel="1">
      <c r="G111" s="230"/>
      <c r="H111" s="405" t="s">
        <v>427</v>
      </c>
      <c r="L111" s="391">
        <v>103.1</v>
      </c>
      <c r="M111" s="391">
        <v>104</v>
      </c>
      <c r="N111" s="391">
        <v>104.1</v>
      </c>
      <c r="O111" s="437">
        <v>104.1</v>
      </c>
      <c r="P111" s="429">
        <f t="shared" si="141"/>
        <v>104.1</v>
      </c>
      <c r="Q111" s="391">
        <v>102.6</v>
      </c>
      <c r="R111" s="391">
        <v>102.6</v>
      </c>
      <c r="S111" s="391">
        <v>102.6</v>
      </c>
      <c r="T111" s="437">
        <v>101.4</v>
      </c>
      <c r="U111" s="429">
        <f t="shared" si="142"/>
        <v>101.4</v>
      </c>
      <c r="V111" s="391">
        <v>100.4</v>
      </c>
      <c r="W111" s="391">
        <v>100.4</v>
      </c>
      <c r="X111" s="391">
        <v>100.4</v>
      </c>
      <c r="Y111" s="391">
        <v>100.5</v>
      </c>
      <c r="Z111" s="429">
        <f t="shared" si="143"/>
        <v>100.5</v>
      </c>
      <c r="AA111" s="391">
        <v>99.2</v>
      </c>
      <c r="AB111" s="391">
        <v>99.2</v>
      </c>
      <c r="AC111" s="391">
        <v>99.2</v>
      </c>
      <c r="AD111" s="391">
        <v>99.2</v>
      </c>
      <c r="AE111" s="424">
        <f t="shared" si="156"/>
        <v>99.2</v>
      </c>
      <c r="AF111" s="391">
        <v>98.5</v>
      </c>
      <c r="AG111" s="391">
        <v>98.5</v>
      </c>
      <c r="AH111" s="391">
        <v>98.5</v>
      </c>
      <c r="AI111" s="391">
        <v>98.5</v>
      </c>
      <c r="AJ111" s="424">
        <f t="shared" si="157"/>
        <v>98.5</v>
      </c>
      <c r="AK111" s="391">
        <v>97.4</v>
      </c>
      <c r="AL111" s="391">
        <v>97.4</v>
      </c>
      <c r="AM111" s="391">
        <v>97.4</v>
      </c>
      <c r="AN111" s="391">
        <v>96.4</v>
      </c>
      <c r="AO111" s="424">
        <f t="shared" si="158"/>
        <v>96.4</v>
      </c>
      <c r="AP111" s="391">
        <v>95.3</v>
      </c>
      <c r="AQ111" s="391">
        <v>95.3</v>
      </c>
      <c r="AR111" s="391">
        <v>95.3</v>
      </c>
      <c r="AS111" s="391">
        <v>95.3</v>
      </c>
      <c r="AT111" s="424">
        <f t="shared" si="159"/>
        <v>95.3</v>
      </c>
      <c r="AU111" s="391">
        <v>94.3</v>
      </c>
      <c r="AV111" s="391">
        <v>94.3</v>
      </c>
      <c r="AW111" s="923">
        <v>94.3</v>
      </c>
      <c r="AX111" s="923">
        <v>192.4</v>
      </c>
      <c r="AY111" s="424">
        <f t="shared" si="160"/>
        <v>192.4</v>
      </c>
      <c r="AZ111" s="391">
        <v>93.6</v>
      </c>
      <c r="BA111" s="391">
        <v>93.6</v>
      </c>
      <c r="BB111" s="437">
        <v>93.6</v>
      </c>
      <c r="BC111" s="923">
        <v>93.6</v>
      </c>
      <c r="BD111" s="424">
        <f t="shared" si="161"/>
        <v>93.6</v>
      </c>
      <c r="BE111" s="391">
        <v>91.4</v>
      </c>
      <c r="BF111" s="391">
        <v>91.4</v>
      </c>
      <c r="BG111" s="391">
        <v>91.4</v>
      </c>
      <c r="BH111" s="391">
        <v>91.4</v>
      </c>
      <c r="BI111" s="424">
        <f t="shared" si="162"/>
        <v>91.4</v>
      </c>
      <c r="BJ111" s="391">
        <v>90</v>
      </c>
      <c r="BK111" s="391">
        <v>90</v>
      </c>
      <c r="BL111" s="391">
        <v>90</v>
      </c>
      <c r="BM111" s="391">
        <v>90</v>
      </c>
      <c r="BN111" s="424">
        <f t="shared" si="163"/>
        <v>90</v>
      </c>
      <c r="BO111" s="391">
        <v>80.5</v>
      </c>
      <c r="BP111" s="391">
        <v>80.5</v>
      </c>
      <c r="BQ111" s="391">
        <v>80.5</v>
      </c>
      <c r="BR111" s="391">
        <v>80.5</v>
      </c>
      <c r="BS111" s="424">
        <f t="shared" si="164"/>
        <v>80.5</v>
      </c>
      <c r="BT111" s="391">
        <v>75.8</v>
      </c>
      <c r="BU111" s="391">
        <v>75.8</v>
      </c>
      <c r="BV111" s="391">
        <v>75.8</v>
      </c>
      <c r="BW111" s="391">
        <v>75.8</v>
      </c>
      <c r="BX111" s="424">
        <f t="shared" si="165"/>
        <v>75.8</v>
      </c>
      <c r="BY111" s="384"/>
      <c r="BZ111" s="384"/>
      <c r="CA111" s="384"/>
      <c r="CB111" s="384"/>
      <c r="CC111" s="377"/>
      <c r="CD111" s="377"/>
      <c r="CE111" s="377"/>
      <c r="CF111" s="377"/>
      <c r="CG111" s="377"/>
      <c r="CH111" s="377"/>
    </row>
    <row r="112" spans="7:86" collapsed="1">
      <c r="G112" s="230"/>
      <c r="H112" s="452" t="s">
        <v>320</v>
      </c>
      <c r="L112" s="391">
        <v>0</v>
      </c>
      <c r="M112" s="391">
        <v>0</v>
      </c>
      <c r="N112" s="391">
        <v>0</v>
      </c>
      <c r="O112" s="391">
        <v>0</v>
      </c>
      <c r="P112" s="429">
        <f t="shared" si="141"/>
        <v>0</v>
      </c>
      <c r="Q112" s="391">
        <v>0</v>
      </c>
      <c r="R112" s="391">
        <v>0</v>
      </c>
      <c r="S112" s="391">
        <v>0</v>
      </c>
      <c r="T112" s="391">
        <v>0</v>
      </c>
      <c r="U112" s="429">
        <f t="shared" si="142"/>
        <v>0</v>
      </c>
      <c r="V112" s="391">
        <v>0</v>
      </c>
      <c r="W112" s="391">
        <v>0</v>
      </c>
      <c r="X112" s="391">
        <v>0</v>
      </c>
      <c r="Y112" s="391">
        <v>0</v>
      </c>
      <c r="Z112" s="429">
        <f t="shared" si="143"/>
        <v>0</v>
      </c>
      <c r="AA112" s="391">
        <v>0</v>
      </c>
      <c r="AB112" s="391">
        <v>0</v>
      </c>
      <c r="AC112" s="391">
        <v>0</v>
      </c>
      <c r="AD112" s="391">
        <v>0</v>
      </c>
      <c r="AE112" s="429">
        <f t="shared" si="156"/>
        <v>0</v>
      </c>
      <c r="AF112" s="391">
        <v>3.8</v>
      </c>
      <c r="AG112" s="391">
        <v>-3.1</v>
      </c>
      <c r="AH112" s="391">
        <v>0.4</v>
      </c>
      <c r="AI112" s="391">
        <v>1.6</v>
      </c>
      <c r="AJ112" s="429">
        <f t="shared" si="157"/>
        <v>1.6</v>
      </c>
      <c r="AK112" s="391">
        <v>2.7</v>
      </c>
      <c r="AL112" s="391">
        <v>-6.2</v>
      </c>
      <c r="AM112" s="391">
        <v>-7.6</v>
      </c>
      <c r="AN112" s="391">
        <v>-7.5</v>
      </c>
      <c r="AO112" s="429">
        <f t="shared" si="158"/>
        <v>-7.5</v>
      </c>
      <c r="AP112" s="391">
        <v>-3.9</v>
      </c>
      <c r="AQ112" s="391">
        <v>0.2</v>
      </c>
      <c r="AR112" s="391">
        <v>-2.7</v>
      </c>
      <c r="AS112" s="391">
        <v>-6.1</v>
      </c>
      <c r="AT112" s="429">
        <f t="shared" si="159"/>
        <v>-6.1</v>
      </c>
      <c r="AU112" s="391">
        <v>-11.5</v>
      </c>
      <c r="AV112" s="391">
        <v>-2.5</v>
      </c>
      <c r="AW112" s="923">
        <v>-7.6</v>
      </c>
      <c r="AX112" s="923">
        <v>8.6999999999999993</v>
      </c>
      <c r="AY112" s="429">
        <f t="shared" si="160"/>
        <v>8.6999999999999993</v>
      </c>
      <c r="AZ112" s="391">
        <v>7</v>
      </c>
      <c r="BA112" s="391">
        <v>9</v>
      </c>
      <c r="BB112" s="437">
        <v>9</v>
      </c>
      <c r="BC112" s="923">
        <v>9.3000000000000007</v>
      </c>
      <c r="BD112" s="429">
        <f t="shared" si="161"/>
        <v>9.3000000000000007</v>
      </c>
      <c r="BE112" s="391">
        <v>10.6</v>
      </c>
      <c r="BF112" s="391">
        <v>11.1</v>
      </c>
      <c r="BG112" s="391">
        <v>13.2</v>
      </c>
      <c r="BH112" s="391">
        <v>14.9</v>
      </c>
      <c r="BI112" s="429">
        <f t="shared" si="162"/>
        <v>14.9</v>
      </c>
      <c r="BJ112" s="391">
        <v>26.7</v>
      </c>
      <c r="BK112" s="391">
        <v>35.1</v>
      </c>
      <c r="BL112" s="391">
        <v>19.5</v>
      </c>
      <c r="BM112" s="391">
        <v>19</v>
      </c>
      <c r="BN112" s="429">
        <f t="shared" si="163"/>
        <v>19</v>
      </c>
      <c r="BO112" s="391">
        <v>19.5</v>
      </c>
      <c r="BP112" s="391">
        <v>18.899999999999999</v>
      </c>
      <c r="BQ112" s="391">
        <v>26.6</v>
      </c>
      <c r="BR112" s="391">
        <v>72.8</v>
      </c>
      <c r="BS112" s="429">
        <f t="shared" si="164"/>
        <v>72.8</v>
      </c>
      <c r="BT112" s="391">
        <v>72.7</v>
      </c>
      <c r="BU112" s="391">
        <v>68.900000000000006</v>
      </c>
      <c r="BV112" s="391">
        <v>70.3</v>
      </c>
      <c r="BW112" s="391">
        <v>75.7</v>
      </c>
      <c r="BX112" s="429">
        <f t="shared" si="165"/>
        <v>75.7</v>
      </c>
      <c r="BY112" s="384"/>
      <c r="BZ112" s="384"/>
      <c r="CA112" s="384"/>
      <c r="CB112" s="384"/>
      <c r="CC112" s="377">
        <f>BX112</f>
        <v>75.7</v>
      </c>
      <c r="CD112" s="377">
        <f>CC112</f>
        <v>75.7</v>
      </c>
      <c r="CE112" s="377">
        <f>CD112</f>
        <v>75.7</v>
      </c>
      <c r="CF112" s="377">
        <f>CE112</f>
        <v>75.7</v>
      </c>
      <c r="CG112" s="377">
        <f>CF112</f>
        <v>75.7</v>
      </c>
      <c r="CH112" s="377">
        <f>CG112</f>
        <v>75.7</v>
      </c>
    </row>
    <row r="113" spans="1:86">
      <c r="G113" s="230"/>
      <c r="H113" s="419" t="s">
        <v>428</v>
      </c>
      <c r="I113" s="419"/>
      <c r="J113" s="419"/>
      <c r="K113" s="419"/>
      <c r="L113" s="420">
        <f>L102+L103</f>
        <v>11597.8</v>
      </c>
      <c r="M113" s="420">
        <f>M102+M103</f>
        <v>10269.200000000001</v>
      </c>
      <c r="N113" s="420">
        <f>N102+N103</f>
        <v>11383.299999999997</v>
      </c>
      <c r="O113" s="420">
        <f>O102+O103</f>
        <v>10791.900000000001</v>
      </c>
      <c r="P113" s="423">
        <f t="shared" ref="P113:AF113" si="166">P84-P100</f>
        <v>10791.899999999998</v>
      </c>
      <c r="Q113" s="421">
        <f t="shared" si="166"/>
        <v>11694.199999999997</v>
      </c>
      <c r="R113" s="421">
        <f t="shared" si="166"/>
        <v>11928.499999999998</v>
      </c>
      <c r="S113" s="421">
        <f t="shared" si="166"/>
        <v>13054.699999999997</v>
      </c>
      <c r="T113" s="421">
        <f t="shared" si="166"/>
        <v>10980.7</v>
      </c>
      <c r="U113" s="423">
        <f t="shared" si="166"/>
        <v>10980.7</v>
      </c>
      <c r="V113" s="421">
        <f t="shared" si="166"/>
        <v>11533.899999999998</v>
      </c>
      <c r="W113" s="421">
        <f t="shared" si="166"/>
        <v>11559.999999999998</v>
      </c>
      <c r="X113" s="421">
        <f t="shared" si="166"/>
        <v>12946.9</v>
      </c>
      <c r="Y113" s="421">
        <f t="shared" si="166"/>
        <v>13664.400000000001</v>
      </c>
      <c r="Z113" s="423">
        <f t="shared" si="166"/>
        <v>13664.400000000001</v>
      </c>
      <c r="AA113" s="421">
        <f t="shared" si="166"/>
        <v>14910.200000000004</v>
      </c>
      <c r="AB113" s="421">
        <f t="shared" si="166"/>
        <v>14738</v>
      </c>
      <c r="AC113" s="421">
        <f t="shared" si="166"/>
        <v>13741.600000000002</v>
      </c>
      <c r="AD113" s="421">
        <f t="shared" si="166"/>
        <v>6735.2999999999956</v>
      </c>
      <c r="AE113" s="423">
        <f t="shared" si="166"/>
        <v>6735.2999999999956</v>
      </c>
      <c r="AF113" s="421">
        <f t="shared" si="166"/>
        <v>7724.8000000000029</v>
      </c>
      <c r="AG113" s="421">
        <f t="shared" ref="AG113:AL113" si="167">AG84-AG100</f>
        <v>8559.9999999999964</v>
      </c>
      <c r="AH113" s="421">
        <f t="shared" si="167"/>
        <v>9905</v>
      </c>
      <c r="AI113" s="421">
        <f t="shared" si="167"/>
        <v>9525.3000000000029</v>
      </c>
      <c r="AJ113" s="423">
        <f t="shared" si="167"/>
        <v>9525.3000000000029</v>
      </c>
      <c r="AK113" s="421">
        <f t="shared" si="167"/>
        <v>10462.299999999999</v>
      </c>
      <c r="AL113" s="421">
        <f t="shared" si="167"/>
        <v>10235.300000000003</v>
      </c>
      <c r="AM113" s="421">
        <f t="shared" ref="AM113:AR113" si="168">AM84-AM100</f>
        <v>12405.500000000004</v>
      </c>
      <c r="AN113" s="421">
        <f t="shared" si="168"/>
        <v>12412.80000000001</v>
      </c>
      <c r="AO113" s="423">
        <f t="shared" si="168"/>
        <v>12412.80000000001</v>
      </c>
      <c r="AP113" s="421">
        <f t="shared" si="168"/>
        <v>13934.200000000004</v>
      </c>
      <c r="AQ113" s="421">
        <f t="shared" si="168"/>
        <v>14277.000000000004</v>
      </c>
      <c r="AR113" s="421">
        <f t="shared" si="168"/>
        <v>15057.900000000005</v>
      </c>
      <c r="AS113" s="421">
        <f t="shared" ref="AS113:AX113" si="169">AS84-AS100</f>
        <v>13535.600000000006</v>
      </c>
      <c r="AT113" s="423">
        <f t="shared" si="169"/>
        <v>13535.600000000006</v>
      </c>
      <c r="AU113" s="936">
        <f t="shared" si="169"/>
        <v>14822.600000000006</v>
      </c>
      <c r="AV113" s="936">
        <f t="shared" si="169"/>
        <v>14307.900000000001</v>
      </c>
      <c r="AW113" s="936">
        <f t="shared" si="169"/>
        <v>16056.900000000001</v>
      </c>
      <c r="AX113" s="936">
        <f t="shared" si="169"/>
        <v>14773.900000000001</v>
      </c>
      <c r="AY113" s="423">
        <f t="shared" ref="AY113:BD113" si="170">AY84-AY100</f>
        <v>14773.900000000001</v>
      </c>
      <c r="AZ113" s="936">
        <f t="shared" si="170"/>
        <v>14955.600000000006</v>
      </c>
      <c r="BA113" s="936">
        <f t="shared" si="170"/>
        <v>15236.400000000001</v>
      </c>
      <c r="BB113" s="936">
        <f t="shared" si="170"/>
        <v>16896.100000000006</v>
      </c>
      <c r="BC113" s="936">
        <f t="shared" si="170"/>
        <v>17640.700000000004</v>
      </c>
      <c r="BD113" s="423">
        <f t="shared" si="170"/>
        <v>17640.700000000004</v>
      </c>
      <c r="BE113" s="936">
        <f t="shared" ref="BE113:BX113" si="171">BE84-BE100</f>
        <v>18348.7</v>
      </c>
      <c r="BF113" s="936">
        <f t="shared" si="171"/>
        <v>17994.80000000001</v>
      </c>
      <c r="BG113" s="936">
        <f t="shared" si="171"/>
        <v>17682.500000000004</v>
      </c>
      <c r="BH113" s="936">
        <f t="shared" si="171"/>
        <v>15388.100000000006</v>
      </c>
      <c r="BI113" s="423">
        <f t="shared" si="171"/>
        <v>15388.100000000006</v>
      </c>
      <c r="BJ113" s="936">
        <f t="shared" si="171"/>
        <v>14946.600000000006</v>
      </c>
      <c r="BK113" s="936">
        <f t="shared" si="171"/>
        <v>14705.400000000005</v>
      </c>
      <c r="BL113" s="936">
        <f t="shared" si="171"/>
        <v>15240.900000000012</v>
      </c>
      <c r="BM113" s="936">
        <f t="shared" si="171"/>
        <v>14590.30000000001</v>
      </c>
      <c r="BN113" s="423">
        <f t="shared" si="171"/>
        <v>14590.30000000001</v>
      </c>
      <c r="BO113" s="936">
        <f t="shared" si="171"/>
        <v>15029.400000000001</v>
      </c>
      <c r="BP113" s="936">
        <f t="shared" si="171"/>
        <v>14656.200000000004</v>
      </c>
      <c r="BQ113" s="936">
        <f t="shared" si="171"/>
        <v>15615.800000000003</v>
      </c>
      <c r="BR113" s="936">
        <f t="shared" si="171"/>
        <v>14080.500000000007</v>
      </c>
      <c r="BS113" s="423">
        <f t="shared" si="171"/>
        <v>14080.500000000007</v>
      </c>
      <c r="BT113" s="936">
        <f t="shared" si="171"/>
        <v>14103.700000000004</v>
      </c>
      <c r="BU113" s="936">
        <f t="shared" si="171"/>
        <v>14169.7</v>
      </c>
      <c r="BV113" s="936">
        <f t="shared" si="171"/>
        <v>14960.600000000009</v>
      </c>
      <c r="BW113" s="936">
        <f t="shared" si="171"/>
        <v>11667.899999999994</v>
      </c>
      <c r="BX113" s="423">
        <f t="shared" si="171"/>
        <v>11667.899999999994</v>
      </c>
      <c r="BY113" s="421"/>
      <c r="BZ113" s="421"/>
      <c r="CA113" s="421"/>
      <c r="CB113" s="421"/>
      <c r="CC113" s="423">
        <f t="shared" ref="CC113:CH113" si="172">CC84-CC100</f>
        <v>12753.925111237502</v>
      </c>
      <c r="CD113" s="423">
        <f t="shared" si="172"/>
        <v>14323.031881083443</v>
      </c>
      <c r="CE113" s="423">
        <f t="shared" si="172"/>
        <v>16799.822992786441</v>
      </c>
      <c r="CF113" s="423">
        <f t="shared" si="172"/>
        <v>19749.055935506331</v>
      </c>
      <c r="CG113" s="423">
        <f t="shared" si="172"/>
        <v>23081.831123806056</v>
      </c>
      <c r="CH113" s="423">
        <f t="shared" si="172"/>
        <v>26882.604783540948</v>
      </c>
    </row>
    <row r="114" spans="1:86">
      <c r="G114" s="230"/>
      <c r="H114" s="396"/>
      <c r="I114" s="396"/>
      <c r="J114" s="396"/>
      <c r="K114" s="396"/>
      <c r="L114" s="388"/>
      <c r="M114" s="388"/>
      <c r="N114" s="388"/>
      <c r="O114" s="400"/>
      <c r="P114" s="399"/>
      <c r="Q114" s="388"/>
      <c r="R114" s="388"/>
      <c r="S114" s="388"/>
      <c r="T114" s="400"/>
      <c r="U114" s="399"/>
      <c r="V114" s="388"/>
      <c r="W114" s="388"/>
      <c r="X114" s="388"/>
      <c r="Y114" s="388"/>
      <c r="Z114" s="399"/>
      <c r="AA114" s="388"/>
      <c r="AB114" s="388"/>
      <c r="AC114" s="388"/>
      <c r="AD114" s="400"/>
      <c r="AE114" s="399"/>
      <c r="AF114" s="388"/>
      <c r="AG114" s="388"/>
      <c r="AH114" s="388"/>
      <c r="AI114" s="400"/>
      <c r="AJ114" s="399"/>
      <c r="AK114" s="388"/>
      <c r="AL114" s="388"/>
      <c r="AM114" s="400"/>
      <c r="AN114" s="400"/>
      <c r="AO114" s="399"/>
      <c r="AP114" s="388"/>
      <c r="AQ114" s="388"/>
      <c r="AR114" s="388"/>
      <c r="AS114" s="400"/>
      <c r="AT114" s="399"/>
      <c r="AU114" s="388"/>
      <c r="AV114" s="388"/>
      <c r="AW114" s="811"/>
      <c r="AX114" s="811"/>
      <c r="AY114" s="399"/>
      <c r="AZ114" s="388"/>
      <c r="BA114" s="388"/>
      <c r="BB114" s="388"/>
      <c r="BC114" s="811"/>
      <c r="BD114" s="399"/>
      <c r="BE114" s="388"/>
      <c r="BF114" s="388"/>
      <c r="BG114" s="388"/>
      <c r="BH114" s="1085"/>
      <c r="BI114" s="399"/>
      <c r="BJ114" s="388"/>
      <c r="BK114" s="811"/>
      <c r="BL114" s="811"/>
      <c r="BM114" s="388"/>
      <c r="BN114" s="399"/>
      <c r="BO114" s="388"/>
      <c r="BP114" s="388"/>
      <c r="BQ114" s="388"/>
      <c r="BR114" s="400"/>
      <c r="BS114" s="399"/>
      <c r="BT114" s="388"/>
      <c r="BU114" s="388"/>
      <c r="BV114" s="388"/>
      <c r="BW114" s="400"/>
      <c r="BX114" s="399"/>
      <c r="BY114" s="400"/>
      <c r="BZ114" s="400"/>
      <c r="CA114" s="400"/>
      <c r="CB114" s="400"/>
      <c r="CC114" s="399"/>
      <c r="CD114" s="399"/>
      <c r="CE114" s="399"/>
      <c r="CF114" s="399"/>
      <c r="CG114" s="399"/>
      <c r="CH114" s="399"/>
    </row>
    <row r="115" spans="1:86" ht="14.25" thickBot="1">
      <c r="G115" s="230"/>
      <c r="H115" s="681" t="s">
        <v>483</v>
      </c>
      <c r="I115" s="681"/>
      <c r="J115" s="681"/>
      <c r="K115" s="681"/>
      <c r="L115" s="682">
        <f>L113+L100</f>
        <v>23239.7</v>
      </c>
      <c r="M115" s="682">
        <f>M113+M100</f>
        <v>23420.2</v>
      </c>
      <c r="N115" s="682">
        <f>N113+N100</f>
        <v>24803.399999999998</v>
      </c>
      <c r="O115" s="682">
        <f>O113+O100</f>
        <v>24580.800000000003</v>
      </c>
      <c r="P115" s="683">
        <f t="shared" ref="P115:AF115" si="173">P84</f>
        <v>24580.799999999999</v>
      </c>
      <c r="Q115" s="682">
        <f t="shared" si="173"/>
        <v>24146.899999999998</v>
      </c>
      <c r="R115" s="682">
        <f t="shared" si="173"/>
        <v>24435.599999999999</v>
      </c>
      <c r="S115" s="682">
        <f t="shared" si="173"/>
        <v>23913.399999999998</v>
      </c>
      <c r="T115" s="682">
        <f t="shared" si="173"/>
        <v>21955.4</v>
      </c>
      <c r="U115" s="683">
        <f t="shared" si="173"/>
        <v>21955.4</v>
      </c>
      <c r="V115" s="682">
        <f t="shared" si="173"/>
        <v>23733.3</v>
      </c>
      <c r="W115" s="682">
        <f t="shared" si="173"/>
        <v>24055.599999999999</v>
      </c>
      <c r="X115" s="682">
        <f t="shared" si="173"/>
        <v>24973.5</v>
      </c>
      <c r="Y115" s="682">
        <f t="shared" si="173"/>
        <v>26787.800000000003</v>
      </c>
      <c r="Z115" s="683">
        <f t="shared" si="173"/>
        <v>26787.800000000003</v>
      </c>
      <c r="AA115" s="682">
        <f t="shared" si="173"/>
        <v>27220.200000000004</v>
      </c>
      <c r="AB115" s="682">
        <f t="shared" si="173"/>
        <v>27752</v>
      </c>
      <c r="AC115" s="682">
        <f t="shared" si="173"/>
        <v>27707.100000000002</v>
      </c>
      <c r="AD115" s="682">
        <f t="shared" si="173"/>
        <v>29212.6</v>
      </c>
      <c r="AE115" s="684">
        <f t="shared" si="173"/>
        <v>29212.6</v>
      </c>
      <c r="AF115" s="682">
        <f t="shared" si="173"/>
        <v>26596.800000000003</v>
      </c>
      <c r="AG115" s="682">
        <f t="shared" ref="AG115:AM115" si="174">AG84</f>
        <v>26931.499999999996</v>
      </c>
      <c r="AH115" s="682">
        <f t="shared" si="174"/>
        <v>27127.9</v>
      </c>
      <c r="AI115" s="682">
        <f t="shared" si="174"/>
        <v>27460.9</v>
      </c>
      <c r="AJ115" s="684">
        <f t="shared" si="174"/>
        <v>27460.9</v>
      </c>
      <c r="AK115" s="682">
        <f t="shared" si="174"/>
        <v>27197.8</v>
      </c>
      <c r="AL115" s="682">
        <f t="shared" si="174"/>
        <v>27723.100000000002</v>
      </c>
      <c r="AM115" s="682">
        <f t="shared" si="174"/>
        <v>29904.300000000003</v>
      </c>
      <c r="AN115" s="682">
        <f t="shared" ref="AN115:AT115" si="175">AN84</f>
        <v>31001.400000000009</v>
      </c>
      <c r="AO115" s="684">
        <f t="shared" si="175"/>
        <v>31001.400000000009</v>
      </c>
      <c r="AP115" s="682">
        <f t="shared" si="175"/>
        <v>31695.300000000003</v>
      </c>
      <c r="AQ115" s="682">
        <f t="shared" si="175"/>
        <v>32779.300000000003</v>
      </c>
      <c r="AR115" s="682">
        <f t="shared" si="175"/>
        <v>33042.200000000004</v>
      </c>
      <c r="AS115" s="682">
        <f t="shared" si="175"/>
        <v>33659.800000000003</v>
      </c>
      <c r="AT115" s="684">
        <f t="shared" si="175"/>
        <v>33659.800000000003</v>
      </c>
      <c r="AU115" s="682">
        <f t="shared" ref="AU115:AZ115" si="176">AU84</f>
        <v>32238.200000000004</v>
      </c>
      <c r="AV115" s="682">
        <f t="shared" si="176"/>
        <v>31812.600000000002</v>
      </c>
      <c r="AW115" s="682">
        <f t="shared" si="176"/>
        <v>34321</v>
      </c>
      <c r="AX115" s="682">
        <f t="shared" si="176"/>
        <v>34398.9</v>
      </c>
      <c r="AY115" s="684">
        <f t="shared" si="176"/>
        <v>34398.9</v>
      </c>
      <c r="AZ115" s="682">
        <f t="shared" si="176"/>
        <v>32300.100000000006</v>
      </c>
      <c r="BA115" s="682">
        <f t="shared" ref="BA115:BF115" si="177">BA84</f>
        <v>33226</v>
      </c>
      <c r="BB115" s="682">
        <f t="shared" si="177"/>
        <v>33965.600000000006</v>
      </c>
      <c r="BC115" s="682">
        <f t="shared" si="177"/>
        <v>35248.700000000004</v>
      </c>
      <c r="BD115" s="684">
        <f t="shared" si="177"/>
        <v>35248.700000000004</v>
      </c>
      <c r="BE115" s="682">
        <f t="shared" si="177"/>
        <v>34756.9</v>
      </c>
      <c r="BF115" s="682">
        <f t="shared" si="177"/>
        <v>35018.400000000009</v>
      </c>
      <c r="BG115" s="682">
        <f t="shared" ref="BG115:BR115" si="178">BG84</f>
        <v>34648.800000000003</v>
      </c>
      <c r="BH115" s="1081">
        <f t="shared" si="178"/>
        <v>36307.600000000006</v>
      </c>
      <c r="BI115" s="684">
        <f t="shared" si="178"/>
        <v>36307.600000000006</v>
      </c>
      <c r="BJ115" s="682">
        <f t="shared" si="178"/>
        <v>35654.000000000007</v>
      </c>
      <c r="BK115" s="682">
        <f t="shared" si="178"/>
        <v>36036.600000000006</v>
      </c>
      <c r="BL115" s="682">
        <f t="shared" si="178"/>
        <v>36304.700000000012</v>
      </c>
      <c r="BM115" s="682">
        <f t="shared" si="178"/>
        <v>35568.900000000009</v>
      </c>
      <c r="BN115" s="684">
        <f t="shared" si="178"/>
        <v>35568.900000000009</v>
      </c>
      <c r="BO115" s="682">
        <f t="shared" si="178"/>
        <v>34691.800000000003</v>
      </c>
      <c r="BP115" s="682">
        <f t="shared" si="178"/>
        <v>36475.300000000003</v>
      </c>
      <c r="BQ115" s="682">
        <f t="shared" si="178"/>
        <v>37590.300000000003</v>
      </c>
      <c r="BR115" s="682">
        <f t="shared" si="178"/>
        <v>38805.900000000009</v>
      </c>
      <c r="BS115" s="684">
        <f t="shared" ref="BS115:CE115" si="179">BS84</f>
        <v>38805.900000000009</v>
      </c>
      <c r="BT115" s="682">
        <f t="shared" si="179"/>
        <v>37624.300000000003</v>
      </c>
      <c r="BU115" s="682">
        <f>BU84</f>
        <v>40946.5</v>
      </c>
      <c r="BV115" s="682">
        <f>BV84</f>
        <v>43010.400000000009</v>
      </c>
      <c r="BW115" s="682">
        <f>BW84</f>
        <v>44981</v>
      </c>
      <c r="BX115" s="684">
        <f t="shared" si="179"/>
        <v>44981</v>
      </c>
      <c r="BY115" s="685"/>
      <c r="BZ115" s="685"/>
      <c r="CA115" s="685"/>
      <c r="CB115" s="685"/>
      <c r="CC115" s="684">
        <f t="shared" si="179"/>
        <v>38210.809819237504</v>
      </c>
      <c r="CD115" s="684">
        <f t="shared" si="179"/>
        <v>38674.947779258444</v>
      </c>
      <c r="CE115" s="684">
        <f t="shared" si="179"/>
        <v>41365.303452206441</v>
      </c>
      <c r="CF115" s="684">
        <f>CF84</f>
        <v>44143.645461038606</v>
      </c>
      <c r="CG115" s="684">
        <f>CG84</f>
        <v>47014.421763076374</v>
      </c>
      <c r="CH115" s="684">
        <f>CH84</f>
        <v>50654.216122333732</v>
      </c>
    </row>
    <row r="116" spans="1:86" s="77" customFormat="1">
      <c r="A116"/>
      <c r="B116"/>
      <c r="C116"/>
      <c r="D116"/>
      <c r="E116"/>
      <c r="F116"/>
      <c r="G116" s="230"/>
      <c r="H116" s="463"/>
      <c r="I116" s="443"/>
      <c r="J116" s="443"/>
      <c r="K116" s="443"/>
      <c r="L116" s="464"/>
      <c r="M116" s="464"/>
      <c r="N116" s="464"/>
      <c r="O116" s="464"/>
      <c r="P116" s="464"/>
      <c r="Q116" s="464"/>
      <c r="R116" s="464"/>
      <c r="S116" s="464"/>
      <c r="T116" s="464"/>
      <c r="U116" s="464"/>
      <c r="V116" s="464"/>
      <c r="W116" s="464"/>
      <c r="X116" s="464"/>
      <c r="Y116" s="464"/>
      <c r="Z116" s="464"/>
      <c r="AA116" s="464"/>
      <c r="AB116" s="464"/>
      <c r="AC116" s="464"/>
      <c r="AD116" s="464"/>
      <c r="AE116" s="464"/>
      <c r="AF116" s="464"/>
      <c r="AG116" s="464"/>
      <c r="AH116" s="464"/>
      <c r="AI116" s="464"/>
      <c r="AJ116" s="464"/>
      <c r="AK116" s="464"/>
      <c r="AL116" s="464"/>
      <c r="AM116" s="464"/>
      <c r="AN116" s="464"/>
      <c r="AO116" s="464"/>
      <c r="AP116" s="464"/>
      <c r="AQ116" s="464"/>
      <c r="AR116" s="464"/>
      <c r="AS116" s="464"/>
      <c r="AT116" s="464"/>
      <c r="AU116" s="464"/>
      <c r="AV116" s="464"/>
      <c r="AW116" s="808"/>
      <c r="AX116" s="464"/>
      <c r="AY116" s="464"/>
      <c r="AZ116" s="464"/>
      <c r="BA116" s="464"/>
      <c r="BB116" s="464"/>
      <c r="BC116" s="464"/>
      <c r="BD116" s="464"/>
      <c r="BE116" s="464"/>
      <c r="BF116" s="464"/>
      <c r="BG116" s="464"/>
      <c r="BH116" s="464"/>
      <c r="BI116" s="464"/>
      <c r="BJ116" s="464"/>
      <c r="BK116" s="464"/>
      <c r="BL116" s="464"/>
      <c r="BM116" s="464"/>
      <c r="BN116" s="464"/>
      <c r="BO116" s="464"/>
      <c r="BP116" s="464"/>
      <c r="BQ116" s="464"/>
      <c r="BR116" s="464"/>
      <c r="BS116" s="464"/>
      <c r="BT116" s="464"/>
      <c r="BU116" s="464"/>
      <c r="BV116" s="464"/>
      <c r="BW116" s="464"/>
      <c r="BX116" s="464"/>
      <c r="BY116" s="464"/>
      <c r="BZ116" s="464"/>
      <c r="CA116" s="464"/>
      <c r="CB116" s="464"/>
      <c r="CC116" s="464"/>
      <c r="CD116" s="464"/>
      <c r="CE116" s="464"/>
      <c r="CF116" s="464"/>
      <c r="CG116" s="464"/>
      <c r="CH116" s="464"/>
    </row>
    <row r="117" spans="1:86" ht="15.75">
      <c r="G117" s="230"/>
      <c r="H117" s="10" t="s">
        <v>484</v>
      </c>
      <c r="I117" s="10"/>
      <c r="J117" s="10"/>
      <c r="K117" s="10"/>
      <c r="L117" s="465"/>
      <c r="M117" s="465"/>
      <c r="N117" s="465"/>
      <c r="O117" s="465"/>
      <c r="P117" s="465"/>
      <c r="Q117" s="465"/>
      <c r="R117" s="465"/>
      <c r="S117" s="465"/>
      <c r="T117" s="465"/>
      <c r="U117" s="465"/>
      <c r="V117" s="465"/>
      <c r="W117" s="465"/>
      <c r="X117" s="465"/>
      <c r="Y117" s="465"/>
      <c r="Z117" s="466"/>
      <c r="AA117" s="465"/>
      <c r="AB117" s="465"/>
      <c r="AC117" s="465"/>
      <c r="AD117" s="465"/>
      <c r="AE117" s="466"/>
      <c r="AF117" s="465"/>
      <c r="AG117" s="465"/>
      <c r="AH117" s="465"/>
      <c r="AI117" s="465"/>
      <c r="AJ117" s="466"/>
      <c r="AK117" s="466"/>
      <c r="AL117" s="466"/>
      <c r="AM117" s="466"/>
      <c r="AN117" s="466"/>
      <c r="AO117" s="465"/>
      <c r="AP117" s="465"/>
      <c r="AQ117" s="465"/>
      <c r="AR117" s="465"/>
      <c r="AS117" s="465"/>
      <c r="AT117" s="465"/>
      <c r="AU117" s="465"/>
      <c r="AV117" s="465"/>
      <c r="AW117" s="465"/>
      <c r="AX117" s="465"/>
      <c r="AY117" s="465"/>
      <c r="AZ117" s="465"/>
      <c r="BA117" s="465"/>
      <c r="BB117" s="465"/>
      <c r="BC117" s="465"/>
      <c r="BD117" s="465"/>
      <c r="BE117" s="465"/>
      <c r="BF117" s="465"/>
      <c r="BG117" s="465"/>
      <c r="BH117" s="465"/>
      <c r="BI117" s="465"/>
      <c r="BJ117" s="465"/>
      <c r="BK117" s="465"/>
      <c r="BL117" s="465"/>
      <c r="BM117" s="465"/>
      <c r="BN117" s="465"/>
      <c r="BO117" s="465"/>
      <c r="BP117" s="465"/>
      <c r="BQ117" s="465"/>
      <c r="BR117" s="465"/>
      <c r="BS117" s="465"/>
      <c r="BT117" s="465"/>
      <c r="BU117" s="465"/>
      <c r="BV117" s="465"/>
      <c r="BW117" s="465"/>
      <c r="BX117" s="465"/>
      <c r="BY117" s="465"/>
      <c r="BZ117" s="465"/>
      <c r="CA117" s="465"/>
      <c r="CB117" s="465"/>
      <c r="CC117" s="465"/>
      <c r="CD117" s="465"/>
      <c r="CE117" s="465"/>
      <c r="CF117" s="465"/>
      <c r="CG117" s="465"/>
      <c r="CH117" s="465"/>
    </row>
    <row r="118" spans="1:86" ht="15.75">
      <c r="G118" s="230"/>
      <c r="H118" s="10" t="s">
        <v>569</v>
      </c>
      <c r="I118" s="10"/>
      <c r="J118" s="10"/>
      <c r="K118" s="10"/>
      <c r="L118" s="465"/>
      <c r="M118" s="465"/>
      <c r="N118" s="465"/>
      <c r="O118" s="465"/>
      <c r="P118" s="465"/>
      <c r="Q118" s="465"/>
      <c r="R118" s="465"/>
      <c r="S118" s="465"/>
      <c r="T118" s="465"/>
      <c r="U118" s="465"/>
      <c r="V118" s="465"/>
      <c r="W118" s="465"/>
      <c r="X118" s="465"/>
      <c r="Y118" s="465"/>
      <c r="Z118" s="465"/>
      <c r="AA118" s="465"/>
      <c r="AB118" s="465"/>
      <c r="AC118" s="465"/>
      <c r="AD118" s="465"/>
      <c r="AE118" s="465"/>
      <c r="AF118" s="465"/>
      <c r="AG118" s="465"/>
      <c r="AH118" s="465"/>
      <c r="AI118" s="465"/>
      <c r="AJ118" s="465"/>
      <c r="AK118" s="465"/>
      <c r="AL118" s="465"/>
      <c r="AM118" s="465"/>
      <c r="AN118" s="465"/>
      <c r="AO118" s="465"/>
      <c r="AP118" s="465"/>
      <c r="AQ118" s="465"/>
      <c r="AR118" s="465"/>
      <c r="AS118" s="465"/>
      <c r="AT118" s="465"/>
      <c r="AU118" s="465"/>
      <c r="AV118" s="465"/>
      <c r="AW118" s="465"/>
      <c r="AX118" s="465"/>
      <c r="AY118" s="465"/>
      <c r="AZ118" s="465"/>
      <c r="BA118" s="465"/>
      <c r="BB118" s="465"/>
      <c r="BC118" s="465"/>
      <c r="BD118" s="465"/>
      <c r="BE118" s="465"/>
      <c r="BF118" s="465"/>
      <c r="BG118" s="465"/>
      <c r="BH118" s="465"/>
      <c r="BI118" s="465"/>
      <c r="BJ118" s="465"/>
      <c r="BK118" s="465"/>
      <c r="BL118" s="465"/>
      <c r="BM118" s="465"/>
      <c r="BN118" s="465"/>
      <c r="BO118" s="465"/>
      <c r="BP118" s="465"/>
      <c r="BQ118" s="465"/>
      <c r="BR118" s="465"/>
      <c r="BS118" s="465"/>
      <c r="BT118" s="465"/>
      <c r="BU118" s="465"/>
      <c r="BV118" s="465"/>
      <c r="BW118" s="465"/>
      <c r="BX118" s="465"/>
      <c r="BY118" s="465"/>
      <c r="BZ118" s="465"/>
      <c r="CA118" s="465"/>
      <c r="CB118" s="465"/>
      <c r="CC118" s="465"/>
      <c r="CD118" s="465"/>
      <c r="CE118" s="465"/>
      <c r="CF118" s="465"/>
      <c r="CG118" s="465"/>
      <c r="CH118" s="465"/>
    </row>
    <row r="119" spans="1:86" s="77" customFormat="1">
      <c r="A119"/>
      <c r="B119"/>
      <c r="C119"/>
      <c r="D119"/>
      <c r="E119"/>
      <c r="F119"/>
      <c r="G119" s="230"/>
      <c r="L119" s="377"/>
      <c r="M119" s="377"/>
      <c r="N119" s="377"/>
      <c r="O119" s="377"/>
      <c r="P119" s="377"/>
      <c r="Q119" s="377"/>
      <c r="R119" s="377"/>
      <c r="S119" s="377"/>
      <c r="T119" s="377"/>
      <c r="U119" s="377"/>
      <c r="V119" s="377"/>
      <c r="W119" s="377"/>
      <c r="X119" s="377"/>
      <c r="Y119" s="377"/>
      <c r="Z119" s="377"/>
      <c r="AA119" s="377"/>
      <c r="AB119" s="377"/>
      <c r="AC119" s="377"/>
      <c r="AD119" s="377"/>
      <c r="AE119" s="377"/>
      <c r="AF119" s="377"/>
      <c r="AG119" s="377"/>
      <c r="AH119" s="377"/>
      <c r="AI119" s="377"/>
      <c r="AJ119" s="377"/>
      <c r="AK119" s="377"/>
      <c r="AL119" s="377"/>
      <c r="AM119" s="377"/>
      <c r="AN119" s="377"/>
      <c r="AO119" s="377"/>
      <c r="AP119" s="377"/>
      <c r="AQ119" s="377"/>
      <c r="AR119" s="377"/>
      <c r="AS119" s="377"/>
      <c r="AT119" s="377"/>
      <c r="AU119" s="377"/>
      <c r="AV119" s="377"/>
      <c r="AW119" s="377"/>
      <c r="AX119" s="377"/>
      <c r="AY119" s="377"/>
      <c r="AZ119" s="377"/>
      <c r="BA119" s="377"/>
      <c r="BB119" s="377"/>
      <c r="BC119" s="377"/>
      <c r="BD119" s="377"/>
      <c r="BE119" s="377"/>
      <c r="BF119" s="377"/>
      <c r="BG119" s="377"/>
      <c r="BH119" s="377"/>
      <c r="BI119" s="377"/>
      <c r="BJ119" s="377"/>
      <c r="BK119" s="377"/>
      <c r="BL119" s="377"/>
      <c r="BM119" s="377"/>
      <c r="BN119" s="377"/>
      <c r="BO119" s="377"/>
      <c r="BP119" s="377"/>
      <c r="BQ119" s="377"/>
      <c r="BR119" s="377"/>
      <c r="BS119" s="377"/>
      <c r="BT119" s="377"/>
      <c r="BU119" s="377"/>
      <c r="BV119" s="377"/>
      <c r="BW119" s="377"/>
      <c r="BX119" s="377"/>
      <c r="BY119" s="377"/>
      <c r="BZ119" s="377"/>
      <c r="CA119" s="377"/>
      <c r="CB119" s="377"/>
      <c r="CC119" s="377"/>
      <c r="CD119" s="377"/>
      <c r="CE119" s="377"/>
      <c r="CF119" s="377"/>
      <c r="CG119" s="377"/>
      <c r="CH119" s="377"/>
    </row>
    <row r="120" spans="1:86" ht="14.25" thickBot="1">
      <c r="G120" s="449"/>
      <c r="H120" s="380" t="str">
        <f>CFBS!H9</f>
        <v>($M)</v>
      </c>
      <c r="I120" s="380"/>
      <c r="J120" s="380"/>
      <c r="K120" s="380"/>
      <c r="L120" s="43" t="str">
        <f>"1Q:" &amp; RIGHT(YEAR(L$4),2) &amp; IF(L$4&lt;=LatestFiledQ, "A", "E")</f>
        <v>1Q:05A</v>
      </c>
      <c r="M120" s="43" t="str">
        <f>"2Q:" &amp; RIGHT(YEAR(M$4),2) &amp; IF(M$4&lt;=LatestFiledQ, "A", "E")</f>
        <v>2Q:05A</v>
      </c>
      <c r="N120" s="43" t="str">
        <f>"3Q:" &amp; RIGHT(YEAR(N$4),2) &amp; IF(N$4&lt;=LatestFiledQ, "A", "E")</f>
        <v>3Q:05A</v>
      </c>
      <c r="O120" s="43" t="str">
        <f>"4Q:" &amp; RIGHT(YEAR(O$4),2) &amp; IF(O$4&lt;=LatestFiledQ, "A", "E")</f>
        <v>4Q:05A</v>
      </c>
      <c r="P120" s="44" t="str">
        <f>YEAR(P$4) &amp; IF(P$4&lt;=LatestFiledQ, "A", "E")</f>
        <v>2005A</v>
      </c>
      <c r="Q120" s="43" t="str">
        <f>"1Q:" &amp; RIGHT(YEAR(Q$4),2) &amp; IF(Q$4&lt;=LatestFiledQ, "A", "E")</f>
        <v>1Q:06A</v>
      </c>
      <c r="R120" s="43" t="str">
        <f>"2Q:" &amp; RIGHT(YEAR(R$4),2) &amp; IF(R$4&lt;=LatestFiledQ, "A", "E")</f>
        <v>2Q:06A</v>
      </c>
      <c r="S120" s="43" t="str">
        <f>"3Q:" &amp; RIGHT(YEAR(S$4),2) &amp; IF(S$4&lt;=LatestFiledQ, "A", "E")</f>
        <v>3Q:06A</v>
      </c>
      <c r="T120" s="43" t="str">
        <f>"4Q:" &amp; RIGHT(YEAR(T$4),2) &amp; IF(T$4&lt;=LatestFiledQ, "A", "E")</f>
        <v>4Q:06A</v>
      </c>
      <c r="U120" s="44" t="str">
        <f>YEAR(U$4) &amp; IF(U$4&lt;=LatestFiledQ, "A", "E")</f>
        <v>2006A</v>
      </c>
      <c r="V120" s="43" t="str">
        <f>"1Q:" &amp; RIGHT(YEAR(V$4),2) &amp; IF(V$4&lt;=LatestFiledQ, "A", "E")</f>
        <v>1Q:07A</v>
      </c>
      <c r="W120" s="43" t="str">
        <f>"2Q:" &amp; RIGHT(YEAR(W$4),2) &amp; IF(W$4&lt;=LatestFiledQ, "A", "E")</f>
        <v>2Q:07A</v>
      </c>
      <c r="X120" s="43" t="str">
        <f>"3Q:" &amp; RIGHT(YEAR(X$4),2) &amp; IF(X$4&lt;=LatestFiledQ, "A", "E")</f>
        <v>3Q:07A</v>
      </c>
      <c r="Y120" s="43" t="str">
        <f>"4Q:" &amp; RIGHT(YEAR(Y$4),2) &amp; IF(Y$4&lt;=LatestFiledQ, "A", "E")</f>
        <v>4Q:07A</v>
      </c>
      <c r="Z120" s="44" t="str">
        <f>YEAR(Z$4) &amp; IF(Z$4&lt;=LatestFiledQ, "A", "E")</f>
        <v>2007A</v>
      </c>
      <c r="AA120" s="43" t="str">
        <f>"1Q:" &amp; RIGHT(YEAR(AA$4),2) &amp; IF(AA$4&lt;=LatestFiledQ, "A", "E")</f>
        <v>1Q:08A</v>
      </c>
      <c r="AB120" s="43" t="str">
        <f>"2Q:" &amp; RIGHT(YEAR(AB$4),2) &amp; IF(AB$4&lt;=LatestFiledQ, "A", "E")</f>
        <v>2Q:08A</v>
      </c>
      <c r="AC120" s="43" t="str">
        <f>"3Q:" &amp; RIGHT(YEAR(AC$4),2) &amp; IF(AC$4&lt;=LatestFiledQ, "A", "E")</f>
        <v>3Q:08A</v>
      </c>
      <c r="AD120" s="43" t="str">
        <f>"4Q:" &amp; RIGHT(YEAR(AD$4),2) &amp; IF(AD$4&lt;=LatestFiledQ, "A", "E")</f>
        <v>4Q:08A</v>
      </c>
      <c r="AE120" s="44" t="str">
        <f>YEAR(AE$4) &amp; IF(AE$4&lt;=LatestFiledQ, "A", "E")</f>
        <v>2008A</v>
      </c>
      <c r="AF120" s="43" t="str">
        <f>"1Q:" &amp; RIGHT(YEAR(AF$4),2) &amp; IF(AF$4&lt;=LatestFiledQ, "A", "E")</f>
        <v>1Q:09A</v>
      </c>
      <c r="AG120" s="43" t="str">
        <f>"2Q:" &amp; RIGHT(YEAR(AG$4),2) &amp; IF(AG$4&lt;=LatestFiledQ, "A", "E")</f>
        <v>2Q:09A</v>
      </c>
      <c r="AH120" s="43" t="str">
        <f>"3Q:" &amp; RIGHT(YEAR(AH$4),2) &amp; IF(AH$4&lt;=LatestFiledQ, "A", "E")</f>
        <v>3Q:09A</v>
      </c>
      <c r="AI120" s="43" t="str">
        <f>"4Q:" &amp; RIGHT(YEAR(AI$4),2) &amp; IF(AI$4&lt;=LatestFiledQ, "A", "E")</f>
        <v>4Q:09A</v>
      </c>
      <c r="AJ120" s="44" t="str">
        <f>YEAR(AJ$4) &amp; IF(AJ$4&lt;=LatestFiledQ, "A", "E")</f>
        <v>2009A</v>
      </c>
      <c r="AK120" s="43" t="str">
        <f>"1Q:" &amp; RIGHT(YEAR(AK$4),2) &amp; IF(AK$4&lt;=LatestFiledQ, "A", "E")</f>
        <v>1Q:10A</v>
      </c>
      <c r="AL120" s="43" t="str">
        <f>"2Q:" &amp; RIGHT(YEAR(AL$4),2) &amp; IF(AL$4&lt;=LatestFiledQ, "A", "E")</f>
        <v>2Q:10A</v>
      </c>
      <c r="AM120" s="43" t="str">
        <f>"3Q:" &amp; RIGHT(YEAR(AM$4),2) &amp; IF(AM$4&lt;=LatestFiledQ, "A", "E")</f>
        <v>3Q:10A</v>
      </c>
      <c r="AN120" s="43" t="str">
        <f>"4Q:" &amp; RIGHT(YEAR(AN$4),2) &amp; IF(AN$4&lt;=LatestFiledQ, "A", "E")</f>
        <v>4Q:10A</v>
      </c>
      <c r="AO120" s="44" t="str">
        <f>YEAR(AO$4) &amp; IF(AO$4&lt;=LatestFiledQ, "A", "E")</f>
        <v>2010A</v>
      </c>
      <c r="AP120" s="43" t="str">
        <f>"1Q:" &amp; RIGHT(YEAR(AP$4),2) &amp; IF(AP$4&lt;=LatestFiledQ, "A", "E")</f>
        <v>1Q:11A</v>
      </c>
      <c r="AQ120" s="43" t="str">
        <f>"2Q:" &amp; RIGHT(YEAR(AQ$4),2) &amp; IF(AQ$4&lt;=LatestFiledQ, "A", "E")</f>
        <v>2Q:11A</v>
      </c>
      <c r="AR120" s="43" t="str">
        <f>"3Q:" &amp; RIGHT(YEAR(AR$4),2) &amp; IF(AR$4&lt;=LatestFiledQ, "A", "E")</f>
        <v>3Q:11A</v>
      </c>
      <c r="AS120" s="43" t="str">
        <f>"4Q:" &amp; RIGHT(YEAR(AS$4),2) &amp; IF(AS$4&lt;=LatestFiledQ, "A", "E")</f>
        <v>4Q:11A</v>
      </c>
      <c r="AT120" s="44" t="str">
        <f>YEAR(AT$4) &amp; IF(AT$4&lt;=LatestFiledQ, "A", "E")</f>
        <v>2011A</v>
      </c>
      <c r="AU120" s="43" t="str">
        <f>"1Q:" &amp; RIGHT(YEAR(AU$4),2) &amp; IF(AU$4&lt;=LatestFiledQ, "A", "E")</f>
        <v>1Q:12A</v>
      </c>
      <c r="AV120" s="43" t="str">
        <f>"2Q:" &amp; RIGHT(YEAR(AV$4),2) &amp; IF(AV$4&lt;=LatestFiledQ, "A", "E")</f>
        <v>2Q:12A</v>
      </c>
      <c r="AW120" s="43" t="str">
        <f>"3Q:" &amp; RIGHT(YEAR(AW$4),2) &amp; IF(AW$4&lt;=LatestFiledQ, "A", "E")</f>
        <v>3Q:12A</v>
      </c>
      <c r="AX120" s="43" t="str">
        <f>"4Q:" &amp; RIGHT(YEAR(AX$4),2) &amp; IF(AX$4&lt;=LatestFiledQ, "A", "E")</f>
        <v>4Q:12A</v>
      </c>
      <c r="AY120" s="44" t="str">
        <f>YEAR(AY$4) &amp; IF(AY$4&lt;=LatestFiledQ, "A", "E")</f>
        <v>2012A</v>
      </c>
      <c r="AZ120" s="43" t="str">
        <f>"1Q:" &amp; RIGHT(YEAR(AZ$4),2) &amp; IF(AZ$4&lt;=LatestFiledQ, "A", "E")</f>
        <v>1Q:13A</v>
      </c>
      <c r="BA120" s="43" t="str">
        <f>"2Q:" &amp; RIGHT(YEAR(BA$4),2) &amp; IF(BA$4&lt;=LatestFiledQ, "A", "E")</f>
        <v>2Q:13A</v>
      </c>
      <c r="BB120" s="43" t="str">
        <f>"3Q:" &amp; RIGHT(YEAR(BB$4),2) &amp; IF(BB$4&lt;=LatestFiledQ, "A", "E")</f>
        <v>3Q:13A</v>
      </c>
      <c r="BC120" s="43" t="str">
        <f>"4Q:" &amp; RIGHT(YEAR(BC$4),2) &amp; IF(BC$4&lt;=LatestFiledQ, "A", "E")</f>
        <v>4Q:13A</v>
      </c>
      <c r="BD120" s="44" t="str">
        <f>YEAR(BD$4) &amp; IF(BD$4&lt;=LatestFiledQ, "A", "E")</f>
        <v>2013A</v>
      </c>
      <c r="BE120" s="43" t="str">
        <f>"1Q:" &amp; RIGHT(YEAR(BE$4),2) &amp; IF(BE$4&lt;=LatestFiledQ, "A", "E")</f>
        <v>1Q:14A</v>
      </c>
      <c r="BF120" s="43" t="str">
        <f>"2Q:" &amp; RIGHT(YEAR(BF$4),2) &amp; IF(BF$4&lt;=LatestFiledQ, "A", "E")</f>
        <v>2Q:14A</v>
      </c>
      <c r="BG120" s="43" t="str">
        <f>"3Q:" &amp; RIGHT(YEAR(BG$4),2) &amp; IF(BG$4&lt;=LatestFiledQ, "A", "E")</f>
        <v>3Q:14A</v>
      </c>
      <c r="BH120" s="43" t="str">
        <f>"4Q:" &amp; RIGHT(YEAR(BH$4),2) &amp; IF(BH$4&lt;=LatestFiledQ, "A", "E")</f>
        <v>4Q:14A</v>
      </c>
      <c r="BI120" s="44" t="str">
        <f>YEAR(BI$4) &amp; IF(BI$4&lt;=LatestFiledQ, "A", "E")</f>
        <v>2014A</v>
      </c>
      <c r="BJ120" s="43" t="str">
        <f>"1Q:" &amp; RIGHT(YEAR(BJ$4),2) &amp; IF(BJ$4&lt;=LatestFiledQ, "A", "E")</f>
        <v>1Q:15A</v>
      </c>
      <c r="BK120" s="43" t="str">
        <f>"2Q:" &amp; RIGHT(YEAR(BK$4),2) &amp; IF(BK$4&lt;=LatestFiledQ, "A", "E")</f>
        <v>2Q:15A</v>
      </c>
      <c r="BL120" s="43" t="str">
        <f>"3Q:" &amp; RIGHT(YEAR(BL$4),2) &amp; IF(BL$4&lt;=LatestFiledQ, "A", "E")</f>
        <v>3Q:15A</v>
      </c>
      <c r="BM120" s="43" t="str">
        <f>"4Q:" &amp; RIGHT(YEAR(BM$4),2) &amp; IF(BM$4&lt;=LatestFiledQ, "A", "E")</f>
        <v>4Q:15A</v>
      </c>
      <c r="BN120" s="44" t="str">
        <f>YEAR(BN$4) &amp; IF(BN$4&lt;=LatestFiledQ, "A", "E")</f>
        <v>2015A</v>
      </c>
      <c r="BO120" s="43" t="str">
        <f>"1Q:" &amp; RIGHT(YEAR(BO$4),2) &amp; IF(BO$4&lt;=LatestFiledQ, "A", "E")</f>
        <v>1Q:16A</v>
      </c>
      <c r="BP120" s="43" t="str">
        <f>"2Q:" &amp; RIGHT(YEAR(BP$4),2) &amp; IF(BP$4&lt;=LatestFiledQ, "A", "E")</f>
        <v>2Q:16A</v>
      </c>
      <c r="BQ120" s="43" t="str">
        <f>"3Q:" &amp; RIGHT(YEAR(BQ$4),2) &amp; IF(BQ$4&lt;=LatestFiledQ, "A", "E")</f>
        <v>3Q:16A</v>
      </c>
      <c r="BR120" s="43" t="str">
        <f>"4Q:" &amp; RIGHT(YEAR(BR$4),2) &amp; IF(BR$4&lt;=LatestFiledQ, "A", "E")</f>
        <v>4Q:16A</v>
      </c>
      <c r="BS120" s="44" t="str">
        <f>YEAR(BS$4) &amp; IF(BS$4&lt;=LatestFiledQ, "A", "E")</f>
        <v>2016A</v>
      </c>
      <c r="BT120" s="43" t="str">
        <f>"1Q:" &amp; RIGHT(YEAR(BT$4),2) &amp; IF(BT$4&lt;=LatestFiledQ, "A", "E")</f>
        <v>1Q:17A</v>
      </c>
      <c r="BU120" s="43" t="str">
        <f>"2Q:" &amp; RIGHT(YEAR(BU$4),2) &amp; IF(BU$4&lt;=LatestFiledQ, "A", "E")</f>
        <v>2Q:17A</v>
      </c>
      <c r="BV120" s="43" t="str">
        <f>"3Q:" &amp; RIGHT(YEAR(BV$4),2) &amp; IF(BV$4&lt;=LatestFiledQ, "A", "E")</f>
        <v>3Q:17A</v>
      </c>
      <c r="BW120" s="43" t="str">
        <f>"4Q:" &amp; RIGHT(YEAR(BW$4),2) &amp; IF(BW$4&lt;=LatestFiledQ, "A", "E")</f>
        <v>4Q:17A</v>
      </c>
      <c r="BX120" s="44" t="str">
        <f>YEAR(BX$4) &amp; IF(BX$4&lt;=LatestFiledQ, "A", "E")</f>
        <v>2017A</v>
      </c>
      <c r="BY120" s="43" t="str">
        <f>"1Q:" &amp; RIGHT(YEAR(BY$4),2) &amp; IF(BY$4&lt;=LatestFiledQ, "A", "E")</f>
        <v>1Q:18E</v>
      </c>
      <c r="BZ120" s="43" t="str">
        <f>"2Q:" &amp; RIGHT(YEAR(BZ$4),2) &amp; IF(BZ$4&lt;=LatestFiledQ, "A", "E")</f>
        <v>2Q:18E</v>
      </c>
      <c r="CA120" s="43" t="str">
        <f>"3Q:" &amp; RIGHT(YEAR(CA$4),2) &amp; IF(CA$4&lt;=LatestFiledQ, "A", "E")</f>
        <v>3Q:18E</v>
      </c>
      <c r="CB120" s="43" t="str">
        <f>"4Q:" &amp; RIGHT(YEAR(CB$4),2) &amp; IF(CB$4&lt;=LatestFiledQ, "A", "E")</f>
        <v>4Q:18E</v>
      </c>
      <c r="CC120" s="44" t="str">
        <f t="shared" ref="CC120:CH120" si="180">YEAR(CC$4) &amp; IF(CC$4&lt;=LatestFiledQ, "A", "E")</f>
        <v>2018E</v>
      </c>
      <c r="CD120" s="44" t="str">
        <f t="shared" si="180"/>
        <v>2019E</v>
      </c>
      <c r="CE120" s="44" t="str">
        <f t="shared" si="180"/>
        <v>2020E</v>
      </c>
      <c r="CF120" s="44" t="str">
        <f t="shared" si="180"/>
        <v>2021E</v>
      </c>
      <c r="CG120" s="44" t="str">
        <f t="shared" si="180"/>
        <v>2022E</v>
      </c>
      <c r="CH120" s="44" t="str">
        <f t="shared" si="180"/>
        <v>2023E</v>
      </c>
    </row>
    <row r="121" spans="1:86" s="77" customFormat="1">
      <c r="A121"/>
      <c r="B121"/>
      <c r="C121"/>
      <c r="D121"/>
      <c r="E121"/>
      <c r="F121"/>
      <c r="G121" s="230"/>
      <c r="H121" s="250" t="s">
        <v>570</v>
      </c>
      <c r="I121" s="250"/>
      <c r="J121" s="250"/>
      <c r="K121" s="250"/>
      <c r="L121" s="384"/>
      <c r="M121" s="384"/>
      <c r="N121" s="384"/>
      <c r="O121" s="384"/>
      <c r="P121" s="377"/>
      <c r="Q121" s="384"/>
      <c r="R121" s="384"/>
      <c r="S121" s="384"/>
      <c r="T121" s="384"/>
      <c r="U121" s="377"/>
      <c r="V121" s="384"/>
      <c r="W121" s="384"/>
      <c r="X121" s="384"/>
      <c r="Y121" s="384"/>
      <c r="Z121" s="377"/>
      <c r="AA121" s="384"/>
      <c r="AB121" s="384"/>
      <c r="AC121" s="384"/>
      <c r="AD121" s="384"/>
      <c r="AE121" s="377"/>
      <c r="AF121" s="384"/>
      <c r="AG121" s="384"/>
      <c r="AH121" s="384"/>
      <c r="AI121" s="384"/>
      <c r="AJ121" s="377"/>
      <c r="AK121" s="384"/>
      <c r="AL121" s="384"/>
      <c r="AM121" s="384"/>
      <c r="AN121" s="384"/>
      <c r="AO121" s="377"/>
      <c r="AP121" s="384"/>
      <c r="AQ121" s="384"/>
      <c r="AR121" s="384"/>
      <c r="AS121" s="384"/>
      <c r="AT121" s="377"/>
      <c r="AU121" s="384"/>
      <c r="AV121" s="384"/>
      <c r="AW121" s="384"/>
      <c r="AX121" s="384"/>
      <c r="AY121" s="377"/>
      <c r="AZ121" s="384"/>
      <c r="BA121" s="384"/>
      <c r="BB121" s="384"/>
      <c r="BC121" s="384"/>
      <c r="BD121" s="377"/>
      <c r="BE121" s="384"/>
      <c r="BF121" s="384"/>
      <c r="BG121" s="384"/>
      <c r="BH121" s="384"/>
      <c r="BI121" s="377"/>
      <c r="BJ121" s="384"/>
      <c r="BK121" s="384"/>
      <c r="BL121" s="384"/>
      <c r="BM121" s="384"/>
      <c r="BN121" s="377"/>
      <c r="BO121" s="384"/>
      <c r="BP121" s="384"/>
      <c r="BQ121" s="384"/>
      <c r="BR121" s="384"/>
      <c r="BS121" s="377"/>
      <c r="BT121" s="384"/>
      <c r="BU121" s="384"/>
      <c r="BV121" s="384"/>
      <c r="BW121" s="384"/>
      <c r="BX121" s="377"/>
      <c r="BY121" s="384"/>
      <c r="BZ121" s="384"/>
      <c r="CA121" s="384"/>
      <c r="CB121" s="384"/>
      <c r="CC121" s="377"/>
      <c r="CD121" s="377"/>
      <c r="CE121" s="377"/>
      <c r="CF121" s="377"/>
      <c r="CG121" s="377"/>
      <c r="CH121" s="377"/>
    </row>
    <row r="122" spans="1:86" s="77" customFormat="1">
      <c r="A122"/>
      <c r="B122"/>
      <c r="C122"/>
      <c r="D122"/>
      <c r="E122"/>
      <c r="F122"/>
      <c r="G122" s="230"/>
      <c r="H122" s="47" t="s">
        <v>559</v>
      </c>
      <c r="I122" s="47"/>
      <c r="J122" s="47"/>
      <c r="K122" s="47"/>
      <c r="L122" s="467"/>
      <c r="M122" s="467"/>
      <c r="N122" s="467"/>
      <c r="O122" s="467"/>
      <c r="P122" s="468"/>
      <c r="Q122" s="467">
        <f>(Q187*4)/AVERAGE(Q69,P69)</f>
        <v>5.6577379252574858</v>
      </c>
      <c r="R122" s="467">
        <f>(R187*4)/AVERAGE(R69,Q69)</f>
        <v>6.1777227525060905</v>
      </c>
      <c r="S122" s="467">
        <f>(S187*4)/AVERAGE(S69,R69)</f>
        <v>6.1895360711210783</v>
      </c>
      <c r="T122" s="467">
        <f>(T187*4)/AVERAGE(T69,S69)</f>
        <v>6.5667162938185202</v>
      </c>
      <c r="U122" s="468">
        <f>U187/AVERAGE(U69,P69)</f>
        <v>5.7518190648998369</v>
      </c>
      <c r="V122" s="467">
        <f>(V187*4)/AVERAGE(V69,U69)</f>
        <v>6.2598778004073319</v>
      </c>
      <c r="W122" s="467">
        <f>(W187*4)/AVERAGE(W69,V69)</f>
        <v>6.7104767425010863</v>
      </c>
      <c r="X122" s="467">
        <f>(X187*4)/AVERAGE(X69,W69)</f>
        <v>6.3784178414364936</v>
      </c>
      <c r="Y122" s="467">
        <f>(Y187*4)/AVERAGE(Y69,X69)</f>
        <v>6.2494769323398804</v>
      </c>
      <c r="Z122" s="468">
        <f>Z187/AVERAGE(Z69,U69)</f>
        <v>5.8237592199024864</v>
      </c>
      <c r="AA122" s="467">
        <f>(AA187*4)/AVERAGE(AA69,Z69)</f>
        <v>5.5531526947377348</v>
      </c>
      <c r="AB122" s="467">
        <f>(AB187*4)/AVERAGE(AB69,AA69)</f>
        <v>6.1349729090298375</v>
      </c>
      <c r="AC122" s="467">
        <f>(AC187*4)/AVERAGE(AC69,AB69)</f>
        <v>6.3046821650188543</v>
      </c>
      <c r="AD122" s="467">
        <f>(AD187*4)/AVERAGE(AD69,AC69)</f>
        <v>6.4399736854183569</v>
      </c>
      <c r="AE122" s="468">
        <f>AE187/AVERAGE(AE69,Z69)</f>
        <v>5.9387290356769453</v>
      </c>
      <c r="AF122" s="467">
        <f>(AF187*4)/AVERAGE(AF69,AE69)</f>
        <v>6.2716709128192374</v>
      </c>
      <c r="AG122" s="467">
        <f>(AG187*4)/AVERAGE(AG69,AF69)</f>
        <v>6.5242195445160087</v>
      </c>
      <c r="AH122" s="467">
        <f>(AH187*4)/AVERAGE(AH69,AG69)</f>
        <v>6.5314701737905123</v>
      </c>
      <c r="AI122" s="467">
        <f>(AI187*4)/AVERAGE(AI69,AH69)</f>
        <v>6.4907104871013157</v>
      </c>
      <c r="AJ122" s="468">
        <f>AJ187/AVERAGE(AJ69,AE69)</f>
        <v>6.1431151622568256</v>
      </c>
      <c r="AK122" s="467">
        <f>(AK187*4)/AVERAGE(AK69,AJ69)</f>
        <v>5.803351098298001</v>
      </c>
      <c r="AL122" s="467">
        <f>(AL187*4)/AVERAGE(AL69,AK69)</f>
        <v>6.2292053258204785</v>
      </c>
      <c r="AM122" s="467">
        <f>(AM187*4)/AVERAGE(AM69,AL69)</f>
        <v>6.0096176837854358</v>
      </c>
      <c r="AN122" s="467">
        <f>(AN187*4)/AVERAGE(AN69,AM69)</f>
        <v>6.1617398448878982</v>
      </c>
      <c r="AO122" s="468">
        <f>AO187/AVERAGE(AO69,AJ69)</f>
        <v>5.7763125946507463</v>
      </c>
      <c r="AP122" s="467">
        <f>(AP187*4)/AVERAGE(AP69,AO69)</f>
        <v>5.6003452740612865</v>
      </c>
      <c r="AQ122" s="467">
        <f>(AQ187*4)/AVERAGE(AQ69,AP69)</f>
        <v>5.7967924353388334</v>
      </c>
      <c r="AR122" s="467">
        <f>(AR187*4)/AVERAGE(AR69,AQ69)</f>
        <v>5.7564869325031314</v>
      </c>
      <c r="AS122" s="467">
        <f>(AS187*4)/AVERAGE(AS69,AR69)</f>
        <v>5.8030352108451799</v>
      </c>
      <c r="AT122" s="468">
        <f>AT187/AVERAGE(AT69,AO69)</f>
        <v>5.7852787041448313</v>
      </c>
      <c r="AU122" s="467">
        <f>(AU187*4)/AVERAGE(AU69,AT69)</f>
        <v>5.4859716985751357</v>
      </c>
      <c r="AV122" s="467">
        <f>(AV187*4)/AVERAGE(AV69,AU69)</f>
        <v>5.8166428664156822</v>
      </c>
      <c r="AW122" s="467">
        <f>(AW187*4)/AVERAGE(AW69,AV69)</f>
        <v>5.7546252246537684</v>
      </c>
      <c r="AX122" s="467">
        <f>(AX187*4)/AVERAGE(AX69,AW69)</f>
        <v>6.2024519118144656</v>
      </c>
      <c r="AY122" s="468">
        <f>AY187/AVERAGE(AY69,AT69)</f>
        <v>5.5630676084762873</v>
      </c>
      <c r="AZ122" s="467">
        <f>(AZ187*4)/AVERAGE(AZ69,AY69)</f>
        <v>5.6601409553641346</v>
      </c>
      <c r="BA122" s="467">
        <f>(BA187*4)/AVERAGE(BA69,AZ69)</f>
        <v>5.7548252477829935</v>
      </c>
      <c r="BB122" s="467">
        <f>(BB187*4)/AVERAGE(BB69,BA69)</f>
        <v>5.6253562988768975</v>
      </c>
      <c r="BC122" s="467">
        <f>(BC187*4)/AVERAGE(BC69,BB69)</f>
        <v>5.7956149759297588</v>
      </c>
      <c r="BD122" s="468">
        <f>BD187/AVERAGE(BD69,AY69)</f>
        <v>5.843131802151408</v>
      </c>
      <c r="BE122" s="467">
        <f>(BE187*4)/AVERAGE(BE69,BD69)</f>
        <v>4.8224072906074218</v>
      </c>
      <c r="BF122" s="467">
        <f>(BF187*4)/AVERAGE(BF69,BE69)</f>
        <v>5.2644996133436432</v>
      </c>
      <c r="BG122" s="467">
        <f>(BG187*4)/AVERAGE(BG69,BF69)</f>
        <v>5.2789800641520159</v>
      </c>
      <c r="BH122" s="467">
        <f>(BH187*4)/AVERAGE(BH69,BG69)</f>
        <v>5.5098105138584437</v>
      </c>
      <c r="BI122" s="468">
        <f>BI187/AVERAGE(BI69,BD69)</f>
        <v>5.0141485921703453</v>
      </c>
      <c r="BJ122" s="467">
        <f>(BJ187*4)/AVERAGE(BJ69,BI69)</f>
        <v>4.8718500065556576</v>
      </c>
      <c r="BK122" s="467">
        <f>(BK187*4)/AVERAGE(BK69,BJ69)</f>
        <v>5.0275298839983336</v>
      </c>
      <c r="BL122" s="467">
        <f>(BL187*4)/AVERAGE(BL69,BK69)</f>
        <v>4.8598900089413668</v>
      </c>
      <c r="BM122" s="467">
        <f>(BM187*4)/AVERAGE(BM69,BL69)</f>
        <v>5.2835993267234285</v>
      </c>
      <c r="BN122" s="468">
        <f>BN187/AVERAGE(BN69,BI69)</f>
        <v>5.0702282513432149</v>
      </c>
      <c r="BO122" s="467">
        <f>(BO187*4)/AVERAGE(BO69,BN69)</f>
        <v>4.7125317835088998</v>
      </c>
      <c r="BP122" s="467">
        <f>(BP187*4)/AVERAGE(BP69,BO69)</f>
        <v>4.9810955590115791</v>
      </c>
      <c r="BQ122" s="467">
        <f>(BQ187*4)/AVERAGE(BQ69,BP69)</f>
        <v>4.6074213766709189</v>
      </c>
      <c r="BR122" s="467">
        <f>(BR187*4)/AVERAGE(BR69,BQ69)</f>
        <v>4.9618312391657788</v>
      </c>
      <c r="BS122" s="468">
        <f>BS187/AVERAGE(BS69,BN69)</f>
        <v>4.7998280134421085</v>
      </c>
      <c r="BT122" s="467">
        <f>(BT187*4)/AVERAGE(BT69,BS69)</f>
        <v>4.4590946888126046</v>
      </c>
      <c r="BU122" s="467">
        <f>(BU187*4)/AVERAGE(BU69,BT69)</f>
        <v>4.8687983281086735</v>
      </c>
      <c r="BV122" s="467">
        <f>(BV187*4)/AVERAGE(BV69,BU69)</f>
        <v>4.5398270916494505</v>
      </c>
      <c r="BW122" s="467">
        <f>(BW187*4)/AVERAGE(BW69,BV69)</f>
        <v>4.7959364387400614</v>
      </c>
      <c r="BX122" s="468">
        <f>BX187/AVERAGE(BX69,BS69)</f>
        <v>4.5613202373236277</v>
      </c>
      <c r="BY122" s="470"/>
      <c r="BZ122" s="470"/>
      <c r="CA122" s="470"/>
      <c r="CB122" s="470"/>
      <c r="CC122" s="469">
        <v>5</v>
      </c>
      <c r="CD122" s="469">
        <v>5.0999999999999996</v>
      </c>
      <c r="CE122" s="469">
        <v>5.2</v>
      </c>
      <c r="CF122" s="469">
        <v>5.2</v>
      </c>
      <c r="CG122" s="469">
        <v>5.2</v>
      </c>
      <c r="CH122" s="469">
        <v>5.2</v>
      </c>
    </row>
    <row r="123" spans="1:86" s="77" customFormat="1">
      <c r="A123"/>
      <c r="B123"/>
      <c r="C123"/>
      <c r="D123"/>
      <c r="E123"/>
      <c r="F123"/>
      <c r="G123" s="230"/>
      <c r="H123" s="47" t="s">
        <v>560</v>
      </c>
      <c r="I123" s="47"/>
      <c r="J123" s="47"/>
      <c r="K123" s="47"/>
      <c r="L123" s="467"/>
      <c r="M123" s="467"/>
      <c r="N123" s="467"/>
      <c r="O123" s="467"/>
      <c r="P123" s="468"/>
      <c r="Q123" s="467">
        <f>(Q188*4)/AVERAGE(Q72,P72)</f>
        <v>1.6771074315718333</v>
      </c>
      <c r="R123" s="467">
        <f>(R188*4)/AVERAGE(R72,Q72)</f>
        <v>1.6923039107243814</v>
      </c>
      <c r="S123" s="467">
        <f>(S188*4)/AVERAGE(S72,R72)</f>
        <v>1.6011165387299371</v>
      </c>
      <c r="T123" s="467">
        <f>(T188*4)/AVERAGE(T72,S72)</f>
        <v>1.8236728484821367</v>
      </c>
      <c r="U123" s="468">
        <f>U188/AVERAGE(U72,P72)</f>
        <v>1.7098570498758527</v>
      </c>
      <c r="V123" s="467">
        <f>(V188*4)/AVERAGE(V72,U72)</f>
        <v>1.6226556144324003</v>
      </c>
      <c r="W123" s="467">
        <f>(W188*4)/AVERAGE(W72,V72)</f>
        <v>1.7342766613134251</v>
      </c>
      <c r="X123" s="467">
        <f>(X188*4)/AVERAGE(X72,W72)</f>
        <v>1.7474730737365367</v>
      </c>
      <c r="Y123" s="467">
        <f>(Y188*4)/AVERAGE(Y72,X72)</f>
        <v>2.0276798693669473</v>
      </c>
      <c r="Z123" s="468">
        <f>Z188/AVERAGE(Z72,U72)</f>
        <v>1.7725490196078433</v>
      </c>
      <c r="AA123" s="467">
        <f>(AA188*4)/AVERAGE(AA72,Z72)</f>
        <v>1.8055137648736834</v>
      </c>
      <c r="AB123" s="467">
        <f>(AB188*4)/AVERAGE(AB72,AA72)</f>
        <v>1.8414254590725179</v>
      </c>
      <c r="AC123" s="467">
        <f>(AC188*4)/AVERAGE(AC72,AB72)</f>
        <v>2.0595963933018462</v>
      </c>
      <c r="AD123" s="467">
        <f>(AD188*4)/AVERAGE(AD72,AC72)</f>
        <v>1.6172689367616402</v>
      </c>
      <c r="AE123" s="468">
        <f>AE188/AVERAGE(AE72,Z72)</f>
        <v>1.7813789391855526</v>
      </c>
      <c r="AF123" s="467">
        <f>(AF188*4)/AVERAGE(AF72,AE72)</f>
        <v>1.2953076038237277</v>
      </c>
      <c r="AG123" s="467">
        <f>(AG188*4)/AVERAGE(AG72,AF72)</f>
        <v>1.3659415718997243</v>
      </c>
      <c r="AH123" s="467">
        <f>(AH188*4)/AVERAGE(AH72,AG72)</f>
        <v>1.3732600075066501</v>
      </c>
      <c r="AI123" s="467">
        <f>(AI188*4)/AVERAGE(AI72,AH72)</f>
        <v>1.9153911777989661</v>
      </c>
      <c r="AJ123" s="468">
        <f>AJ188/AVERAGE(AJ72,AE72)</f>
        <v>1.5897138365368417</v>
      </c>
      <c r="AK123" s="467">
        <f>(AK188*4)/AVERAGE(AK72,AJ72)</f>
        <v>1.6876526968614922</v>
      </c>
      <c r="AL123" s="467">
        <f>(AL188*4)/AVERAGE(AL72,AK72)</f>
        <v>1.7632547626735551</v>
      </c>
      <c r="AM123" s="467">
        <f>(AM188*4)/AVERAGE(AM72,AL72)</f>
        <v>1.6276885043263289</v>
      </c>
      <c r="AN123" s="467">
        <f>(AN188*4)/AVERAGE(AN72,AM72)</f>
        <v>1.89667712081273</v>
      </c>
      <c r="AO123" s="468">
        <f>AO188/AVERAGE(AO72,AJ72)</f>
        <v>1.6268723451822042</v>
      </c>
      <c r="AP123" s="467">
        <f>(AP188*4)/AVERAGE(AP72,AO72)</f>
        <v>1.7863724952222368</v>
      </c>
      <c r="AQ123" s="467">
        <f>(AQ188*4)/AVERAGE(AQ72,AP72)</f>
        <v>1.7426473196863803</v>
      </c>
      <c r="AR123" s="467">
        <f>(AR188*4)/AVERAGE(AR72,AQ72)</f>
        <v>1.9884461781368996</v>
      </c>
      <c r="AS123" s="467">
        <f>(AS188*4)/AVERAGE(AS72,AR72)</f>
        <v>2.1968377968461072</v>
      </c>
      <c r="AT123" s="468">
        <f>AT188/AVERAGE(AT72,AO72)</f>
        <v>2.1039543331603525</v>
      </c>
      <c r="AU123" s="467">
        <f>(AU188*4)/AVERAGE(AU72,AT72)</f>
        <v>2.0286198137171891</v>
      </c>
      <c r="AV123" s="467">
        <f>(AV188*4)/AVERAGE(AV72,AU72)</f>
        <v>1.9333192834562698</v>
      </c>
      <c r="AW123" s="467">
        <f>(AW188*4)/AVERAGE(AW72,AV72)</f>
        <v>1.9754626400229778</v>
      </c>
      <c r="AX123" s="467">
        <f>(AX188*4)/AVERAGE(AX72,AW72)</f>
        <v>1.9214961902562919</v>
      </c>
      <c r="AY123" s="468">
        <f>AY188/AVERAGE(AY72,AT72)</f>
        <v>1.9404887126790191</v>
      </c>
      <c r="AZ123" s="467">
        <f>(AZ188*4)/AVERAGE(AZ72,AY72)</f>
        <v>1.775002394406666</v>
      </c>
      <c r="BA123" s="467">
        <f>(BA188*4)/AVERAGE(BA72,AZ72)</f>
        <v>1.7580958488146206</v>
      </c>
      <c r="BB123" s="467">
        <f>(BB188*4)/AVERAGE(BB72,BA72)</f>
        <v>1.6816913764365293</v>
      </c>
      <c r="BC123" s="467">
        <f>(BC188*4)/AVERAGE(BC72,BB72)</f>
        <v>1.8790763861830626</v>
      </c>
      <c r="BD123" s="468">
        <f>BD188/AVERAGE(BD72,AY72)</f>
        <v>1.7615116821591359</v>
      </c>
      <c r="BE123" s="467">
        <f>(BE188*4)/AVERAGE(BE72,BD72)</f>
        <v>1.5331818644240225</v>
      </c>
      <c r="BF123" s="467">
        <f>(BF188*4)/AVERAGE(BF72,BE72)</f>
        <v>1.4208108064228078</v>
      </c>
      <c r="BG123" s="467">
        <f>(BG188*4)/AVERAGE(BG72,BF72)</f>
        <v>1.5495459667263207</v>
      </c>
      <c r="BH123" s="467">
        <f>(BH188*4)/AVERAGE(BH72,BG72)</f>
        <v>1.6535768645357687</v>
      </c>
      <c r="BI123" s="468">
        <f>BI188/AVERAGE(BI72,BD72)</f>
        <v>1.6043607112616425</v>
      </c>
      <c r="BJ123" s="467">
        <f>(BJ188*4)/AVERAGE(BJ72,BI72)</f>
        <v>1.415754693891822</v>
      </c>
      <c r="BK123" s="467">
        <f>(BK188*4)/AVERAGE(BK72,BJ72)</f>
        <v>1.3194652713524551</v>
      </c>
      <c r="BL123" s="467">
        <f>(BL188*4)/AVERAGE(BL72,BK72)</f>
        <v>1.3110451678322721</v>
      </c>
      <c r="BM123" s="467">
        <f>(BM188*4)/AVERAGE(BM72,BL72)</f>
        <v>1.4246958548845341</v>
      </c>
      <c r="BN123" s="468">
        <f>BN188/AVERAGE(BN72,BI72)</f>
        <v>1.4121051440395744</v>
      </c>
      <c r="BO123" s="467">
        <f>(BO188*4)/AVERAGE(BO72,BN72)</f>
        <v>1.2829390481491791</v>
      </c>
      <c r="BP123" s="467">
        <f>(BP188*4)/AVERAGE(BP72,BO72)</f>
        <v>1.3849415341128786</v>
      </c>
      <c r="BQ123" s="467">
        <f>(BQ188*4)/AVERAGE(BQ72,BP72)</f>
        <v>1.282642551465103</v>
      </c>
      <c r="BR123" s="467">
        <f>(BR188*4)/AVERAGE(BR72,BQ72)</f>
        <v>1.4008141768886619</v>
      </c>
      <c r="BS123" s="468">
        <f>BS188/AVERAGE(BS72,BN72)</f>
        <v>1.4210653994891331</v>
      </c>
      <c r="BT123" s="467">
        <f>(BT188*4)/AVERAGE(BT72,BS72)</f>
        <v>1.2036330130314599</v>
      </c>
      <c r="BU123" s="467">
        <f>(BU188*4)/AVERAGE(BU72,BT72)</f>
        <v>1.2973953299686198</v>
      </c>
      <c r="BV123" s="467">
        <f>(BV188*4)/AVERAGE(BV72,BU72)</f>
        <v>1.2851512070285276</v>
      </c>
      <c r="BW123" s="467">
        <f>(BW188*4)/AVERAGE(BW72,BV72)</f>
        <v>1.3091188016062807</v>
      </c>
      <c r="BX123" s="468">
        <f>BX188/AVERAGE(BX72,BS72)</f>
        <v>1.3363756514800129</v>
      </c>
      <c r="BY123" s="470"/>
      <c r="BZ123" s="470"/>
      <c r="CA123" s="470"/>
      <c r="CB123" s="470"/>
      <c r="CC123" s="469">
        <v>1.5</v>
      </c>
      <c r="CD123" s="469">
        <v>1.5</v>
      </c>
      <c r="CE123" s="469">
        <v>1.5</v>
      </c>
      <c r="CF123" s="469">
        <v>1.5</v>
      </c>
      <c r="CG123" s="469">
        <v>1.5</v>
      </c>
      <c r="CH123" s="469">
        <v>1.5</v>
      </c>
    </row>
    <row r="124" spans="1:86" s="77" customFormat="1">
      <c r="A124"/>
      <c r="B124"/>
      <c r="C124"/>
      <c r="D124"/>
      <c r="E124"/>
      <c r="F124"/>
      <c r="G124" s="230"/>
      <c r="H124" s="47" t="s">
        <v>182</v>
      </c>
      <c r="I124" s="47"/>
      <c r="J124" s="47"/>
      <c r="K124" s="47"/>
      <c r="L124" s="467"/>
      <c r="M124" s="467"/>
      <c r="N124" s="467"/>
      <c r="O124" s="467"/>
      <c r="P124" s="468"/>
      <c r="Q124" s="467">
        <f>(Q188*4)/AVERAGE(Q87,P87)</f>
        <v>4.5468639887244535</v>
      </c>
      <c r="R124" s="467">
        <f>(R188*4)/AVERAGE(R87,Q87)</f>
        <v>5.3511580910928034</v>
      </c>
      <c r="S124" s="467">
        <f>(S188*4)/AVERAGE(S87,R87)</f>
        <v>5.379601406799531</v>
      </c>
      <c r="T124" s="467">
        <f>(T188*4)/AVERAGE(T87,S87)</f>
        <v>5.7408450704225356</v>
      </c>
      <c r="U124" s="468">
        <f>U188/AVERAGE(U87,P87)</f>
        <v>4.5158209715413511</v>
      </c>
      <c r="V124" s="467">
        <f>(V188*4)/AVERAGE(V87,U87)</f>
        <v>5.2888060771105057</v>
      </c>
      <c r="W124" s="467">
        <f>(W188*4)/AVERAGE(W87,V87)</f>
        <v>6.0297291179355614</v>
      </c>
      <c r="X124" s="467">
        <f>(X188*4)/AVERAGE(X87,W87)</f>
        <v>5.7620543641579021</v>
      </c>
      <c r="Y124" s="467">
        <f>(Y188*4)/AVERAGE(Y87,X87)</f>
        <v>5.7742996484064868</v>
      </c>
      <c r="Z124" s="468">
        <f>Z188/AVERAGE(Z87,U87)</f>
        <v>4.700259970131091</v>
      </c>
      <c r="AA124" s="467">
        <f>(AA188*4)/AVERAGE(AA87,Z87)</f>
        <v>5.1102140131615323</v>
      </c>
      <c r="AB124" s="467">
        <f>(AB188*4)/AVERAGE(AB87,AA87)</f>
        <v>5.9146516713527024</v>
      </c>
      <c r="AC124" s="467">
        <f>(AC188*4)/AVERAGE(AC87,AB87)</f>
        <v>5.761575881328449</v>
      </c>
      <c r="AD124" s="467">
        <f>(AD188*4)/AVERAGE(AD87,AC87)</f>
        <v>4.2795081025169521</v>
      </c>
      <c r="AE124" s="468">
        <f>AE188/AVERAGE(AE87,Z87)</f>
        <v>4.6930630677939389</v>
      </c>
      <c r="AF124" s="467">
        <f>(AF188*4)/AVERAGE(AF87,AE87)</f>
        <v>3.4221640031438301</v>
      </c>
      <c r="AG124" s="467">
        <f>(AG188*4)/AVERAGE(AG87,AF87)</f>
        <v>3.9041879153144796</v>
      </c>
      <c r="AH124" s="467">
        <f>(AH188*4)/AVERAGE(AH87,AG87)</f>
        <v>4.658805292587056</v>
      </c>
      <c r="AI124" s="467">
        <f>(AI188*4)/AVERAGE(AI87,AH87)</f>
        <v>6.1700614290333</v>
      </c>
      <c r="AJ124" s="468">
        <f>AJ188/AVERAGE(AJ87,AE87)</f>
        <v>4.581692647931388</v>
      </c>
      <c r="AK124" s="467">
        <f>(AK188*4)/AVERAGE(AK87,AJ87)</f>
        <v>4.6477925573210497</v>
      </c>
      <c r="AL124" s="467">
        <f>(AL188*4)/AVERAGE(AL87,AK87)</f>
        <v>4.2789531421407299</v>
      </c>
      <c r="AM124" s="467">
        <f>(AM188*4)/AVERAGE(AM87,AL87)</f>
        <v>3.9802518891687657</v>
      </c>
      <c r="AN124" s="467">
        <f>(AN188*4)/AVERAGE(AN87,AM87)</f>
        <v>4.6787222934168682</v>
      </c>
      <c r="AO124" s="468">
        <f>AO188/AVERAGE(AO87,AJ87)</f>
        <v>4.279958829583884</v>
      </c>
      <c r="AP124" s="467">
        <f>(AP188*4)/AVERAGE(AP87,AO87)</f>
        <v>4.1858650350270459</v>
      </c>
      <c r="AQ124" s="467">
        <f>(AQ188*4)/AVERAGE(AQ87,AP87)</f>
        <v>4.1437489455036269</v>
      </c>
      <c r="AR124" s="467">
        <f>(AR188*4)/AVERAGE(AR87,AQ87)</f>
        <v>4.5709893676074982</v>
      </c>
      <c r="AS124" s="467">
        <f>(AS188*4)/AVERAGE(AS87,AR87)</f>
        <v>4.6385610879578856</v>
      </c>
      <c r="AT124" s="468">
        <f>AT188/AVERAGE(AT87,AO87)</f>
        <v>4.6126331118594699</v>
      </c>
      <c r="AU124" s="467">
        <f>(AU188*4)/AVERAGE(AU87,AT87)</f>
        <v>4.0409867172675522</v>
      </c>
      <c r="AV124" s="467">
        <f>(AV188*4)/AVERAGE(AV87,AU87)</f>
        <v>3.7475387066465142</v>
      </c>
      <c r="AW124" s="467">
        <f>(AW188*4)/AVERAGE(AW87,AV87)</f>
        <v>3.8053985693396033</v>
      </c>
      <c r="AX124" s="467">
        <f>(AX188*4)/AVERAGE(AX87,AW87)</f>
        <v>3.9675804529201435</v>
      </c>
      <c r="AY124" s="468">
        <f>AY188/AVERAGE(AY87,AT87)</f>
        <v>4.1465312297384918</v>
      </c>
      <c r="AZ124" s="467">
        <f>(AZ188*4)/AVERAGE(AZ87,AY87)</f>
        <v>4.2846441947565541</v>
      </c>
      <c r="BA124" s="467">
        <f>(BA188*4)/AVERAGE(BA87,AZ87)</f>
        <v>4.406542497872743</v>
      </c>
      <c r="BB124" s="467">
        <f>(BB188*4)/AVERAGE(BB87,BA87)</f>
        <v>4.0130631385027629</v>
      </c>
      <c r="BC124" s="467">
        <f>(BC188*4)/AVERAGE(BC87,BB87)</f>
        <v>4.686694553597837</v>
      </c>
      <c r="BD124" s="468">
        <f>BD188/AVERAGE(BD87,AY87)</f>
        <v>4.2538568209395047</v>
      </c>
      <c r="BE124" s="467">
        <f>(BE188*4)/AVERAGE(BE87,BD87)</f>
        <v>3.9848404724131856</v>
      </c>
      <c r="BF124" s="467">
        <f>(BF188*4)/AVERAGE(BF87,BE87)</f>
        <v>3.847526928995384</v>
      </c>
      <c r="BG124" s="467">
        <f>(BG188*4)/AVERAGE(BG87,BF87)</f>
        <v>4.3536477489641054</v>
      </c>
      <c r="BH124" s="467">
        <f>(BH188*4)/AVERAGE(BH87,BG87)</f>
        <v>4.2922747978060807</v>
      </c>
      <c r="BI124" s="468">
        <f>BI188/AVERAGE(BI87,BD87)</f>
        <v>4.0468096467028571</v>
      </c>
      <c r="BJ124" s="467">
        <f>(BJ188*4)/AVERAGE(BJ87,BI87)</f>
        <v>3.5092949690167701</v>
      </c>
      <c r="BK124" s="467">
        <f>(BK188*4)/AVERAGE(BK87,BJ87)</f>
        <v>3.5459144302495074</v>
      </c>
      <c r="BL124" s="467">
        <f>(BL188*4)/AVERAGE(BL87,BK87)</f>
        <v>3.7696694250310849</v>
      </c>
      <c r="BM124" s="467">
        <f>(BM188*4)/AVERAGE(BM87,BL87)</f>
        <v>3.8841708043694139</v>
      </c>
      <c r="BN124" s="468">
        <f>BN188/AVERAGE(BN87,BI87)</f>
        <v>3.5417426914811658</v>
      </c>
      <c r="BO124" s="467">
        <f>(BO188*4)/AVERAGE(BO87,BN87)</f>
        <v>3.7027873724797171</v>
      </c>
      <c r="BP124" s="467">
        <f>(BP188*4)/AVERAGE(BP87,BO87)</f>
        <v>4.4024752055607363</v>
      </c>
      <c r="BQ124" s="467">
        <f>(BQ188*4)/AVERAGE(BQ87,BP87)</f>
        <v>4.1371042634022794</v>
      </c>
      <c r="BR124" s="467">
        <f>(BR188*4)/AVERAGE(BR87,BQ87)</f>
        <v>4.1531169089822741</v>
      </c>
      <c r="BS124" s="468">
        <f>BS188/AVERAGE(BS87,BN87)</f>
        <v>3.7054511627906974</v>
      </c>
      <c r="BT124" s="467">
        <f>(BT188*4)/AVERAGE(BT87,BS87)</f>
        <v>3.5588075036973619</v>
      </c>
      <c r="BU124" s="467">
        <f>(BU188*4)/AVERAGE(BU87,BT87)</f>
        <v>4.3892947967545313</v>
      </c>
      <c r="BV124" s="467">
        <f>(BV188*4)/AVERAGE(BV87,BU87)</f>
        <v>4.577707239653277</v>
      </c>
      <c r="BW124" s="467">
        <f>(BW188*4)/AVERAGE(BW87,BV87)</f>
        <v>4.4452275164700472</v>
      </c>
      <c r="BX124" s="468">
        <f>BX188/AVERAGE(BX87,BS87)</f>
        <v>3.8833333333333333</v>
      </c>
      <c r="BY124" s="470"/>
      <c r="BZ124" s="470"/>
      <c r="CA124" s="470"/>
      <c r="CB124" s="470"/>
      <c r="CC124" s="469">
        <v>4</v>
      </c>
      <c r="CD124" s="469">
        <v>4</v>
      </c>
      <c r="CE124" s="469">
        <v>4</v>
      </c>
      <c r="CF124" s="469">
        <v>4</v>
      </c>
      <c r="CG124" s="469">
        <v>4</v>
      </c>
      <c r="CH124" s="469">
        <v>4</v>
      </c>
    </row>
    <row r="125" spans="1:86" s="77" customFormat="1" ht="4.5" customHeight="1">
      <c r="A125"/>
      <c r="B125"/>
      <c r="C125"/>
      <c r="D125"/>
      <c r="E125"/>
      <c r="F125"/>
      <c r="G125" s="230"/>
      <c r="H125" s="47"/>
      <c r="I125" s="47"/>
      <c r="J125" s="47"/>
      <c r="K125" s="47"/>
      <c r="L125" s="384"/>
      <c r="M125" s="384"/>
      <c r="N125" s="384"/>
      <c r="O125" s="384"/>
      <c r="P125" s="377"/>
      <c r="Q125" s="384"/>
      <c r="R125" s="384"/>
      <c r="S125" s="384"/>
      <c r="T125" s="384"/>
      <c r="U125" s="377"/>
      <c r="V125" s="384"/>
      <c r="W125" s="384"/>
      <c r="X125" s="384"/>
      <c r="Y125" s="384"/>
      <c r="Z125" s="377"/>
      <c r="AA125" s="384"/>
      <c r="AB125" s="384"/>
      <c r="AC125" s="384"/>
      <c r="AD125" s="384"/>
      <c r="AE125" s="377"/>
      <c r="AF125" s="384"/>
      <c r="AG125" s="384"/>
      <c r="AH125" s="384"/>
      <c r="AI125" s="384"/>
      <c r="AJ125" s="377"/>
      <c r="AK125" s="384"/>
      <c r="AL125" s="384"/>
      <c r="AM125" s="384"/>
      <c r="AN125" s="384"/>
      <c r="AO125" s="377"/>
      <c r="AP125" s="384"/>
      <c r="AQ125" s="384"/>
      <c r="AR125" s="384"/>
      <c r="AS125" s="384"/>
      <c r="AT125" s="377"/>
      <c r="AU125" s="384"/>
      <c r="AV125" s="384"/>
      <c r="AW125" s="384"/>
      <c r="AX125" s="384"/>
      <c r="AY125" s="377"/>
      <c r="AZ125" s="384"/>
      <c r="BA125" s="384"/>
      <c r="BB125" s="384"/>
      <c r="BC125" s="384"/>
      <c r="BD125" s="377"/>
      <c r="BE125" s="384"/>
      <c r="BF125" s="384"/>
      <c r="BG125" s="384"/>
      <c r="BH125" s="384"/>
      <c r="BI125" s="377"/>
      <c r="BJ125" s="384"/>
      <c r="BK125" s="384"/>
      <c r="BL125" s="384"/>
      <c r="BM125" s="384"/>
      <c r="BN125" s="377"/>
      <c r="BO125" s="384"/>
      <c r="BP125" s="384"/>
      <c r="BQ125" s="384"/>
      <c r="BR125" s="384"/>
      <c r="BS125" s="377"/>
      <c r="BT125" s="384"/>
      <c r="BU125" s="384"/>
      <c r="BV125" s="384"/>
      <c r="BW125" s="384"/>
      <c r="BX125" s="377"/>
      <c r="BY125" s="384"/>
      <c r="BZ125" s="384"/>
      <c r="CA125" s="384"/>
      <c r="CB125" s="384"/>
      <c r="CC125" s="377"/>
      <c r="CD125" s="377"/>
      <c r="CE125" s="377"/>
      <c r="CF125" s="377"/>
      <c r="CG125" s="377"/>
      <c r="CH125" s="377"/>
    </row>
    <row r="126" spans="1:86" s="77" customFormat="1">
      <c r="A126"/>
      <c r="B126"/>
      <c r="C126"/>
      <c r="D126"/>
      <c r="E126"/>
      <c r="F126"/>
      <c r="G126" s="230"/>
      <c r="H126" s="47" t="s">
        <v>180</v>
      </c>
      <c r="I126" s="47"/>
      <c r="J126" s="47"/>
      <c r="K126" s="47"/>
      <c r="L126" s="467"/>
      <c r="M126" s="467"/>
      <c r="N126" s="467"/>
      <c r="O126" s="467"/>
      <c r="P126" s="468"/>
      <c r="Q126" s="467">
        <f>(Q187*4)/(AVERAGE(P78,Q78))</f>
        <v>1.8739374984235884</v>
      </c>
      <c r="R126" s="467">
        <f>(R187*4)/(AVERAGE(Q78,R78))</f>
        <v>1.9294138191252503</v>
      </c>
      <c r="S126" s="467">
        <f>(S187*4)/(AVERAGE(R78,S78))</f>
        <v>1.8960707582467462</v>
      </c>
      <c r="T126" s="467">
        <f>(T187*4)/(AVERAGE(S78,T78))</f>
        <v>2.0749647170952548</v>
      </c>
      <c r="U126" s="468">
        <f>U187/(AVERAGE(P78,U78))</f>
        <v>1.9534945968826254</v>
      </c>
      <c r="V126" s="467">
        <f>(V187*4)/(AVERAGE(U78,V78))</f>
        <v>2.0664246335888126</v>
      </c>
      <c r="W126" s="467">
        <f>(W187*4)/(AVERAGE(V78,W78))</f>
        <v>2.2427294960893036</v>
      </c>
      <c r="X126" s="467">
        <f>(X187*4)/(AVERAGE(W78,X78))</f>
        <v>2.1906581335371094</v>
      </c>
      <c r="Y126" s="467">
        <f>(Y187*4)/(AVERAGE(X78,Y78))</f>
        <v>2.4399910671258471</v>
      </c>
      <c r="Z126" s="468">
        <f>Z187/(AVERAGE(U78,Z78))</f>
        <v>2.2279254396977408</v>
      </c>
      <c r="AA126" s="467">
        <f>(AA187*4)/(AVERAGE(Z78,AA78))</f>
        <v>2.279256491773606</v>
      </c>
      <c r="AB126" s="467">
        <f>(AB187*4)/(AVERAGE(AA78,AB78))</f>
        <v>2.4236410001961621</v>
      </c>
      <c r="AC126" s="467">
        <f>(AC187*4)/(AVERAGE(AB78,AC78))</f>
        <v>2.5081558650177769</v>
      </c>
      <c r="AD126" s="467">
        <f>(AD187*4)/(AVERAGE(AC78,AD78))</f>
        <v>2.492456360578859</v>
      </c>
      <c r="AE126" s="468">
        <f>AE187/(AVERAGE(Z78,AE78))</f>
        <v>2.4105479786529003</v>
      </c>
      <c r="AF126" s="467">
        <f>(AF187*4)/(AVERAGE(AE78,AF78))</f>
        <v>2.3641846982695518</v>
      </c>
      <c r="AG126" s="467">
        <f>(AG187*4)/(AVERAGE(AF78,AG78))</f>
        <v>2.4841374050280147</v>
      </c>
      <c r="AH126" s="467">
        <f>(AH187*4)/(AVERAGE(AG78,AH78))</f>
        <v>2.6444167112378918</v>
      </c>
      <c r="AI126" s="467">
        <f>(AI187*4)/(AVERAGE(AH78,AI78))</f>
        <v>2.8896720044308921</v>
      </c>
      <c r="AJ126" s="468">
        <f>AJ187/(AVERAGE(AE78,AJ78))</f>
        <v>2.595862979011752</v>
      </c>
      <c r="AK126" s="467">
        <f>(AK187*4)/(AVERAGE(AJ78,AK78))</f>
        <v>2.7114505326116505</v>
      </c>
      <c r="AL126" s="467">
        <f>(AL187*4)/(AVERAGE(AK78,AL78))</f>
        <v>2.9160125290082051</v>
      </c>
      <c r="AM126" s="467">
        <f>(AM187*4)/(AVERAGE(AL78,AM78))</f>
        <v>2.8766588453736737</v>
      </c>
      <c r="AN126" s="467">
        <f>(AN187*4)/(AVERAGE(AM78,AN78))</f>
        <v>3.1164066336745875</v>
      </c>
      <c r="AO126" s="468">
        <f>AO187/(AVERAGE(AJ78,AO78))</f>
        <v>2.8598261257521025</v>
      </c>
      <c r="AP126" s="467">
        <f>(AP187*4)/(AVERAGE(AO78,AP78))</f>
        <v>2.9364109527042324</v>
      </c>
      <c r="AQ126" s="467">
        <f>(AQ187*4)/(AVERAGE(AP78,AQ78))</f>
        <v>3.1419347544813898</v>
      </c>
      <c r="AR126" s="467">
        <f>(AR187*4)/(AVERAGE(AQ78,AR78))</f>
        <v>3.1196442955999975</v>
      </c>
      <c r="AS126" s="467">
        <f>(AS187*4)/(AVERAGE(AR78,AS78))</f>
        <v>3.1061936105313852</v>
      </c>
      <c r="AT126" s="468">
        <f>AT187/(AVERAGE(AO78,AT78))</f>
        <v>3.0936373479396218</v>
      </c>
      <c r="AU126" s="467">
        <f>(AU187*4)/(AVERAGE(AT78,AU78))</f>
        <v>2.8885780765586628</v>
      </c>
      <c r="AV126" s="467">
        <f>(AV187*4)/(AVERAGE(AU78,AV78))</f>
        <v>2.9142801391915185</v>
      </c>
      <c r="AW126" s="467">
        <f>(AW187*4)/(AVERAGE(AV78,AW78))</f>
        <v>2.8538548247568616</v>
      </c>
      <c r="AX126" s="467">
        <f>(AX187*4)/(AVERAGE(AW78,AX78))</f>
        <v>3.0948821684384153</v>
      </c>
      <c r="AY126" s="468">
        <f>AY187/(AVERAGE(AT78,AY78))</f>
        <v>2.9127025546857386</v>
      </c>
      <c r="AZ126" s="467">
        <f>(AZ187*4)/(AVERAGE(AY78,AZ78))</f>
        <v>2.9130762630333602</v>
      </c>
      <c r="BA126" s="467">
        <f>(BA187*4)/(AVERAGE(AZ78,BA78))</f>
        <v>3.1086034822838648</v>
      </c>
      <c r="BB126" s="467">
        <f>(BB187*4)/(AVERAGE(BA78,BB78))</f>
        <v>2.9979550898786691</v>
      </c>
      <c r="BC126" s="467">
        <f>(BC187*4)/(AVERAGE(BB78,BC78))</f>
        <v>2.9518322545401414</v>
      </c>
      <c r="BD126" s="468">
        <f>BD187/(AVERAGE(AY78,BD78))</f>
        <v>2.937625907967234</v>
      </c>
      <c r="BE126" s="467">
        <f>(BE187*4)/(AVERAGE(BD78,BE78))</f>
        <v>2.3494500257114548</v>
      </c>
      <c r="BF126" s="467">
        <f>(BF187*4)/(AVERAGE(BE78,BF78))</f>
        <v>2.45680579407153</v>
      </c>
      <c r="BG126" s="467">
        <f>(BG187*4)/(AVERAGE(BF78,BG78))</f>
        <v>2.4160255695543911</v>
      </c>
      <c r="BH126" s="467">
        <f>(BH187*4)/(AVERAGE(BG78,BH78))</f>
        <v>2.5594982257983907</v>
      </c>
      <c r="BI126" s="468">
        <f>BI187/(AVERAGE(BD78,BI78))</f>
        <v>2.4612720679573883</v>
      </c>
      <c r="BJ126" s="467">
        <f>(BJ187*4)/(AVERAGE(BI78,BJ78))</f>
        <v>2.3348120593668709</v>
      </c>
      <c r="BK126" s="467">
        <f>(BK187*4)/(AVERAGE(BJ78,BK78))</f>
        <v>2.4935110465589454</v>
      </c>
      <c r="BL126" s="467">
        <f>(BL187*4)/(AVERAGE(BK78,BL78))</f>
        <v>2.4647686965380573</v>
      </c>
      <c r="BM126" s="467">
        <f>(BM187*4)/(AVERAGE(BL78,BM78))</f>
        <v>2.6663359952383314</v>
      </c>
      <c r="BN126" s="468">
        <f>BN187/(AVERAGE(BI78,BN78))</f>
        <v>2.4921273115486904</v>
      </c>
      <c r="BO126" s="467">
        <f>(BO187*4)/(AVERAGE(BN78,BO78))</f>
        <v>2.4194547014285184</v>
      </c>
      <c r="BP126" s="467">
        <f>(BP187*4)/(AVERAGE(BO78,BP78))</f>
        <v>2.6857483601669654</v>
      </c>
      <c r="BQ126" s="467">
        <f>(BQ187*4)/(AVERAGE(BP78,BQ78))</f>
        <v>2.5452628998651794</v>
      </c>
      <c r="BR126" s="467">
        <f>(BR187*4)/(AVERAGE(BQ78,BR78))</f>
        <v>2.7922081856463392</v>
      </c>
      <c r="BS126" s="468">
        <f>BS187/(AVERAGE(BN78,BS78))</f>
        <v>2.6015049582671521</v>
      </c>
      <c r="BT126" s="467">
        <f>(BT187*4)/(AVERAGE(BS78,BT78))</f>
        <v>2.5079115726611545</v>
      </c>
      <c r="BU126" s="467">
        <f>(BU187*4)/(AVERAGE(BT78,BU78))</f>
        <v>2.7395095335806636</v>
      </c>
      <c r="BV126" s="467">
        <f>(BV187*4)/(AVERAGE(BU78,BV78))</f>
        <v>2.6345387136014158</v>
      </c>
      <c r="BW126" s="467">
        <f>(BW187*4)/(AVERAGE(BV78,BW78))</f>
        <v>2.8284878048780486</v>
      </c>
      <c r="BX126" s="468">
        <f>BX187/(AVERAGE(BS78,BX78))</f>
        <v>2.6783144310882894</v>
      </c>
      <c r="BY126" s="470"/>
      <c r="BZ126" s="470"/>
      <c r="CA126" s="470"/>
      <c r="CB126" s="470"/>
      <c r="CC126" s="468">
        <f>CC187/(AVERAGE(BX78,CC78))</f>
        <v>2.6706324624791549</v>
      </c>
      <c r="CD126" s="468">
        <f>CD187/(AVERAGE(CC78,CD78))</f>
        <v>2.6637804863518197</v>
      </c>
      <c r="CE126" s="468">
        <f>CE187/(AVERAGE(CD78,CE78))</f>
        <v>2.7232374377201412</v>
      </c>
      <c r="CF126" s="468">
        <f>CF187/(AVERAGE(CE78,CF78))</f>
        <v>2.7813737638949085</v>
      </c>
      <c r="CG126" s="468">
        <f>CG187/(AVERAGE(CF78,CG78))</f>
        <v>2.8225242626684572</v>
      </c>
      <c r="CH126" s="468">
        <f>CH187/(AVERAGE(CG78,CH78))</f>
        <v>2.8753504164929335</v>
      </c>
    </row>
    <row r="127" spans="1:86" s="77" customFormat="1">
      <c r="A127"/>
      <c r="B127"/>
      <c r="C127"/>
      <c r="D127"/>
      <c r="E127"/>
      <c r="F127"/>
      <c r="G127" s="230"/>
      <c r="H127" s="982" t="s">
        <v>241</v>
      </c>
      <c r="I127" s="47"/>
      <c r="J127" s="47"/>
      <c r="K127" s="32"/>
      <c r="L127" s="710">
        <f t="shared" ref="L127:AQ127" si="181">-1*L32/L187</f>
        <v>6.9251443929776405E-2</v>
      </c>
      <c r="M127" s="710">
        <f t="shared" si="181"/>
        <v>0.10298006925321046</v>
      </c>
      <c r="N127" s="710">
        <f t="shared" si="181"/>
        <v>7.1811390963872151E-2</v>
      </c>
      <c r="O127" s="710">
        <f t="shared" si="181"/>
        <v>0.10530793225232657</v>
      </c>
      <c r="P127" s="700">
        <f t="shared" si="181"/>
        <v>8.787802230066985E-2</v>
      </c>
      <c r="Q127" s="710">
        <f t="shared" si="181"/>
        <v>4.3259394853020348E-2</v>
      </c>
      <c r="R127" s="710">
        <f t="shared" si="181"/>
        <v>5.9838121589821838E-2</v>
      </c>
      <c r="S127" s="710">
        <f t="shared" si="181"/>
        <v>7.1350008410864224E-2</v>
      </c>
      <c r="T127" s="710">
        <f t="shared" si="181"/>
        <v>8.121923067863282E-2</v>
      </c>
      <c r="U127" s="700">
        <f t="shared" si="181"/>
        <v>6.453278100852386E-2</v>
      </c>
      <c r="V127" s="710">
        <f t="shared" si="181"/>
        <v>5.6646632908996263E-2</v>
      </c>
      <c r="W127" s="710">
        <f t="shared" si="181"/>
        <v>5.3164611630568577E-2</v>
      </c>
      <c r="X127" s="710">
        <f t="shared" si="181"/>
        <v>5.0165692857765759E-2</v>
      </c>
      <c r="Y127" s="710">
        <f t="shared" si="181"/>
        <v>6.4434082238236559E-2</v>
      </c>
      <c r="Z127" s="700">
        <f t="shared" si="181"/>
        <v>5.6354883893161331E-2</v>
      </c>
      <c r="AA127" s="710">
        <f t="shared" si="181"/>
        <v>3.7507635919364686E-2</v>
      </c>
      <c r="AB127" s="710">
        <f t="shared" si="181"/>
        <v>5.0733193677394789E-2</v>
      </c>
      <c r="AC127" s="710">
        <f t="shared" si="181"/>
        <v>4.1610940531580223E-2</v>
      </c>
      <c r="AD127" s="710">
        <f t="shared" si="181"/>
        <v>4.7513161145637348E-2</v>
      </c>
      <c r="AE127" s="700">
        <f t="shared" si="181"/>
        <v>4.4447338465397154E-2</v>
      </c>
      <c r="AF127" s="710">
        <f t="shared" si="181"/>
        <v>3.1110670761914198E-2</v>
      </c>
      <c r="AG127" s="710">
        <f t="shared" si="181"/>
        <v>3.3423962846308344E-2</v>
      </c>
      <c r="AH127" s="710">
        <f t="shared" si="181"/>
        <v>3.1336521520261763E-2</v>
      </c>
      <c r="AI127" s="710">
        <f t="shared" si="181"/>
        <v>4.0288472879842295E-2</v>
      </c>
      <c r="AJ127" s="700">
        <f t="shared" si="181"/>
        <v>3.4223285298000866E-2</v>
      </c>
      <c r="AK127" s="710">
        <f t="shared" si="181"/>
        <v>2.2805994093411601E-2</v>
      </c>
      <c r="AL127" s="710">
        <f t="shared" si="181"/>
        <v>2.6823455737818986E-2</v>
      </c>
      <c r="AM127" s="710">
        <f t="shared" si="181"/>
        <v>2.9019080797184727E-2</v>
      </c>
      <c r="AN127" s="710">
        <f t="shared" si="181"/>
        <v>3.6576220123224527E-2</v>
      </c>
      <c r="AO127" s="700">
        <f t="shared" si="181"/>
        <v>2.902139358157884E-2</v>
      </c>
      <c r="AP127" s="710">
        <f t="shared" si="181"/>
        <v>1.736539251952322E-2</v>
      </c>
      <c r="AQ127" s="710">
        <f t="shared" si="181"/>
        <v>2.2229329921637613E-2</v>
      </c>
      <c r="AR127" s="710">
        <f t="shared" ref="AR127:BN127" si="182">-1*AR32/AR187</f>
        <v>2.8578399479505533E-2</v>
      </c>
      <c r="AS127" s="710">
        <f t="shared" si="182"/>
        <v>3.8138396401164322E-2</v>
      </c>
      <c r="AT127" s="700">
        <f t="shared" si="182"/>
        <v>2.662785239597144E-2</v>
      </c>
      <c r="AU127" s="710">
        <f t="shared" si="182"/>
        <v>2.3330953230988931E-2</v>
      </c>
      <c r="AV127" s="710">
        <f t="shared" si="182"/>
        <v>3.2049565232917313E-2</v>
      </c>
      <c r="AW127" s="710">
        <f t="shared" si="182"/>
        <v>3.3435599728106113E-2</v>
      </c>
      <c r="AX127" s="710">
        <f t="shared" si="182"/>
        <v>6.5667332516408453E-2</v>
      </c>
      <c r="AY127" s="700">
        <f t="shared" si="182"/>
        <v>3.9082788796326193E-2</v>
      </c>
      <c r="AZ127" s="710">
        <f t="shared" si="182"/>
        <v>2.8187871538997093E-2</v>
      </c>
      <c r="BA127" s="710">
        <f t="shared" si="182"/>
        <v>2.3002850059868123E-2</v>
      </c>
      <c r="BB127" s="710">
        <f t="shared" si="182"/>
        <v>4.3966323666978488E-2</v>
      </c>
      <c r="BC127" s="710">
        <f t="shared" si="182"/>
        <v>4.89946288390029E-2</v>
      </c>
      <c r="BD127" s="700">
        <f t="shared" si="182"/>
        <v>3.6027655671316328E-2</v>
      </c>
      <c r="BE127" s="710">
        <f t="shared" si="182"/>
        <v>4.3133821613888235E-2</v>
      </c>
      <c r="BF127" s="710">
        <f t="shared" si="182"/>
        <v>5.164519004781587E-2</v>
      </c>
      <c r="BG127" s="710">
        <f t="shared" si="182"/>
        <v>6.0895069324801043E-2</v>
      </c>
      <c r="BH127" s="710">
        <f t="shared" si="182"/>
        <v>7.6835959619627817E-2</v>
      </c>
      <c r="BI127" s="700">
        <f t="shared" si="182"/>
        <v>5.8489161687636376E-2</v>
      </c>
      <c r="BJ127" s="710">
        <f t="shared" si="182"/>
        <v>4.0605421232802981E-2</v>
      </c>
      <c r="BK127" s="710">
        <f t="shared" si="182"/>
        <v>4.4971578926225726E-2</v>
      </c>
      <c r="BL127" s="710">
        <f t="shared" si="182"/>
        <v>5.5144464382926389E-2</v>
      </c>
      <c r="BM127" s="710">
        <f t="shared" si="182"/>
        <v>5.3501004539028209E-2</v>
      </c>
      <c r="BN127" s="700">
        <f t="shared" si="182"/>
        <v>4.8780732212017827E-2</v>
      </c>
      <c r="BO127" s="710">
        <f t="shared" ref="BO127:BX127" si="183">-1*BO32/BO187</f>
        <v>3.1715689297239523E-2</v>
      </c>
      <c r="BP127" s="710">
        <f t="shared" si="183"/>
        <v>4.5404085257548833E-2</v>
      </c>
      <c r="BQ127" s="710">
        <f t="shared" si="183"/>
        <v>4.3819943371150118E-2</v>
      </c>
      <c r="BR127" s="710">
        <f t="shared" si="183"/>
        <v>5.8397708532245449E-2</v>
      </c>
      <c r="BS127" s="700">
        <f t="shared" si="183"/>
        <v>4.5430971890882681E-2</v>
      </c>
      <c r="BT127" s="710">
        <f t="shared" si="183"/>
        <v>3.2323464157294778E-2</v>
      </c>
      <c r="BU127" s="710">
        <f t="shared" si="183"/>
        <v>3.8047490685575953E-2</v>
      </c>
      <c r="BV127" s="710">
        <f t="shared" si="183"/>
        <v>4.289425778971738E-2</v>
      </c>
      <c r="BW127" s="710">
        <f t="shared" si="183"/>
        <v>6.5381119335151283E-2</v>
      </c>
      <c r="BX127" s="700">
        <f t="shared" si="183"/>
        <v>4.5300722293149583E-2</v>
      </c>
      <c r="BY127" s="470"/>
      <c r="BZ127" s="470"/>
      <c r="CA127" s="470"/>
      <c r="CB127" s="470"/>
      <c r="CC127" s="700">
        <f t="shared" ref="CC127:CH127" si="184">-1*CC32/CC187</f>
        <v>4.9953503695039862E-2</v>
      </c>
      <c r="CD127" s="700">
        <f t="shared" si="184"/>
        <v>4.066359498072087E-2</v>
      </c>
      <c r="CE127" s="700">
        <f t="shared" si="184"/>
        <v>3.9194150158767309E-2</v>
      </c>
      <c r="CF127" s="700">
        <f t="shared" si="184"/>
        <v>3.7821855957643764E-2</v>
      </c>
      <c r="CG127" s="700">
        <f t="shared" si="184"/>
        <v>3.6740930360420199E-2</v>
      </c>
      <c r="CH127" s="700">
        <f t="shared" si="184"/>
        <v>3.5560705285190945E-2</v>
      </c>
    </row>
    <row r="128" spans="1:86">
      <c r="G128" s="230"/>
      <c r="H128" s="471" t="s">
        <v>181</v>
      </c>
      <c r="L128" s="467"/>
      <c r="M128" s="467"/>
      <c r="N128" s="467"/>
      <c r="O128" s="467"/>
      <c r="P128" s="468"/>
      <c r="Q128" s="467"/>
      <c r="R128" s="467"/>
      <c r="S128" s="467"/>
      <c r="T128" s="467"/>
      <c r="U128" s="468">
        <f>U17/P78</f>
        <v>0.10037282780410743</v>
      </c>
      <c r="V128" s="467"/>
      <c r="W128" s="467"/>
      <c r="X128" s="467"/>
      <c r="Y128" s="467"/>
      <c r="Z128" s="468">
        <f>Z17/U78</f>
        <v>0.10734393974706524</v>
      </c>
      <c r="AA128" s="467"/>
      <c r="AB128" s="467"/>
      <c r="AC128" s="467"/>
      <c r="AD128" s="467"/>
      <c r="AE128" s="468">
        <f>AE17/Z78</f>
        <v>0.10836025235857308</v>
      </c>
      <c r="AF128" s="467"/>
      <c r="AG128" s="467"/>
      <c r="AH128" s="467"/>
      <c r="AI128" s="467"/>
      <c r="AJ128" s="468">
        <f>AJ17/AE78</f>
        <v>0.11833578706977499</v>
      </c>
      <c r="AK128" s="467"/>
      <c r="AL128" s="467"/>
      <c r="AM128" s="467"/>
      <c r="AN128" s="467"/>
      <c r="AO128" s="468">
        <f>AO17/AJ78</f>
        <v>0.1149754800302535</v>
      </c>
      <c r="AP128" s="467"/>
      <c r="AQ128" s="467"/>
      <c r="AR128" s="467"/>
      <c r="AS128" s="467"/>
      <c r="AT128" s="468">
        <f>AT17/AO78</f>
        <v>0.1139194277582581</v>
      </c>
      <c r="AU128" s="467"/>
      <c r="AV128" s="467"/>
      <c r="AW128" s="467"/>
      <c r="AX128" s="467"/>
      <c r="AY128" s="468">
        <f>AY17/AT78</f>
        <v>0.1158718090795459</v>
      </c>
      <c r="AZ128" s="467"/>
      <c r="BA128" s="467"/>
      <c r="BB128" s="470"/>
      <c r="BC128" s="467"/>
      <c r="BD128" s="468">
        <f>BD17/AY78</f>
        <v>0.11476508337413983</v>
      </c>
      <c r="BE128" s="467"/>
      <c r="BF128" s="467"/>
      <c r="BG128" s="467"/>
      <c r="BH128" s="467"/>
      <c r="BI128" s="468">
        <f>BI17/BD78</f>
        <v>0.10571124067456586</v>
      </c>
      <c r="BJ128" s="467"/>
      <c r="BK128" s="467"/>
      <c r="BL128" s="467"/>
      <c r="BM128" s="467"/>
      <c r="BN128" s="468">
        <f>BN17/BI78</f>
        <v>9.9938472356508767E-2</v>
      </c>
      <c r="BO128" s="467"/>
      <c r="BP128" s="467"/>
      <c r="BQ128" s="467"/>
      <c r="BR128" s="467"/>
      <c r="BS128" s="468">
        <f>BS17/BN78</f>
        <v>0.10041596821257838</v>
      </c>
      <c r="BT128" s="467"/>
      <c r="BU128" s="467"/>
      <c r="BV128" s="467"/>
      <c r="BW128" s="467"/>
      <c r="BX128" s="468">
        <f>BX17/BS78</f>
        <v>0.10710563943484477</v>
      </c>
      <c r="BY128" s="470"/>
      <c r="BZ128" s="470"/>
      <c r="CA128" s="470"/>
      <c r="CB128" s="470"/>
      <c r="CC128" s="468">
        <f>CC17/BX78</f>
        <v>9.777374950433354E-2</v>
      </c>
      <c r="CD128" s="468">
        <f>CD17/CC78</f>
        <v>9.4177988759753375E-2</v>
      </c>
      <c r="CE128" s="468">
        <f>CE17/CD78</f>
        <v>9.279071017687221E-2</v>
      </c>
      <c r="CF128" s="468">
        <f>CF17/CE78</f>
        <v>9.1443708609271521E-2</v>
      </c>
      <c r="CG128" s="468">
        <f>CG17/CF78</f>
        <v>9.01352551047052E-2</v>
      </c>
      <c r="CH128" s="468">
        <f>CH17/CG78</f>
        <v>8.8863718272151573E-2</v>
      </c>
    </row>
    <row r="129" spans="1:86" s="77" customFormat="1" ht="4.5" customHeight="1">
      <c r="A129"/>
      <c r="B129"/>
      <c r="C129"/>
      <c r="D129"/>
      <c r="E129"/>
      <c r="F129"/>
      <c r="G129" s="230"/>
      <c r="H129" s="47"/>
      <c r="I129" s="47"/>
      <c r="J129" s="47"/>
      <c r="K129" s="47"/>
      <c r="L129" s="467"/>
      <c r="M129" s="467"/>
      <c r="N129" s="467"/>
      <c r="O129" s="467"/>
      <c r="P129" s="468"/>
      <c r="Q129" s="467"/>
      <c r="R129" s="467"/>
      <c r="S129" s="467"/>
      <c r="T129" s="467"/>
      <c r="U129" s="468"/>
      <c r="V129" s="467"/>
      <c r="W129" s="467"/>
      <c r="X129" s="467"/>
      <c r="Y129" s="467"/>
      <c r="Z129" s="468"/>
      <c r="AA129" s="467"/>
      <c r="AB129" s="467"/>
      <c r="AC129" s="467"/>
      <c r="AD129" s="467"/>
      <c r="AE129" s="468"/>
      <c r="AF129" s="467"/>
      <c r="AG129" s="467"/>
      <c r="AH129" s="467"/>
      <c r="AI129" s="467"/>
      <c r="AJ129" s="468"/>
      <c r="AK129" s="467"/>
      <c r="AL129" s="467"/>
      <c r="AM129" s="467"/>
      <c r="AN129" s="467"/>
      <c r="AO129" s="468"/>
      <c r="AP129" s="467"/>
      <c r="AQ129" s="467"/>
      <c r="AR129" s="467"/>
      <c r="AS129" s="467"/>
      <c r="AT129" s="468"/>
      <c r="AU129" s="467"/>
      <c r="AV129" s="467"/>
      <c r="AW129" s="467"/>
      <c r="AX129" s="467"/>
      <c r="AY129" s="468"/>
      <c r="AZ129" s="467"/>
      <c r="BA129" s="467"/>
      <c r="BB129" s="470"/>
      <c r="BC129" s="467"/>
      <c r="BD129" s="468"/>
      <c r="BE129" s="467"/>
      <c r="BF129" s="467"/>
      <c r="BG129" s="467"/>
      <c r="BH129" s="467"/>
      <c r="BI129" s="468"/>
      <c r="BJ129" s="467"/>
      <c r="BK129" s="467"/>
      <c r="BL129" s="467"/>
      <c r="BM129" s="467"/>
      <c r="BN129" s="468"/>
      <c r="BO129" s="467"/>
      <c r="BP129" s="467"/>
      <c r="BQ129" s="467"/>
      <c r="BR129" s="467"/>
      <c r="BS129" s="469"/>
      <c r="BT129" s="467"/>
      <c r="BU129" s="467"/>
      <c r="BV129" s="467"/>
      <c r="BW129" s="467"/>
      <c r="BX129" s="469"/>
      <c r="BY129" s="470"/>
      <c r="BZ129" s="470"/>
      <c r="CA129" s="470"/>
      <c r="CB129" s="470"/>
      <c r="CC129" s="469"/>
      <c r="CD129" s="469"/>
      <c r="CE129" s="469"/>
      <c r="CF129" s="469"/>
      <c r="CG129" s="469"/>
      <c r="CH129" s="469"/>
    </row>
    <row r="130" spans="1:86">
      <c r="G130" s="230"/>
      <c r="H130" s="77" t="s">
        <v>183</v>
      </c>
      <c r="I130" s="77"/>
      <c r="J130" s="77"/>
      <c r="K130" s="77"/>
      <c r="L130" s="384" t="e">
        <f t="shared" ref="L130:AN130" si="185">365/L122</f>
        <v>#DIV/0!</v>
      </c>
      <c r="M130" s="384" t="e">
        <f t="shared" si="185"/>
        <v>#DIV/0!</v>
      </c>
      <c r="N130" s="384" t="e">
        <f t="shared" si="185"/>
        <v>#DIV/0!</v>
      </c>
      <c r="O130" s="384" t="e">
        <f t="shared" si="185"/>
        <v>#DIV/0!</v>
      </c>
      <c r="P130" s="377" t="e">
        <f t="shared" si="185"/>
        <v>#DIV/0!</v>
      </c>
      <c r="Q130" s="384">
        <f t="shared" si="185"/>
        <v>64.513415930871119</v>
      </c>
      <c r="R130" s="384">
        <f t="shared" si="185"/>
        <v>59.083260065682296</v>
      </c>
      <c r="S130" s="384">
        <f t="shared" si="185"/>
        <v>58.970494041226175</v>
      </c>
      <c r="T130" s="384">
        <f t="shared" si="185"/>
        <v>55.583336277765994</v>
      </c>
      <c r="U130" s="377">
        <f t="shared" si="185"/>
        <v>63.458185294351949</v>
      </c>
      <c r="V130" s="384">
        <f t="shared" si="185"/>
        <v>58.307847475273299</v>
      </c>
      <c r="W130" s="384">
        <f t="shared" si="185"/>
        <v>54.39255868189769</v>
      </c>
      <c r="X130" s="384">
        <f t="shared" si="185"/>
        <v>57.224222224644627</v>
      </c>
      <c r="Y130" s="384">
        <f t="shared" si="185"/>
        <v>58.404887953293006</v>
      </c>
      <c r="Z130" s="377">
        <f t="shared" si="185"/>
        <v>62.674294423544453</v>
      </c>
      <c r="AA130" s="384">
        <f t="shared" si="185"/>
        <v>65.728428527794748</v>
      </c>
      <c r="AB130" s="384">
        <f t="shared" si="185"/>
        <v>59.494965244715281</v>
      </c>
      <c r="AC130" s="384">
        <f t="shared" si="185"/>
        <v>57.893481454970136</v>
      </c>
      <c r="AD130" s="384">
        <f t="shared" si="185"/>
        <v>56.677250223311852</v>
      </c>
      <c r="AE130" s="377">
        <f t="shared" si="185"/>
        <v>61.46096206903205</v>
      </c>
      <c r="AF130" s="384">
        <f t="shared" si="185"/>
        <v>58.198206677895577</v>
      </c>
      <c r="AG130" s="384">
        <f t="shared" si="185"/>
        <v>55.945388947985975</v>
      </c>
      <c r="AH130" s="384">
        <f t="shared" si="185"/>
        <v>55.883283592822984</v>
      </c>
      <c r="AI130" s="384">
        <f t="shared" si="185"/>
        <v>56.234213608101513</v>
      </c>
      <c r="AJ130" s="377">
        <f t="shared" si="185"/>
        <v>59.416108986944046</v>
      </c>
      <c r="AK130" s="384">
        <f t="shared" si="185"/>
        <v>62.894695464323483</v>
      </c>
      <c r="AL130" s="384">
        <f t="shared" si="185"/>
        <v>58.594954076573821</v>
      </c>
      <c r="AM130" s="384">
        <f t="shared" si="185"/>
        <v>60.73597676351482</v>
      </c>
      <c r="AN130" s="384">
        <f t="shared" si="185"/>
        <v>59.236515852389175</v>
      </c>
      <c r="AO130" s="377">
        <f t="shared" ref="AO130:BN130" si="186">365/AO122</f>
        <v>63.189101008490177</v>
      </c>
      <c r="AP130" s="384">
        <f t="shared" si="186"/>
        <v>65.174553020961767</v>
      </c>
      <c r="AQ130" s="384">
        <f t="shared" si="186"/>
        <v>62.965856388933318</v>
      </c>
      <c r="AR130" s="384">
        <f t="shared" si="186"/>
        <v>63.406727797657766</v>
      </c>
      <c r="AS130" s="384">
        <f t="shared" si="186"/>
        <v>62.898119128737768</v>
      </c>
      <c r="AT130" s="377">
        <f t="shared" si="186"/>
        <v>63.091169616166937</v>
      </c>
      <c r="AU130" s="384">
        <f t="shared" si="186"/>
        <v>66.533336308461273</v>
      </c>
      <c r="AV130" s="384">
        <f t="shared" si="186"/>
        <v>62.750973092649133</v>
      </c>
      <c r="AW130" s="384">
        <f t="shared" si="186"/>
        <v>63.427240828174092</v>
      </c>
      <c r="AX130" s="384">
        <f t="shared" si="186"/>
        <v>58.847695264633316</v>
      </c>
      <c r="AY130" s="377">
        <f t="shared" si="186"/>
        <v>65.611282423362951</v>
      </c>
      <c r="AZ130" s="384">
        <f t="shared" si="186"/>
        <v>64.486026563364689</v>
      </c>
      <c r="BA130" s="384">
        <f t="shared" si="186"/>
        <v>63.425036258158094</v>
      </c>
      <c r="BB130" s="384">
        <f t="shared" si="186"/>
        <v>64.884778955756502</v>
      </c>
      <c r="BC130" s="384">
        <f t="shared" si="186"/>
        <v>62.978648774273523</v>
      </c>
      <c r="BD130" s="377">
        <f t="shared" si="186"/>
        <v>62.466501246062784</v>
      </c>
      <c r="BE130" s="384">
        <f t="shared" si="186"/>
        <v>75.688339454634757</v>
      </c>
      <c r="BF130" s="384">
        <f t="shared" si="186"/>
        <v>69.332325350514637</v>
      </c>
      <c r="BG130" s="384">
        <f t="shared" si="186"/>
        <v>69.142144043809992</v>
      </c>
      <c r="BH130" s="384">
        <f t="shared" si="186"/>
        <v>66.245472341007158</v>
      </c>
      <c r="BI130" s="377">
        <f t="shared" si="186"/>
        <v>72.794013438283812</v>
      </c>
      <c r="BJ130" s="384">
        <f t="shared" si="186"/>
        <v>74.920204749499433</v>
      </c>
      <c r="BK130" s="384">
        <f t="shared" si="186"/>
        <v>72.600264627312356</v>
      </c>
      <c r="BL130" s="384">
        <f t="shared" si="186"/>
        <v>75.104580418170457</v>
      </c>
      <c r="BM130" s="384">
        <f t="shared" si="186"/>
        <v>69.08169553166158</v>
      </c>
      <c r="BN130" s="377">
        <f t="shared" si="186"/>
        <v>71.988869515549624</v>
      </c>
      <c r="BO130" s="384">
        <f t="shared" ref="BO130:BX130" si="187">365/BO122</f>
        <v>77.453058518838247</v>
      </c>
      <c r="BP130" s="384">
        <f t="shared" si="187"/>
        <v>73.277052342362325</v>
      </c>
      <c r="BQ130" s="384">
        <f t="shared" si="187"/>
        <v>79.220017046439509</v>
      </c>
      <c r="BR130" s="384">
        <f t="shared" si="187"/>
        <v>73.561550646645244</v>
      </c>
      <c r="BS130" s="377">
        <f t="shared" si="187"/>
        <v>76.044391377733334</v>
      </c>
      <c r="BT130" s="384">
        <f t="shared" si="187"/>
        <v>81.855180361104743</v>
      </c>
      <c r="BU130" s="384">
        <f t="shared" si="187"/>
        <v>74.967163435949374</v>
      </c>
      <c r="BV130" s="384">
        <f t="shared" si="187"/>
        <v>80.399537830720533</v>
      </c>
      <c r="BW130" s="384">
        <f t="shared" si="187"/>
        <v>76.106096205038327</v>
      </c>
      <c r="BX130" s="377">
        <f t="shared" si="187"/>
        <v>80.02069160006296</v>
      </c>
      <c r="BY130" s="384"/>
      <c r="BZ130" s="384"/>
      <c r="CA130" s="384"/>
      <c r="CB130" s="384"/>
      <c r="CC130" s="377">
        <f t="shared" ref="CC130:CH130" si="188">365/CC122</f>
        <v>73</v>
      </c>
      <c r="CD130" s="377">
        <f t="shared" si="188"/>
        <v>71.568627450980401</v>
      </c>
      <c r="CE130" s="377">
        <f t="shared" si="188"/>
        <v>70.192307692307693</v>
      </c>
      <c r="CF130" s="377">
        <f t="shared" si="188"/>
        <v>70.192307692307693</v>
      </c>
      <c r="CG130" s="377">
        <f t="shared" si="188"/>
        <v>70.192307692307693</v>
      </c>
      <c r="CH130" s="377">
        <f t="shared" si="188"/>
        <v>70.192307692307693</v>
      </c>
    </row>
    <row r="131" spans="1:86" s="77" customFormat="1">
      <c r="A131"/>
      <c r="B131"/>
      <c r="C131"/>
      <c r="D131"/>
      <c r="E131"/>
      <c r="F131"/>
      <c r="G131" s="230"/>
      <c r="H131" s="77" t="s">
        <v>184</v>
      </c>
      <c r="L131" s="384" t="e">
        <f t="shared" ref="L131:AN131" si="189">365/L124</f>
        <v>#DIV/0!</v>
      </c>
      <c r="M131" s="384" t="e">
        <f t="shared" si="189"/>
        <v>#DIV/0!</v>
      </c>
      <c r="N131" s="384" t="e">
        <f t="shared" si="189"/>
        <v>#DIV/0!</v>
      </c>
      <c r="O131" s="384" t="e">
        <f t="shared" si="189"/>
        <v>#DIV/0!</v>
      </c>
      <c r="P131" s="377" t="e">
        <f t="shared" si="189"/>
        <v>#DIV/0!</v>
      </c>
      <c r="Q131" s="384">
        <f t="shared" si="189"/>
        <v>80.275108493490393</v>
      </c>
      <c r="R131" s="384">
        <f t="shared" si="189"/>
        <v>68.209534046014397</v>
      </c>
      <c r="S131" s="384">
        <f t="shared" si="189"/>
        <v>67.848892956764303</v>
      </c>
      <c r="T131" s="384">
        <f t="shared" si="189"/>
        <v>63.579489695780175</v>
      </c>
      <c r="U131" s="377">
        <f t="shared" si="189"/>
        <v>80.826942055547718</v>
      </c>
      <c r="V131" s="384">
        <f t="shared" si="189"/>
        <v>69.013685636856366</v>
      </c>
      <c r="W131" s="384">
        <f t="shared" si="189"/>
        <v>60.533399239163082</v>
      </c>
      <c r="X131" s="384">
        <f t="shared" si="189"/>
        <v>63.345462734686137</v>
      </c>
      <c r="Y131" s="384">
        <f t="shared" si="189"/>
        <v>63.2111290069139</v>
      </c>
      <c r="Z131" s="377">
        <f t="shared" si="189"/>
        <v>77.655279137638871</v>
      </c>
      <c r="AA131" s="384">
        <f t="shared" si="189"/>
        <v>71.4255800363605</v>
      </c>
      <c r="AB131" s="384">
        <f t="shared" si="189"/>
        <v>61.71115735654525</v>
      </c>
      <c r="AC131" s="384">
        <f t="shared" si="189"/>
        <v>63.350723398932622</v>
      </c>
      <c r="AD131" s="384">
        <f t="shared" si="189"/>
        <v>85.290176173595441</v>
      </c>
      <c r="AE131" s="377">
        <f t="shared" si="189"/>
        <v>77.77436499944055</v>
      </c>
      <c r="AF131" s="384">
        <f t="shared" si="189"/>
        <v>106.65765862322391</v>
      </c>
      <c r="AG131" s="384">
        <f t="shared" si="189"/>
        <v>93.48935243825207</v>
      </c>
      <c r="AH131" s="384">
        <f t="shared" si="189"/>
        <v>78.346266280064654</v>
      </c>
      <c r="AI131" s="384">
        <f t="shared" si="189"/>
        <v>59.156623349402651</v>
      </c>
      <c r="AJ131" s="377">
        <f t="shared" si="189"/>
        <v>79.664881092535907</v>
      </c>
      <c r="AK131" s="384">
        <f t="shared" si="189"/>
        <v>78.53190423162583</v>
      </c>
      <c r="AL131" s="384">
        <f t="shared" si="189"/>
        <v>85.301237913858785</v>
      </c>
      <c r="AM131" s="384">
        <f t="shared" si="189"/>
        <v>91.702738963142977</v>
      </c>
      <c r="AN131" s="384">
        <f t="shared" si="189"/>
        <v>78.012751582535302</v>
      </c>
      <c r="AO131" s="377">
        <f t="shared" ref="AO131:BN131" si="190">365/AO124</f>
        <v>85.281194173423131</v>
      </c>
      <c r="AP131" s="384">
        <f t="shared" si="190"/>
        <v>87.198224726718081</v>
      </c>
      <c r="AQ131" s="384">
        <f t="shared" si="190"/>
        <v>88.084486970684054</v>
      </c>
      <c r="AR131" s="384">
        <f t="shared" si="190"/>
        <v>79.851421792093262</v>
      </c>
      <c r="AS131" s="384">
        <f t="shared" si="190"/>
        <v>78.688195127487319</v>
      </c>
      <c r="AT131" s="377">
        <f t="shared" si="190"/>
        <v>79.130507705361197</v>
      </c>
      <c r="AU131" s="384">
        <f t="shared" si="190"/>
        <v>90.324474079639373</v>
      </c>
      <c r="AV131" s="384">
        <f t="shared" si="190"/>
        <v>97.397259527339301</v>
      </c>
      <c r="AW131" s="384">
        <f t="shared" si="190"/>
        <v>95.916365486872735</v>
      </c>
      <c r="AX131" s="384">
        <f t="shared" si="190"/>
        <v>91.995614035087712</v>
      </c>
      <c r="AY131" s="377">
        <f t="shared" si="190"/>
        <v>88.025383091837796</v>
      </c>
      <c r="AZ131" s="384">
        <f t="shared" si="190"/>
        <v>85.187937062937067</v>
      </c>
      <c r="BA131" s="384">
        <f t="shared" si="190"/>
        <v>82.831380878819076</v>
      </c>
      <c r="BB131" s="384">
        <f t="shared" si="190"/>
        <v>90.952967198063618</v>
      </c>
      <c r="BC131" s="384">
        <f t="shared" si="190"/>
        <v>77.880048683736021</v>
      </c>
      <c r="BD131" s="377">
        <f t="shared" si="190"/>
        <v>85.804486461156046</v>
      </c>
      <c r="BE131" s="384">
        <f t="shared" si="190"/>
        <v>91.597142351588062</v>
      </c>
      <c r="BF131" s="384">
        <f t="shared" si="190"/>
        <v>94.866132644665868</v>
      </c>
      <c r="BG131" s="384">
        <f t="shared" si="190"/>
        <v>83.837742749593616</v>
      </c>
      <c r="BH131" s="384">
        <f t="shared" si="190"/>
        <v>85.036493979034901</v>
      </c>
      <c r="BI131" s="377">
        <f t="shared" si="190"/>
        <v>90.194506751110509</v>
      </c>
      <c r="BJ131" s="384">
        <f t="shared" si="190"/>
        <v>104.00949570285488</v>
      </c>
      <c r="BK131" s="384">
        <f t="shared" si="190"/>
        <v>102.93536608956377</v>
      </c>
      <c r="BL131" s="384">
        <f t="shared" si="190"/>
        <v>96.825466333030036</v>
      </c>
      <c r="BM131" s="384">
        <f t="shared" si="190"/>
        <v>93.971150699500953</v>
      </c>
      <c r="BN131" s="377">
        <f t="shared" si="190"/>
        <v>103.05661133371495</v>
      </c>
      <c r="BO131" s="384">
        <f t="shared" ref="BO131:BX131" si="191">365/BO124</f>
        <v>98.57438823325235</v>
      </c>
      <c r="BP131" s="384">
        <f t="shared" si="191"/>
        <v>82.907905884165118</v>
      </c>
      <c r="BQ131" s="384">
        <f t="shared" si="191"/>
        <v>88.225961146028894</v>
      </c>
      <c r="BR131" s="384">
        <f t="shared" si="191"/>
        <v>87.88579950893886</v>
      </c>
      <c r="BS131" s="377">
        <f t="shared" si="191"/>
        <v>98.503524662596405</v>
      </c>
      <c r="BT131" s="384">
        <f t="shared" si="191"/>
        <v>102.56244531933507</v>
      </c>
      <c r="BU131" s="384">
        <f t="shared" si="191"/>
        <v>83.156866171277215</v>
      </c>
      <c r="BV131" s="384">
        <f t="shared" si="191"/>
        <v>79.734238318754024</v>
      </c>
      <c r="BW131" s="384">
        <f t="shared" si="191"/>
        <v>82.11053284621218</v>
      </c>
      <c r="BX131" s="377">
        <f t="shared" si="191"/>
        <v>93.991416309012877</v>
      </c>
      <c r="BY131" s="384"/>
      <c r="BZ131" s="384"/>
      <c r="CA131" s="384"/>
      <c r="CB131" s="384"/>
      <c r="CC131" s="377">
        <f t="shared" ref="CC131:CH131" si="192">365/CC124</f>
        <v>91.25</v>
      </c>
      <c r="CD131" s="377">
        <f t="shared" si="192"/>
        <v>91.25</v>
      </c>
      <c r="CE131" s="377">
        <f t="shared" si="192"/>
        <v>91.25</v>
      </c>
      <c r="CF131" s="377">
        <f t="shared" si="192"/>
        <v>91.25</v>
      </c>
      <c r="CG131" s="377">
        <f t="shared" si="192"/>
        <v>91.25</v>
      </c>
      <c r="CH131" s="377">
        <f t="shared" si="192"/>
        <v>91.25</v>
      </c>
    </row>
    <row r="132" spans="1:86" s="77" customFormat="1">
      <c r="A132"/>
      <c r="B132"/>
      <c r="C132"/>
      <c r="D132"/>
      <c r="E132"/>
      <c r="F132"/>
      <c r="G132" s="230"/>
      <c r="H132" s="47" t="s">
        <v>185</v>
      </c>
      <c r="I132" s="47"/>
      <c r="J132" s="47"/>
      <c r="K132" s="47"/>
      <c r="L132" s="384" t="e">
        <f t="shared" ref="L132:AN132" si="193">365/L123</f>
        <v>#DIV/0!</v>
      </c>
      <c r="M132" s="384" t="e">
        <f t="shared" si="193"/>
        <v>#DIV/0!</v>
      </c>
      <c r="N132" s="384" t="e">
        <f t="shared" si="193"/>
        <v>#DIV/0!</v>
      </c>
      <c r="O132" s="384" t="e">
        <f t="shared" si="193"/>
        <v>#DIV/0!</v>
      </c>
      <c r="P132" s="377" t="e">
        <f t="shared" si="193"/>
        <v>#DIV/0!</v>
      </c>
      <c r="Q132" s="384">
        <f t="shared" si="193"/>
        <v>217.63662430254186</v>
      </c>
      <c r="R132" s="384">
        <f t="shared" si="193"/>
        <v>215.68230013943759</v>
      </c>
      <c r="S132" s="384">
        <f t="shared" si="193"/>
        <v>227.96591701534172</v>
      </c>
      <c r="T132" s="384">
        <f t="shared" si="193"/>
        <v>200.14554710500491</v>
      </c>
      <c r="U132" s="377">
        <f t="shared" si="193"/>
        <v>213.46813760045114</v>
      </c>
      <c r="V132" s="384">
        <f t="shared" si="193"/>
        <v>224.9399051490515</v>
      </c>
      <c r="W132" s="384">
        <f t="shared" si="193"/>
        <v>210.46238362198417</v>
      </c>
      <c r="X132" s="384">
        <f t="shared" si="193"/>
        <v>208.87303242935712</v>
      </c>
      <c r="Y132" s="384">
        <f t="shared" si="193"/>
        <v>180.00869146763043</v>
      </c>
      <c r="Z132" s="377">
        <f t="shared" si="193"/>
        <v>205.91814159292034</v>
      </c>
      <c r="AA132" s="384">
        <f t="shared" si="193"/>
        <v>202.15852523591033</v>
      </c>
      <c r="AB132" s="384">
        <f t="shared" si="193"/>
        <v>198.21600608467844</v>
      </c>
      <c r="AC132" s="384">
        <f t="shared" si="193"/>
        <v>177.21918779186126</v>
      </c>
      <c r="AD132" s="384">
        <f t="shared" si="193"/>
        <v>225.68911805779351</v>
      </c>
      <c r="AE132" s="377">
        <f t="shared" si="193"/>
        <v>204.89744880832498</v>
      </c>
      <c r="AF132" s="384">
        <f t="shared" si="193"/>
        <v>281.7863486036257</v>
      </c>
      <c r="AG132" s="384">
        <f t="shared" si="193"/>
        <v>267.2149435296601</v>
      </c>
      <c r="AH132" s="384">
        <f t="shared" si="193"/>
        <v>265.7908902937541</v>
      </c>
      <c r="AI132" s="384">
        <f t="shared" si="193"/>
        <v>190.56159610144624</v>
      </c>
      <c r="AJ132" s="377">
        <f t="shared" si="193"/>
        <v>229.60107134447847</v>
      </c>
      <c r="AK132" s="384">
        <f t="shared" si="193"/>
        <v>216.27672605790644</v>
      </c>
      <c r="AL132" s="384">
        <f t="shared" si="193"/>
        <v>207.00355259302665</v>
      </c>
      <c r="AM132" s="384">
        <f t="shared" si="193"/>
        <v>224.24438031591737</v>
      </c>
      <c r="AN132" s="384">
        <f t="shared" si="193"/>
        <v>192.44182153871122</v>
      </c>
      <c r="AO132" s="377">
        <f t="shared" ref="AO132:BN132" si="194">365/AO123</f>
        <v>224.35687783427238</v>
      </c>
      <c r="AP132" s="384">
        <f t="shared" si="194"/>
        <v>204.32468646724854</v>
      </c>
      <c r="AQ132" s="384">
        <f t="shared" si="194"/>
        <v>209.45144543973942</v>
      </c>
      <c r="AR132" s="384">
        <f t="shared" si="194"/>
        <v>183.56041215155818</v>
      </c>
      <c r="AS132" s="384">
        <f t="shared" si="194"/>
        <v>166.14790610577288</v>
      </c>
      <c r="AT132" s="377">
        <f t="shared" si="194"/>
        <v>173.48285285818588</v>
      </c>
      <c r="AU132" s="384">
        <f t="shared" si="194"/>
        <v>179.92528591702143</v>
      </c>
      <c r="AV132" s="384">
        <f t="shared" si="194"/>
        <v>188.79447545129503</v>
      </c>
      <c r="AW132" s="384">
        <f t="shared" si="194"/>
        <v>184.76684529744105</v>
      </c>
      <c r="AX132" s="384">
        <f t="shared" si="194"/>
        <v>189.95614035087718</v>
      </c>
      <c r="AY132" s="377">
        <f t="shared" si="194"/>
        <v>188.09694568956533</v>
      </c>
      <c r="AZ132" s="384">
        <f t="shared" si="194"/>
        <v>205.63352542519209</v>
      </c>
      <c r="BA132" s="384">
        <f t="shared" si="194"/>
        <v>207.61097880192241</v>
      </c>
      <c r="BB132" s="384">
        <f t="shared" si="194"/>
        <v>217.04339162006514</v>
      </c>
      <c r="BC132" s="384">
        <f t="shared" si="194"/>
        <v>194.24436530833032</v>
      </c>
      <c r="BD132" s="377">
        <f t="shared" si="194"/>
        <v>207.20839021209835</v>
      </c>
      <c r="BE132" s="384">
        <f t="shared" si="194"/>
        <v>238.06699548792358</v>
      </c>
      <c r="BF132" s="384">
        <f t="shared" si="194"/>
        <v>256.89556860773382</v>
      </c>
      <c r="BG132" s="384">
        <f t="shared" si="194"/>
        <v>235.55287021986481</v>
      </c>
      <c r="BH132" s="384">
        <f t="shared" si="194"/>
        <v>220.73361561119293</v>
      </c>
      <c r="BI132" s="377">
        <f t="shared" si="194"/>
        <v>227.5049478823064</v>
      </c>
      <c r="BJ132" s="384">
        <f t="shared" si="194"/>
        <v>257.81302479502125</v>
      </c>
      <c r="BK132" s="384">
        <f t="shared" si="194"/>
        <v>276.62721249637298</v>
      </c>
      <c r="BL132" s="384">
        <f t="shared" si="194"/>
        <v>278.40383303002733</v>
      </c>
      <c r="BM132" s="384">
        <f t="shared" si="194"/>
        <v>256.19503190706047</v>
      </c>
      <c r="BN132" s="377">
        <f t="shared" si="194"/>
        <v>258.4793360045793</v>
      </c>
      <c r="BO132" s="384">
        <f t="shared" ref="BO132:BX132" si="195">365/BO123</f>
        <v>284.50299375216935</v>
      </c>
      <c r="BP132" s="384">
        <f t="shared" si="195"/>
        <v>263.54903150030805</v>
      </c>
      <c r="BQ132" s="384">
        <f t="shared" si="195"/>
        <v>284.56875969308635</v>
      </c>
      <c r="BR132" s="384">
        <f t="shared" si="195"/>
        <v>260.56275416251054</v>
      </c>
      <c r="BS132" s="377">
        <f t="shared" si="195"/>
        <v>256.84954410347046</v>
      </c>
      <c r="BT132" s="384">
        <f t="shared" si="195"/>
        <v>303.24857830271213</v>
      </c>
      <c r="BU132" s="384">
        <f t="shared" si="195"/>
        <v>281.33290722483815</v>
      </c>
      <c r="BV132" s="384">
        <f t="shared" si="195"/>
        <v>284.01327252684735</v>
      </c>
      <c r="BW132" s="384">
        <f t="shared" si="195"/>
        <v>278.8135038257393</v>
      </c>
      <c r="BX132" s="377">
        <f t="shared" si="195"/>
        <v>273.12679604403809</v>
      </c>
      <c r="BY132" s="384"/>
      <c r="BZ132" s="384"/>
      <c r="CA132" s="384"/>
      <c r="CB132" s="384"/>
      <c r="CC132" s="377">
        <f t="shared" ref="CC132:CH132" si="196">365/CC123</f>
        <v>243.33333333333334</v>
      </c>
      <c r="CD132" s="377">
        <f t="shared" si="196"/>
        <v>243.33333333333334</v>
      </c>
      <c r="CE132" s="377">
        <f t="shared" si="196"/>
        <v>243.33333333333334</v>
      </c>
      <c r="CF132" s="377">
        <f t="shared" si="196"/>
        <v>243.33333333333334</v>
      </c>
      <c r="CG132" s="377">
        <f t="shared" si="196"/>
        <v>243.33333333333334</v>
      </c>
      <c r="CH132" s="377">
        <f t="shared" si="196"/>
        <v>243.33333333333334</v>
      </c>
    </row>
    <row r="133" spans="1:86" s="77" customFormat="1">
      <c r="A133"/>
      <c r="B133"/>
      <c r="C133"/>
      <c r="D133"/>
      <c r="E133"/>
      <c r="F133"/>
      <c r="G133" s="230"/>
      <c r="H133" s="47" t="s">
        <v>172</v>
      </c>
      <c r="I133" s="47"/>
      <c r="J133" s="47"/>
      <c r="K133" s="47"/>
      <c r="L133" s="384" t="e">
        <f t="shared" ref="L133:AN133" si="197">L132+L130-L131</f>
        <v>#DIV/0!</v>
      </c>
      <c r="M133" s="384" t="e">
        <f t="shared" si="197"/>
        <v>#DIV/0!</v>
      </c>
      <c r="N133" s="384" t="e">
        <f t="shared" si="197"/>
        <v>#DIV/0!</v>
      </c>
      <c r="O133" s="384" t="e">
        <f t="shared" si="197"/>
        <v>#DIV/0!</v>
      </c>
      <c r="P133" s="377" t="e">
        <f t="shared" si="197"/>
        <v>#DIV/0!</v>
      </c>
      <c r="Q133" s="384">
        <f t="shared" si="197"/>
        <v>201.8749317399226</v>
      </c>
      <c r="R133" s="384">
        <f t="shared" si="197"/>
        <v>206.55602615910547</v>
      </c>
      <c r="S133" s="384">
        <f t="shared" si="197"/>
        <v>219.08751809980356</v>
      </c>
      <c r="T133" s="384">
        <f t="shared" si="197"/>
        <v>192.14939368699072</v>
      </c>
      <c r="U133" s="377">
        <f t="shared" si="197"/>
        <v>196.09938083925539</v>
      </c>
      <c r="V133" s="384">
        <f t="shared" si="197"/>
        <v>214.23406698746842</v>
      </c>
      <c r="W133" s="384">
        <f t="shared" si="197"/>
        <v>204.32154306471875</v>
      </c>
      <c r="X133" s="384">
        <f t="shared" si="197"/>
        <v>202.75179191931562</v>
      </c>
      <c r="Y133" s="384">
        <f t="shared" si="197"/>
        <v>175.20245041400955</v>
      </c>
      <c r="Z133" s="377">
        <f t="shared" si="197"/>
        <v>190.9371568788259</v>
      </c>
      <c r="AA133" s="384">
        <f t="shared" si="197"/>
        <v>196.46137372734461</v>
      </c>
      <c r="AB133" s="384">
        <f t="shared" si="197"/>
        <v>195.99981397284847</v>
      </c>
      <c r="AC133" s="384">
        <f t="shared" si="197"/>
        <v>171.76194584789877</v>
      </c>
      <c r="AD133" s="384">
        <f t="shared" si="197"/>
        <v>197.07619210750988</v>
      </c>
      <c r="AE133" s="377">
        <f t="shared" si="197"/>
        <v>188.58404587791648</v>
      </c>
      <c r="AF133" s="384">
        <f t="shared" si="197"/>
        <v>233.32689665829739</v>
      </c>
      <c r="AG133" s="384">
        <f t="shared" si="197"/>
        <v>229.67098003939401</v>
      </c>
      <c r="AH133" s="384">
        <f t="shared" si="197"/>
        <v>243.32790760651244</v>
      </c>
      <c r="AI133" s="384">
        <f t="shared" si="197"/>
        <v>187.63918636014512</v>
      </c>
      <c r="AJ133" s="377">
        <f t="shared" si="197"/>
        <v>209.35229923888664</v>
      </c>
      <c r="AK133" s="384">
        <f t="shared" si="197"/>
        <v>200.63951729060409</v>
      </c>
      <c r="AL133" s="384">
        <f t="shared" si="197"/>
        <v>180.29726875574167</v>
      </c>
      <c r="AM133" s="384">
        <f t="shared" si="197"/>
        <v>193.2776181162892</v>
      </c>
      <c r="AN133" s="384">
        <f t="shared" si="197"/>
        <v>173.66558580856508</v>
      </c>
      <c r="AO133" s="377">
        <f t="shared" ref="AO133:BN133" si="198">AO132+AO130-AO131</f>
        <v>202.26478466933943</v>
      </c>
      <c r="AP133" s="384">
        <f t="shared" si="198"/>
        <v>182.30101476149224</v>
      </c>
      <c r="AQ133" s="384">
        <f t="shared" si="198"/>
        <v>184.33281485798869</v>
      </c>
      <c r="AR133" s="384">
        <f t="shared" si="198"/>
        <v>167.11571815712267</v>
      </c>
      <c r="AS133" s="384">
        <f t="shared" si="198"/>
        <v>150.35783010702332</v>
      </c>
      <c r="AT133" s="377">
        <f t="shared" si="198"/>
        <v>157.44351476899163</v>
      </c>
      <c r="AU133" s="384">
        <f t="shared" si="198"/>
        <v>156.13414814584334</v>
      </c>
      <c r="AV133" s="384">
        <f t="shared" si="198"/>
        <v>154.14818901660487</v>
      </c>
      <c r="AW133" s="384">
        <f t="shared" si="198"/>
        <v>152.27772063874241</v>
      </c>
      <c r="AX133" s="384">
        <f t="shared" si="198"/>
        <v>156.80822158042275</v>
      </c>
      <c r="AY133" s="377">
        <f t="shared" si="198"/>
        <v>165.68284502109049</v>
      </c>
      <c r="AZ133" s="384">
        <f t="shared" si="198"/>
        <v>184.93161492561973</v>
      </c>
      <c r="BA133" s="384">
        <f t="shared" si="198"/>
        <v>188.20463418126144</v>
      </c>
      <c r="BB133" s="384">
        <f t="shared" si="198"/>
        <v>190.97520337775802</v>
      </c>
      <c r="BC133" s="384">
        <f t="shared" si="198"/>
        <v>179.34296539886785</v>
      </c>
      <c r="BD133" s="377">
        <f t="shared" si="198"/>
        <v>183.8704049970051</v>
      </c>
      <c r="BE133" s="384">
        <f t="shared" si="198"/>
        <v>222.15819259097026</v>
      </c>
      <c r="BF133" s="384">
        <f t="shared" si="198"/>
        <v>231.36176131358258</v>
      </c>
      <c r="BG133" s="384">
        <f t="shared" si="198"/>
        <v>220.85727151408119</v>
      </c>
      <c r="BH133" s="384">
        <f t="shared" si="198"/>
        <v>201.94259397316517</v>
      </c>
      <c r="BI133" s="377">
        <f t="shared" si="198"/>
        <v>210.10445456947969</v>
      </c>
      <c r="BJ133" s="384">
        <f t="shared" si="198"/>
        <v>228.72373384166579</v>
      </c>
      <c r="BK133" s="384">
        <f t="shared" si="198"/>
        <v>246.29211103412155</v>
      </c>
      <c r="BL133" s="384">
        <f t="shared" si="198"/>
        <v>256.68294711516774</v>
      </c>
      <c r="BM133" s="384">
        <f t="shared" si="198"/>
        <v>231.3055767392211</v>
      </c>
      <c r="BN133" s="377">
        <f t="shared" si="198"/>
        <v>227.41159418641394</v>
      </c>
      <c r="BO133" s="384">
        <f t="shared" ref="BO133:BX133" si="199">BO132+BO130-BO131</f>
        <v>263.38166403775523</v>
      </c>
      <c r="BP133" s="384">
        <f t="shared" si="199"/>
        <v>253.91817795850523</v>
      </c>
      <c r="BQ133" s="384">
        <f t="shared" si="199"/>
        <v>275.56281559349696</v>
      </c>
      <c r="BR133" s="384">
        <f t="shared" si="199"/>
        <v>246.2385053002169</v>
      </c>
      <c r="BS133" s="377">
        <f t="shared" si="199"/>
        <v>234.39041081860739</v>
      </c>
      <c r="BT133" s="384">
        <f t="shared" si="199"/>
        <v>282.54131334448175</v>
      </c>
      <c r="BU133" s="384">
        <f t="shared" si="199"/>
        <v>273.14320448951031</v>
      </c>
      <c r="BV133" s="384">
        <f t="shared" si="199"/>
        <v>284.67857203881385</v>
      </c>
      <c r="BW133" s="384">
        <f t="shared" si="199"/>
        <v>272.80906718456549</v>
      </c>
      <c r="BX133" s="377">
        <f t="shared" si="199"/>
        <v>259.15607133508814</v>
      </c>
      <c r="BY133" s="384"/>
      <c r="BZ133" s="384"/>
      <c r="CA133" s="384"/>
      <c r="CB133" s="384"/>
      <c r="CC133" s="377">
        <f t="shared" ref="CC133:CH133" si="200">CC132+CC130-CC131</f>
        <v>225.08333333333337</v>
      </c>
      <c r="CD133" s="377">
        <f t="shared" si="200"/>
        <v>223.65196078431376</v>
      </c>
      <c r="CE133" s="377">
        <f t="shared" si="200"/>
        <v>222.27564102564105</v>
      </c>
      <c r="CF133" s="377">
        <f t="shared" si="200"/>
        <v>222.27564102564105</v>
      </c>
      <c r="CG133" s="377">
        <f t="shared" si="200"/>
        <v>222.27564102564105</v>
      </c>
      <c r="CH133" s="377">
        <f t="shared" si="200"/>
        <v>222.27564102564105</v>
      </c>
    </row>
    <row r="134" spans="1:86" s="77" customFormat="1">
      <c r="A134"/>
      <c r="B134"/>
      <c r="C134"/>
      <c r="D134"/>
      <c r="E134"/>
      <c r="F134"/>
      <c r="G134" s="230"/>
      <c r="H134" s="47"/>
      <c r="I134" s="47"/>
      <c r="J134" s="47"/>
      <c r="K134" s="47"/>
      <c r="L134" s="384"/>
      <c r="M134" s="384"/>
      <c r="N134" s="384"/>
      <c r="O134" s="384"/>
      <c r="P134" s="377"/>
      <c r="Q134" s="384"/>
      <c r="R134" s="384"/>
      <c r="S134" s="384"/>
      <c r="T134" s="384"/>
      <c r="U134" s="377"/>
      <c r="V134" s="384"/>
      <c r="W134" s="384"/>
      <c r="X134" s="384"/>
      <c r="Y134" s="384"/>
      <c r="Z134" s="377"/>
      <c r="AA134" s="384"/>
      <c r="AB134" s="384"/>
      <c r="AC134" s="384"/>
      <c r="AD134" s="384"/>
      <c r="AE134" s="377"/>
      <c r="AF134" s="384"/>
      <c r="AG134" s="384"/>
      <c r="AH134" s="384"/>
      <c r="AI134" s="384"/>
      <c r="AJ134" s="377"/>
      <c r="AK134" s="384"/>
      <c r="AL134" s="384"/>
      <c r="AM134" s="384"/>
      <c r="AN134" s="384"/>
      <c r="AO134" s="377"/>
      <c r="AP134" s="384"/>
      <c r="AQ134" s="384"/>
      <c r="AR134" s="384"/>
      <c r="AS134" s="384"/>
      <c r="AT134" s="377"/>
      <c r="AU134" s="384"/>
      <c r="AV134" s="384"/>
      <c r="AW134" s="384"/>
      <c r="AX134" s="384"/>
      <c r="AY134" s="377"/>
      <c r="AZ134" s="384"/>
      <c r="BA134" s="384"/>
      <c r="BB134" s="384"/>
      <c r="BC134" s="384"/>
      <c r="BD134" s="377"/>
      <c r="BE134" s="384"/>
      <c r="BF134" s="384"/>
      <c r="BG134" s="384"/>
      <c r="BH134" s="384"/>
      <c r="BI134" s="377"/>
      <c r="BJ134" s="384"/>
      <c r="BK134" s="384"/>
      <c r="BL134" s="384"/>
      <c r="BM134" s="384"/>
      <c r="BN134" s="377"/>
      <c r="BO134" s="384"/>
      <c r="BP134" s="384"/>
      <c r="BQ134" s="384"/>
      <c r="BR134" s="384"/>
      <c r="BS134" s="377"/>
      <c r="BT134" s="384"/>
      <c r="BU134" s="384"/>
      <c r="BV134" s="384"/>
      <c r="BW134" s="384"/>
      <c r="BX134" s="377"/>
      <c r="BY134" s="384"/>
      <c r="BZ134" s="384"/>
      <c r="CA134" s="384"/>
      <c r="CB134" s="384"/>
      <c r="CC134" s="377"/>
      <c r="CD134" s="377"/>
      <c r="CE134" s="377"/>
      <c r="CF134" s="377"/>
      <c r="CG134" s="377"/>
      <c r="CH134" s="377"/>
    </row>
    <row r="135" spans="1:86" s="77" customFormat="1">
      <c r="A135"/>
      <c r="B135"/>
      <c r="C135"/>
      <c r="D135"/>
      <c r="E135"/>
      <c r="F135"/>
      <c r="G135" s="230"/>
      <c r="H135" s="472" t="s">
        <v>173</v>
      </c>
      <c r="I135" s="472"/>
      <c r="J135" s="472"/>
      <c r="K135" s="472"/>
      <c r="L135" s="432"/>
      <c r="M135" s="432"/>
      <c r="N135" s="432"/>
      <c r="O135" s="432"/>
      <c r="P135" s="436"/>
      <c r="Q135" s="432"/>
      <c r="R135" s="432"/>
      <c r="S135" s="432"/>
      <c r="T135" s="432"/>
      <c r="U135" s="436"/>
      <c r="V135" s="432"/>
      <c r="W135" s="432"/>
      <c r="X135" s="432"/>
      <c r="Y135" s="432"/>
      <c r="Z135" s="436"/>
      <c r="AA135" s="432"/>
      <c r="AB135" s="432"/>
      <c r="AC135" s="432"/>
      <c r="AD135" s="432"/>
      <c r="AE135" s="436"/>
      <c r="AF135" s="432"/>
      <c r="AG135" s="432"/>
      <c r="AH135" s="432"/>
      <c r="AI135" s="432"/>
      <c r="AJ135" s="436"/>
      <c r="AK135" s="432"/>
      <c r="AL135" s="432"/>
      <c r="AM135" s="432"/>
      <c r="AN135" s="432"/>
      <c r="AO135" s="436"/>
      <c r="AP135" s="432"/>
      <c r="AQ135" s="432"/>
      <c r="AR135" s="432"/>
      <c r="AS135" s="432"/>
      <c r="AT135" s="436"/>
      <c r="AU135" s="432"/>
      <c r="AV135" s="432"/>
      <c r="AW135" s="432"/>
      <c r="AX135" s="432"/>
      <c r="AY135" s="436"/>
      <c r="AZ135" s="432"/>
      <c r="BA135" s="432"/>
      <c r="BB135" s="432"/>
      <c r="BC135" s="432"/>
      <c r="BD135" s="436"/>
      <c r="BE135" s="432"/>
      <c r="BF135" s="432"/>
      <c r="BG135" s="432"/>
      <c r="BH135" s="432"/>
      <c r="BI135" s="436"/>
      <c r="BJ135" s="432"/>
      <c r="BK135" s="432"/>
      <c r="BL135" s="432"/>
      <c r="BM135" s="432"/>
      <c r="BN135" s="436"/>
      <c r="BO135" s="432"/>
      <c r="BP135" s="432"/>
      <c r="BQ135" s="432"/>
      <c r="BR135" s="432"/>
      <c r="BS135" s="436"/>
      <c r="BT135" s="432"/>
      <c r="BU135" s="432"/>
      <c r="BV135" s="432"/>
      <c r="BW135" s="432"/>
      <c r="BX135" s="436"/>
      <c r="BY135" s="432"/>
      <c r="BZ135" s="432"/>
      <c r="CA135" s="432"/>
      <c r="CB135" s="432"/>
      <c r="CC135" s="436"/>
      <c r="CD135" s="436"/>
      <c r="CE135" s="436"/>
      <c r="CF135" s="436"/>
      <c r="CG135" s="436"/>
      <c r="CH135" s="436"/>
    </row>
    <row r="136" spans="1:86">
      <c r="G136" s="230"/>
      <c r="H136" s="473" t="s">
        <v>430</v>
      </c>
      <c r="I136" s="473"/>
      <c r="J136" s="473"/>
      <c r="K136" s="473"/>
      <c r="L136" s="400">
        <f t="shared" ref="L136:AJ136" si="201">L76-L94</f>
        <v>5875.6</v>
      </c>
      <c r="M136" s="400">
        <f t="shared" si="201"/>
        <v>4590.0000000000018</v>
      </c>
      <c r="N136" s="400">
        <f t="shared" si="201"/>
        <v>6856.2999999999993</v>
      </c>
      <c r="O136" s="400">
        <f t="shared" si="201"/>
        <v>5079.4999999999991</v>
      </c>
      <c r="P136" s="399">
        <f>P76-P94</f>
        <v>5079.4999999999991</v>
      </c>
      <c r="Q136" s="400">
        <f t="shared" si="201"/>
        <v>5834.3999999999987</v>
      </c>
      <c r="R136" s="400">
        <f t="shared" si="201"/>
        <v>5943.3</v>
      </c>
      <c r="S136" s="400">
        <f t="shared" si="201"/>
        <v>5888.3999999999987</v>
      </c>
      <c r="T136" s="400">
        <f t="shared" si="201"/>
        <v>4608.9000000000015</v>
      </c>
      <c r="U136" s="399">
        <f t="shared" si="201"/>
        <v>4608.9000000000015</v>
      </c>
      <c r="V136" s="400">
        <f t="shared" si="201"/>
        <v>5093.7</v>
      </c>
      <c r="W136" s="400">
        <f t="shared" si="201"/>
        <v>5016.0999999999985</v>
      </c>
      <c r="X136" s="400">
        <f t="shared" si="201"/>
        <v>6382.1</v>
      </c>
      <c r="Y136" s="400">
        <f t="shared" si="201"/>
        <v>6988.6000000000013</v>
      </c>
      <c r="Z136" s="399">
        <f t="shared" si="201"/>
        <v>6988.6000000000013</v>
      </c>
      <c r="AA136" s="400">
        <f t="shared" si="201"/>
        <v>8329.9000000000015</v>
      </c>
      <c r="AB136" s="400">
        <f t="shared" si="201"/>
        <v>7418.3000000000011</v>
      </c>
      <c r="AC136" s="400">
        <f t="shared" si="201"/>
        <v>6436</v>
      </c>
      <c r="AD136" s="400">
        <f t="shared" si="201"/>
        <v>-656.40000000000146</v>
      </c>
      <c r="AE136" s="399">
        <f t="shared" si="201"/>
        <v>-656.40000000000146</v>
      </c>
      <c r="AF136" s="400">
        <f t="shared" si="201"/>
        <v>2902.7000000000016</v>
      </c>
      <c r="AG136" s="400">
        <f t="shared" si="201"/>
        <v>3945.9999999999991</v>
      </c>
      <c r="AH136" s="400">
        <f t="shared" si="201"/>
        <v>5742.5</v>
      </c>
      <c r="AI136" s="400">
        <f t="shared" si="201"/>
        <v>5918.4000000000015</v>
      </c>
      <c r="AJ136" s="399">
        <f t="shared" si="201"/>
        <v>5918.4000000000015</v>
      </c>
      <c r="AK136" s="400">
        <f t="shared" ref="AK136:AP136" si="202">AK76-AK94</f>
        <v>6594.8000000000029</v>
      </c>
      <c r="AL136" s="400">
        <f t="shared" si="202"/>
        <v>6141.8000000000029</v>
      </c>
      <c r="AM136" s="400">
        <f t="shared" si="202"/>
        <v>8086.9000000000042</v>
      </c>
      <c r="AN136" s="400">
        <f t="shared" si="202"/>
        <v>7738.6000000000076</v>
      </c>
      <c r="AO136" s="399">
        <f t="shared" si="202"/>
        <v>7738.6000000000076</v>
      </c>
      <c r="AP136" s="400">
        <f t="shared" si="202"/>
        <v>7702.5000000000045</v>
      </c>
      <c r="AQ136" s="400">
        <f t="shared" ref="AQ136:AV136" si="203">AQ76-AQ94</f>
        <v>6329.8000000000029</v>
      </c>
      <c r="AR136" s="400">
        <f t="shared" si="203"/>
        <v>6353.4000000000051</v>
      </c>
      <c r="AS136" s="400">
        <f t="shared" si="203"/>
        <v>5317.3000000000029</v>
      </c>
      <c r="AT136" s="399">
        <f t="shared" si="203"/>
        <v>5317.3000000000029</v>
      </c>
      <c r="AU136" s="400">
        <f t="shared" si="203"/>
        <v>6048.900000000006</v>
      </c>
      <c r="AV136" s="400">
        <f t="shared" si="203"/>
        <v>5697.6000000000031</v>
      </c>
      <c r="AW136" s="400">
        <f t="shared" ref="AW136:BB136" si="204">AW76-AW94</f>
        <v>7078.2000000000053</v>
      </c>
      <c r="AX136" s="400">
        <f t="shared" si="204"/>
        <v>4649.2000000000044</v>
      </c>
      <c r="AY136" s="399">
        <f t="shared" si="204"/>
        <v>4649.2000000000044</v>
      </c>
      <c r="AZ136" s="400">
        <f t="shared" si="204"/>
        <v>4732.5000000000036</v>
      </c>
      <c r="BA136" s="400">
        <f t="shared" si="204"/>
        <v>4230.8000000000029</v>
      </c>
      <c r="BB136" s="400">
        <f t="shared" si="204"/>
        <v>5126.100000000004</v>
      </c>
      <c r="BC136" s="400">
        <f t="shared" ref="BC136:BI136" si="205">BC76-BC94</f>
        <v>4188.100000000004</v>
      </c>
      <c r="BD136" s="399">
        <f t="shared" si="205"/>
        <v>4188.100000000004</v>
      </c>
      <c r="BE136" s="400">
        <f t="shared" si="205"/>
        <v>6407.600000000004</v>
      </c>
      <c r="BF136" s="400">
        <f t="shared" si="205"/>
        <v>5739.3000000000047</v>
      </c>
      <c r="BG136" s="400">
        <f t="shared" si="205"/>
        <v>4535.9000000000042</v>
      </c>
      <c r="BH136" s="400">
        <f t="shared" si="205"/>
        <v>2187.3000000000029</v>
      </c>
      <c r="BI136" s="399">
        <f t="shared" si="205"/>
        <v>2187.3000000000029</v>
      </c>
      <c r="BJ136" s="400">
        <f t="shared" ref="BJ136:BX136" si="206">BJ76-BJ94</f>
        <v>3399.9000000000051</v>
      </c>
      <c r="BK136" s="400">
        <f t="shared" si="206"/>
        <v>4114.0000000000055</v>
      </c>
      <c r="BL136" s="400">
        <f t="shared" si="206"/>
        <v>4263.7000000000062</v>
      </c>
      <c r="BM136" s="400">
        <f t="shared" si="206"/>
        <v>4344.0000000000036</v>
      </c>
      <c r="BN136" s="399">
        <f t="shared" si="206"/>
        <v>4344.0000000000036</v>
      </c>
      <c r="BO136" s="400">
        <f t="shared" si="206"/>
        <v>4373.7000000000062</v>
      </c>
      <c r="BP136" s="400">
        <f t="shared" si="206"/>
        <v>4576.3000000000047</v>
      </c>
      <c r="BQ136" s="400">
        <f t="shared" si="206"/>
        <v>5113.100000000004</v>
      </c>
      <c r="BR136" s="400">
        <f t="shared" si="206"/>
        <v>4114.8000000000029</v>
      </c>
      <c r="BS136" s="399">
        <f t="shared" si="206"/>
        <v>4114.8000000000029</v>
      </c>
      <c r="BT136" s="400">
        <f t="shared" si="206"/>
        <v>2528.2000000000062</v>
      </c>
      <c r="BU136" s="400">
        <f t="shared" si="206"/>
        <v>4452.0000000000036</v>
      </c>
      <c r="BV136" s="400">
        <f t="shared" si="206"/>
        <v>4761.9000000000051</v>
      </c>
      <c r="BW136" s="400">
        <f t="shared" si="206"/>
        <v>4666.2000000000044</v>
      </c>
      <c r="BX136" s="399">
        <f t="shared" si="206"/>
        <v>4666.2000000000007</v>
      </c>
      <c r="BY136" s="400"/>
      <c r="BZ136" s="400"/>
      <c r="CA136" s="400"/>
      <c r="CB136" s="400"/>
      <c r="CC136" s="399">
        <f t="shared" ref="CC136:CH136" si="207">CC76-CC94</f>
        <v>4125.3451112375042</v>
      </c>
      <c r="CD136" s="399">
        <f t="shared" si="207"/>
        <v>4970.1818810834429</v>
      </c>
      <c r="CE136" s="399">
        <f t="shared" si="207"/>
        <v>7622.7729927864402</v>
      </c>
      <c r="CF136" s="399">
        <f t="shared" si="207"/>
        <v>10747.805935506325</v>
      </c>
      <c r="CG136" s="399">
        <f t="shared" si="207"/>
        <v>13602.081123806058</v>
      </c>
      <c r="CH136" s="399">
        <f t="shared" si="207"/>
        <v>17578.654783540955</v>
      </c>
    </row>
    <row r="137" spans="1:86">
      <c r="G137" s="230"/>
      <c r="H137" s="473" t="s">
        <v>526</v>
      </c>
      <c r="I137" s="473"/>
      <c r="J137" s="473"/>
      <c r="K137" s="473"/>
      <c r="L137" s="400"/>
      <c r="M137" s="400"/>
      <c r="N137" s="400"/>
      <c r="O137" s="400"/>
      <c r="P137" s="399">
        <f>(P69+P72+P73)-(P87+P88)</f>
        <v>776.5</v>
      </c>
      <c r="Q137" s="400"/>
      <c r="R137" s="400"/>
      <c r="S137" s="400"/>
      <c r="T137" s="400"/>
      <c r="U137" s="399">
        <f>(U69+U72+U73)-(U87+U88)</f>
        <v>937.30000000000109</v>
      </c>
      <c r="V137" s="400"/>
      <c r="W137" s="400"/>
      <c r="X137" s="400"/>
      <c r="Y137" s="400"/>
      <c r="Z137" s="399">
        <f>(Z69+Z72+Z73)-(Z87+Z88)</f>
        <v>2571.0999999999995</v>
      </c>
      <c r="AA137" s="400"/>
      <c r="AB137" s="400"/>
      <c r="AC137" s="400"/>
      <c r="AD137" s="400"/>
      <c r="AE137" s="399">
        <f>(AE69+AE72+AE73)-(AE87+AE88)</f>
        <v>-736.19999999999982</v>
      </c>
      <c r="AF137" s="400"/>
      <c r="AG137" s="400"/>
      <c r="AH137" s="400"/>
      <c r="AI137" s="400"/>
      <c r="AJ137" s="399">
        <f>(AJ69+AJ72+AJ73)-(AJ87+AJ88)</f>
        <v>1448.1999999999998</v>
      </c>
      <c r="AK137" s="400"/>
      <c r="AL137" s="400"/>
      <c r="AM137" s="400"/>
      <c r="AN137" s="400"/>
      <c r="AO137" s="399">
        <f>(AO69+AO72+AO73)-(AO87+AO88)</f>
        <v>1167.6000000000004</v>
      </c>
      <c r="AP137" s="400"/>
      <c r="AQ137" s="400"/>
      <c r="AR137" s="400"/>
      <c r="AS137" s="400"/>
      <c r="AT137" s="399">
        <f>(AT69+AT72+AT73)-(AT87+AT88)</f>
        <v>-57.5</v>
      </c>
      <c r="AU137" s="400"/>
      <c r="AV137" s="400"/>
      <c r="AW137" s="400"/>
      <c r="AX137" s="400"/>
      <c r="AY137" s="399">
        <f>(AY69+AY72+AY73)-(AY87+AY88)</f>
        <v>-1023.1999999999998</v>
      </c>
      <c r="AZ137" s="400"/>
      <c r="BA137" s="400"/>
      <c r="BB137" s="400"/>
      <c r="BC137" s="400"/>
      <c r="BD137" s="399">
        <f>(BD69+BD72+BD73)-(BD87+BD88)</f>
        <v>-196.59999999999945</v>
      </c>
      <c r="BE137" s="400"/>
      <c r="BF137" s="400"/>
      <c r="BG137" s="400"/>
      <c r="BH137" s="400"/>
      <c r="BI137" s="399">
        <f>(BI69+BI72+BI73)-(BI87+BI88)</f>
        <v>48.999999999999091</v>
      </c>
      <c r="BJ137" s="400"/>
      <c r="BK137" s="400"/>
      <c r="BL137" s="400"/>
      <c r="BM137" s="400"/>
      <c r="BN137" s="399">
        <f>(BN69+BN72+BN73)-(BN87+BN88)</f>
        <v>-101.70000000000073</v>
      </c>
      <c r="BO137" s="400"/>
      <c r="BP137" s="400"/>
      <c r="BQ137" s="400"/>
      <c r="BR137" s="400"/>
      <c r="BS137" s="399">
        <f>(BS69+BS72+BS73)-(BS87+BS88)</f>
        <v>13.600000000000364</v>
      </c>
      <c r="BT137" s="400"/>
      <c r="BU137" s="400"/>
      <c r="BV137" s="400"/>
      <c r="BW137" s="400"/>
      <c r="BX137" s="399">
        <f>(BX69+BX72+BX73)-(BX87+BX88)</f>
        <v>338.69999999999891</v>
      </c>
      <c r="BY137" s="400"/>
      <c r="BZ137" s="400"/>
      <c r="CA137" s="400"/>
      <c r="CB137" s="400"/>
      <c r="CC137" s="399">
        <f t="shared" ref="CC137:CH137" si="208">(CC69+CC72+CC73)-(CC87+CC88)</f>
        <v>-1661.1898866666688</v>
      </c>
      <c r="CD137" s="399">
        <f t="shared" si="208"/>
        <v>342.80421068382384</v>
      </c>
      <c r="CE137" s="399">
        <f t="shared" si="208"/>
        <v>-1475.4289144357481</v>
      </c>
      <c r="CF137" s="399">
        <f t="shared" si="208"/>
        <v>769.97594047864004</v>
      </c>
      <c r="CG137" s="399">
        <f t="shared" si="208"/>
        <v>-1140.5674100722954</v>
      </c>
      <c r="CH137" s="399">
        <f t="shared" si="208"/>
        <v>1169.611888882926</v>
      </c>
    </row>
    <row r="138" spans="1:86">
      <c r="G138" s="230"/>
      <c r="H138" s="473" t="s">
        <v>201</v>
      </c>
      <c r="I138" s="473"/>
      <c r="J138" s="473"/>
      <c r="K138" s="473"/>
      <c r="L138" s="400"/>
      <c r="M138" s="400"/>
      <c r="N138" s="400"/>
      <c r="O138" s="400"/>
      <c r="P138" s="344">
        <f>P137/P187</f>
        <v>5.302042293432023E-2</v>
      </c>
      <c r="Q138" s="400"/>
      <c r="R138" s="400"/>
      <c r="S138" s="400"/>
      <c r="T138" s="400"/>
      <c r="U138" s="344">
        <f>U137/U187</f>
        <v>5.973392814466668E-2</v>
      </c>
      <c r="V138" s="400"/>
      <c r="W138" s="400"/>
      <c r="X138" s="400"/>
      <c r="Y138" s="400"/>
      <c r="Z138" s="344">
        <f>Z137/Z187</f>
        <v>0.13798118462785169</v>
      </c>
      <c r="AA138" s="400"/>
      <c r="AB138" s="400"/>
      <c r="AC138" s="400"/>
      <c r="AD138" s="400"/>
      <c r="AE138" s="344">
        <f>AE137/AE187</f>
        <v>-3.5509637089772519E-2</v>
      </c>
      <c r="AF138" s="400"/>
      <c r="AG138" s="400"/>
      <c r="AH138" s="400"/>
      <c r="AI138" s="400"/>
      <c r="AJ138" s="344">
        <f>AJ137/AJ187</f>
        <v>6.6321640263033388E-2</v>
      </c>
      <c r="AK138" s="400"/>
      <c r="AL138" s="400"/>
      <c r="AM138" s="400"/>
      <c r="AN138" s="400"/>
      <c r="AO138" s="344">
        <f>AO137/AO187</f>
        <v>5.0597848508065507E-2</v>
      </c>
      <c r="AP138" s="400"/>
      <c r="AQ138" s="400"/>
      <c r="AR138" s="400"/>
      <c r="AS138" s="400"/>
      <c r="AT138" s="344">
        <f>AT137/AT187</f>
        <v>-2.3675607124916619E-3</v>
      </c>
      <c r="AU138" s="400"/>
      <c r="AV138" s="400"/>
      <c r="AW138" s="400"/>
      <c r="AX138" s="400"/>
      <c r="AY138" s="344">
        <f>AY137/AY187</f>
        <v>-4.5267726393933616E-2</v>
      </c>
      <c r="AZ138" s="400"/>
      <c r="BA138" s="400"/>
      <c r="BB138" s="400"/>
      <c r="BC138" s="400"/>
      <c r="BD138" s="344">
        <f>BD137/BD187</f>
        <v>-8.5061091689453208E-3</v>
      </c>
      <c r="BE138" s="400"/>
      <c r="BF138" s="400"/>
      <c r="BG138" s="400"/>
      <c r="BH138" s="400"/>
      <c r="BI138" s="344">
        <f>BI137/BI187</f>
        <v>2.4980117865371996E-3</v>
      </c>
      <c r="BJ138" s="400"/>
      <c r="BK138" s="400"/>
      <c r="BL138" s="400"/>
      <c r="BM138" s="400"/>
      <c r="BN138" s="344">
        <f>BN137/BN187</f>
        <v>-5.0955222534534187E-3</v>
      </c>
      <c r="BO138" s="400"/>
      <c r="BP138" s="400"/>
      <c r="BQ138" s="400"/>
      <c r="BR138" s="400"/>
      <c r="BS138" s="344">
        <f>BS137/BS187</f>
        <v>6.4120093162725296E-4</v>
      </c>
      <c r="BT138" s="400"/>
      <c r="BU138" s="400"/>
      <c r="BV138" s="400"/>
      <c r="BW138" s="400"/>
      <c r="BX138" s="344">
        <f>BX137/BX187</f>
        <v>1.4808758460273829E-2</v>
      </c>
      <c r="BY138" s="400"/>
      <c r="BZ138" s="400"/>
      <c r="CA138" s="400"/>
      <c r="CB138" s="400"/>
      <c r="CC138" s="344">
        <f t="shared" ref="CC138:CH138" si="209">CC137/CC187</f>
        <v>-6.9151879284805248E-2</v>
      </c>
      <c r="CD138" s="344">
        <f t="shared" si="209"/>
        <v>1.3939651580932719E-2</v>
      </c>
      <c r="CE138" s="344">
        <f t="shared" si="209"/>
        <v>-5.7828182420981748E-2</v>
      </c>
      <c r="CF138" s="344">
        <f t="shared" si="209"/>
        <v>2.912191911163441E-2</v>
      </c>
      <c r="CG138" s="344">
        <f t="shared" si="209"/>
        <v>-4.1905507784831028E-2</v>
      </c>
      <c r="CH138" s="344">
        <f t="shared" si="209"/>
        <v>4.1592223678621226E-2</v>
      </c>
    </row>
    <row r="139" spans="1:86" s="77" customFormat="1">
      <c r="A139"/>
      <c r="B139"/>
      <c r="C139"/>
      <c r="D139"/>
      <c r="E139"/>
      <c r="F139"/>
      <c r="G139" s="230"/>
      <c r="H139" s="77" t="s">
        <v>431</v>
      </c>
      <c r="L139" s="474">
        <f t="shared" ref="L139:AJ139" si="210">L76/L94</f>
        <v>2.0917739747663378</v>
      </c>
      <c r="M139" s="474">
        <f t="shared" si="210"/>
        <v>1.7102624411983167</v>
      </c>
      <c r="N139" s="474">
        <f t="shared" si="210"/>
        <v>2.3466169105371697</v>
      </c>
      <c r="O139" s="474">
        <f t="shared" si="210"/>
        <v>1.8885992687577626</v>
      </c>
      <c r="P139" s="475">
        <f t="shared" si="210"/>
        <v>1.8885992687577626</v>
      </c>
      <c r="Q139" s="474">
        <f t="shared" si="210"/>
        <v>2.2890283239803808</v>
      </c>
      <c r="R139" s="474">
        <f t="shared" si="210"/>
        <v>2.2794222116978453</v>
      </c>
      <c r="S139" s="474">
        <f t="shared" si="210"/>
        <v>2.5165344596682804</v>
      </c>
      <c r="T139" s="474">
        <f t="shared" si="210"/>
        <v>1.9062825680857343</v>
      </c>
      <c r="U139" s="475">
        <f t="shared" si="210"/>
        <v>1.9062825680857343</v>
      </c>
      <c r="V139" s="474">
        <f t="shared" si="210"/>
        <v>2.2267177227078969</v>
      </c>
      <c r="W139" s="474">
        <f t="shared" si="210"/>
        <v>2.1036038018129011</v>
      </c>
      <c r="X139" s="474">
        <f t="shared" si="210"/>
        <v>2.5674673347087142</v>
      </c>
      <c r="Y139" s="474">
        <f t="shared" si="210"/>
        <v>2.3265379724009643</v>
      </c>
      <c r="Z139" s="475">
        <f t="shared" si="210"/>
        <v>2.3265379724009643</v>
      </c>
      <c r="AA139" s="474">
        <f t="shared" si="210"/>
        <v>3.0003121773167161</v>
      </c>
      <c r="AB139" s="474">
        <f t="shared" si="210"/>
        <v>2.4106450140716515</v>
      </c>
      <c r="AC139" s="474">
        <f t="shared" si="210"/>
        <v>1.9886632461826785</v>
      </c>
      <c r="AD139" s="474">
        <f t="shared" si="210"/>
        <v>0.94993020435250219</v>
      </c>
      <c r="AE139" s="475">
        <f t="shared" si="210"/>
        <v>0.94993020435250219</v>
      </c>
      <c r="AF139" s="474">
        <f t="shared" si="210"/>
        <v>1.3945118719164959</v>
      </c>
      <c r="AG139" s="474">
        <f t="shared" si="210"/>
        <v>1.5645772824174093</v>
      </c>
      <c r="AH139" s="474">
        <f t="shared" si="210"/>
        <v>1.9464359291306139</v>
      </c>
      <c r="AI139" s="474">
        <f t="shared" si="210"/>
        <v>1.9010825048339703</v>
      </c>
      <c r="AJ139" s="475">
        <f t="shared" si="210"/>
        <v>1.9010825048339703</v>
      </c>
      <c r="AK139" s="474">
        <f t="shared" ref="AK139:AP139" si="211">AK76/AK94</f>
        <v>2.1656532805429869</v>
      </c>
      <c r="AL139" s="474">
        <f t="shared" si="211"/>
        <v>1.97109698637068</v>
      </c>
      <c r="AM139" s="474">
        <f t="shared" si="211"/>
        <v>2.3262866139666092</v>
      </c>
      <c r="AN139" s="474">
        <f t="shared" si="211"/>
        <v>2.0897287858732092</v>
      </c>
      <c r="AO139" s="475">
        <f t="shared" si="211"/>
        <v>2.0897287858732092</v>
      </c>
      <c r="AP139" s="474">
        <f t="shared" si="211"/>
        <v>2.0066258919469933</v>
      </c>
      <c r="AQ139" s="474">
        <f t="shared" ref="AQ139:AV139" si="212">AQ76/AQ94</f>
        <v>1.7342729540049884</v>
      </c>
      <c r="AR139" s="474">
        <f t="shared" si="212"/>
        <v>1.7729855340479124</v>
      </c>
      <c r="AS139" s="474">
        <f t="shared" si="212"/>
        <v>1.5953823242898255</v>
      </c>
      <c r="AT139" s="475">
        <f t="shared" si="212"/>
        <v>1.5953823242898255</v>
      </c>
      <c r="AU139" s="474">
        <f t="shared" si="212"/>
        <v>1.9229748081236562</v>
      </c>
      <c r="AV139" s="474">
        <f t="shared" si="212"/>
        <v>1.8620058399019628</v>
      </c>
      <c r="AW139" s="474">
        <f t="shared" ref="AW139:BB139" si="213">AW76/AW94</f>
        <v>2.0168804861580023</v>
      </c>
      <c r="AX139" s="474">
        <f t="shared" si="213"/>
        <v>1.554168901603195</v>
      </c>
      <c r="AY139" s="475">
        <f t="shared" si="213"/>
        <v>1.554168901603195</v>
      </c>
      <c r="AZ139" s="474">
        <f t="shared" si="213"/>
        <v>1.6232221871049308</v>
      </c>
      <c r="BA139" s="474">
        <f t="shared" si="213"/>
        <v>1.5031575191770237</v>
      </c>
      <c r="BB139" s="474">
        <f t="shared" si="213"/>
        <v>1.6347246814675405</v>
      </c>
      <c r="BC139" s="474">
        <f t="shared" ref="BC139:BI139" si="214">BC76/BC94</f>
        <v>1.4696969696969702</v>
      </c>
      <c r="BD139" s="475">
        <f t="shared" si="214"/>
        <v>1.4696969696969702</v>
      </c>
      <c r="BE139" s="474">
        <f t="shared" si="214"/>
        <v>1.966207759699625</v>
      </c>
      <c r="BF139" s="474">
        <f t="shared" si="214"/>
        <v>1.7737616954728079</v>
      </c>
      <c r="BG139" s="474">
        <f t="shared" si="214"/>
        <v>1.5988303012700347</v>
      </c>
      <c r="BH139" s="474">
        <f t="shared" si="214"/>
        <v>1.2245457345241764</v>
      </c>
      <c r="BI139" s="475">
        <f t="shared" si="214"/>
        <v>1.2245457345241764</v>
      </c>
      <c r="BJ139" s="474">
        <f t="shared" ref="BJ139:BX139" si="215">BJ76/BJ94</f>
        <v>1.4075201668484585</v>
      </c>
      <c r="BK139" s="474">
        <f t="shared" si="215"/>
        <v>1.4997570456754137</v>
      </c>
      <c r="BL139" s="474">
        <f t="shared" si="215"/>
        <v>1.5134946346633273</v>
      </c>
      <c r="BM139" s="474">
        <f t="shared" si="215"/>
        <v>1.5278506853310008</v>
      </c>
      <c r="BN139" s="475">
        <f t="shared" si="215"/>
        <v>1.5278506853310008</v>
      </c>
      <c r="BO139" s="474">
        <f t="shared" si="215"/>
        <v>1.5957988802462921</v>
      </c>
      <c r="BP139" s="474">
        <f t="shared" si="215"/>
        <v>1.5447327699083448</v>
      </c>
      <c r="BQ139" s="474">
        <f t="shared" si="215"/>
        <v>1.6180615994584666</v>
      </c>
      <c r="BR139" s="474">
        <f t="shared" si="215"/>
        <v>1.3745289716563815</v>
      </c>
      <c r="BS139" s="475">
        <f t="shared" si="215"/>
        <v>1.3745289716563815</v>
      </c>
      <c r="BT139" s="474">
        <f t="shared" si="215"/>
        <v>1.2419793261868306</v>
      </c>
      <c r="BU139" s="474">
        <f t="shared" si="215"/>
        <v>1.3941741555624423</v>
      </c>
      <c r="BV139" s="474">
        <f t="shared" si="215"/>
        <v>1.3759444203213205</v>
      </c>
      <c r="BW139" s="474">
        <f t="shared" si="215"/>
        <v>1.3210121148329312</v>
      </c>
      <c r="BX139" s="475">
        <f t="shared" si="215"/>
        <v>1.3210121148329308</v>
      </c>
      <c r="BY139" s="474"/>
      <c r="BZ139" s="474"/>
      <c r="CA139" s="474"/>
      <c r="CB139" s="474"/>
      <c r="CC139" s="475">
        <f t="shared" ref="CC139:CH139" si="216">CC76/CC94</f>
        <v>1.3745422655417581</v>
      </c>
      <c r="CD139" s="475">
        <f t="shared" si="216"/>
        <v>1.4597437339682358</v>
      </c>
      <c r="CE139" s="475">
        <f t="shared" si="216"/>
        <v>1.6914499724809122</v>
      </c>
      <c r="CF139" s="475">
        <f t="shared" si="216"/>
        <v>1.9902672705940405</v>
      </c>
      <c r="CG139" s="475">
        <f t="shared" si="216"/>
        <v>2.23143223872624</v>
      </c>
      <c r="CH139" s="475">
        <f t="shared" si="216"/>
        <v>2.6149784305229962</v>
      </c>
    </row>
    <row r="140" spans="1:86" s="77" customFormat="1">
      <c r="A140"/>
      <c r="B140"/>
      <c r="C140"/>
      <c r="D140"/>
      <c r="E140"/>
      <c r="F140"/>
      <c r="G140" s="230"/>
      <c r="H140" s="77" t="s">
        <v>488</v>
      </c>
      <c r="L140" s="474">
        <f t="shared" ref="L140:AJ140" si="217">(L76-L72)/L94</f>
        <v>1.683297099429548</v>
      </c>
      <c r="M140" s="474">
        <f t="shared" si="217"/>
        <v>1.4025129982668982</v>
      </c>
      <c r="N140" s="474">
        <f t="shared" si="217"/>
        <v>1.9636452911715603</v>
      </c>
      <c r="O140" s="474">
        <f t="shared" si="217"/>
        <v>1.5600650770603361</v>
      </c>
      <c r="P140" s="475">
        <f t="shared" si="217"/>
        <v>1.5600650770603361</v>
      </c>
      <c r="Q140" s="474">
        <f t="shared" si="217"/>
        <v>1.8539834739958461</v>
      </c>
      <c r="R140" s="474">
        <f t="shared" si="217"/>
        <v>1.8275245947516847</v>
      </c>
      <c r="S140" s="474">
        <f t="shared" si="217"/>
        <v>1.9499845472339545</v>
      </c>
      <c r="T140" s="474">
        <f t="shared" si="217"/>
        <v>1.4598564546258974</v>
      </c>
      <c r="U140" s="475">
        <f t="shared" si="217"/>
        <v>1.4598564546258974</v>
      </c>
      <c r="V140" s="474">
        <f t="shared" si="217"/>
        <v>1.6781542759434529</v>
      </c>
      <c r="W140" s="474">
        <f t="shared" si="217"/>
        <v>1.5909750946052974</v>
      </c>
      <c r="X140" s="474">
        <f t="shared" si="217"/>
        <v>1.9539493073975835</v>
      </c>
      <c r="Y140" s="474">
        <f t="shared" si="217"/>
        <v>1.8475029895791812</v>
      </c>
      <c r="Z140" s="475">
        <f t="shared" si="217"/>
        <v>1.8475029895791812</v>
      </c>
      <c r="AA140" s="474">
        <f t="shared" si="217"/>
        <v>2.3773023077107798</v>
      </c>
      <c r="AB140" s="474">
        <f t="shared" si="217"/>
        <v>1.9264280824522708</v>
      </c>
      <c r="AC140" s="474">
        <f t="shared" si="217"/>
        <v>1.6642907616209408</v>
      </c>
      <c r="AD140" s="474">
        <f t="shared" si="217"/>
        <v>0.75975041381572406</v>
      </c>
      <c r="AE140" s="475">
        <f t="shared" si="217"/>
        <v>0.75975041381572406</v>
      </c>
      <c r="AF140" s="474">
        <f t="shared" si="217"/>
        <v>1.0480720877448118</v>
      </c>
      <c r="AG140" s="474">
        <f t="shared" si="217"/>
        <v>1.1353926716552443</v>
      </c>
      <c r="AH140" s="474">
        <f t="shared" si="217"/>
        <v>1.4308693860733415</v>
      </c>
      <c r="AI140" s="474">
        <f t="shared" si="217"/>
        <v>1.467182290160016</v>
      </c>
      <c r="AJ140" s="475">
        <f t="shared" si="217"/>
        <v>1.467182290160016</v>
      </c>
      <c r="AK140" s="474">
        <f t="shared" ref="AK140:AP140" si="218">(AK76-AK72)/AK94</f>
        <v>1.728877969457014</v>
      </c>
      <c r="AL140" s="474">
        <f t="shared" si="218"/>
        <v>1.6272965879265098</v>
      </c>
      <c r="AM140" s="474">
        <f t="shared" si="218"/>
        <v>1.8868206120641591</v>
      </c>
      <c r="AN140" s="474">
        <f t="shared" si="218"/>
        <v>1.7351930605232782</v>
      </c>
      <c r="AO140" s="475">
        <f t="shared" si="218"/>
        <v>1.7351930605232782</v>
      </c>
      <c r="AP140" s="474">
        <f t="shared" si="218"/>
        <v>1.6449854936093475</v>
      </c>
      <c r="AQ140" s="474">
        <f t="shared" ref="AQ140:AV140" si="219">(AQ76-AQ72)/AQ94</f>
        <v>1.4013224290934403</v>
      </c>
      <c r="AR140" s="474">
        <f t="shared" si="219"/>
        <v>1.46720523645566</v>
      </c>
      <c r="AS140" s="474">
        <f t="shared" si="219"/>
        <v>1.3378718830129104</v>
      </c>
      <c r="AT140" s="475">
        <f t="shared" si="219"/>
        <v>1.3378718830129104</v>
      </c>
      <c r="AU140" s="474">
        <f t="shared" si="219"/>
        <v>1.5530768878648711</v>
      </c>
      <c r="AV140" s="474">
        <f t="shared" si="219"/>
        <v>1.5108855167405486</v>
      </c>
      <c r="AW140" s="474">
        <f t="shared" ref="AW140:BB140" si="220">(AW76-AW72)/AW94</f>
        <v>1.650049563980635</v>
      </c>
      <c r="AX140" s="474">
        <f t="shared" si="220"/>
        <v>1.2390368913522862</v>
      </c>
      <c r="AY140" s="475">
        <f t="shared" si="220"/>
        <v>1.2390368913522862</v>
      </c>
      <c r="AZ140" s="474">
        <f t="shared" si="220"/>
        <v>1.2838969658659931</v>
      </c>
      <c r="BA140" s="474">
        <f t="shared" si="220"/>
        <v>1.1790331212463583</v>
      </c>
      <c r="BB140" s="474">
        <f t="shared" si="220"/>
        <v>1.266465249315883</v>
      </c>
      <c r="BC140" s="474">
        <f t="shared" ref="BC140:BI140" si="221">(BC76-BC72)/BC94</f>
        <v>1.1412309624744863</v>
      </c>
      <c r="BD140" s="475">
        <f t="shared" si="221"/>
        <v>1.1412309624744863</v>
      </c>
      <c r="BE140" s="474">
        <f t="shared" si="221"/>
        <v>1.5185095827615851</v>
      </c>
      <c r="BF140" s="474">
        <f t="shared" si="221"/>
        <v>1.343651414242188</v>
      </c>
      <c r="BG140" s="474">
        <f t="shared" si="221"/>
        <v>1.223298920074988</v>
      </c>
      <c r="BH140" s="474">
        <f t="shared" si="221"/>
        <v>0.94326044553947264</v>
      </c>
      <c r="BI140" s="475">
        <f t="shared" si="221"/>
        <v>0.94326044553947264</v>
      </c>
      <c r="BJ140" s="474">
        <f t="shared" ref="BJ140:BX140" si="222">(BJ76-BJ72)/BJ94</f>
        <v>1.0503062484268066</v>
      </c>
      <c r="BK140" s="474">
        <f t="shared" si="222"/>
        <v>1.100291545189505</v>
      </c>
      <c r="BL140" s="474">
        <f t="shared" si="222"/>
        <v>1.1018872014741137</v>
      </c>
      <c r="BM140" s="474">
        <f t="shared" si="222"/>
        <v>1.1091426071741035</v>
      </c>
      <c r="BN140" s="475">
        <f t="shared" si="222"/>
        <v>1.1091426071741035</v>
      </c>
      <c r="BO140" s="474">
        <f t="shared" si="222"/>
        <v>1.0862973204920385</v>
      </c>
      <c r="BP140" s="474">
        <f t="shared" si="222"/>
        <v>1.0971789072729443</v>
      </c>
      <c r="BQ140" s="474">
        <f t="shared" si="222"/>
        <v>1.1489096799149021</v>
      </c>
      <c r="BR140" s="474">
        <f t="shared" si="222"/>
        <v>1.0503249412921198</v>
      </c>
      <c r="BS140" s="475">
        <f t="shared" si="222"/>
        <v>1.0503249412921198</v>
      </c>
      <c r="BT140" s="474">
        <f t="shared" si="222"/>
        <v>0.8557714395099546</v>
      </c>
      <c r="BU140" s="474">
        <f t="shared" si="222"/>
        <v>1.0093850989419633</v>
      </c>
      <c r="BV140" s="474">
        <f t="shared" si="222"/>
        <v>1.0280266845616395</v>
      </c>
      <c r="BW140" s="474">
        <f t="shared" si="222"/>
        <v>1.0143025199678042</v>
      </c>
      <c r="BX140" s="475">
        <f t="shared" si="222"/>
        <v>1.014302519967804</v>
      </c>
      <c r="BY140" s="474"/>
      <c r="BZ140" s="474"/>
      <c r="CA140" s="474"/>
      <c r="CB140" s="474"/>
      <c r="CC140" s="475">
        <f t="shared" ref="CC140:CH140" si="223">(CC76-CC72)/CC94</f>
        <v>1.0514242904534274</v>
      </c>
      <c r="CD140" s="475">
        <f t="shared" si="223"/>
        <v>1.0519210348187755</v>
      </c>
      <c r="CE140" s="475">
        <f t="shared" si="223"/>
        <v>1.3662134810992879</v>
      </c>
      <c r="CF140" s="475">
        <f t="shared" si="223"/>
        <v>1.5735632333672549</v>
      </c>
      <c r="CG140" s="475">
        <f t="shared" si="223"/>
        <v>1.9016573064381195</v>
      </c>
      <c r="CH140" s="475">
        <f t="shared" si="223"/>
        <v>2.1917999372076542</v>
      </c>
    </row>
    <row r="141" spans="1:86" s="77" customFormat="1">
      <c r="A141"/>
      <c r="B141"/>
      <c r="C141"/>
      <c r="D141"/>
      <c r="E141"/>
      <c r="F141"/>
      <c r="G141" s="230"/>
      <c r="H141" s="77" t="s">
        <v>452</v>
      </c>
      <c r="L141" s="474">
        <f t="shared" ref="L141:AJ141" si="224">L66/L94</f>
        <v>1.0443354330416039</v>
      </c>
      <c r="M141" s="474">
        <f t="shared" si="224"/>
        <v>0.85124721465709363</v>
      </c>
      <c r="N141" s="474">
        <f t="shared" si="224"/>
        <v>1.2241775508199941</v>
      </c>
      <c r="O141" s="474">
        <f t="shared" si="224"/>
        <v>0.88128684638664867</v>
      </c>
      <c r="P141" s="475">
        <f t="shared" si="224"/>
        <v>0.88128684638664867</v>
      </c>
      <c r="Q141" s="474">
        <f t="shared" si="224"/>
        <v>0.99502894260085728</v>
      </c>
      <c r="R141" s="474">
        <f t="shared" si="224"/>
        <v>0.9882461843153294</v>
      </c>
      <c r="S141" s="474">
        <f t="shared" si="224"/>
        <v>0.93193056557123732</v>
      </c>
      <c r="T141" s="474">
        <f t="shared" si="224"/>
        <v>0.76511650771802187</v>
      </c>
      <c r="U141" s="475">
        <f t="shared" si="224"/>
        <v>0.76511650771802187</v>
      </c>
      <c r="V141" s="474">
        <f t="shared" si="224"/>
        <v>0.81012932591575748</v>
      </c>
      <c r="W141" s="474">
        <f t="shared" si="224"/>
        <v>0.66100501628091168</v>
      </c>
      <c r="X141" s="474">
        <f t="shared" si="224"/>
        <v>0.87577365163572063</v>
      </c>
      <c r="Y141" s="474">
        <f t="shared" si="224"/>
        <v>0.91703205967769486</v>
      </c>
      <c r="Z141" s="475">
        <f t="shared" si="224"/>
        <v>0.91703205967769486</v>
      </c>
      <c r="AA141" s="474">
        <f t="shared" si="224"/>
        <v>1.3050212520711764</v>
      </c>
      <c r="AB141" s="474">
        <f t="shared" si="224"/>
        <v>0.98311401840724133</v>
      </c>
      <c r="AC141" s="474">
        <f t="shared" si="224"/>
        <v>0.93993671080524743</v>
      </c>
      <c r="AD141" s="474">
        <f t="shared" si="224"/>
        <v>0.45203932965666632</v>
      </c>
      <c r="AE141" s="475">
        <f t="shared" si="224"/>
        <v>0.45203932965666632</v>
      </c>
      <c r="AF141" s="474">
        <f t="shared" si="224"/>
        <v>0.47682020196528813</v>
      </c>
      <c r="AG141" s="474">
        <f t="shared" si="224"/>
        <v>0.499391927660853</v>
      </c>
      <c r="AH141" s="474">
        <f t="shared" si="224"/>
        <v>0.64756489493201497</v>
      </c>
      <c r="AI141" s="474">
        <f t="shared" si="224"/>
        <v>0.68476423927772123</v>
      </c>
      <c r="AJ141" s="475">
        <f t="shared" si="224"/>
        <v>0.68476423927772123</v>
      </c>
      <c r="AK141" s="474">
        <f t="shared" ref="AK141:AP141" si="225">AK66/AK94</f>
        <v>0.84106334841629016</v>
      </c>
      <c r="AL141" s="474">
        <f t="shared" si="225"/>
        <v>0.82164879992410644</v>
      </c>
      <c r="AM141" s="474">
        <f t="shared" si="225"/>
        <v>1.0070029848788014</v>
      </c>
      <c r="AN141" s="474">
        <f t="shared" si="225"/>
        <v>0.94727800152082753</v>
      </c>
      <c r="AO141" s="475">
        <f t="shared" si="225"/>
        <v>0.94727800152082753</v>
      </c>
      <c r="AP141" s="474">
        <f t="shared" si="225"/>
        <v>0.87732298282757037</v>
      </c>
      <c r="AQ141" s="474">
        <f t="shared" ref="AQ141:AV141" si="226">AQ66/AQ94</f>
        <v>0.7342729540049886</v>
      </c>
      <c r="AR141" s="474">
        <f t="shared" si="226"/>
        <v>0.82541092307130837</v>
      </c>
      <c r="AS141" s="474">
        <f t="shared" si="226"/>
        <v>0.77227379099530891</v>
      </c>
      <c r="AT141" s="475">
        <f t="shared" si="226"/>
        <v>0.77227379099530891</v>
      </c>
      <c r="AU141" s="474">
        <f t="shared" si="226"/>
        <v>0.75142286036895256</v>
      </c>
      <c r="AV141" s="474">
        <f t="shared" si="226"/>
        <v>0.79602705115209538</v>
      </c>
      <c r="AW141" s="474">
        <f t="shared" ref="AW141:BB141" si="227">AW66/AW94</f>
        <v>0.99126524631143487</v>
      </c>
      <c r="AX141" s="474">
        <f t="shared" si="227"/>
        <v>0.67754931759938064</v>
      </c>
      <c r="AY141" s="475">
        <f t="shared" si="227"/>
        <v>0.67754931759938064</v>
      </c>
      <c r="AZ141" s="474">
        <f t="shared" si="227"/>
        <v>0.62320901812052309</v>
      </c>
      <c r="BA141" s="474">
        <f t="shared" si="227"/>
        <v>0.56026639709817494</v>
      </c>
      <c r="BB141" s="474">
        <f t="shared" si="227"/>
        <v>0.66607644779039443</v>
      </c>
      <c r="BC141" s="474">
        <f t="shared" ref="BC141:BI141" si="228">BC66/BC94</f>
        <v>0.60530919857344778</v>
      </c>
      <c r="BD141" s="475">
        <f t="shared" si="228"/>
        <v>0.60530919857344778</v>
      </c>
      <c r="BE141" s="474">
        <f t="shared" si="228"/>
        <v>0.78598247809762267</v>
      </c>
      <c r="BF141" s="474">
        <f t="shared" si="228"/>
        <v>0.69114514519912718</v>
      </c>
      <c r="BG141" s="474">
        <f t="shared" si="228"/>
        <v>0.63500382858500826</v>
      </c>
      <c r="BH141" s="474">
        <f t="shared" si="228"/>
        <v>0.49553433939020652</v>
      </c>
      <c r="BI141" s="475">
        <f t="shared" si="228"/>
        <v>0.49553433939020652</v>
      </c>
      <c r="BJ141" s="474">
        <f t="shared" ref="BJ141:BX141" si="229">BJ66/BJ94</f>
        <v>0.49621834134413756</v>
      </c>
      <c r="BK141" s="474">
        <f t="shared" si="229"/>
        <v>0.51395772594752254</v>
      </c>
      <c r="BL141" s="474">
        <f t="shared" si="229"/>
        <v>0.52017872412173538</v>
      </c>
      <c r="BM141" s="474">
        <f t="shared" si="229"/>
        <v>0.5409497423933125</v>
      </c>
      <c r="BN141" s="475">
        <f t="shared" si="229"/>
        <v>0.5409497423933125</v>
      </c>
      <c r="BO141" s="474">
        <f t="shared" si="229"/>
        <v>0.40798812134751949</v>
      </c>
      <c r="BP141" s="474">
        <f t="shared" si="229"/>
        <v>0.46837281276038634</v>
      </c>
      <c r="BQ141" s="474">
        <f t="shared" si="229"/>
        <v>0.5109273764626252</v>
      </c>
      <c r="BR141" s="474">
        <f t="shared" si="229"/>
        <v>0.54963318952178153</v>
      </c>
      <c r="BS141" s="475">
        <f t="shared" si="229"/>
        <v>0.54963318952178153</v>
      </c>
      <c r="BT141" s="474">
        <f t="shared" si="229"/>
        <v>0.3355283307810113</v>
      </c>
      <c r="BU141" s="474">
        <f t="shared" si="229"/>
        <v>0.48112798264642131</v>
      </c>
      <c r="BV141" s="474">
        <f t="shared" si="229"/>
        <v>0.54814668614060758</v>
      </c>
      <c r="BW141" s="474">
        <f t="shared" si="229"/>
        <v>0.55270743469616634</v>
      </c>
      <c r="BX141" s="475">
        <f t="shared" si="229"/>
        <v>0.55270743469616623</v>
      </c>
      <c r="BY141" s="474"/>
      <c r="BZ141" s="474"/>
      <c r="CA141" s="474"/>
      <c r="CB141" s="474"/>
      <c r="CC141" s="475">
        <f t="shared" ref="CC141:CH141" si="230">CC66/CC94</f>
        <v>0.52536257435721834</v>
      </c>
      <c r="CD141" s="475">
        <f t="shared" si="230"/>
        <v>0.42803421274535053</v>
      </c>
      <c r="CE141" s="475">
        <f t="shared" si="230"/>
        <v>0.82528385199556631</v>
      </c>
      <c r="CF141" s="475">
        <f t="shared" si="230"/>
        <v>0.91932423556193821</v>
      </c>
      <c r="CG141" s="475">
        <f t="shared" si="230"/>
        <v>1.3346908111769908</v>
      </c>
      <c r="CH141" s="475">
        <f t="shared" si="230"/>
        <v>1.5075243621719996</v>
      </c>
    </row>
    <row r="142" spans="1:86" s="77" customFormat="1">
      <c r="A142"/>
      <c r="B142"/>
      <c r="C142"/>
      <c r="D142"/>
      <c r="E142"/>
      <c r="F142"/>
      <c r="G142" s="230"/>
      <c r="L142" s="384"/>
      <c r="M142" s="384"/>
      <c r="N142" s="384"/>
      <c r="O142" s="384"/>
      <c r="P142" s="377"/>
      <c r="Q142" s="384"/>
      <c r="R142" s="384"/>
      <c r="S142" s="384"/>
      <c r="T142" s="384"/>
      <c r="U142" s="377"/>
      <c r="V142" s="384"/>
      <c r="W142" s="384"/>
      <c r="X142" s="384"/>
      <c r="Y142" s="384"/>
      <c r="Z142" s="436"/>
      <c r="AA142" s="384"/>
      <c r="AB142" s="384"/>
      <c r="AC142" s="384"/>
      <c r="AD142" s="384"/>
      <c r="AE142" s="436"/>
      <c r="AF142" s="384"/>
      <c r="AG142" s="384"/>
      <c r="AH142" s="384"/>
      <c r="AI142" s="384"/>
      <c r="AJ142" s="436"/>
      <c r="AK142" s="384"/>
      <c r="AL142" s="384"/>
      <c r="AM142" s="384"/>
      <c r="AN142" s="384"/>
      <c r="AO142" s="436"/>
      <c r="AP142" s="384"/>
      <c r="AQ142" s="384"/>
      <c r="AR142" s="384"/>
      <c r="AS142" s="384"/>
      <c r="AT142" s="436"/>
      <c r="AU142" s="384"/>
      <c r="AV142" s="384"/>
      <c r="AW142" s="384"/>
      <c r="AX142" s="384"/>
      <c r="AY142" s="436"/>
      <c r="AZ142" s="384"/>
      <c r="BA142" s="384"/>
      <c r="BB142" s="432"/>
      <c r="BC142" s="384"/>
      <c r="BD142" s="436"/>
      <c r="BE142" s="384"/>
      <c r="BF142" s="384"/>
      <c r="BG142" s="384"/>
      <c r="BH142" s="384"/>
      <c r="BI142" s="436"/>
      <c r="BJ142" s="384"/>
      <c r="BK142" s="384"/>
      <c r="BL142" s="384"/>
      <c r="BM142" s="384"/>
      <c r="BN142" s="436"/>
      <c r="BO142" s="384"/>
      <c r="BP142" s="384"/>
      <c r="BQ142" s="384"/>
      <c r="BR142" s="384"/>
      <c r="BS142" s="436"/>
      <c r="BT142" s="384"/>
      <c r="BU142" s="384"/>
      <c r="BV142" s="384"/>
      <c r="BW142" s="384"/>
      <c r="BX142" s="436"/>
      <c r="BY142" s="432"/>
      <c r="BZ142" s="432"/>
      <c r="CA142" s="432"/>
      <c r="CB142" s="432"/>
      <c r="CC142" s="436"/>
      <c r="CD142" s="436"/>
      <c r="CE142" s="436"/>
      <c r="CF142" s="436"/>
      <c r="CG142" s="436"/>
      <c r="CH142" s="436"/>
    </row>
    <row r="143" spans="1:86" s="77" customFormat="1">
      <c r="A143"/>
      <c r="B143"/>
      <c r="C143"/>
      <c r="D143"/>
      <c r="E143"/>
      <c r="F143"/>
      <c r="G143" s="230"/>
      <c r="H143" s="472" t="s">
        <v>453</v>
      </c>
      <c r="I143" s="472"/>
      <c r="J143" s="472"/>
      <c r="K143" s="472"/>
      <c r="L143" s="384"/>
      <c r="M143" s="384"/>
      <c r="N143" s="384"/>
      <c r="O143" s="384"/>
      <c r="P143" s="377"/>
      <c r="Q143" s="384"/>
      <c r="R143" s="384"/>
      <c r="S143" s="384"/>
      <c r="T143" s="384"/>
      <c r="U143" s="377"/>
      <c r="V143" s="384"/>
      <c r="W143" s="384"/>
      <c r="X143" s="384"/>
      <c r="Y143" s="384"/>
      <c r="Z143" s="377"/>
      <c r="AA143" s="384"/>
      <c r="AB143" s="384"/>
      <c r="AC143" s="384"/>
      <c r="AD143" s="384"/>
      <c r="AE143" s="377"/>
      <c r="AF143" s="384"/>
      <c r="AG143" s="384"/>
      <c r="AH143" s="384"/>
      <c r="AI143" s="384"/>
      <c r="AJ143" s="377"/>
      <c r="AK143" s="384"/>
      <c r="AL143" s="384"/>
      <c r="AM143" s="384"/>
      <c r="AN143" s="384"/>
      <c r="AO143" s="377"/>
      <c r="AP143" s="384"/>
      <c r="AQ143" s="384"/>
      <c r="AR143" s="384"/>
      <c r="AS143" s="384"/>
      <c r="AT143" s="377"/>
      <c r="AU143" s="384"/>
      <c r="AV143" s="384"/>
      <c r="AW143" s="384"/>
      <c r="AX143" s="384"/>
      <c r="AY143" s="377"/>
      <c r="AZ143" s="384"/>
      <c r="BA143" s="384"/>
      <c r="BB143" s="384"/>
      <c r="BC143" s="384"/>
      <c r="BD143" s="377"/>
      <c r="BE143" s="384"/>
      <c r="BF143" s="384"/>
      <c r="BG143" s="384"/>
      <c r="BH143" s="384"/>
      <c r="BI143" s="377"/>
      <c r="BJ143" s="384"/>
      <c r="BK143" s="384"/>
      <c r="BL143" s="384"/>
      <c r="BM143" s="384"/>
      <c r="BN143" s="377"/>
      <c r="BO143" s="384"/>
      <c r="BP143" s="384"/>
      <c r="BQ143" s="384"/>
      <c r="BR143" s="384"/>
      <c r="BS143" s="377"/>
      <c r="BT143" s="384"/>
      <c r="BU143" s="384"/>
      <c r="BV143" s="384"/>
      <c r="BW143" s="384"/>
      <c r="BX143" s="377"/>
      <c r="BY143" s="384"/>
      <c r="BZ143" s="384"/>
      <c r="CA143" s="384"/>
      <c r="CB143" s="384"/>
      <c r="CC143" s="377"/>
      <c r="CD143" s="377"/>
      <c r="CE143" s="377"/>
      <c r="CF143" s="377"/>
      <c r="CG143" s="377"/>
      <c r="CH143" s="377"/>
    </row>
    <row r="144" spans="1:86" s="29" customFormat="1">
      <c r="A144"/>
      <c r="B144"/>
      <c r="C144"/>
      <c r="D144"/>
      <c r="E144"/>
      <c r="F144"/>
      <c r="G144" s="476"/>
      <c r="H144" s="29" t="s">
        <v>454</v>
      </c>
      <c r="L144" s="477">
        <f>'IS-ANNUAL'!L49</f>
        <v>0.67630492443543477</v>
      </c>
      <c r="M144" s="477">
        <f>'IS-ANNUAL'!M49</f>
        <v>0.66798731264085442</v>
      </c>
      <c r="N144" s="477">
        <f>'IS-ANNUAL'!N49</f>
        <v>0.72762291521969746</v>
      </c>
      <c r="O144" s="477">
        <f>'IS-ANNUAL'!O49</f>
        <v>0.79651690746595127</v>
      </c>
      <c r="P144" s="478">
        <f>'IS-ANNUAL'!P49</f>
        <v>2.8687207389604676</v>
      </c>
      <c r="Q144" s="477">
        <f>'IS-ANNUAL'!Q49</f>
        <v>0.76762153240956277</v>
      </c>
      <c r="R144" s="477">
        <f>'IS-ANNUAL'!R49</f>
        <v>0.75766370898637259</v>
      </c>
      <c r="S144" s="477">
        <f>'IS-ANNUAL'!S49</f>
        <v>0.80406880630920863</v>
      </c>
      <c r="T144" s="477">
        <f>'IS-ANNUAL'!T49</f>
        <v>0.85355115292760908</v>
      </c>
      <c r="U144" s="478">
        <f>'IS-ANNUAL'!U49</f>
        <v>3.1830715810454584</v>
      </c>
      <c r="V144" s="477">
        <f>'IS-ANNUAL'!V49</f>
        <v>0.83779942544080566</v>
      </c>
      <c r="W144" s="477">
        <f>'IS-ANNUAL'!W49</f>
        <v>0.89802614074458664</v>
      </c>
      <c r="X144" s="477">
        <f>'IS-ANNUAL'!X49</f>
        <v>0.91430416389966185</v>
      </c>
      <c r="Y144" s="477">
        <f>'IS-ANNUAL'!Y49</f>
        <v>0.90249634828067071</v>
      </c>
      <c r="Z144" s="478">
        <f>'IS-ANNUAL'!Z49</f>
        <v>3.5526712997419687</v>
      </c>
      <c r="AA144" s="477">
        <f>'IS-ANNUAL'!AA49</f>
        <v>0.87966246700351736</v>
      </c>
      <c r="AB144" s="477">
        <f>'IS-ANNUAL'!AB49</f>
        <v>0.9354270125576869</v>
      </c>
      <c r="AC144" s="477">
        <f>'IS-ANNUAL'!AC49</f>
        <v>0.98297660746016646</v>
      </c>
      <c r="AD144" s="477">
        <f>'IS-ANNUAL'!AD49</f>
        <v>1.017851850163016</v>
      </c>
      <c r="AE144" s="478">
        <f>'IS-ANNUAL'!AE49</f>
        <v>3.8160649565130225</v>
      </c>
      <c r="AF144" s="477">
        <f>'IS-ANNUAL'!AF49</f>
        <v>1.1962568443462607</v>
      </c>
      <c r="AG144" s="477">
        <f>'IS-ANNUAL'!AG49</f>
        <v>1.1178412942610052</v>
      </c>
      <c r="AH144" s="477">
        <f>'IS-ANNUAL'!AH49</f>
        <v>1.1952263824360034</v>
      </c>
      <c r="AI144" s="477">
        <f>'IS-ANNUAL'!AI49</f>
        <v>0.90780582270413335</v>
      </c>
      <c r="AJ144" s="478">
        <f>'IS-ANNUAL'!AJ49</f>
        <v>4.4164169103535684</v>
      </c>
      <c r="AK144" s="477">
        <f>'IS-ANNUAL'!AK49</f>
        <v>1.1759044268383529</v>
      </c>
      <c r="AL144" s="477">
        <f>'IS-ANNUAL'!AL49</f>
        <v>1.2383505449775196</v>
      </c>
      <c r="AM144" s="477">
        <f>'IS-ANNUAL'!AM49</f>
        <v>1.2138096522071158</v>
      </c>
      <c r="AN144" s="477">
        <f>'IS-ANNUAL'!AN49</f>
        <v>1.1132354571685863</v>
      </c>
      <c r="AO144" s="478">
        <f>'IS-ANNUAL'!AO49</f>
        <v>4.7409771467185564</v>
      </c>
      <c r="AP144" s="477">
        <f>'IS-ANNUAL'!AP49</f>
        <v>1.2363919548643652</v>
      </c>
      <c r="AQ144" s="477">
        <f>'IS-ANNUAL'!AQ49</f>
        <v>1.1814639164707434</v>
      </c>
      <c r="AR144" s="477">
        <f>'IS-ANNUAL'!AR49</f>
        <v>1.1257441591753214</v>
      </c>
      <c r="AS144" s="477">
        <f>'IS-ANNUAL'!AS49</f>
        <v>0.86810176335691092</v>
      </c>
      <c r="AT144" s="478">
        <f>'IS-ANNUAL'!AT49</f>
        <v>4.4110620379661443</v>
      </c>
      <c r="AU144" s="477">
        <f>'IS-ANNUAL'!AU49</f>
        <v>0.91935150311150693</v>
      </c>
      <c r="AV144" s="477">
        <f>'IS-ANNUAL'!AV49</f>
        <v>0.82559597821413466</v>
      </c>
      <c r="AW144" s="477">
        <f>'IS-ANNUAL'!AW49</f>
        <v>0.79337930640267629</v>
      </c>
      <c r="AX144" s="477">
        <f>'IS-ANNUAL'!AX49</f>
        <v>0.84857317125722609</v>
      </c>
      <c r="AY144" s="478">
        <f>'IS-ANNUAL'!AY49</f>
        <v>3.3867353177104436</v>
      </c>
      <c r="AZ144" s="477">
        <f>'IS-ANNUAL'!AZ49</f>
        <v>1.142437419633731</v>
      </c>
      <c r="BA144" s="477">
        <f>'IS-ANNUAL'!BA49</f>
        <v>1.1576173138001751</v>
      </c>
      <c r="BB144" s="477">
        <f>'IS-ANNUAL'!BB49</f>
        <v>1.1096077774918676</v>
      </c>
      <c r="BC144" s="477">
        <f>'IS-ANNUAL'!BC49</f>
        <v>0.73857064475947487</v>
      </c>
      <c r="BD144" s="478">
        <f>'IS-ANNUAL'!BD49</f>
        <v>4.1504019454519421</v>
      </c>
      <c r="BE144" s="477">
        <f>'IS-ANNUAL'!BE49</f>
        <v>0.7757687974747085</v>
      </c>
      <c r="BF144" s="477">
        <f>'IS-ANNUAL'!BF49</f>
        <v>0.76206455113162286</v>
      </c>
      <c r="BG144" s="477">
        <f>'IS-ANNUAL'!BG49</f>
        <v>0.73995751992300773</v>
      </c>
      <c r="BH144" s="477">
        <f>'IS-ANNUAL'!BH49</f>
        <v>0.82829572615857194</v>
      </c>
      <c r="BI144" s="478">
        <f>'IS-ANNUAL'!BI49</f>
        <v>3.1058365474381371</v>
      </c>
      <c r="BJ144" s="477">
        <f>'IS-ANNUAL'!BJ49</f>
        <v>0.86566901210455849</v>
      </c>
      <c r="BK144" s="477">
        <f>'IS-ANNUAL'!BK49</f>
        <v>0.89603447499211686</v>
      </c>
      <c r="BL144" s="477">
        <f>'IS-ANNUAL'!BL49</f>
        <v>0.86700670979637751</v>
      </c>
      <c r="BM144" s="477">
        <f>'IS-ANNUAL'!BM49</f>
        <v>0.77773072036345348</v>
      </c>
      <c r="BN144" s="478">
        <f>'IS-ANNUAL'!BN49</f>
        <v>3.4065018373452105</v>
      </c>
      <c r="BO144" s="477">
        <f>'IS-ANNUAL'!BO49</f>
        <v>0.82995085012816605</v>
      </c>
      <c r="BP144" s="477">
        <f>'IS-ANNUAL'!BP49</f>
        <v>0.85729136303478237</v>
      </c>
      <c r="BQ144" s="477">
        <f>'IS-ANNUAL'!BQ49</f>
        <v>0.87765110022191051</v>
      </c>
      <c r="BR144" s="477">
        <f>'IS-ANNUAL'!BR49</f>
        <v>0.95468856276695813</v>
      </c>
      <c r="BS144" s="478">
        <f>'IS-ANNUAL'!BS49</f>
        <v>3.5083272837080361</v>
      </c>
      <c r="BT144" s="477">
        <f>'IS-ANNUAL'!BT49</f>
        <v>0.9842791766779696</v>
      </c>
      <c r="BU144" s="477">
        <f>'IS-ANNUAL'!BU49</f>
        <v>1.1137913745967782</v>
      </c>
      <c r="BV144" s="477">
        <f>'IS-ANNUAL'!BV49</f>
        <v>1.0480812480765129</v>
      </c>
      <c r="BW144" s="477">
        <f>'IS-ANNUAL'!BW49</f>
        <v>1.1417564202511326</v>
      </c>
      <c r="BX144" s="478">
        <f>'IS-ANNUAL'!BX49</f>
        <v>4.2879901117000259</v>
      </c>
      <c r="BY144" s="477"/>
      <c r="BZ144" s="477"/>
      <c r="CA144" s="477"/>
      <c r="CB144" s="477"/>
      <c r="CC144" s="478">
        <f>'IS-ANNUAL'!CC49</f>
        <v>5.1913866081679432</v>
      </c>
      <c r="CD144" s="478">
        <f>'IS-ANNUAL'!CD49</f>
        <v>5.7320629652620507</v>
      </c>
      <c r="CE144" s="478">
        <f>'IS-ANNUAL'!CE49</f>
        <v>6.4129675261779697</v>
      </c>
      <c r="CF144" s="478">
        <f>'IS-ANNUAL'!CF49</f>
        <v>6.9195391619361724</v>
      </c>
      <c r="CG144" s="478">
        <f>'IS-ANNUAL'!CG49</f>
        <v>7.3431245244815031</v>
      </c>
      <c r="CH144" s="478">
        <f>'IS-ANNUAL'!CH49</f>
        <v>7.8506936732850674</v>
      </c>
    </row>
    <row r="145" spans="1:86" s="29" customFormat="1">
      <c r="A145"/>
      <c r="B145"/>
      <c r="C145"/>
      <c r="D145"/>
      <c r="E145"/>
      <c r="F145"/>
      <c r="G145" s="476"/>
      <c r="H145" s="29" t="s">
        <v>455</v>
      </c>
      <c r="L145" s="477">
        <f t="shared" ref="L145:AQ145" si="231">L15/L191</f>
        <v>0.67627554510140919</v>
      </c>
      <c r="M145" s="477">
        <f t="shared" si="231"/>
        <v>-0.23114621924585793</v>
      </c>
      <c r="N145" s="477">
        <f t="shared" si="231"/>
        <v>0.7278978010962448</v>
      </c>
      <c r="O145" s="477">
        <f t="shared" si="231"/>
        <v>0.6406885710340362</v>
      </c>
      <c r="P145" s="478">
        <f t="shared" si="231"/>
        <v>1.8143603099058656</v>
      </c>
      <c r="Q145" s="477">
        <f t="shared" si="231"/>
        <v>0.76798951972135998</v>
      </c>
      <c r="R145" s="477">
        <f t="shared" si="231"/>
        <v>0.7573872902672969</v>
      </c>
      <c r="S145" s="477">
        <f t="shared" si="231"/>
        <v>0.80411482936491874</v>
      </c>
      <c r="T145" s="477">
        <f t="shared" si="231"/>
        <v>0.12147678305972721</v>
      </c>
      <c r="U145" s="478">
        <f t="shared" si="231"/>
        <v>2.4496913735710342</v>
      </c>
      <c r="V145" s="477">
        <f t="shared" si="231"/>
        <v>0.46674906113430942</v>
      </c>
      <c r="W145" s="477">
        <f t="shared" si="231"/>
        <v>0.60883750204138554</v>
      </c>
      <c r="X145" s="477">
        <f t="shared" si="231"/>
        <v>0.84963879115194241</v>
      </c>
      <c r="Y145" s="477">
        <f t="shared" si="231"/>
        <v>0.78196215391036006</v>
      </c>
      <c r="Z145" s="478">
        <f t="shared" si="231"/>
        <v>2.7075044771699286</v>
      </c>
      <c r="AA145" s="477">
        <f t="shared" si="231"/>
        <v>0.97280212347448392</v>
      </c>
      <c r="AB145" s="477">
        <f t="shared" si="231"/>
        <v>0.87655142654447837</v>
      </c>
      <c r="AC145" s="477">
        <f t="shared" si="231"/>
        <v>-0.42558481349586474</v>
      </c>
      <c r="AD145" s="477">
        <f t="shared" si="231"/>
        <v>-3.3099108547456741</v>
      </c>
      <c r="AE145" s="478">
        <f t="shared" si="231"/>
        <v>-1.8928215708025491</v>
      </c>
      <c r="AF145" s="477">
        <f t="shared" si="231"/>
        <v>1.1967125265207024</v>
      </c>
      <c r="AG145" s="477">
        <f t="shared" si="231"/>
        <v>1.055856975810531</v>
      </c>
      <c r="AH145" s="477">
        <f t="shared" si="231"/>
        <v>0.85797576751389282</v>
      </c>
      <c r="AI145" s="477">
        <f t="shared" si="231"/>
        <v>0.83108855895926015</v>
      </c>
      <c r="AJ145" s="478">
        <f t="shared" si="231"/>
        <v>3.9409907465741205</v>
      </c>
      <c r="AK145" s="477">
        <f t="shared" si="231"/>
        <v>1.1311339615699025</v>
      </c>
      <c r="AL145" s="477">
        <f t="shared" si="231"/>
        <v>1.222043346345874</v>
      </c>
      <c r="AM145" s="477">
        <f t="shared" si="231"/>
        <v>1.1788837837202022</v>
      </c>
      <c r="AN145" s="477">
        <f t="shared" si="231"/>
        <v>1.0543006289206127</v>
      </c>
      <c r="AO145" s="478">
        <f t="shared" si="231"/>
        <v>4.5859442775430299</v>
      </c>
      <c r="AP145" s="477">
        <f t="shared" si="231"/>
        <v>0.94952815851427941</v>
      </c>
      <c r="AQ145" s="477">
        <f t="shared" si="231"/>
        <v>1.0748170710359553</v>
      </c>
      <c r="AR145" s="477">
        <f t="shared" ref="AR145:BN145" si="232">AR15/AR191</f>
        <v>1.1099429810897607</v>
      </c>
      <c r="AS145" s="477">
        <f t="shared" si="232"/>
        <v>0.76907704481563011</v>
      </c>
      <c r="AT145" s="478">
        <f t="shared" si="232"/>
        <v>3.903039405418713</v>
      </c>
      <c r="AU145" s="477">
        <f t="shared" si="232"/>
        <v>0.90520625649629405</v>
      </c>
      <c r="AV145" s="477">
        <f t="shared" si="232"/>
        <v>0.82559597821413466</v>
      </c>
      <c r="AW145" s="477">
        <f t="shared" si="232"/>
        <v>1.1848440705547585</v>
      </c>
      <c r="AX145" s="477">
        <f t="shared" si="232"/>
        <v>0.7427191438934172</v>
      </c>
      <c r="AY145" s="478">
        <f t="shared" si="232"/>
        <v>3.6593483726769667</v>
      </c>
      <c r="AZ145" s="477">
        <f t="shared" si="232"/>
        <v>1.4177434067604746</v>
      </c>
      <c r="BA145" s="477">
        <f t="shared" si="232"/>
        <v>1.1126926479446733</v>
      </c>
      <c r="BB145" s="477">
        <f t="shared" si="232"/>
        <v>1.109607777491868</v>
      </c>
      <c r="BC145" s="477">
        <f t="shared" si="232"/>
        <v>0.67425040037961914</v>
      </c>
      <c r="BD145" s="478">
        <f t="shared" si="232"/>
        <v>4.3186378149064346</v>
      </c>
      <c r="BE145" s="477">
        <f t="shared" si="232"/>
        <v>0.67659011224759158</v>
      </c>
      <c r="BF145" s="477">
        <f t="shared" si="232"/>
        <v>0.68142673199444848</v>
      </c>
      <c r="BG145" s="477">
        <f t="shared" si="232"/>
        <v>0.46594054650749361</v>
      </c>
      <c r="BH145" s="477">
        <f t="shared" si="232"/>
        <v>0.40054702478156878</v>
      </c>
      <c r="BI145" s="478">
        <f t="shared" si="232"/>
        <v>2.2255702238162085</v>
      </c>
      <c r="BJ145" s="477">
        <f t="shared" si="232"/>
        <v>0.49623442882901792</v>
      </c>
      <c r="BK145" s="477">
        <f t="shared" si="232"/>
        <v>0.56382227961380793</v>
      </c>
      <c r="BL145" s="477">
        <f t="shared" si="232"/>
        <v>0.75077993050802738</v>
      </c>
      <c r="BM145" s="477">
        <f t="shared" si="232"/>
        <v>0.44924701354971819</v>
      </c>
      <c r="BN145" s="478">
        <f t="shared" si="232"/>
        <v>2.2599909164955689</v>
      </c>
      <c r="BO145" s="477">
        <f t="shared" ref="BO145:BX145" si="233">BO15/BO191</f>
        <v>0.41398772429038405</v>
      </c>
      <c r="BP145" s="477">
        <f t="shared" si="233"/>
        <v>0.70532213043695624</v>
      </c>
      <c r="BQ145" s="477">
        <f t="shared" si="233"/>
        <v>0.73341842746793395</v>
      </c>
      <c r="BR145" s="477">
        <f t="shared" si="233"/>
        <v>0.72708568457029599</v>
      </c>
      <c r="BS145" s="478">
        <f t="shared" si="233"/>
        <v>2.5793309624769334</v>
      </c>
      <c r="BT145" s="477">
        <f t="shared" si="233"/>
        <v>-0.10489384704810915</v>
      </c>
      <c r="BU145" s="477">
        <f t="shared" si="233"/>
        <v>0.95354315066549378</v>
      </c>
      <c r="BV145" s="477">
        <f t="shared" si="233"/>
        <v>0.52612390805141906</v>
      </c>
      <c r="BW145" s="477">
        <f t="shared" si="233"/>
        <v>-1.5675971268761208</v>
      </c>
      <c r="BX145" s="478">
        <f t="shared" si="233"/>
        <v>-0.19316634996754925</v>
      </c>
      <c r="BY145" s="477"/>
      <c r="BZ145" s="477"/>
      <c r="CA145" s="477"/>
      <c r="CB145" s="477"/>
      <c r="CC145" s="478">
        <f t="shared" ref="CC145:CH145" si="234">CC15/CC191</f>
        <v>4.238255476001477</v>
      </c>
      <c r="CD145" s="478">
        <f t="shared" si="234"/>
        <v>4.7760638357069176</v>
      </c>
      <c r="CE145" s="478">
        <f t="shared" si="234"/>
        <v>5.4540917693523605</v>
      </c>
      <c r="CF145" s="478">
        <f t="shared" si="234"/>
        <v>5.9577781219907271</v>
      </c>
      <c r="CG145" s="478">
        <f t="shared" si="234"/>
        <v>6.3784695195211762</v>
      </c>
      <c r="CH145" s="478">
        <f t="shared" si="234"/>
        <v>6.8831359952907576</v>
      </c>
    </row>
    <row r="146" spans="1:86" s="29" customFormat="1">
      <c r="A146"/>
      <c r="B146"/>
      <c r="C146"/>
      <c r="D146"/>
      <c r="E146"/>
      <c r="F146"/>
      <c r="G146" s="476"/>
      <c r="H146" s="479" t="s">
        <v>456</v>
      </c>
      <c r="L146" s="477">
        <v>-2.9379334025581016E-5</v>
      </c>
      <c r="M146" s="477">
        <v>-0.89913353188671241</v>
      </c>
      <c r="N146" s="477">
        <v>2.748858765473372E-4</v>
      </c>
      <c r="O146" s="477">
        <v>-0.15582833643191507</v>
      </c>
      <c r="P146" s="478">
        <v>-1.0543604290546029</v>
      </c>
      <c r="Q146" s="477">
        <f t="shared" ref="Q146:AH146" si="235">Q145-Q144</f>
        <v>3.6798731179721322E-4</v>
      </c>
      <c r="R146" s="477">
        <f t="shared" si="235"/>
        <v>-2.7641871907568838E-4</v>
      </c>
      <c r="S146" s="477">
        <f t="shared" si="235"/>
        <v>4.602305571010934E-5</v>
      </c>
      <c r="T146" s="477">
        <f t="shared" si="235"/>
        <v>-0.73207436986788188</v>
      </c>
      <c r="U146" s="478">
        <f t="shared" si="235"/>
        <v>-0.73338020747442423</v>
      </c>
      <c r="V146" s="477">
        <f t="shared" si="235"/>
        <v>-0.37105036430649624</v>
      </c>
      <c r="W146" s="477">
        <f t="shared" si="235"/>
        <v>-0.28918863870320111</v>
      </c>
      <c r="X146" s="477">
        <f t="shared" si="235"/>
        <v>-6.4665372747719441E-2</v>
      </c>
      <c r="Y146" s="477">
        <f t="shared" si="235"/>
        <v>-0.12053419437031065</v>
      </c>
      <c r="Z146" s="478">
        <f t="shared" si="235"/>
        <v>-0.84516682257204012</v>
      </c>
      <c r="AA146" s="477">
        <f t="shared" si="235"/>
        <v>9.3139656470966559E-2</v>
      </c>
      <c r="AB146" s="477">
        <f t="shared" si="235"/>
        <v>-5.8875586013208525E-2</v>
      </c>
      <c r="AC146" s="477">
        <f t="shared" si="235"/>
        <v>-1.4085614209560311</v>
      </c>
      <c r="AD146" s="477">
        <f t="shared" si="235"/>
        <v>-4.3277627049086904</v>
      </c>
      <c r="AE146" s="478">
        <f t="shared" si="235"/>
        <v>-5.7088865273155713</v>
      </c>
      <c r="AF146" s="477">
        <f t="shared" si="235"/>
        <v>4.5568217444169612E-4</v>
      </c>
      <c r="AG146" s="477">
        <f t="shared" si="235"/>
        <v>-6.1984318450474252E-2</v>
      </c>
      <c r="AH146" s="477">
        <f t="shared" si="235"/>
        <v>-0.33725061492211061</v>
      </c>
      <c r="AI146" s="477">
        <f t="shared" ref="AI146:AR146" si="236">AI145-AI144</f>
        <v>-7.6717263744873199E-2</v>
      </c>
      <c r="AJ146" s="478">
        <f t="shared" si="236"/>
        <v>-0.47542616377944791</v>
      </c>
      <c r="AK146" s="477">
        <f t="shared" si="236"/>
        <v>-4.477046526845041E-2</v>
      </c>
      <c r="AL146" s="477">
        <f t="shared" si="236"/>
        <v>-1.6307198631645647E-2</v>
      </c>
      <c r="AM146" s="477">
        <f t="shared" si="236"/>
        <v>-3.4925868486913592E-2</v>
      </c>
      <c r="AN146" s="477">
        <f t="shared" si="236"/>
        <v>-5.8934828247973581E-2</v>
      </c>
      <c r="AO146" s="478">
        <f t="shared" si="236"/>
        <v>-0.1550328691755265</v>
      </c>
      <c r="AP146" s="477">
        <f t="shared" si="236"/>
        <v>-0.28686379635008574</v>
      </c>
      <c r="AQ146" s="477">
        <f t="shared" si="236"/>
        <v>-0.1066468454347882</v>
      </c>
      <c r="AR146" s="477">
        <f t="shared" si="236"/>
        <v>-1.5801178085560696E-2</v>
      </c>
      <c r="AS146" s="477">
        <f t="shared" ref="AS146:BB146" si="237">AS145-AS144</f>
        <v>-9.902471854128081E-2</v>
      </c>
      <c r="AT146" s="478">
        <f t="shared" si="237"/>
        <v>-0.5080226325474313</v>
      </c>
      <c r="AU146" s="477">
        <f t="shared" si="237"/>
        <v>-1.4145246615212881E-2</v>
      </c>
      <c r="AV146" s="477">
        <f t="shared" si="237"/>
        <v>0</v>
      </c>
      <c r="AW146" s="477">
        <f t="shared" si="237"/>
        <v>0.3914647641520822</v>
      </c>
      <c r="AX146" s="477">
        <f t="shared" si="237"/>
        <v>-0.10585402736380889</v>
      </c>
      <c r="AY146" s="478">
        <f t="shared" si="237"/>
        <v>0.27261305496652311</v>
      </c>
      <c r="AZ146" s="477">
        <f t="shared" si="237"/>
        <v>0.27530598712674359</v>
      </c>
      <c r="BA146" s="477">
        <f t="shared" si="237"/>
        <v>-4.4924665855501811E-2</v>
      </c>
      <c r="BB146" s="477">
        <f t="shared" si="237"/>
        <v>0</v>
      </c>
      <c r="BC146" s="477">
        <f t="shared" ref="BC146:BI146" si="238">BC145-BC144</f>
        <v>-6.4320244379855729E-2</v>
      </c>
      <c r="BD146" s="478">
        <f t="shared" si="238"/>
        <v>0.16823586945449254</v>
      </c>
      <c r="BE146" s="477">
        <f t="shared" si="238"/>
        <v>-9.9178685227116925E-2</v>
      </c>
      <c r="BF146" s="477">
        <f t="shared" si="238"/>
        <v>-8.0637819137174382E-2</v>
      </c>
      <c r="BG146" s="477">
        <f t="shared" si="238"/>
        <v>-0.27401697341551412</v>
      </c>
      <c r="BH146" s="477">
        <f t="shared" si="238"/>
        <v>-0.42774870137700316</v>
      </c>
      <c r="BI146" s="478">
        <f t="shared" si="238"/>
        <v>-0.88026632362192858</v>
      </c>
      <c r="BJ146" s="477">
        <f t="shared" ref="BJ146:BX146" si="239">BJ145-BJ144</f>
        <v>-0.36943458327554057</v>
      </c>
      <c r="BK146" s="477">
        <f t="shared" si="239"/>
        <v>-0.33221219537830893</v>
      </c>
      <c r="BL146" s="477">
        <f t="shared" si="239"/>
        <v>-0.11622677928835012</v>
      </c>
      <c r="BM146" s="477">
        <f t="shared" si="239"/>
        <v>-0.32848370681373529</v>
      </c>
      <c r="BN146" s="478">
        <f t="shared" si="239"/>
        <v>-1.1465109208496416</v>
      </c>
      <c r="BO146" s="477">
        <f t="shared" si="239"/>
        <v>-0.415963125837782</v>
      </c>
      <c r="BP146" s="477">
        <f t="shared" si="239"/>
        <v>-0.15196923259782613</v>
      </c>
      <c r="BQ146" s="477">
        <f t="shared" si="239"/>
        <v>-0.14423267275397655</v>
      </c>
      <c r="BR146" s="477">
        <f t="shared" si="239"/>
        <v>-0.22760287819666214</v>
      </c>
      <c r="BS146" s="478">
        <f t="shared" si="239"/>
        <v>-0.92899632123110276</v>
      </c>
      <c r="BT146" s="477">
        <f t="shared" si="239"/>
        <v>-1.0891730237260788</v>
      </c>
      <c r="BU146" s="477">
        <f t="shared" si="239"/>
        <v>-0.16024822393128446</v>
      </c>
      <c r="BV146" s="477">
        <f t="shared" si="239"/>
        <v>-0.52195734002509386</v>
      </c>
      <c r="BW146" s="477">
        <f t="shared" si="239"/>
        <v>-2.7093535471272534</v>
      </c>
      <c r="BX146" s="478">
        <f t="shared" si="239"/>
        <v>-4.4811564616675748</v>
      </c>
      <c r="BY146" s="477"/>
      <c r="BZ146" s="477"/>
      <c r="CA146" s="477"/>
      <c r="CB146" s="477"/>
      <c r="CC146" s="478">
        <f t="shared" ref="CC146:CH146" si="240">CC145-CC144</f>
        <v>-0.95313113216646617</v>
      </c>
      <c r="CD146" s="478">
        <f t="shared" si="240"/>
        <v>-0.95599912955513311</v>
      </c>
      <c r="CE146" s="478">
        <f t="shared" si="240"/>
        <v>-0.95887575682560922</v>
      </c>
      <c r="CF146" s="478">
        <f t="shared" si="240"/>
        <v>-0.96176103994544526</v>
      </c>
      <c r="CG146" s="478">
        <f t="shared" si="240"/>
        <v>-0.96465500496032686</v>
      </c>
      <c r="CH146" s="478">
        <f t="shared" si="240"/>
        <v>-0.96755767799430981</v>
      </c>
    </row>
    <row r="147" spans="1:86" s="29" customFormat="1">
      <c r="A147"/>
      <c r="B147"/>
      <c r="C147"/>
      <c r="D147"/>
      <c r="E147"/>
      <c r="F147"/>
      <c r="G147" s="476"/>
      <c r="H147" s="480" t="s">
        <v>334</v>
      </c>
      <c r="I147" s="480"/>
      <c r="K147" s="478"/>
      <c r="L147" s="481">
        <f>'IS-ANNUAL'!L29</f>
        <v>845.8</v>
      </c>
      <c r="M147" s="481">
        <f>'IS-ANNUAL'!M29</f>
        <v>887.89999999999975</v>
      </c>
      <c r="N147" s="481">
        <f>'IS-ANNUAL'!N29</f>
        <v>933.49999999999955</v>
      </c>
      <c r="O147" s="481">
        <f>'IS-ANNUAL'!O29</f>
        <v>981.39999999999975</v>
      </c>
      <c r="P147" s="744">
        <f>'IS-ANNUAL'!P29</f>
        <v>3648.5999999999985</v>
      </c>
      <c r="Q147" s="481">
        <f>'IS-ANNUAL'!Q29</f>
        <v>1024.6000000000001</v>
      </c>
      <c r="R147" s="481">
        <f>'IS-ANNUAL'!R29</f>
        <v>993.8</v>
      </c>
      <c r="S147" s="481">
        <f>'IS-ANNUAL'!S29</f>
        <v>1049.75</v>
      </c>
      <c r="T147" s="481">
        <f>'IS-ANNUAL'!T29</f>
        <v>1057.5000000000002</v>
      </c>
      <c r="U147" s="744">
        <f>'IS-ANNUAL'!U29</f>
        <v>4125.6499999999996</v>
      </c>
      <c r="V147" s="481">
        <f>'IS-ANNUAL'!V29</f>
        <v>1132.6999999999998</v>
      </c>
      <c r="W147" s="481">
        <f>'IS-ANNUAL'!W29</f>
        <v>1252.8999999999992</v>
      </c>
      <c r="X147" s="481">
        <f>'IS-ANNUAL'!X29</f>
        <v>1209.9000000000005</v>
      </c>
      <c r="Y147" s="481">
        <f>'IS-ANNUAL'!Y29</f>
        <v>1207.599999999999</v>
      </c>
      <c r="Z147" s="744">
        <f>'IS-ANNUAL'!Z29</f>
        <v>4803.0999999999976</v>
      </c>
      <c r="AA147" s="481">
        <f>'IS-ANNUAL'!AA29</f>
        <v>1267.8000000000002</v>
      </c>
      <c r="AB147" s="481">
        <f>'IS-ANNUAL'!AB29</f>
        <v>1333.8</v>
      </c>
      <c r="AC147" s="481">
        <f>'IS-ANNUAL'!AC29</f>
        <v>1439.900000000001</v>
      </c>
      <c r="AD147" s="481">
        <f>'IS-ANNUAL'!AD29</f>
        <v>1488.8000000000011</v>
      </c>
      <c r="AE147" s="744">
        <f>'IS-ANNUAL'!AE29</f>
        <v>5530.300000000002</v>
      </c>
      <c r="AF147" s="481">
        <f>'IS-ANNUAL'!AF29</f>
        <v>1753.6000000000006</v>
      </c>
      <c r="AG147" s="481">
        <f>'IS-ANNUAL'!AG29</f>
        <v>1596.6100000000001</v>
      </c>
      <c r="AH147" s="481">
        <f>'IS-ANNUAL'!AH29</f>
        <v>1686.400000000001</v>
      </c>
      <c r="AI147" s="481">
        <f>'IS-ANNUAL'!AI29</f>
        <v>1333.3999999999994</v>
      </c>
      <c r="AJ147" s="744">
        <f>'IS-ANNUAL'!AJ29</f>
        <v>6370.010000000002</v>
      </c>
      <c r="AK147" s="481">
        <f>'IS-ANNUAL'!AK29</f>
        <v>1709.3999999999996</v>
      </c>
      <c r="AL147" s="481">
        <f>'IS-ANNUAL'!AL29</f>
        <v>1782.200000000001</v>
      </c>
      <c r="AM147" s="481">
        <f>'IS-ANNUAL'!AM29</f>
        <v>1752.6000000000001</v>
      </c>
      <c r="AN147" s="481">
        <f>'IS-ANNUAL'!AN29</f>
        <v>1528.0800000000004</v>
      </c>
      <c r="AO147" s="744">
        <f>'IS-ANNUAL'!AO29</f>
        <v>6772.2799999999988</v>
      </c>
      <c r="AP147" s="481">
        <f>'IS-ANNUAL'!AP29</f>
        <v>1749.4000000000005</v>
      </c>
      <c r="AQ147" s="481">
        <f>'IS-ANNUAL'!AQ29</f>
        <v>1721.4</v>
      </c>
      <c r="AR147" s="481">
        <f>'IS-ANNUAL'!AR29</f>
        <v>1611.1999999999994</v>
      </c>
      <c r="AS147" s="481">
        <f>'IS-ANNUAL'!AS29</f>
        <v>1235.9999999999998</v>
      </c>
      <c r="AT147" s="744">
        <f>'IS-ANNUAL'!AT29</f>
        <v>6318.0000000000045</v>
      </c>
      <c r="AU147" s="481">
        <f>'IS-ANNUAL'!AU29</f>
        <v>1405.1000000000004</v>
      </c>
      <c r="AV147" s="481">
        <f>'IS-ANNUAL'!AV29</f>
        <v>1202.2</v>
      </c>
      <c r="AW147" s="481">
        <f>'IS-ANNUAL'!AW29</f>
        <v>1139.4999999999989</v>
      </c>
      <c r="AX147" s="481">
        <f>'IS-ANNUAL'!AX29</f>
        <v>1268.4086839999991</v>
      </c>
      <c r="AY147" s="744">
        <f>'IS-ANNUAL'!AY29</f>
        <v>5015.2086840000029</v>
      </c>
      <c r="AZ147" s="481">
        <f>'IS-ANNUAL'!AZ29</f>
        <v>1443.2999999999997</v>
      </c>
      <c r="BA147" s="481">
        <f>'IS-ANNUAL'!BA29</f>
        <v>1566.5000000000002</v>
      </c>
      <c r="BB147" s="481">
        <f>'IS-ANNUAL'!BB29</f>
        <v>1544.6999999999998</v>
      </c>
      <c r="BC147" s="481">
        <f>'IS-ANNUAL'!BC29</f>
        <v>993.29999999999927</v>
      </c>
      <c r="BD147" s="744">
        <f>'IS-ANNUAL'!BD29</f>
        <v>5547.8000000000038</v>
      </c>
      <c r="BE147" s="481">
        <f>'IS-ANNUAL'!BE29</f>
        <v>995.00000000000045</v>
      </c>
      <c r="BF147" s="481">
        <f>'IS-ANNUAL'!BF29</f>
        <v>1018.5999999999992</v>
      </c>
      <c r="BG147" s="481">
        <f>'IS-ANNUAL'!BG29</f>
        <v>946.90000000000055</v>
      </c>
      <c r="BH147" s="481">
        <f>'IS-ANNUAL'!BH29</f>
        <v>1017.3000000000002</v>
      </c>
      <c r="BI147" s="744">
        <f>'IS-ANNUAL'!BI29</f>
        <v>3977.7999999999984</v>
      </c>
      <c r="BJ147" s="481">
        <f>'IS-ANNUAL'!BJ29</f>
        <v>1105.3999999999996</v>
      </c>
      <c r="BK147" s="481">
        <f>'IS-ANNUAL'!BK29</f>
        <v>1175.6999999999998</v>
      </c>
      <c r="BL147" s="481">
        <f>'IS-ANNUAL'!BL29</f>
        <v>1151.2999999999997</v>
      </c>
      <c r="BM147" s="481">
        <f>'IS-ANNUAL'!BM29</f>
        <v>912.79999999999905</v>
      </c>
      <c r="BN147" s="744">
        <f>'IS-ANNUAL'!BN29</f>
        <v>4345.1999999999962</v>
      </c>
      <c r="BO147" s="481">
        <f>'IS-ANNUAL'!BO29</f>
        <v>1019.7</v>
      </c>
      <c r="BP147" s="481">
        <f>'IS-ANNUAL'!BP29</f>
        <v>1149.9000000000012</v>
      </c>
      <c r="BQ147" s="481">
        <f>'IS-ANNUAL'!BQ29</f>
        <v>1166.6999999999996</v>
      </c>
      <c r="BR147" s="481">
        <f>'IS-ANNUAL'!BR29</f>
        <v>1218.3000000000006</v>
      </c>
      <c r="BS147" s="744">
        <f>'IS-ANNUAL'!BS29</f>
        <v>4542.7000000000035</v>
      </c>
      <c r="BT147" s="481">
        <f>'IS-ANNUAL'!BT29</f>
        <v>1304.1999999999996</v>
      </c>
      <c r="BU147" s="481">
        <f>'IS-ANNUAL'!BU29</f>
        <v>1508.5000000000002</v>
      </c>
      <c r="BV147" s="481">
        <f>'IS-ANNUAL'!BV29</f>
        <v>1378.4999999999998</v>
      </c>
      <c r="BW147" s="481">
        <f>'IS-ANNUAL'!BW29</f>
        <v>1457.7999999999993</v>
      </c>
      <c r="BX147" s="744">
        <f>'IS-ANNUAL'!BX29</f>
        <v>5648.9999999999991</v>
      </c>
      <c r="BY147" s="477"/>
      <c r="BZ147" s="477"/>
      <c r="CA147" s="477"/>
      <c r="CB147" s="477"/>
      <c r="CC147" s="744">
        <f>'IS-ANNUAL'!CC29</f>
        <v>6380.5875839999972</v>
      </c>
      <c r="CD147" s="744">
        <f>'IS-ANNUAL'!CD29</f>
        <v>7051.0388376500014</v>
      </c>
      <c r="CE147" s="744">
        <f>'IS-ANNUAL'!CE29</f>
        <v>7837.446224809999</v>
      </c>
      <c r="CF147" s="744">
        <f>'IS-ANNUAL'!CF29</f>
        <v>8444.2109634004482</v>
      </c>
      <c r="CG147" s="744">
        <f>'IS-ANNUAL'!CG29</f>
        <v>8940.9653077011426</v>
      </c>
      <c r="CH147" s="744">
        <f>'IS-ANNUAL'!CH29</f>
        <v>9538.593773016979</v>
      </c>
    </row>
    <row r="148" spans="1:86">
      <c r="G148" s="230"/>
      <c r="H148" s="480" t="s">
        <v>332</v>
      </c>
      <c r="I148" s="480"/>
      <c r="J148" s="480"/>
      <c r="K148" s="480"/>
      <c r="L148" s="481">
        <f t="shared" ref="L148:AQ148" si="241">L147+L16</f>
        <v>1004.5</v>
      </c>
      <c r="M148" s="481">
        <f t="shared" si="241"/>
        <v>1046.5999999999997</v>
      </c>
      <c r="N148" s="481">
        <f t="shared" si="241"/>
        <v>1117.3999999999996</v>
      </c>
      <c r="O148" s="481">
        <f t="shared" si="241"/>
        <v>1206.4999999999998</v>
      </c>
      <c r="P148" s="482">
        <f t="shared" si="241"/>
        <v>4374.9999999999982</v>
      </c>
      <c r="Q148" s="481">
        <f t="shared" si="241"/>
        <v>1229.5000000000002</v>
      </c>
      <c r="R148" s="481">
        <f t="shared" si="241"/>
        <v>1202.8999999999999</v>
      </c>
      <c r="S148" s="481">
        <f t="shared" si="241"/>
        <v>1263.95</v>
      </c>
      <c r="T148" s="481">
        <f t="shared" si="241"/>
        <v>1231.1000000000001</v>
      </c>
      <c r="U148" s="482">
        <f t="shared" si="241"/>
        <v>4927.45</v>
      </c>
      <c r="V148" s="481">
        <f t="shared" si="241"/>
        <v>1377.7999999999997</v>
      </c>
      <c r="W148" s="481">
        <f t="shared" si="241"/>
        <v>1515.3999999999992</v>
      </c>
      <c r="X148" s="481">
        <f t="shared" si="241"/>
        <v>1475.4000000000005</v>
      </c>
      <c r="Y148" s="481">
        <f t="shared" si="241"/>
        <v>1482.3999999999992</v>
      </c>
      <c r="Z148" s="482">
        <f t="shared" si="241"/>
        <v>5850.9999999999982</v>
      </c>
      <c r="AA148" s="481">
        <f t="shared" si="241"/>
        <v>1545.3000000000002</v>
      </c>
      <c r="AB148" s="481">
        <f t="shared" si="241"/>
        <v>1615.3</v>
      </c>
      <c r="AC148" s="481">
        <f t="shared" si="241"/>
        <v>1723.200000000001</v>
      </c>
      <c r="AD148" s="481">
        <f t="shared" si="241"/>
        <v>1769.100000000001</v>
      </c>
      <c r="AE148" s="482">
        <f t="shared" si="241"/>
        <v>6652.9000000000015</v>
      </c>
      <c r="AF148" s="481">
        <f t="shared" si="241"/>
        <v>2059.9000000000005</v>
      </c>
      <c r="AG148" s="481">
        <f t="shared" si="241"/>
        <v>1902.6100000000001</v>
      </c>
      <c r="AH148" s="481">
        <f t="shared" si="241"/>
        <v>1996.100000000001</v>
      </c>
      <c r="AI148" s="481">
        <f t="shared" si="241"/>
        <v>1709.1999999999994</v>
      </c>
      <c r="AJ148" s="482">
        <f t="shared" si="241"/>
        <v>7667.8100000000022</v>
      </c>
      <c r="AK148" s="481">
        <f t="shared" si="241"/>
        <v>2008.7999999999997</v>
      </c>
      <c r="AL148" s="481">
        <f t="shared" si="241"/>
        <v>2127.8000000000011</v>
      </c>
      <c r="AM148" s="481">
        <f t="shared" si="241"/>
        <v>2097.3000000000002</v>
      </c>
      <c r="AN148" s="481">
        <f t="shared" si="241"/>
        <v>1866.5800000000004</v>
      </c>
      <c r="AO148" s="744">
        <f t="shared" si="241"/>
        <v>8100.4799999999987</v>
      </c>
      <c r="AP148" s="481">
        <f t="shared" si="241"/>
        <v>2090.3000000000006</v>
      </c>
      <c r="AQ148" s="481">
        <f t="shared" si="241"/>
        <v>2077</v>
      </c>
      <c r="AR148" s="481">
        <f t="shared" ref="AR148:BN148" si="242">AR147+AR16</f>
        <v>1969.3999999999994</v>
      </c>
      <c r="AS148" s="481">
        <f t="shared" si="242"/>
        <v>1554.8999999999996</v>
      </c>
      <c r="AT148" s="482">
        <f t="shared" si="242"/>
        <v>7691.600000000004</v>
      </c>
      <c r="AU148" s="481">
        <f t="shared" si="242"/>
        <v>1791.0000000000005</v>
      </c>
      <c r="AV148" s="481">
        <f t="shared" si="242"/>
        <v>1564.2</v>
      </c>
      <c r="AW148" s="481">
        <f t="shared" si="242"/>
        <v>1509.1999999999989</v>
      </c>
      <c r="AX148" s="481">
        <f t="shared" si="242"/>
        <v>1613.008683999999</v>
      </c>
      <c r="AY148" s="482">
        <f t="shared" si="242"/>
        <v>6477.4086840000027</v>
      </c>
      <c r="AZ148" s="481">
        <f t="shared" si="242"/>
        <v>1824.7999999999997</v>
      </c>
      <c r="BA148" s="481">
        <f t="shared" si="242"/>
        <v>1930.4</v>
      </c>
      <c r="BB148" s="481">
        <f t="shared" si="242"/>
        <v>1893.6999999999998</v>
      </c>
      <c r="BC148" s="481">
        <f t="shared" si="242"/>
        <v>1344.4999999999991</v>
      </c>
      <c r="BD148" s="482">
        <f t="shared" si="242"/>
        <v>6993.4000000000033</v>
      </c>
      <c r="BE148" s="481">
        <f t="shared" si="242"/>
        <v>1343.8000000000004</v>
      </c>
      <c r="BF148" s="481">
        <f t="shared" si="242"/>
        <v>1366.9999999999993</v>
      </c>
      <c r="BG148" s="481">
        <f t="shared" si="242"/>
        <v>1289.3000000000004</v>
      </c>
      <c r="BH148" s="481">
        <f t="shared" si="242"/>
        <v>1356.7000000000003</v>
      </c>
      <c r="BI148" s="482">
        <f t="shared" si="242"/>
        <v>5356.7999999999984</v>
      </c>
      <c r="BJ148" s="481">
        <f t="shared" si="242"/>
        <v>1462.8999999999996</v>
      </c>
      <c r="BK148" s="481">
        <f t="shared" si="242"/>
        <v>1544.1999999999998</v>
      </c>
      <c r="BL148" s="481">
        <f t="shared" si="242"/>
        <v>1509.5999999999997</v>
      </c>
      <c r="BM148" s="481">
        <f t="shared" si="242"/>
        <v>1256.1999999999991</v>
      </c>
      <c r="BN148" s="482">
        <f t="shared" si="242"/>
        <v>5772.899999999996</v>
      </c>
      <c r="BO148" s="481">
        <f t="shared" ref="BO148:BX148" si="243">BO147+BO16</f>
        <v>1405.2</v>
      </c>
      <c r="BP148" s="481">
        <f t="shared" si="243"/>
        <v>1523.6000000000013</v>
      </c>
      <c r="BQ148" s="481">
        <f t="shared" si="243"/>
        <v>1559.4999999999995</v>
      </c>
      <c r="BR148" s="481">
        <f t="shared" si="243"/>
        <v>1562.9000000000005</v>
      </c>
      <c r="BS148" s="482">
        <f t="shared" si="243"/>
        <v>6039.3000000000029</v>
      </c>
      <c r="BT148" s="481">
        <f t="shared" si="243"/>
        <v>1691.0999999999995</v>
      </c>
      <c r="BU148" s="481">
        <f t="shared" si="243"/>
        <v>1904.1000000000004</v>
      </c>
      <c r="BV148" s="481">
        <f t="shared" si="243"/>
        <v>1751.3999999999999</v>
      </c>
      <c r="BW148" s="481">
        <f t="shared" si="243"/>
        <v>1869.6999999999991</v>
      </c>
      <c r="BX148" s="482">
        <f t="shared" si="243"/>
        <v>7216.2999999999993</v>
      </c>
      <c r="BY148" s="400"/>
      <c r="BZ148" s="400"/>
      <c r="CA148" s="400"/>
      <c r="CB148" s="400"/>
      <c r="CC148" s="482">
        <f t="shared" ref="CC148:CH148" si="244">CC147+CC16</f>
        <v>7735.287583999997</v>
      </c>
      <c r="CD148" s="482">
        <f t="shared" si="244"/>
        <v>8228.1388376500017</v>
      </c>
      <c r="CE148" s="482">
        <f t="shared" si="244"/>
        <v>9013.2462248099982</v>
      </c>
      <c r="CF148" s="482">
        <f t="shared" si="244"/>
        <v>9620.0109634004475</v>
      </c>
      <c r="CG148" s="482">
        <f t="shared" si="244"/>
        <v>10116.765307701142</v>
      </c>
      <c r="CH148" s="482">
        <f t="shared" si="244"/>
        <v>10714.393773016978</v>
      </c>
    </row>
    <row r="149" spans="1:86" s="29" customFormat="1">
      <c r="A149"/>
      <c r="B149"/>
      <c r="C149"/>
      <c r="D149"/>
      <c r="E149"/>
      <c r="F149"/>
      <c r="G149" s="476"/>
      <c r="H149" s="29" t="s">
        <v>911</v>
      </c>
      <c r="L149" s="477">
        <v>0.51652541633729665</v>
      </c>
      <c r="M149" s="477">
        <v>0.2718719816844139</v>
      </c>
      <c r="N149" s="477">
        <v>-0.58477388804081509</v>
      </c>
      <c r="O149" s="477">
        <v>0.37109823312248319</v>
      </c>
      <c r="P149" s="478">
        <f t="shared" ref="P149:AU149" si="245">P151/P191</f>
        <v>0.66569929107742365</v>
      </c>
      <c r="Q149" s="477">
        <f t="shared" si="245"/>
        <v>6.3256384857557121E-2</v>
      </c>
      <c r="R149" s="477">
        <f t="shared" si="245"/>
        <v>0.38621861890627135</v>
      </c>
      <c r="S149" s="477">
        <f t="shared" si="245"/>
        <v>0.78796959180063142</v>
      </c>
      <c r="T149" s="477">
        <f t="shared" si="245"/>
        <v>1.3135767817944719</v>
      </c>
      <c r="U149" s="478">
        <f t="shared" si="245"/>
        <v>2.553048576025156</v>
      </c>
      <c r="V149" s="477">
        <f t="shared" si="245"/>
        <v>0.57140425049365307</v>
      </c>
      <c r="W149" s="477">
        <f t="shared" si="245"/>
        <v>0.31262102440171785</v>
      </c>
      <c r="X149" s="477">
        <f t="shared" si="245"/>
        <v>1.0774712939488045</v>
      </c>
      <c r="Y149" s="477">
        <f t="shared" si="245"/>
        <v>1.711598493640947</v>
      </c>
      <c r="Z149" s="478">
        <f t="shared" si="245"/>
        <v>3.6753208978287151</v>
      </c>
      <c r="AA149" s="477">
        <f t="shared" si="245"/>
        <v>1.4204592257163315</v>
      </c>
      <c r="AB149" s="477">
        <f t="shared" si="245"/>
        <v>0.77131927717227922</v>
      </c>
      <c r="AC149" s="477">
        <f t="shared" si="245"/>
        <v>1.8014904785469499</v>
      </c>
      <c r="AD149" s="477">
        <f t="shared" si="245"/>
        <v>2.0236021933569024</v>
      </c>
      <c r="AE149" s="478">
        <f t="shared" si="245"/>
        <v>6.0174433831827727</v>
      </c>
      <c r="AF149" s="477">
        <f t="shared" si="245"/>
        <v>-1.2719551928181982E-2</v>
      </c>
      <c r="AG149" s="477">
        <f t="shared" si="245"/>
        <v>0.69740083960540211</v>
      </c>
      <c r="AH149" s="477">
        <f t="shared" si="245"/>
        <v>1.080074217322065</v>
      </c>
      <c r="AI149" s="477">
        <f t="shared" si="245"/>
        <v>1.6642344764918979</v>
      </c>
      <c r="AJ149" s="478">
        <f t="shared" si="245"/>
        <v>3.4318022015221143</v>
      </c>
      <c r="AK149" s="477">
        <f t="shared" si="245"/>
        <v>0.70573591792884804</v>
      </c>
      <c r="AL149" s="477">
        <f t="shared" si="245"/>
        <v>1.6050446595818111</v>
      </c>
      <c r="AM149" s="477">
        <f t="shared" si="245"/>
        <v>1.4583976429414496</v>
      </c>
      <c r="AN149" s="477">
        <f t="shared" si="245"/>
        <v>1.83392554306487</v>
      </c>
      <c r="AO149" s="478">
        <f t="shared" si="245"/>
        <v>5.7268980658951252</v>
      </c>
      <c r="AP149" s="477">
        <f t="shared" si="245"/>
        <v>0.99901204930876841</v>
      </c>
      <c r="AQ149" s="477">
        <f t="shared" si="245"/>
        <v>1.7388238747514666</v>
      </c>
      <c r="AR149" s="477">
        <f t="shared" si="245"/>
        <v>1.7369018714028324</v>
      </c>
      <c r="AS149" s="477">
        <f t="shared" si="245"/>
        <v>1.5719886480343981</v>
      </c>
      <c r="AT149" s="478">
        <f t="shared" si="245"/>
        <v>6.0476083156559888</v>
      </c>
      <c r="AU149" s="477">
        <f t="shared" si="245"/>
        <v>0.67684779573326459</v>
      </c>
      <c r="AV149" s="477">
        <f t="shared" ref="AV149:BN149" si="246">AV151/AV191</f>
        <v>1.036906726417659</v>
      </c>
      <c r="AW149" s="477">
        <f t="shared" si="246"/>
        <v>1.249433051124957</v>
      </c>
      <c r="AX149" s="477">
        <f t="shared" si="246"/>
        <v>1.1167291548711273</v>
      </c>
      <c r="AY149" s="478">
        <f t="shared" si="246"/>
        <v>4.0801324424465264</v>
      </c>
      <c r="AZ149" s="477">
        <f t="shared" si="246"/>
        <v>0.23403120065746402</v>
      </c>
      <c r="BA149" s="477">
        <f t="shared" si="246"/>
        <v>1.4140110884751009</v>
      </c>
      <c r="BB149" s="477">
        <f t="shared" si="246"/>
        <v>1.6319374522689269</v>
      </c>
      <c r="BC149" s="477">
        <f t="shared" si="246"/>
        <v>1.3658887530032311</v>
      </c>
      <c r="BD149" s="478">
        <f t="shared" si="246"/>
        <v>4.6384063746480813</v>
      </c>
      <c r="BE149" s="477">
        <f t="shared" si="246"/>
        <v>9.3245636295097398E-2</v>
      </c>
      <c r="BF149" s="477">
        <f t="shared" si="246"/>
        <v>0.7675035656357565</v>
      </c>
      <c r="BG149" s="477">
        <f t="shared" si="246"/>
        <v>1.3249552039949399</v>
      </c>
      <c r="BH149" s="477">
        <f t="shared" si="246"/>
        <v>0.92288532203139539</v>
      </c>
      <c r="BI149" s="478">
        <f t="shared" si="246"/>
        <v>3.1070042405950065</v>
      </c>
      <c r="BJ149" s="477">
        <f t="shared" si="246"/>
        <v>-0.22667210686629613</v>
      </c>
      <c r="BK149" s="477">
        <f t="shared" si="246"/>
        <v>0.71578624578031846</v>
      </c>
      <c r="BL149" s="477">
        <f t="shared" si="246"/>
        <v>0.80788033813518545</v>
      </c>
      <c r="BM149" s="477">
        <f t="shared" si="246"/>
        <v>0.52111458045973114</v>
      </c>
      <c r="BN149" s="478">
        <f t="shared" si="246"/>
        <v>1.8160421091550438</v>
      </c>
      <c r="BO149" s="477">
        <f t="shared" ref="BO149:BX149" si="247">BO151/BO191</f>
        <v>-0.41912982934200305</v>
      </c>
      <c r="BP149" s="477">
        <f t="shared" si="247"/>
        <v>1.1224820828686453</v>
      </c>
      <c r="BQ149" s="477">
        <f t="shared" si="247"/>
        <v>1.3843569133638227</v>
      </c>
      <c r="BR149" s="477">
        <f t="shared" si="247"/>
        <v>1.7171091159768705</v>
      </c>
      <c r="BS149" s="478">
        <f t="shared" si="247"/>
        <v>3.8020333274876097</v>
      </c>
      <c r="BT149" s="477">
        <f t="shared" si="247"/>
        <v>0.19655671318098819</v>
      </c>
      <c r="BU149" s="477">
        <f t="shared" si="247"/>
        <v>1.391949559663942</v>
      </c>
      <c r="BV149" s="477">
        <f t="shared" si="247"/>
        <v>1.5990207263311151</v>
      </c>
      <c r="BW149" s="477">
        <f t="shared" si="247"/>
        <v>1.3159089520673544</v>
      </c>
      <c r="BX149" s="478">
        <f t="shared" si="247"/>
        <v>4.5033970970482429</v>
      </c>
      <c r="BY149" s="477"/>
      <c r="BZ149" s="477"/>
      <c r="CA149" s="477"/>
      <c r="CB149" s="477"/>
      <c r="CC149" s="478">
        <f t="shared" ref="CC149:CH149" si="248">CC151/CC191</f>
        <v>6.4695959472058222</v>
      </c>
      <c r="CD149" s="478">
        <f t="shared" si="248"/>
        <v>3.1488185150645496</v>
      </c>
      <c r="CE149" s="478">
        <f t="shared" si="248"/>
        <v>7.4728958247863648</v>
      </c>
      <c r="CF149" s="478">
        <f t="shared" si="248"/>
        <v>4.0744081238599872</v>
      </c>
      <c r="CG149" s="478">
        <f t="shared" si="248"/>
        <v>8.4958534963313834</v>
      </c>
      <c r="CH149" s="478">
        <f t="shared" si="248"/>
        <v>4.9204555518865405</v>
      </c>
    </row>
    <row r="150" spans="1:86" s="29" customFormat="1">
      <c r="A150"/>
      <c r="B150"/>
      <c r="C150"/>
      <c r="D150"/>
      <c r="E150"/>
      <c r="F150"/>
      <c r="G150" s="476"/>
      <c r="H150" s="29" t="s">
        <v>912</v>
      </c>
      <c r="L150" s="477">
        <f t="shared" ref="L150:AN150" si="249">L152/L191</f>
        <v>0.51652541633729665</v>
      </c>
      <c r="M150" s="477">
        <f t="shared" si="249"/>
        <v>0.2718719816844139</v>
      </c>
      <c r="N150" s="477">
        <f t="shared" si="249"/>
        <v>-0.58477388804081509</v>
      </c>
      <c r="O150" s="477">
        <f t="shared" si="249"/>
        <v>0.37109823312248341</v>
      </c>
      <c r="P150" s="478">
        <f t="shared" si="249"/>
        <v>0.57429691361235369</v>
      </c>
      <c r="Q150" s="477">
        <f t="shared" si="249"/>
        <v>8.6293024616511338E-2</v>
      </c>
      <c r="R150" s="477">
        <f t="shared" si="249"/>
        <v>0.4204328717140724</v>
      </c>
      <c r="S150" s="477">
        <f t="shared" si="249"/>
        <v>0.82869114111405273</v>
      </c>
      <c r="T150" s="477">
        <f t="shared" si="249"/>
        <v>1.3891324647850463</v>
      </c>
      <c r="U150" s="478">
        <f t="shared" si="249"/>
        <v>2.7262442059950596</v>
      </c>
      <c r="V150" s="477">
        <f t="shared" si="249"/>
        <v>0.59859856002363565</v>
      </c>
      <c r="W150" s="477">
        <f t="shared" si="249"/>
        <v>0.31405225579982871</v>
      </c>
      <c r="X150" s="477">
        <f t="shared" si="249"/>
        <v>1.1138954420543226</v>
      </c>
      <c r="Y150" s="477">
        <f t="shared" si="249"/>
        <v>1.7346124418379036</v>
      </c>
      <c r="Z150" s="478">
        <f t="shared" si="249"/>
        <v>3.7631836695212511</v>
      </c>
      <c r="AA150" s="477">
        <f t="shared" si="249"/>
        <v>1.3878631441169373</v>
      </c>
      <c r="AB150" s="477">
        <f t="shared" si="249"/>
        <v>0.74462988831922972</v>
      </c>
      <c r="AC150" s="477">
        <f t="shared" si="249"/>
        <v>1.746488194043275</v>
      </c>
      <c r="AD150" s="477">
        <f t="shared" si="249"/>
        <v>1.9429561569503657</v>
      </c>
      <c r="AE150" s="478">
        <f t="shared" si="249"/>
        <v>5.8231738860237119</v>
      </c>
      <c r="AF150" s="477">
        <f t="shared" si="249"/>
        <v>-6.2975276507943365E-2</v>
      </c>
      <c r="AG150" s="477">
        <f t="shared" si="249"/>
        <v>0.68026900884331465</v>
      </c>
      <c r="AH150" s="477">
        <f t="shared" si="249"/>
        <v>1.0307005557073885</v>
      </c>
      <c r="AI150" s="477">
        <f t="shared" si="249"/>
        <v>1.6156020217041771</v>
      </c>
      <c r="AJ150" s="478">
        <f t="shared" si="249"/>
        <v>3.2667397423898681</v>
      </c>
      <c r="AK150" s="477">
        <f t="shared" si="249"/>
        <v>0.75484454498162956</v>
      </c>
      <c r="AL150" s="477">
        <f t="shared" si="249"/>
        <v>1.5921261597362582</v>
      </c>
      <c r="AM150" s="477">
        <f t="shared" si="249"/>
        <v>1.4431803170110695</v>
      </c>
      <c r="AN150" s="477">
        <f t="shared" si="249"/>
        <v>1.8044622084244897</v>
      </c>
      <c r="AO150" s="478">
        <f>AO152/AO191</f>
        <v>5.5969416785849662</v>
      </c>
      <c r="AP150" s="477">
        <f t="shared" ref="AP150:BT150" si="250">AP152/AP191</f>
        <v>0.96643423804839113</v>
      </c>
      <c r="AQ150" s="477">
        <f t="shared" si="250"/>
        <v>1.7067983773161797</v>
      </c>
      <c r="AR150" s="477">
        <f t="shared" si="250"/>
        <v>1.7037440711914897</v>
      </c>
      <c r="AS150" s="477">
        <f t="shared" si="250"/>
        <v>1.5360929416435234</v>
      </c>
      <c r="AT150" s="478">
        <f t="shared" si="250"/>
        <v>5.9140333958224804</v>
      </c>
      <c r="AU150" s="477">
        <f t="shared" si="250"/>
        <v>0.64620500043420537</v>
      </c>
      <c r="AV150" s="477">
        <f t="shared" si="250"/>
        <v>1.0069660778023199</v>
      </c>
      <c r="AW150" s="477">
        <f t="shared" si="250"/>
        <v>1.2167292909066392</v>
      </c>
      <c r="AX150" s="477">
        <f t="shared" si="250"/>
        <v>1.087011168168923</v>
      </c>
      <c r="AY150" s="478">
        <f t="shared" si="250"/>
        <v>3.9572085542615913</v>
      </c>
      <c r="AZ150" s="477">
        <f t="shared" si="250"/>
        <v>0.20286186343504214</v>
      </c>
      <c r="BA150" s="477">
        <f t="shared" si="250"/>
        <v>1.384454589649615</v>
      </c>
      <c r="BB150" s="477">
        <f t="shared" si="250"/>
        <v>1.6027565420375434</v>
      </c>
      <c r="BC150" s="477">
        <f t="shared" si="250"/>
        <v>1.3366377009312527</v>
      </c>
      <c r="BD150" s="478">
        <f t="shared" si="250"/>
        <v>4.5191380976809716</v>
      </c>
      <c r="BE150" s="477">
        <f t="shared" si="250"/>
        <v>6.5344532066225869E-2</v>
      </c>
      <c r="BF150" s="477">
        <f t="shared" si="250"/>
        <v>0.74227669920049666</v>
      </c>
      <c r="BG150" s="477">
        <f t="shared" si="250"/>
        <v>1.2978575670196741</v>
      </c>
      <c r="BH150" s="477">
        <f t="shared" si="250"/>
        <v>0.8937293124706136</v>
      </c>
      <c r="BI150" s="478">
        <f t="shared" si="250"/>
        <v>2.9976536317270144</v>
      </c>
      <c r="BJ150" s="477">
        <f t="shared" si="250"/>
        <v>-0.25622378251530414</v>
      </c>
      <c r="BK150" s="477">
        <f t="shared" si="250"/>
        <v>0.68009654799621622</v>
      </c>
      <c r="BL150" s="477">
        <f t="shared" si="250"/>
        <v>0.78035298016540233</v>
      </c>
      <c r="BM150" s="477">
        <f t="shared" si="250"/>
        <v>0.48521306835522499</v>
      </c>
      <c r="BN150" s="478">
        <f t="shared" si="250"/>
        <v>1.6883306996175174</v>
      </c>
      <c r="BO150" s="477">
        <f>BO152/BO191</f>
        <v>-0.45264915457517119</v>
      </c>
      <c r="BP150" s="477">
        <f>BP152/BP191</f>
        <v>1.0908579799883593</v>
      </c>
      <c r="BQ150" s="477">
        <f>BQ152/BQ191</f>
        <v>1.3496595920383565</v>
      </c>
      <c r="BR150" s="477">
        <f>BR152/BR191</f>
        <v>1.6773465423392224</v>
      </c>
      <c r="BS150" s="478">
        <f t="shared" si="250"/>
        <v>3.6626575042127527</v>
      </c>
      <c r="BT150" s="477">
        <f t="shared" si="250"/>
        <v>0.16179023881337401</v>
      </c>
      <c r="BU150" s="477">
        <f>BU152/BU191</f>
        <v>1.3522717597979399</v>
      </c>
      <c r="BV150" s="477">
        <f>BV152/BV191</f>
        <v>1.5514784214388859</v>
      </c>
      <c r="BW150" s="477">
        <f>BW152/BW191</f>
        <v>1.2684395364854943</v>
      </c>
      <c r="BX150" s="478">
        <f>BX152/BX191</f>
        <v>4.3341758925839873</v>
      </c>
      <c r="BY150" s="477"/>
      <c r="BZ150" s="477"/>
      <c r="CA150" s="477"/>
      <c r="CB150" s="477"/>
      <c r="CC150" s="478">
        <f t="shared" ref="CC150:CH150" si="251">CC152/CC191</f>
        <v>6.2918621740344971</v>
      </c>
      <c r="CD150" s="478">
        <f t="shared" si="251"/>
        <v>3.0295546688504373</v>
      </c>
      <c r="CE150" s="478">
        <f t="shared" si="251"/>
        <v>7.3661217913367238</v>
      </c>
      <c r="CF150" s="478">
        <f t="shared" si="251"/>
        <v>3.967312804452122</v>
      </c>
      <c r="CG150" s="478">
        <f t="shared" si="251"/>
        <v>8.3910710746958337</v>
      </c>
      <c r="CH150" s="478">
        <f t="shared" si="251"/>
        <v>4.8180009168345226</v>
      </c>
    </row>
    <row r="151" spans="1:86">
      <c r="G151" s="230"/>
      <c r="H151" s="401" t="s">
        <v>909</v>
      </c>
      <c r="I151" s="473"/>
      <c r="J151" s="473"/>
      <c r="K151" s="745"/>
      <c r="L151" s="746">
        <f>L147*(1-'IS-ANNUAL'!L46)+L12+L16+L19+L32+L24</f>
        <v>707.49199999999996</v>
      </c>
      <c r="M151" s="746">
        <f>M147*(1-'IS-ANNUAL'!M46)+M12+M16+M19+M32+M24</f>
        <v>214.80953999999997</v>
      </c>
      <c r="N151" s="746">
        <f>N147*(1-'IS-ANNUAL'!N46)+N12+N16+N19+N32+N24</f>
        <v>-675.158014142605</v>
      </c>
      <c r="O151" s="746">
        <f>O147*(1-'IS-ANNUAL'!O46)+O12+O16+O19+O32+O24</f>
        <v>479.1756097560974</v>
      </c>
      <c r="P151" s="747">
        <f>P147*(1-'IS-ANNUAL'!P46)+P12+P16+P19+P32+P24</f>
        <v>726.32668903854051</v>
      </c>
      <c r="Q151" s="746">
        <f>Q147*(1-'IS-ANNUAL'!Q46)+Q12+Q16+Q19+Q32+Q24</f>
        <v>68.759310801855435</v>
      </c>
      <c r="R151" s="746">
        <f>R147*(1-'IS-ANNUAL'!R46)+R12+R16+R19+R32+R24</f>
        <v>419.16692928516534</v>
      </c>
      <c r="S151" s="746">
        <f>S147*(1-'IS-ANNUAL'!S46)+S12+S16+S19+S32+S24</f>
        <v>856.05962016730757</v>
      </c>
      <c r="T151" s="746">
        <f>T147*(1-'IS-ANNUAL'!T46)+T12+T16+T19+T32+T24</f>
        <v>1430.612532322014</v>
      </c>
      <c r="U151" s="747">
        <f>U147*(1-'IS-ANNUAL'!U46)+U12+U16+U19+U32+U24</f>
        <v>2775.0444471184155</v>
      </c>
      <c r="V151" s="746">
        <f>V147*(1-'IS-ANNUAL'!V46)+V12+V16+V19+V32+V24</f>
        <v>622.76149312377208</v>
      </c>
      <c r="W151" s="746">
        <f>W147*(1-'IS-ANNUAL'!W46)+W12+W16+W19+W32+W24</f>
        <v>340.74003506255474</v>
      </c>
      <c r="X151" s="746">
        <f>X147*(1-'IS-ANNUAL'!X46)+X12+X16+X19+X32+X24</f>
        <v>1174.6893738592173</v>
      </c>
      <c r="Y151" s="746">
        <f>Y147*(1-'IS-ANNUAL'!Y46)+Y12+Y16+Y19+Y32+Y24</f>
        <v>1870.1541316978696</v>
      </c>
      <c r="Z151" s="747">
        <f>Z147*(1-'IS-ANNUAL'!Z46)+Z12+Z16+Z19+Z32+Z24</f>
        <v>4008.5705131068648</v>
      </c>
      <c r="AA151" s="746">
        <f>AA147*(1-'IS-ANNUAL'!AA46)+AA12+AA16+AA19+AA32+AA24</f>
        <v>1554.061938650307</v>
      </c>
      <c r="AB151" s="746">
        <f>AB147*(1-'IS-ANNUAL'!AB46)+AB12+AB16+AB19+AB32+AB24</f>
        <v>843.69370758790865</v>
      </c>
      <c r="AC151" s="746">
        <f>AC147*(1-'IS-ANNUAL'!AC46)+AC12+AC16+AC19+AC32+AC24</f>
        <v>1970.873819301848</v>
      </c>
      <c r="AD151" s="746">
        <f>AD147*(1-'IS-ANNUAL'!AD46)+AD12+AD16+AD19+AD32+AD24</f>
        <v>2218.9303950706776</v>
      </c>
      <c r="AE151" s="747">
        <f>AE147*(1-'IS-ANNUAL'!AE46)+AE12+AE16+AE19+AE32+AE24</f>
        <v>6586.7491885831569</v>
      </c>
      <c r="AF151" s="746">
        <f>AF147*(1-'IS-ANNUAL'!AF46)+AF12+AF16+AF19+AF32+AF24</f>
        <v>-13.95660467050925</v>
      </c>
      <c r="AG151" s="746">
        <f>AG147*(1-'IS-ANNUAL'!AG46)+AG12+AG16+AG19+AG32+AG24</f>
        <v>765.19726742596208</v>
      </c>
      <c r="AH151" s="746">
        <f>AH147*(1-'IS-ANNUAL'!AH46)+AH12+AH16+AH19+AH32+AH24</f>
        <v>1185.5974683544307</v>
      </c>
      <c r="AI151" s="746">
        <f>AI147*(1-'IS-ANNUAL'!AI46)+AI12+AI16+AI19+AI32+AI24</f>
        <v>1833.0660714285714</v>
      </c>
      <c r="AJ151" s="747">
        <f>AJ147*(1-'IS-ANNUAL'!AJ46)+AJ12+AJ16+AJ19+AJ32+AJ24</f>
        <v>3769.5052653606963</v>
      </c>
      <c r="AK151" s="746">
        <f>AK147*(1-'IS-ANNUAL'!AK46)+AK12+AK16+AK19+AK32+AK24</f>
        <v>778.71324625819841</v>
      </c>
      <c r="AL151" s="746">
        <f>AL147*(1-'IS-ANNUAL'!AL46)+AL12+AL16+AL19+AL32+AL24</f>
        <v>1771.6595305590201</v>
      </c>
      <c r="AM151" s="746">
        <f>AM147*(1-'IS-ANNUAL'!AM46)+AM12+AM16+AM19+AM32+AM24</f>
        <v>1611.8181581836043</v>
      </c>
      <c r="AN151" s="746">
        <f>AN147*(1-'IS-ANNUAL'!AN46)+AN12+AN16+AN19+AN32+AN24</f>
        <v>2034.4854743799874</v>
      </c>
      <c r="AO151" s="399">
        <f>AO30-'IS-ANNUAL'!AO35*(1-'IS-ANNUAL'!AO46)+AO32</f>
        <v>6330.7593786573043</v>
      </c>
      <c r="AP151" s="400">
        <f>AP30-'IS-ANNUAL'!AP35*(1-'IS-ANNUAL'!AP46)+AP32</f>
        <v>1110.9273731446326</v>
      </c>
      <c r="AQ151" s="400">
        <f>AQ30-'IS-ANNUAL'!AQ35*(1-'IS-ANNUAL'!AQ46)+AQ32</f>
        <v>1936.9750270465197</v>
      </c>
      <c r="AR151" s="400">
        <f>AR30-'IS-ANNUAL'!AR35*(1-'IS-ANNUAL'!AR46)+AR32</f>
        <v>1934.6325173452021</v>
      </c>
      <c r="AS151" s="400">
        <f>AS30-'IS-ANNUAL'!AS35*(1-'IS-ANNUAL'!AS46)+AS32</f>
        <v>1754.1554085345683</v>
      </c>
      <c r="AT151" s="399">
        <f>AT30-'IS-ANNUAL'!AT35*(1-'IS-ANNUAL'!AT46)+AT32</f>
        <v>6736.5926763316502</v>
      </c>
      <c r="AU151" s="400">
        <f>AU30-'IS-ANNUAL'!AU35*(1-'IS-ANNUAL'!AU46)+AU32</f>
        <v>756.02748142152905</v>
      </c>
      <c r="AV151" s="400">
        <f>AV30-'IS-ANNUAL'!AV35*(1-'IS-ANNUAL'!AV46)+AV32</f>
        <v>1159.9948131905203</v>
      </c>
      <c r="AW151" s="400">
        <f>AW30-'IS-ANNUAL'!AW35*(1-'IS-ANNUAL'!AW46)+AW32</f>
        <v>1398.9164707945979</v>
      </c>
      <c r="AX151" s="400">
        <f>AX30-'IS-ANNUAL'!AX35*(1-'IS-ANNUAL'!AX46)+AX32</f>
        <v>1243.9022710278514</v>
      </c>
      <c r="AY151" s="399">
        <f>AY30-'IS-ANNUAL'!AY35*(1-'IS-ANNUAL'!AY46)+AY32</f>
        <v>4558.7431983097213</v>
      </c>
      <c r="AZ151" s="400">
        <f>AZ30-'IS-ANNUAL'!AZ35*(1-'IS-ANNUAL'!AZ46)+AZ32</f>
        <v>255.53305124906919</v>
      </c>
      <c r="BA151" s="400">
        <f>BA30-'IS-ANNUAL'!BA35*(1-'IS-ANNUAL'!BA46)+BA32</f>
        <v>1532.8403383172831</v>
      </c>
      <c r="BB151" s="400">
        <f>BB30-'IS-ANNUAL'!BB35*(1-'IS-ANNUAL'!BB46)+BB32</f>
        <v>1769.4396061847501</v>
      </c>
      <c r="BC151" s="400">
        <f>BC30-'IS-ANNUAL'!BC35*(1-'IS-ANNUAL'!BC46)+BC32</f>
        <v>1473.7611831604145</v>
      </c>
      <c r="BD151" s="399">
        <f>BD30-'IS-ANNUAL'!BD35*(1-'IS-ANNUAL'!BD46)+BD32</f>
        <v>5031.6806167321811</v>
      </c>
      <c r="BE151" s="400">
        <f>BE30-'IS-ANNUAL'!BE35*(1-'IS-ANNUAL'!BE46)+BE32</f>
        <v>100.3170123691724</v>
      </c>
      <c r="BF151" s="400">
        <f>BF30-'IS-ANNUAL'!BF35*(1-'IS-ANNUAL'!BF46)+BF32</f>
        <v>826.15465311450964</v>
      </c>
      <c r="BG151" s="400">
        <f>BG30-'IS-ANNUAL'!BG35*(1-'IS-ANNUAL'!BG46)+BG32</f>
        <v>1423.5133217993075</v>
      </c>
      <c r="BH151" s="400">
        <f>BH30-'IS-ANNUAL'!BH35*(1-'IS-ANNUAL'!BH46)+BH32</f>
        <v>987.29072000000042</v>
      </c>
      <c r="BI151" s="399">
        <f>BI30-'IS-ANNUAL'!BI35*(1-'IS-ANNUAL'!BI46)+BI32</f>
        <v>3337.2542271017201</v>
      </c>
      <c r="BJ151" s="400">
        <f>BJ30-'IS-ANNUAL'!BJ35*(1-'IS-ANNUAL'!BJ46)+BJ32</f>
        <v>-241.86729822218518</v>
      </c>
      <c r="BK151" s="400">
        <f>BK30-'IS-ANNUAL'!BK35*(1-'IS-ANNUAL'!BK46)+BK32</f>
        <v>762.73037092357492</v>
      </c>
      <c r="BL151" s="400">
        <f>BL30-'IS-ANNUAL'!BL35*(1-'IS-ANNUAL'!BL46)+BL32</f>
        <v>860.52101308773604</v>
      </c>
      <c r="BM151" s="400">
        <f>BM30-'IS-ANNUAL'!BM35*(1-'IS-ANNUAL'!BM46)+BM32</f>
        <v>554.93126892950454</v>
      </c>
      <c r="BN151" s="399">
        <f>BN30-'IS-ANNUAL'!BN35*(1-'IS-ANNUAL'!BN46)+BN32</f>
        <v>1935.2979623790375</v>
      </c>
      <c r="BO151" s="400">
        <f>BO30-'IS-ANNUAL'!BO35*(1-'IS-ANNUAL'!BO46)+BO32</f>
        <v>-445.56644332774994</v>
      </c>
      <c r="BP151" s="400">
        <f>BP30-'IS-ANNUAL'!BP35*(1-'IS-ANNUAL'!BP46)+BP32</f>
        <v>1189.9241738536421</v>
      </c>
      <c r="BQ151" s="400">
        <f>BQ30-'IS-ANNUAL'!BQ35*(1-'IS-ANNUAL'!BQ46)+BQ32</f>
        <v>1468.5064326995562</v>
      </c>
      <c r="BR151" s="400">
        <f>BR30-'IS-ANNUAL'!BR35*(1-'IS-ANNUAL'!BR46)+BR32</f>
        <v>1822.7078923912163</v>
      </c>
      <c r="BS151" s="399">
        <f>BS30-'IS-ANNUAL'!BS35*(1-'IS-ANNUAL'!BS46)+BS32</f>
        <v>4035.3279934789139</v>
      </c>
      <c r="BT151" s="400">
        <f>BT30-'IS-ANNUAL'!BT35*(1-'IS-ANNUAL'!BT46)+BT32</f>
        <v>207.62403547335691</v>
      </c>
      <c r="BU151" s="400">
        <f>BU30-'IS-ANNUAL'!BU35*(1-'IS-ANNUAL'!BU46)+BU32</f>
        <v>1471.4437990163497</v>
      </c>
      <c r="BV151" s="400">
        <f>BV30-'IS-ANNUAL'!BV35*(1-'IS-ANNUAL'!BV46)+BV32</f>
        <v>1688.6058625238161</v>
      </c>
      <c r="BW151" s="400">
        <f>BW30-'IS-ANNUAL'!BW35*(1-'IS-ANNUAL'!BW46)+BW32</f>
        <v>1390.8736532487276</v>
      </c>
      <c r="BX151" s="399">
        <f>BX30-'IS-ANNUAL'!BX35*(1-'IS-ANNUAL'!BX46)+BX32</f>
        <v>4758.2995053846425</v>
      </c>
      <c r="BY151" s="400"/>
      <c r="BZ151" s="400"/>
      <c r="CA151" s="400"/>
      <c r="CB151" s="400"/>
      <c r="CC151" s="399">
        <f>CC30-'IS-ANNUAL'!CC35*(1-'IS-ANNUAL'!CC46)+CC32</f>
        <v>6787.7291265268314</v>
      </c>
      <c r="CD151" s="399">
        <f>CD30-'IS-ANNUAL'!CD35*(1-'IS-ANNUAL'!CD46)+CD32</f>
        <v>3293.7462155743078</v>
      </c>
      <c r="CE151" s="399">
        <f>CE30-'IS-ANNUAL'!CE35*(1-'IS-ANNUAL'!CE46)+CE32</f>
        <v>7793.393222835919</v>
      </c>
      <c r="CF151" s="399">
        <f>CF30-'IS-ANNUAL'!CF35*(1-'IS-ANNUAL'!CF46)+CF32</f>
        <v>4236.4037995249864</v>
      </c>
      <c r="CG151" s="399">
        <f>CG30-'IS-ANNUAL'!CG35*(1-'IS-ANNUAL'!CG46)+CG32</f>
        <v>8807.14188248139</v>
      </c>
      <c r="CH151" s="399">
        <f>CH30-'IS-ANNUAL'!CH35*(1-'IS-ANNUAL'!CH46)+CH32</f>
        <v>5085.4390015139552</v>
      </c>
    </row>
    <row r="152" spans="1:86">
      <c r="G152" s="230"/>
      <c r="H152" s="401" t="s">
        <v>910</v>
      </c>
      <c r="I152" s="473"/>
      <c r="J152" s="473"/>
      <c r="K152" s="745"/>
      <c r="L152" s="746">
        <f t="shared" ref="L152:AQ152" si="252">L30+L32</f>
        <v>562.59999999999991</v>
      </c>
      <c r="M152" s="746">
        <f t="shared" si="252"/>
        <v>296.40000000000003</v>
      </c>
      <c r="N152" s="746">
        <f t="shared" si="252"/>
        <v>-638.20000000000005</v>
      </c>
      <c r="O152" s="746">
        <f t="shared" si="252"/>
        <v>405.79999999999995</v>
      </c>
      <c r="P152" s="747">
        <f t="shared" si="252"/>
        <v>626.59999999999991</v>
      </c>
      <c r="Q152" s="746">
        <f t="shared" si="252"/>
        <v>93.800000000000125</v>
      </c>
      <c r="R152" s="746">
        <f t="shared" si="252"/>
        <v>456.2999999999999</v>
      </c>
      <c r="S152" s="746">
        <f t="shared" si="252"/>
        <v>900.3000000000003</v>
      </c>
      <c r="T152" s="746">
        <f t="shared" si="252"/>
        <v>1512.8999999999994</v>
      </c>
      <c r="U152" s="747">
        <f t="shared" si="252"/>
        <v>2963.2999999999997</v>
      </c>
      <c r="V152" s="746">
        <f t="shared" si="252"/>
        <v>652.4</v>
      </c>
      <c r="W152" s="746">
        <f t="shared" si="252"/>
        <v>342.30000000000007</v>
      </c>
      <c r="X152" s="746">
        <f t="shared" si="252"/>
        <v>1214.4000000000001</v>
      </c>
      <c r="Y152" s="746">
        <f t="shared" si="252"/>
        <v>1895.2999999999997</v>
      </c>
      <c r="Z152" s="747">
        <f t="shared" si="252"/>
        <v>4104.3999999999996</v>
      </c>
      <c r="AA152" s="746">
        <f t="shared" si="252"/>
        <v>1518.4</v>
      </c>
      <c r="AB152" s="746">
        <f t="shared" si="252"/>
        <v>814.49999999999977</v>
      </c>
      <c r="AC152" s="746">
        <f t="shared" si="252"/>
        <v>1910.6999999999998</v>
      </c>
      <c r="AD152" s="746">
        <f t="shared" si="252"/>
        <v>2130.5</v>
      </c>
      <c r="AE152" s="747">
        <f t="shared" si="252"/>
        <v>6374.1</v>
      </c>
      <c r="AF152" s="746">
        <f t="shared" si="252"/>
        <v>-69.099999999999909</v>
      </c>
      <c r="AG152" s="746">
        <f t="shared" si="252"/>
        <v>746.39999999999975</v>
      </c>
      <c r="AH152" s="746">
        <f t="shared" si="252"/>
        <v>1131.4000000000003</v>
      </c>
      <c r="AI152" s="746">
        <f t="shared" si="252"/>
        <v>1779.5000000000007</v>
      </c>
      <c r="AJ152" s="747">
        <f t="shared" si="252"/>
        <v>3588.2000000000007</v>
      </c>
      <c r="AK152" s="746">
        <f t="shared" si="252"/>
        <v>832.89999999999986</v>
      </c>
      <c r="AL152" s="746">
        <f t="shared" si="252"/>
        <v>1757.3999999999999</v>
      </c>
      <c r="AM152" s="746">
        <f t="shared" si="252"/>
        <v>1595.0000000000002</v>
      </c>
      <c r="AN152" s="746">
        <f t="shared" si="252"/>
        <v>2001.8000000000004</v>
      </c>
      <c r="AO152" s="399">
        <f t="shared" si="252"/>
        <v>6187.1</v>
      </c>
      <c r="AP152" s="400">
        <f t="shared" si="252"/>
        <v>1074.7000000000003</v>
      </c>
      <c r="AQ152" s="400">
        <f t="shared" si="252"/>
        <v>1901.2999999999997</v>
      </c>
      <c r="AR152" s="400">
        <f t="shared" ref="AR152:BT152" si="253">AR30+AR32</f>
        <v>1897.7</v>
      </c>
      <c r="AS152" s="400">
        <f t="shared" si="253"/>
        <v>1714.1</v>
      </c>
      <c r="AT152" s="399">
        <f t="shared" si="253"/>
        <v>6587.8</v>
      </c>
      <c r="AU152" s="400">
        <f t="shared" si="253"/>
        <v>721.8</v>
      </c>
      <c r="AV152" s="400">
        <f t="shared" si="253"/>
        <v>1126.5</v>
      </c>
      <c r="AW152" s="400">
        <f t="shared" si="253"/>
        <v>1362.3000000000004</v>
      </c>
      <c r="AX152" s="400">
        <f t="shared" si="253"/>
        <v>1210.8</v>
      </c>
      <c r="AY152" s="399">
        <f t="shared" si="253"/>
        <v>4421.4000000000005</v>
      </c>
      <c r="AZ152" s="400">
        <f t="shared" si="253"/>
        <v>221.50000000000009</v>
      </c>
      <c r="BA152" s="400">
        <f t="shared" si="253"/>
        <v>1500.7999999999997</v>
      </c>
      <c r="BB152" s="400">
        <f t="shared" si="253"/>
        <v>1737.8000000000006</v>
      </c>
      <c r="BC152" s="400">
        <f t="shared" si="253"/>
        <v>1442.1999999999994</v>
      </c>
      <c r="BD152" s="399">
        <f t="shared" si="253"/>
        <v>4902.3</v>
      </c>
      <c r="BE152" s="400">
        <f t="shared" si="253"/>
        <v>70.300000000000182</v>
      </c>
      <c r="BF152" s="400">
        <f t="shared" si="253"/>
        <v>799.00000000000011</v>
      </c>
      <c r="BG152" s="400">
        <f t="shared" si="253"/>
        <v>1394.3999999999996</v>
      </c>
      <c r="BH152" s="400">
        <f t="shared" si="253"/>
        <v>956.10000000000036</v>
      </c>
      <c r="BI152" s="399">
        <f t="shared" si="253"/>
        <v>3219.8</v>
      </c>
      <c r="BJ152" s="400">
        <f t="shared" si="253"/>
        <v>-273.40000000000009</v>
      </c>
      <c r="BK152" s="400">
        <f t="shared" si="253"/>
        <v>724.70000000000016</v>
      </c>
      <c r="BL152" s="400">
        <f t="shared" si="253"/>
        <v>831.19999999999982</v>
      </c>
      <c r="BM152" s="400">
        <f t="shared" si="253"/>
        <v>516.70000000000061</v>
      </c>
      <c r="BN152" s="399">
        <f t="shared" si="253"/>
        <v>1799.2000000000007</v>
      </c>
      <c r="BO152" s="400">
        <f>BO30+BO32</f>
        <v>-481.2000000000001</v>
      </c>
      <c r="BP152" s="400">
        <f>BP30+BP32</f>
        <v>1156.4000000000001</v>
      </c>
      <c r="BQ152" s="400">
        <f>BQ30+BQ32</f>
        <v>1431.7</v>
      </c>
      <c r="BR152" s="400">
        <f>BR30+BR32</f>
        <v>1780.5</v>
      </c>
      <c r="BS152" s="399">
        <f t="shared" si="253"/>
        <v>3887.4</v>
      </c>
      <c r="BT152" s="400">
        <f t="shared" si="253"/>
        <v>170.89999999999986</v>
      </c>
      <c r="BU152" s="400">
        <f>BU30+BU32</f>
        <v>1429.5</v>
      </c>
      <c r="BV152" s="400">
        <f>BV30+BV32</f>
        <v>1638.3999999999996</v>
      </c>
      <c r="BW152" s="400">
        <f>BW30+BW32</f>
        <v>1340.7</v>
      </c>
      <c r="BX152" s="399">
        <f>BX30+BX32</f>
        <v>4579.5</v>
      </c>
      <c r="BY152" s="400"/>
      <c r="BZ152" s="400"/>
      <c r="CA152" s="400"/>
      <c r="CB152" s="400"/>
      <c r="CC152" s="399">
        <f t="shared" ref="CC152:CH152" si="254">CC30+CC32</f>
        <v>6601.2555478416652</v>
      </c>
      <c r="CD152" s="399">
        <f t="shared" si="254"/>
        <v>3168.9931247743079</v>
      </c>
      <c r="CE152" s="399">
        <f t="shared" si="254"/>
        <v>7682.0398668984199</v>
      </c>
      <c r="CF152" s="399">
        <f t="shared" si="254"/>
        <v>4125.0504435874864</v>
      </c>
      <c r="CG152" s="399">
        <f t="shared" si="254"/>
        <v>8698.5202290438901</v>
      </c>
      <c r="CH152" s="399">
        <f t="shared" si="254"/>
        <v>4979.5490505764556</v>
      </c>
    </row>
    <row r="153" spans="1:86">
      <c r="G153" s="230"/>
      <c r="H153" s="401" t="s">
        <v>913</v>
      </c>
      <c r="I153" s="473"/>
      <c r="J153" s="473"/>
      <c r="K153" s="473"/>
      <c r="L153" s="400">
        <f t="shared" ref="L153:AN153" si="255">L152+L44</f>
        <v>149.39999999999992</v>
      </c>
      <c r="M153" s="400">
        <f t="shared" si="255"/>
        <v>-111.59999999999997</v>
      </c>
      <c r="N153" s="400">
        <f t="shared" si="255"/>
        <v>-1062.7</v>
      </c>
      <c r="O153" s="400">
        <f t="shared" si="255"/>
        <v>-3.4000000000000341</v>
      </c>
      <c r="P153" s="399">
        <f t="shared" si="255"/>
        <v>-1028.3000000000002</v>
      </c>
      <c r="Q153" s="400">
        <f t="shared" si="255"/>
        <v>-339.69999999999987</v>
      </c>
      <c r="R153" s="400">
        <f t="shared" si="255"/>
        <v>25.199999999999875</v>
      </c>
      <c r="S153" s="400">
        <f t="shared" si="255"/>
        <v>463.40000000000032</v>
      </c>
      <c r="T153" s="400">
        <f t="shared" si="255"/>
        <v>1078.0999999999995</v>
      </c>
      <c r="U153" s="399">
        <f t="shared" si="255"/>
        <v>1226.9999999999998</v>
      </c>
      <c r="V153" s="400">
        <f t="shared" si="255"/>
        <v>189.5</v>
      </c>
      <c r="W153" s="400">
        <f t="shared" si="255"/>
        <v>-121.29999999999995</v>
      </c>
      <c r="X153" s="400">
        <f t="shared" si="255"/>
        <v>751.10000000000014</v>
      </c>
      <c r="Y153" s="400">
        <f t="shared" si="255"/>
        <v>1431.4999999999998</v>
      </c>
      <c r="Z153" s="399">
        <f t="shared" si="255"/>
        <v>2250.7999999999997</v>
      </c>
      <c r="AA153" s="400">
        <f t="shared" si="255"/>
        <v>1004.8000000000001</v>
      </c>
      <c r="AB153" s="400">
        <f t="shared" si="255"/>
        <v>306.89999999999975</v>
      </c>
      <c r="AC153" s="400">
        <f t="shared" si="255"/>
        <v>1390.3999999999996</v>
      </c>
      <c r="AD153" s="400">
        <f t="shared" si="255"/>
        <v>1615.3000000000002</v>
      </c>
      <c r="AE153" s="399">
        <f t="shared" si="255"/>
        <v>4317.4000000000005</v>
      </c>
      <c r="AF153" s="400">
        <f t="shared" si="255"/>
        <v>-605.89999999999986</v>
      </c>
      <c r="AG153" s="400">
        <f t="shared" si="255"/>
        <v>207.39999999999975</v>
      </c>
      <c r="AH153" s="400">
        <f t="shared" si="255"/>
        <v>594.80000000000018</v>
      </c>
      <c r="AI153" s="400">
        <f t="shared" si="255"/>
        <v>1239.8000000000009</v>
      </c>
      <c r="AJ153" s="399">
        <f t="shared" si="255"/>
        <v>1436.1000000000008</v>
      </c>
      <c r="AK153" s="400">
        <f t="shared" si="255"/>
        <v>293.69999999999982</v>
      </c>
      <c r="AL153" s="400">
        <f t="shared" si="255"/>
        <v>1220.6999999999998</v>
      </c>
      <c r="AM153" s="400">
        <f t="shared" si="255"/>
        <v>1049.7000000000003</v>
      </c>
      <c r="AN153" s="400">
        <f t="shared" si="255"/>
        <v>1457.7000000000003</v>
      </c>
      <c r="AO153" s="399">
        <f>AO152+AO44</f>
        <v>4021.8</v>
      </c>
      <c r="AP153" s="400">
        <f t="shared" ref="AP153:BT153" si="256">AP152+AP44</f>
        <v>531.50000000000023</v>
      </c>
      <c r="AQ153" s="400">
        <f t="shared" si="256"/>
        <v>1349.1999999999998</v>
      </c>
      <c r="AR153" s="400">
        <f t="shared" si="256"/>
        <v>1356.8</v>
      </c>
      <c r="AS153" s="400">
        <f t="shared" si="256"/>
        <v>1170.2</v>
      </c>
      <c r="AT153" s="399">
        <f t="shared" si="256"/>
        <v>4407.7000000000007</v>
      </c>
      <c r="AU153" s="400">
        <f t="shared" si="256"/>
        <v>177.19999999999993</v>
      </c>
      <c r="AV153" s="400">
        <f t="shared" si="256"/>
        <v>576.1</v>
      </c>
      <c r="AW153" s="400">
        <f t="shared" si="256"/>
        <v>818.10000000000025</v>
      </c>
      <c r="AX153" s="400">
        <f t="shared" si="256"/>
        <v>662.60000000000025</v>
      </c>
      <c r="AY153" s="399">
        <f t="shared" si="256"/>
        <v>2234.0000000000005</v>
      </c>
      <c r="AZ153" s="400">
        <f t="shared" si="256"/>
        <v>-309.59999999999991</v>
      </c>
      <c r="BA153" s="400">
        <f t="shared" si="256"/>
        <v>967.79999999999984</v>
      </c>
      <c r="BB153" s="400">
        <f t="shared" si="256"/>
        <v>1210.1000000000004</v>
      </c>
      <c r="BC153" s="400">
        <f t="shared" si="256"/>
        <v>913.29999999999984</v>
      </c>
      <c r="BD153" s="399">
        <f t="shared" si="256"/>
        <v>2781.6000000000004</v>
      </c>
      <c r="BE153" s="400">
        <f t="shared" si="256"/>
        <v>-453.79999999999984</v>
      </c>
      <c r="BF153" s="400">
        <f t="shared" si="256"/>
        <v>272.10000000000014</v>
      </c>
      <c r="BG153" s="400">
        <f t="shared" si="256"/>
        <v>869.39999999999975</v>
      </c>
      <c r="BH153" s="400">
        <f t="shared" si="256"/>
        <v>430.90000000000066</v>
      </c>
      <c r="BI153" s="399">
        <f t="shared" si="256"/>
        <v>1118.6000000000004</v>
      </c>
      <c r="BJ153" s="400">
        <f t="shared" si="256"/>
        <v>-801.30000000000007</v>
      </c>
      <c r="BK153" s="400">
        <f t="shared" si="256"/>
        <v>184.90000000000009</v>
      </c>
      <c r="BL153" s="400">
        <f t="shared" si="256"/>
        <v>304.89999999999998</v>
      </c>
      <c r="BM153" s="400">
        <f t="shared" si="256"/>
        <v>-16.599999999999682</v>
      </c>
      <c r="BN153" s="399">
        <f t="shared" si="256"/>
        <v>-328.09999999999945</v>
      </c>
      <c r="BO153" s="400">
        <f>BO152+BO44</f>
        <v>-1019.5</v>
      </c>
      <c r="BP153" s="400">
        <f>BP152+BP44</f>
        <v>615.20000000000005</v>
      </c>
      <c r="BQ153" s="400">
        <f>BQ152+BQ44</f>
        <v>893.8</v>
      </c>
      <c r="BR153" s="400">
        <f>BR152+BR44</f>
        <v>1239.4000000000001</v>
      </c>
      <c r="BS153" s="399">
        <f t="shared" si="256"/>
        <v>1728.9</v>
      </c>
      <c r="BT153" s="400">
        <f t="shared" si="256"/>
        <v>-376.50000000000011</v>
      </c>
      <c r="BU153" s="400">
        <f>BU152+BU44</f>
        <v>880.80000000000007</v>
      </c>
      <c r="BV153" s="400">
        <f>BV152+BV44</f>
        <v>1090.6999999999998</v>
      </c>
      <c r="BW153" s="400">
        <f>BW152+BW44</f>
        <v>792.39999999999975</v>
      </c>
      <c r="BX153" s="399">
        <f>BX152+BX44</f>
        <v>2387.4</v>
      </c>
      <c r="BY153" s="400"/>
      <c r="BZ153" s="400"/>
      <c r="CA153" s="400"/>
      <c r="CB153" s="400"/>
      <c r="CC153" s="399">
        <f t="shared" ref="CC153:CH153" si="257">CC152+CC44</f>
        <v>4240.6149979041656</v>
      </c>
      <c r="CD153" s="399">
        <f t="shared" si="257"/>
        <v>742.21267249544871</v>
      </c>
      <c r="CE153" s="399">
        <f t="shared" si="257"/>
        <v>5220.8242368225692</v>
      </c>
      <c r="CF153" s="399">
        <f t="shared" si="257"/>
        <v>1629.6280878054968</v>
      </c>
      <c r="CG153" s="399">
        <f t="shared" si="257"/>
        <v>6169.1185388506692</v>
      </c>
      <c r="CH153" s="399">
        <f t="shared" si="257"/>
        <v>2416.3943607796718</v>
      </c>
    </row>
    <row r="154" spans="1:86">
      <c r="G154" s="230"/>
      <c r="H154" s="401" t="s">
        <v>914</v>
      </c>
      <c r="I154" s="473"/>
      <c r="J154" s="473"/>
      <c r="K154" s="473"/>
      <c r="L154" s="400">
        <v>161.9</v>
      </c>
      <c r="M154" s="400">
        <v>-89.2</v>
      </c>
      <c r="N154" s="400">
        <v>-1026.4000000000001</v>
      </c>
      <c r="O154" s="400">
        <v>-346.6</v>
      </c>
      <c r="P154" s="399">
        <v>-1300.3</v>
      </c>
      <c r="Q154" s="400">
        <f t="shared" ref="Q154:AV154" si="258">Q153+Q50</f>
        <v>-461.79999999999984</v>
      </c>
      <c r="R154" s="400">
        <f t="shared" si="258"/>
        <v>25.199999999999875</v>
      </c>
      <c r="S154" s="400">
        <f t="shared" si="258"/>
        <v>463.40000000000032</v>
      </c>
      <c r="T154" s="400">
        <f t="shared" si="258"/>
        <v>1078.0999999999995</v>
      </c>
      <c r="U154" s="399">
        <f t="shared" si="258"/>
        <v>1104.8999999999999</v>
      </c>
      <c r="V154" s="400">
        <f t="shared" si="258"/>
        <v>189.5</v>
      </c>
      <c r="W154" s="400">
        <f t="shared" si="258"/>
        <v>-121.29999999999995</v>
      </c>
      <c r="X154" s="400">
        <f t="shared" si="258"/>
        <v>751.10000000000014</v>
      </c>
      <c r="Y154" s="400">
        <f t="shared" si="258"/>
        <v>1431.4999999999998</v>
      </c>
      <c r="Z154" s="399">
        <f t="shared" si="258"/>
        <v>2250.7999999999997</v>
      </c>
      <c r="AA154" s="400">
        <f t="shared" si="258"/>
        <v>1004.8000000000001</v>
      </c>
      <c r="AB154" s="400">
        <f t="shared" si="258"/>
        <v>306.89999999999975</v>
      </c>
      <c r="AC154" s="400">
        <f t="shared" si="258"/>
        <v>1390.3999999999996</v>
      </c>
      <c r="AD154" s="400">
        <f t="shared" si="258"/>
        <v>1615.3000000000002</v>
      </c>
      <c r="AE154" s="399">
        <f t="shared" si="258"/>
        <v>4317.4000000000005</v>
      </c>
      <c r="AF154" s="400">
        <f t="shared" si="258"/>
        <v>-605.89999999999986</v>
      </c>
      <c r="AG154" s="400">
        <f t="shared" si="258"/>
        <v>207.39999999999975</v>
      </c>
      <c r="AH154" s="400">
        <f t="shared" si="258"/>
        <v>594.80000000000018</v>
      </c>
      <c r="AI154" s="400">
        <f t="shared" si="258"/>
        <v>1239.8000000000009</v>
      </c>
      <c r="AJ154" s="399">
        <f t="shared" si="258"/>
        <v>1436.1000000000008</v>
      </c>
      <c r="AK154" s="400">
        <f t="shared" si="258"/>
        <v>293.69999999999982</v>
      </c>
      <c r="AL154" s="400">
        <f t="shared" si="258"/>
        <v>1220.6999999999998</v>
      </c>
      <c r="AM154" s="400">
        <f t="shared" si="258"/>
        <v>1049.7000000000003</v>
      </c>
      <c r="AN154" s="400">
        <f t="shared" si="258"/>
        <v>1457.7000000000003</v>
      </c>
      <c r="AO154" s="399">
        <f t="shared" si="258"/>
        <v>4021.8</v>
      </c>
      <c r="AP154" s="400">
        <f t="shared" si="258"/>
        <v>531.50000000000023</v>
      </c>
      <c r="AQ154" s="400">
        <f t="shared" si="258"/>
        <v>1349.1999999999998</v>
      </c>
      <c r="AR154" s="400">
        <f t="shared" si="258"/>
        <v>1356.8</v>
      </c>
      <c r="AS154" s="400">
        <f t="shared" si="258"/>
        <v>1170.2</v>
      </c>
      <c r="AT154" s="399">
        <f t="shared" si="258"/>
        <v>4407.7000000000007</v>
      </c>
      <c r="AU154" s="400">
        <f t="shared" si="258"/>
        <v>177.19999999999993</v>
      </c>
      <c r="AV154" s="400">
        <f t="shared" si="258"/>
        <v>576.1</v>
      </c>
      <c r="AW154" s="400">
        <f t="shared" ref="AW154:BN154" si="259">AW153+AW50</f>
        <v>818.10000000000025</v>
      </c>
      <c r="AX154" s="400">
        <f t="shared" si="259"/>
        <v>-58.499999999999773</v>
      </c>
      <c r="AY154" s="399">
        <f t="shared" si="259"/>
        <v>1512.9000000000005</v>
      </c>
      <c r="AZ154" s="400">
        <f t="shared" si="259"/>
        <v>-1507.6999999999998</v>
      </c>
      <c r="BA154" s="400">
        <f t="shared" si="259"/>
        <v>967.79999999999984</v>
      </c>
      <c r="BB154" s="400">
        <f t="shared" si="259"/>
        <v>1210.1000000000004</v>
      </c>
      <c r="BC154" s="400">
        <f t="shared" si="259"/>
        <v>413.29999999999984</v>
      </c>
      <c r="BD154" s="399">
        <f t="shared" si="259"/>
        <v>1083.5000000000005</v>
      </c>
      <c r="BE154" s="400">
        <f t="shared" si="259"/>
        <v>-508.79999999999984</v>
      </c>
      <c r="BF154" s="400">
        <f t="shared" si="259"/>
        <v>127.10000000000014</v>
      </c>
      <c r="BG154" s="400">
        <f t="shared" si="259"/>
        <v>569.39999999999975</v>
      </c>
      <c r="BH154" s="400">
        <f t="shared" si="259"/>
        <v>130.90000000000066</v>
      </c>
      <c r="BI154" s="399">
        <f t="shared" si="259"/>
        <v>318.60000000000036</v>
      </c>
      <c r="BJ154" s="400">
        <f t="shared" si="259"/>
        <v>-1111.9000000000001</v>
      </c>
      <c r="BK154" s="400">
        <f t="shared" si="259"/>
        <v>60.000000000000114</v>
      </c>
      <c r="BL154" s="400">
        <f t="shared" si="259"/>
        <v>243.79999999999995</v>
      </c>
      <c r="BM154" s="400">
        <f t="shared" si="259"/>
        <v>-269.49999999999966</v>
      </c>
      <c r="BN154" s="399">
        <f t="shared" si="259"/>
        <v>-1077.5999999999995</v>
      </c>
      <c r="BO154" s="400">
        <f t="shared" ref="BO154:BX154" si="260">BO153+BO50</f>
        <v>-1319.6</v>
      </c>
      <c r="BP154" s="400">
        <f t="shared" si="260"/>
        <v>615.20000000000005</v>
      </c>
      <c r="BQ154" s="400">
        <f t="shared" si="260"/>
        <v>893.8</v>
      </c>
      <c r="BR154" s="400">
        <f t="shared" si="260"/>
        <v>939.40000000000009</v>
      </c>
      <c r="BS154" s="399">
        <f t="shared" si="260"/>
        <v>1128.8000000000002</v>
      </c>
      <c r="BT154" s="400">
        <f t="shared" si="260"/>
        <v>-376.50000000000011</v>
      </c>
      <c r="BU154" s="400">
        <f t="shared" si="260"/>
        <v>680.90000000000009</v>
      </c>
      <c r="BV154" s="400">
        <f t="shared" si="260"/>
        <v>1090.6999999999998</v>
      </c>
      <c r="BW154" s="400">
        <f t="shared" si="260"/>
        <v>692.49999999999977</v>
      </c>
      <c r="BX154" s="399">
        <f t="shared" si="260"/>
        <v>2087.6</v>
      </c>
      <c r="BY154" s="400"/>
      <c r="BZ154" s="400"/>
      <c r="CA154" s="400"/>
      <c r="CB154" s="400"/>
      <c r="CC154" s="399">
        <f t="shared" ref="CC154:CH154" si="261">CC153+CC50</f>
        <v>3240.6149979041656</v>
      </c>
      <c r="CD154" s="399">
        <f t="shared" si="261"/>
        <v>-257.78732750455129</v>
      </c>
      <c r="CE154" s="399">
        <f t="shared" si="261"/>
        <v>4470.8242368225692</v>
      </c>
      <c r="CF154" s="399">
        <f t="shared" si="261"/>
        <v>879.62808780549676</v>
      </c>
      <c r="CG154" s="399">
        <f t="shared" si="261"/>
        <v>5419.1185388506692</v>
      </c>
      <c r="CH154" s="399">
        <f t="shared" si="261"/>
        <v>1666.3943607796718</v>
      </c>
    </row>
    <row r="155" spans="1:86">
      <c r="G155" s="230"/>
      <c r="H155" s="406" t="s">
        <v>915</v>
      </c>
      <c r="I155" s="77"/>
      <c r="J155" s="77"/>
      <c r="K155" s="276"/>
      <c r="L155" s="369">
        <f t="shared" ref="L155:AH155" si="262">1-L154/L151</f>
        <v>0.77116349018787489</v>
      </c>
      <c r="M155" s="369">
        <f t="shared" si="262"/>
        <v>1.4152515758843858</v>
      </c>
      <c r="N155" s="369">
        <f t="shared" si="262"/>
        <v>-0.52023671273967387</v>
      </c>
      <c r="O155" s="369">
        <f t="shared" si="262"/>
        <v>1.7233256304018083</v>
      </c>
      <c r="P155" s="344">
        <f t="shared" si="262"/>
        <v>2.7902412504230627</v>
      </c>
      <c r="Q155" s="369">
        <f t="shared" si="262"/>
        <v>7.7161813376922099</v>
      </c>
      <c r="R155" s="369">
        <f t="shared" si="262"/>
        <v>0.93988075337199151</v>
      </c>
      <c r="S155" s="369">
        <f t="shared" si="262"/>
        <v>0.45868256242546068</v>
      </c>
      <c r="T155" s="369">
        <f t="shared" si="262"/>
        <v>0.24640671345850351</v>
      </c>
      <c r="U155" s="344">
        <f t="shared" si="262"/>
        <v>0.601844215090926</v>
      </c>
      <c r="V155" s="369">
        <f t="shared" si="262"/>
        <v>0.69571015213309373</v>
      </c>
      <c r="W155" s="369">
        <f t="shared" si="262"/>
        <v>1.3559898676940945</v>
      </c>
      <c r="X155" s="369">
        <f t="shared" si="262"/>
        <v>0.36059692314028113</v>
      </c>
      <c r="Y155" s="369">
        <f t="shared" si="262"/>
        <v>0.23455506915872537</v>
      </c>
      <c r="Z155" s="344">
        <f t="shared" si="262"/>
        <v>0.43850307917983844</v>
      </c>
      <c r="AA155" s="369">
        <f t="shared" si="262"/>
        <v>0.3534363238619288</v>
      </c>
      <c r="AB155" s="369">
        <f t="shared" si="262"/>
        <v>0.63624239787515269</v>
      </c>
      <c r="AC155" s="369">
        <f t="shared" si="262"/>
        <v>0.29452612014881419</v>
      </c>
      <c r="AD155" s="369">
        <f t="shared" si="262"/>
        <v>0.27203665171815838</v>
      </c>
      <c r="AE155" s="344">
        <f t="shared" si="262"/>
        <v>0.3445325036084006</v>
      </c>
      <c r="AF155" s="369">
        <f t="shared" si="262"/>
        <v>-42.413137672394335</v>
      </c>
      <c r="AG155" s="369">
        <f t="shared" si="262"/>
        <v>0.72895878118113244</v>
      </c>
      <c r="AH155" s="369">
        <f t="shared" si="262"/>
        <v>0.49831201914966761</v>
      </c>
      <c r="AI155" s="369">
        <f t="shared" ref="AI155:AR155" si="263">1-AI154/AI151</f>
        <v>0.3236468563111955</v>
      </c>
      <c r="AJ155" s="344">
        <f t="shared" si="263"/>
        <v>0.61902162249332116</v>
      </c>
      <c r="AK155" s="369">
        <f t="shared" si="263"/>
        <v>0.6228393424521026</v>
      </c>
      <c r="AL155" s="369">
        <f t="shared" si="263"/>
        <v>0.31098499517295708</v>
      </c>
      <c r="AM155" s="369">
        <f t="shared" si="263"/>
        <v>0.34874787539127128</v>
      </c>
      <c r="AN155" s="369">
        <f t="shared" si="263"/>
        <v>0.28350434625529253</v>
      </c>
      <c r="AO155" s="344">
        <f t="shared" si="263"/>
        <v>0.36472076105773787</v>
      </c>
      <c r="AP155" s="369">
        <f t="shared" si="263"/>
        <v>0.52157088496656945</v>
      </c>
      <c r="AQ155" s="369">
        <f t="shared" si="263"/>
        <v>0.30344997681397756</v>
      </c>
      <c r="AR155" s="369">
        <f t="shared" si="263"/>
        <v>0.29867817901568838</v>
      </c>
      <c r="AS155" s="369">
        <f t="shared" ref="AS155:BB155" si="264">1-AS154/AS151</f>
        <v>0.33289833140976266</v>
      </c>
      <c r="AT155" s="344">
        <f t="shared" si="264"/>
        <v>0.34570780633865283</v>
      </c>
      <c r="AU155" s="369">
        <f t="shared" si="264"/>
        <v>0.765616985685735</v>
      </c>
      <c r="AV155" s="369">
        <f t="shared" si="264"/>
        <v>0.5033598482949595</v>
      </c>
      <c r="AW155" s="369">
        <f t="shared" si="264"/>
        <v>0.41519024396409343</v>
      </c>
      <c r="AX155" s="369">
        <f t="shared" si="264"/>
        <v>1.0470294181163127</v>
      </c>
      <c r="AY155" s="344">
        <f t="shared" si="264"/>
        <v>0.66813221666863143</v>
      </c>
      <c r="AZ155" s="369">
        <f t="shared" si="264"/>
        <v>6.9002152270722821</v>
      </c>
      <c r="BA155" s="369">
        <f t="shared" si="264"/>
        <v>0.36862308760583085</v>
      </c>
      <c r="BB155" s="369">
        <f t="shared" si="264"/>
        <v>0.31611115984387439</v>
      </c>
      <c r="BC155" s="369">
        <f t="shared" ref="BC155:BI155" si="265">1-BC154/BC151</f>
        <v>0.7195610762975202</v>
      </c>
      <c r="BD155" s="344">
        <f t="shared" si="265"/>
        <v>0.78466439296704049</v>
      </c>
      <c r="BE155" s="369">
        <f t="shared" si="265"/>
        <v>6.0719213818647875</v>
      </c>
      <c r="BF155" s="369">
        <f t="shared" si="265"/>
        <v>0.84615471265477049</v>
      </c>
      <c r="BG155" s="369">
        <f t="shared" si="265"/>
        <v>0.6000037433578187</v>
      </c>
      <c r="BH155" s="369">
        <f t="shared" si="265"/>
        <v>0.86741493934025771</v>
      </c>
      <c r="BI155" s="344">
        <f t="shared" si="265"/>
        <v>0.90453229561815773</v>
      </c>
      <c r="BJ155" s="369">
        <f t="shared" ref="BJ155:BX155" si="266">1-BJ154/BJ151</f>
        <v>-3.5971489662839069</v>
      </c>
      <c r="BK155" s="369">
        <f t="shared" si="266"/>
        <v>0.92133524206287043</v>
      </c>
      <c r="BL155" s="369">
        <f t="shared" si="266"/>
        <v>0.71668326944720073</v>
      </c>
      <c r="BM155" s="369">
        <f t="shared" si="266"/>
        <v>1.4856457278391992</v>
      </c>
      <c r="BN155" s="344">
        <f t="shared" si="266"/>
        <v>1.5568134834779235</v>
      </c>
      <c r="BO155" s="369">
        <f t="shared" si="266"/>
        <v>-1.9616233891952408</v>
      </c>
      <c r="BP155" s="369">
        <f t="shared" si="266"/>
        <v>0.48299226663524508</v>
      </c>
      <c r="BQ155" s="369">
        <f t="shared" si="266"/>
        <v>0.3913543855869076</v>
      </c>
      <c r="BR155" s="369">
        <f t="shared" si="266"/>
        <v>0.48461297395953107</v>
      </c>
      <c r="BS155" s="344">
        <f t="shared" si="266"/>
        <v>0.72027056987086557</v>
      </c>
      <c r="BT155" s="369">
        <f t="shared" si="266"/>
        <v>2.8133738665739112</v>
      </c>
      <c r="BU155" s="369">
        <f t="shared" si="266"/>
        <v>0.5372572160383039</v>
      </c>
      <c r="BV155" s="369">
        <f t="shared" si="266"/>
        <v>0.35408254572217168</v>
      </c>
      <c r="BW155" s="369">
        <f t="shared" si="266"/>
        <v>0.5021114977751604</v>
      </c>
      <c r="BX155" s="344">
        <f t="shared" si="266"/>
        <v>0.56127183721041396</v>
      </c>
      <c r="BY155" s="369"/>
      <c r="BZ155" s="369"/>
      <c r="CA155" s="369"/>
      <c r="CB155" s="369"/>
      <c r="CC155" s="344">
        <f t="shared" ref="CC155:CH155" si="267">1-CC154/CC151</f>
        <v>0.52257744269145068</v>
      </c>
      <c r="CD155" s="344">
        <f t="shared" si="267"/>
        <v>1.0782656922034908</v>
      </c>
      <c r="CE155" s="344">
        <f t="shared" si="267"/>
        <v>0.42633149528214209</v>
      </c>
      <c r="CF155" s="344">
        <f t="shared" si="267"/>
        <v>0.79236443704820436</v>
      </c>
      <c r="CG155" s="344">
        <f t="shared" si="267"/>
        <v>0.38469044655337759</v>
      </c>
      <c r="CH155" s="344">
        <f t="shared" si="267"/>
        <v>0.67232045054840306</v>
      </c>
    </row>
    <row r="156" spans="1:86" s="29" customFormat="1">
      <c r="A156"/>
      <c r="B156"/>
      <c r="C156"/>
      <c r="D156"/>
      <c r="E156"/>
      <c r="F156"/>
      <c r="G156" s="476"/>
      <c r="H156" s="29" t="s">
        <v>410</v>
      </c>
      <c r="L156" s="477">
        <f t="shared" ref="L156:AQ156" si="268">L113/L191</f>
        <v>10.647988755059901</v>
      </c>
      <c r="M156" s="477">
        <f t="shared" si="268"/>
        <v>9.419391883649066</v>
      </c>
      <c r="N156" s="477">
        <f t="shared" si="268"/>
        <v>10.430361328321855</v>
      </c>
      <c r="O156" s="477">
        <f t="shared" si="268"/>
        <v>9.8690365254670525</v>
      </c>
      <c r="P156" s="478">
        <f t="shared" si="268"/>
        <v>9.8910865975313751</v>
      </c>
      <c r="Q156" s="477">
        <f t="shared" si="268"/>
        <v>10.758293054055494</v>
      </c>
      <c r="R156" s="477">
        <f t="shared" si="268"/>
        <v>10.990868968313199</v>
      </c>
      <c r="S156" s="477">
        <f t="shared" si="268"/>
        <v>12.016343707543728</v>
      </c>
      <c r="T156" s="477">
        <f t="shared" si="268"/>
        <v>10.082389355585407</v>
      </c>
      <c r="U156" s="478">
        <f t="shared" si="268"/>
        <v>10.102274407845968</v>
      </c>
      <c r="V156" s="477">
        <f t="shared" si="268"/>
        <v>10.582734413636743</v>
      </c>
      <c r="W156" s="477">
        <f t="shared" si="268"/>
        <v>10.606030023505751</v>
      </c>
      <c r="X156" s="477">
        <f t="shared" si="268"/>
        <v>11.875405878403415</v>
      </c>
      <c r="Y156" s="477">
        <f t="shared" si="268"/>
        <v>12.505903155305154</v>
      </c>
      <c r="Z156" s="478">
        <f t="shared" si="268"/>
        <v>12.52841997217771</v>
      </c>
      <c r="AA156" s="477">
        <f t="shared" si="268"/>
        <v>13.628370028590862</v>
      </c>
      <c r="AB156" s="477">
        <f t="shared" si="268"/>
        <v>13.473732712153236</v>
      </c>
      <c r="AC156" s="477">
        <f t="shared" si="268"/>
        <v>12.560601961200124</v>
      </c>
      <c r="AD156" s="477">
        <f t="shared" si="268"/>
        <v>6.1424044139440461</v>
      </c>
      <c r="AE156" s="478">
        <f t="shared" si="268"/>
        <v>6.1531546531330665</v>
      </c>
      <c r="AF156" s="477">
        <f t="shared" si="268"/>
        <v>7.0401073222657269</v>
      </c>
      <c r="AG156" s="477">
        <f t="shared" si="268"/>
        <v>7.8015845601537688</v>
      </c>
      <c r="AH156" s="477">
        <f t="shared" si="268"/>
        <v>9.0234125899608273</v>
      </c>
      <c r="AI156" s="477">
        <f t="shared" si="268"/>
        <v>8.6479876017638659</v>
      </c>
      <c r="AJ156" s="478">
        <f t="shared" si="268"/>
        <v>8.6719458414208273</v>
      </c>
      <c r="AK156" s="477">
        <f t="shared" si="268"/>
        <v>9.4818226473301763</v>
      </c>
      <c r="AL156" s="477">
        <f t="shared" si="268"/>
        <v>9.2727261196930293</v>
      </c>
      <c r="AM156" s="477">
        <f t="shared" si="268"/>
        <v>11.224685531461333</v>
      </c>
      <c r="AN156" s="477">
        <f t="shared" si="268"/>
        <v>11.189144020747086</v>
      </c>
      <c r="AO156" s="478">
        <f t="shared" si="268"/>
        <v>11.228801485015518</v>
      </c>
      <c r="AP156" s="477">
        <f t="shared" si="268"/>
        <v>12.530462417245642</v>
      </c>
      <c r="AQ156" s="477">
        <f t="shared" si="268"/>
        <v>12.816473167276657</v>
      </c>
      <c r="AR156" s="477">
        <f t="shared" ref="AR156:BN156" si="269">AR113/AR191</f>
        <v>13.518895425828289</v>
      </c>
      <c r="AS156" s="477">
        <f t="shared" si="269"/>
        <v>12.129945522962538</v>
      </c>
      <c r="AT156" s="478">
        <f t="shared" si="269"/>
        <v>12.151247826663651</v>
      </c>
      <c r="AU156" s="477">
        <f t="shared" si="269"/>
        <v>13.270210916370264</v>
      </c>
      <c r="AV156" s="477">
        <f t="shared" si="269"/>
        <v>12.789675938382436</v>
      </c>
      <c r="AW156" s="477">
        <f t="shared" si="269"/>
        <v>14.34111469658578</v>
      </c>
      <c r="AX156" s="477">
        <f t="shared" si="269"/>
        <v>13.263457463999712</v>
      </c>
      <c r="AY156" s="478">
        <f t="shared" si="269"/>
        <v>13.222826131950361</v>
      </c>
      <c r="AZ156" s="477">
        <f t="shared" si="269"/>
        <v>13.697159750740932</v>
      </c>
      <c r="BA156" s="477">
        <f t="shared" si="269"/>
        <v>14.05523981192524</v>
      </c>
      <c r="BB156" s="477">
        <f t="shared" si="269"/>
        <v>15.583113597606475</v>
      </c>
      <c r="BC156" s="477">
        <f t="shared" si="269"/>
        <v>16.349483213713746</v>
      </c>
      <c r="BD156" s="478">
        <f t="shared" si="269"/>
        <v>16.26190960156676</v>
      </c>
      <c r="BE156" s="477">
        <f t="shared" si="269"/>
        <v>17.0552946731658</v>
      </c>
      <c r="BF156" s="477">
        <f t="shared" si="269"/>
        <v>16.717297555410642</v>
      </c>
      <c r="BG156" s="477">
        <f t="shared" si="269"/>
        <v>16.45823754218689</v>
      </c>
      <c r="BH156" s="477">
        <f t="shared" si="269"/>
        <v>14.3842652789761</v>
      </c>
      <c r="BI156" s="478">
        <f t="shared" si="269"/>
        <v>14.326415879985865</v>
      </c>
      <c r="BJ156" s="477">
        <f t="shared" si="269"/>
        <v>14.007587372872148</v>
      </c>
      <c r="BK156" s="477">
        <f t="shared" si="269"/>
        <v>13.800319824621996</v>
      </c>
      <c r="BL156" s="477">
        <f t="shared" si="269"/>
        <v>14.308568016605982</v>
      </c>
      <c r="BM156" s="477">
        <f t="shared" si="269"/>
        <v>13.701188757931558</v>
      </c>
      <c r="BN156" s="478">
        <f t="shared" si="269"/>
        <v>13.691224659087078</v>
      </c>
      <c r="BO156" s="477">
        <f t="shared" ref="BO156:BX156" si="270">BO113/BO191</f>
        <v>14.137666674505562</v>
      </c>
      <c r="BP156" s="477">
        <f t="shared" si="270"/>
        <v>13.82552120918834</v>
      </c>
      <c r="BQ156" s="477">
        <f t="shared" si="270"/>
        <v>14.720971053539547</v>
      </c>
      <c r="BR156" s="477">
        <f t="shared" si="270"/>
        <v>13.264744728675897</v>
      </c>
      <c r="BS156" s="478">
        <f t="shared" si="270"/>
        <v>13.266463185694214</v>
      </c>
      <c r="BT156" s="477">
        <f t="shared" si="270"/>
        <v>13.351907496501964</v>
      </c>
      <c r="BU156" s="477">
        <f t="shared" si="270"/>
        <v>13.404186886889729</v>
      </c>
      <c r="BV156" s="477">
        <f t="shared" si="270"/>
        <v>14.16689945787269</v>
      </c>
      <c r="BW156" s="477">
        <f t="shared" si="270"/>
        <v>11.03902861770649</v>
      </c>
      <c r="BX156" s="478">
        <f t="shared" si="270"/>
        <v>11.042849851966521</v>
      </c>
      <c r="BY156" s="477"/>
      <c r="BZ156" s="477"/>
      <c r="CA156" s="477"/>
      <c r="CB156" s="477"/>
      <c r="CC156" s="478">
        <f t="shared" ref="CC156:CH156" si="271">CC113/CC191</f>
        <v>12.156163080840132</v>
      </c>
      <c r="CD156" s="478">
        <f t="shared" si="271"/>
        <v>13.692806010906182</v>
      </c>
      <c r="CE156" s="478">
        <f t="shared" si="271"/>
        <v>16.108942986744371</v>
      </c>
      <c r="CF156" s="478">
        <f t="shared" si="271"/>
        <v>18.993872574473343</v>
      </c>
      <c r="CG156" s="478">
        <f t="shared" si="271"/>
        <v>22.266003917228549</v>
      </c>
      <c r="CH156" s="478">
        <f t="shared" si="271"/>
        <v>26.010470662801591</v>
      </c>
    </row>
    <row r="157" spans="1:86" s="29" customFormat="1" ht="5.25" customHeight="1">
      <c r="A157"/>
      <c r="B157"/>
      <c r="C157"/>
      <c r="D157"/>
      <c r="E157"/>
      <c r="F157"/>
      <c r="G157" s="476"/>
      <c r="L157" s="477"/>
      <c r="M157" s="477"/>
      <c r="N157" s="477"/>
      <c r="O157" s="477"/>
      <c r="P157" s="478"/>
      <c r="Q157" s="477"/>
      <c r="R157" s="477"/>
      <c r="S157" s="477"/>
      <c r="T157" s="477"/>
      <c r="U157" s="478"/>
      <c r="V157" s="477"/>
      <c r="W157" s="477"/>
      <c r="X157" s="477"/>
      <c r="Y157" s="477"/>
      <c r="Z157" s="478"/>
      <c r="AA157" s="477"/>
      <c r="AB157" s="477"/>
      <c r="AC157" s="477"/>
      <c r="AD157" s="477"/>
      <c r="AE157" s="478"/>
      <c r="AF157" s="477"/>
      <c r="AG157" s="477"/>
      <c r="AH157" s="477"/>
      <c r="AI157" s="477"/>
      <c r="AJ157" s="478"/>
      <c r="AK157" s="477"/>
      <c r="AL157" s="477"/>
      <c r="AM157" s="477"/>
      <c r="AN157" s="477"/>
      <c r="AO157" s="478"/>
      <c r="AP157" s="477"/>
      <c r="AQ157" s="477"/>
      <c r="AR157" s="477"/>
      <c r="AS157" s="477"/>
      <c r="AT157" s="478"/>
      <c r="AU157" s="477"/>
      <c r="AV157" s="477"/>
      <c r="AW157" s="477"/>
      <c r="AX157" s="477"/>
      <c r="AY157" s="478"/>
      <c r="AZ157" s="477"/>
      <c r="BA157" s="477"/>
      <c r="BB157" s="477"/>
      <c r="BC157" s="477"/>
      <c r="BD157" s="478"/>
      <c r="BE157" s="477"/>
      <c r="BF157" s="477"/>
      <c r="BG157" s="477"/>
      <c r="BH157" s="477"/>
      <c r="BI157" s="478"/>
      <c r="BJ157" s="477"/>
      <c r="BK157" s="477"/>
      <c r="BL157" s="477"/>
      <c r="BM157" s="477"/>
      <c r="BN157" s="478"/>
      <c r="BO157" s="477"/>
      <c r="BP157" s="477"/>
      <c r="BQ157" s="477"/>
      <c r="BR157" s="477"/>
      <c r="BS157" s="478"/>
      <c r="BT157" s="477"/>
      <c r="BU157" s="477"/>
      <c r="BV157" s="477"/>
      <c r="BW157" s="477"/>
      <c r="BX157" s="478"/>
      <c r="BY157" s="477"/>
      <c r="BZ157" s="477"/>
      <c r="CA157" s="477"/>
      <c r="CB157" s="477"/>
      <c r="CC157" s="478"/>
      <c r="CD157" s="478"/>
      <c r="CE157" s="478"/>
      <c r="CF157" s="478"/>
      <c r="CG157" s="478"/>
      <c r="CH157" s="478"/>
    </row>
    <row r="158" spans="1:86" s="77" customFormat="1">
      <c r="A158"/>
      <c r="B158"/>
      <c r="C158"/>
      <c r="D158"/>
      <c r="E158"/>
      <c r="F158"/>
      <c r="G158" s="230"/>
      <c r="H158" s="77" t="s">
        <v>110</v>
      </c>
      <c r="L158" s="384"/>
      <c r="M158" s="384"/>
      <c r="N158" s="384"/>
      <c r="O158" s="384"/>
      <c r="P158" s="377"/>
      <c r="Q158" s="384"/>
      <c r="R158" s="384"/>
      <c r="S158" s="384"/>
      <c r="T158" s="384"/>
      <c r="U158" s="377"/>
      <c r="V158" s="384"/>
      <c r="W158" s="384"/>
      <c r="X158" s="384"/>
      <c r="Y158" s="384"/>
      <c r="Z158" s="377"/>
      <c r="AA158" s="384"/>
      <c r="AB158" s="384"/>
      <c r="AC158" s="384"/>
      <c r="AD158" s="384"/>
      <c r="AE158" s="377"/>
      <c r="AF158" s="384"/>
      <c r="AG158" s="384"/>
      <c r="AH158" s="384"/>
      <c r="AI158" s="384"/>
      <c r="AJ158" s="377"/>
      <c r="AK158" s="384"/>
      <c r="AL158" s="384"/>
      <c r="AM158" s="384"/>
      <c r="AN158" s="384"/>
      <c r="AO158" s="377"/>
      <c r="AP158" s="384"/>
      <c r="AQ158" s="384"/>
      <c r="AR158" s="384"/>
      <c r="AS158" s="384"/>
      <c r="AT158" s="377"/>
      <c r="AU158" s="384"/>
      <c r="AV158" s="384"/>
      <c r="AW158" s="384"/>
      <c r="AX158" s="384"/>
      <c r="AY158" s="377"/>
      <c r="AZ158" s="384"/>
      <c r="BA158" s="384"/>
      <c r="BB158" s="384"/>
      <c r="BC158" s="384"/>
      <c r="BD158" s="377"/>
      <c r="BE158" s="384"/>
      <c r="BF158" s="384"/>
      <c r="BG158" s="384"/>
      <c r="BH158" s="384"/>
      <c r="BI158" s="377"/>
      <c r="BJ158" s="384"/>
      <c r="BK158" s="384"/>
      <c r="BL158" s="384"/>
      <c r="BM158" s="384"/>
      <c r="BN158" s="377"/>
      <c r="BO158" s="384"/>
      <c r="BP158" s="384"/>
      <c r="BQ158" s="384"/>
      <c r="BR158" s="384"/>
      <c r="BS158" s="377"/>
      <c r="BT158" s="384"/>
      <c r="BU158" s="384"/>
      <c r="BV158" s="384"/>
      <c r="BW158" s="384"/>
      <c r="BX158" s="377"/>
      <c r="BY158" s="384"/>
      <c r="BZ158" s="384"/>
      <c r="CA158" s="384"/>
      <c r="CB158" s="384"/>
      <c r="CC158" s="377"/>
      <c r="CD158" s="377"/>
      <c r="CE158" s="377"/>
      <c r="CF158" s="377"/>
      <c r="CG158" s="377"/>
      <c r="CH158" s="377"/>
    </row>
    <row r="159" spans="1:86" s="77" customFormat="1">
      <c r="A159"/>
      <c r="B159"/>
      <c r="C159"/>
      <c r="D159"/>
      <c r="E159"/>
      <c r="F159"/>
      <c r="G159" s="230"/>
      <c r="H159" s="406" t="s">
        <v>454</v>
      </c>
      <c r="L159" s="483">
        <v>-3.6097318153169855E-2</v>
      </c>
      <c r="M159" s="483">
        <v>-1.3921247878812326E-2</v>
      </c>
      <c r="N159" s="483">
        <v>4.9148635500786853E-2</v>
      </c>
      <c r="O159" s="483">
        <v>6.5178295357171123E-2</v>
      </c>
      <c r="P159" s="484">
        <v>1.7156201311945729E-2</v>
      </c>
      <c r="Q159" s="483">
        <f t="shared" ref="Q159:Z160" si="272">Q144/L144-1</f>
        <v>0.13502283463388531</v>
      </c>
      <c r="R159" s="483">
        <f t="shared" si="272"/>
        <v>0.13424865210536252</v>
      </c>
      <c r="S159" s="483">
        <f t="shared" si="272"/>
        <v>0.10506251176329329</v>
      </c>
      <c r="T159" s="483">
        <f t="shared" si="272"/>
        <v>7.1604563477638328E-2</v>
      </c>
      <c r="U159" s="484">
        <f t="shared" si="272"/>
        <v>0.10957875328042621</v>
      </c>
      <c r="V159" s="483">
        <f t="shared" si="272"/>
        <v>9.1422517566638106E-2</v>
      </c>
      <c r="W159" s="483">
        <f t="shared" si="272"/>
        <v>0.18525690236106929</v>
      </c>
      <c r="X159" s="483">
        <f t="shared" si="272"/>
        <v>0.13709692096681292</v>
      </c>
      <c r="Y159" s="483">
        <f t="shared" si="272"/>
        <v>5.734301357942484E-2</v>
      </c>
      <c r="Z159" s="484">
        <f t="shared" si="272"/>
        <v>0.11611417126067836</v>
      </c>
      <c r="AA159" s="483">
        <f t="shared" ref="AA159:AJ160" si="273">AA144/V144-1</f>
        <v>4.9967856615186435E-2</v>
      </c>
      <c r="AB159" s="483">
        <f t="shared" si="273"/>
        <v>4.1647865375154636E-2</v>
      </c>
      <c r="AC159" s="483">
        <f t="shared" si="273"/>
        <v>7.5108969500483402E-2</v>
      </c>
      <c r="AD159" s="483">
        <f t="shared" si="273"/>
        <v>0.12781824779912632</v>
      </c>
      <c r="AE159" s="484">
        <f t="shared" si="273"/>
        <v>7.4139607790392636E-2</v>
      </c>
      <c r="AF159" s="483">
        <f t="shared" si="273"/>
        <v>0.3599043828949422</v>
      </c>
      <c r="AG159" s="483">
        <f t="shared" si="273"/>
        <v>0.1950064294215248</v>
      </c>
      <c r="AH159" s="483">
        <f t="shared" si="273"/>
        <v>0.21592556055250589</v>
      </c>
      <c r="AI159" s="483">
        <f t="shared" si="273"/>
        <v>-0.1081159575838645</v>
      </c>
      <c r="AJ159" s="484">
        <f t="shared" si="273"/>
        <v>0.15732225753020868</v>
      </c>
      <c r="AK159" s="483">
        <f t="shared" ref="AK159:AT160" si="274">AK144/AF144-1</f>
        <v>-1.7013417815828769E-2</v>
      </c>
      <c r="AL159" s="483">
        <f t="shared" si="274"/>
        <v>0.10780533098500533</v>
      </c>
      <c r="AM159" s="483">
        <f t="shared" si="274"/>
        <v>1.5547907947980111E-2</v>
      </c>
      <c r="AN159" s="483">
        <f t="shared" si="274"/>
        <v>0.22629248384035239</v>
      </c>
      <c r="AO159" s="484">
        <f t="shared" si="274"/>
        <v>7.3489492263311806E-2</v>
      </c>
      <c r="AP159" s="483">
        <f t="shared" si="274"/>
        <v>5.1439153255545378E-2</v>
      </c>
      <c r="AQ159" s="483">
        <f t="shared" si="274"/>
        <v>-4.5937419527528722E-2</v>
      </c>
      <c r="AR159" s="483">
        <f t="shared" si="274"/>
        <v>-7.2552968145921048E-2</v>
      </c>
      <c r="AS159" s="483">
        <f t="shared" si="274"/>
        <v>-0.22019932282353882</v>
      </c>
      <c r="AT159" s="484">
        <f t="shared" si="274"/>
        <v>-6.9587998115696714E-2</v>
      </c>
      <c r="AU159" s="483">
        <f t="shared" ref="AU159:BD160" si="275">AU144/AP144-1</f>
        <v>-0.25642390384822444</v>
      </c>
      <c r="AV159" s="483">
        <f t="shared" si="275"/>
        <v>-0.30120931608275747</v>
      </c>
      <c r="AW159" s="483">
        <f t="shared" si="275"/>
        <v>-0.29524013077369493</v>
      </c>
      <c r="AX159" s="483">
        <f t="shared" si="275"/>
        <v>-2.2495740619358551E-2</v>
      </c>
      <c r="AY159" s="484">
        <f t="shared" si="275"/>
        <v>-0.23221770889624527</v>
      </c>
      <c r="AZ159" s="483">
        <f t="shared" si="275"/>
        <v>0.24265573697024378</v>
      </c>
      <c r="BA159" s="483">
        <f t="shared" si="275"/>
        <v>0.40215958452734135</v>
      </c>
      <c r="BB159" s="483">
        <f t="shared" si="275"/>
        <v>0.39858421884360418</v>
      </c>
      <c r="BC159" s="483">
        <f t="shared" si="275"/>
        <v>-0.12963234076181562</v>
      </c>
      <c r="BD159" s="484">
        <f t="shared" si="275"/>
        <v>0.22548754363767798</v>
      </c>
      <c r="BE159" s="483">
        <f t="shared" ref="BE159:BW160" si="276">BE144/AZ144-1</f>
        <v>-0.32095291685786831</v>
      </c>
      <c r="BF159" s="483">
        <f t="shared" si="276"/>
        <v>-0.34169561732801756</v>
      </c>
      <c r="BG159" s="483">
        <f t="shared" si="276"/>
        <v>-0.33313596485814922</v>
      </c>
      <c r="BH159" s="483">
        <f t="shared" si="276"/>
        <v>0.12148476524993379</v>
      </c>
      <c r="BI159" s="484">
        <f t="shared" si="276"/>
        <v>-0.25167812942995837</v>
      </c>
      <c r="BJ159" s="483">
        <f t="shared" si="276"/>
        <v>0.1158853190828173</v>
      </c>
      <c r="BK159" s="483">
        <f t="shared" si="276"/>
        <v>0.17579865598203748</v>
      </c>
      <c r="BL159" s="483">
        <f t="shared" si="276"/>
        <v>0.1716979508318115</v>
      </c>
      <c r="BM159" s="483">
        <f t="shared" si="276"/>
        <v>-6.1047044187498511E-2</v>
      </c>
      <c r="BN159" s="484">
        <f t="shared" si="276"/>
        <v>9.6806539981982853E-2</v>
      </c>
      <c r="BO159" s="483">
        <f t="shared" si="276"/>
        <v>-4.1260760726038681E-2</v>
      </c>
      <c r="BP159" s="483">
        <f t="shared" si="276"/>
        <v>-4.3238416644265087E-2</v>
      </c>
      <c r="BQ159" s="483">
        <f t="shared" si="276"/>
        <v>1.2277171912582929E-2</v>
      </c>
      <c r="BR159" s="483">
        <f t="shared" si="276"/>
        <v>0.22753099211615013</v>
      </c>
      <c r="BS159" s="484">
        <f>BS144/BN144-1</f>
        <v>2.9891499028863455E-2</v>
      </c>
      <c r="BT159" s="483">
        <f t="shared" si="276"/>
        <v>0.18594875410510303</v>
      </c>
      <c r="BU159" s="483">
        <f t="shared" si="276"/>
        <v>0.29919817534845383</v>
      </c>
      <c r="BV159" s="483">
        <f t="shared" si="276"/>
        <v>0.19418895254789725</v>
      </c>
      <c r="BW159" s="483">
        <f t="shared" si="276"/>
        <v>0.19594647383435571</v>
      </c>
      <c r="BX159" s="484">
        <f>BX144/BS144-1</f>
        <v>0.22223206814614671</v>
      </c>
      <c r="BY159" s="483"/>
      <c r="BZ159" s="483"/>
      <c r="CA159" s="483"/>
      <c r="CB159" s="483"/>
      <c r="CC159" s="484">
        <f>CC144/BX144-1</f>
        <v>0.21068063893220002</v>
      </c>
      <c r="CD159" s="484">
        <f t="shared" ref="CD159:CH160" si="277">CD144/CC144-1</f>
        <v>0.10414873672544944</v>
      </c>
      <c r="CE159" s="484">
        <f t="shared" si="277"/>
        <v>0.1187887441297133</v>
      </c>
      <c r="CF159" s="484">
        <f t="shared" si="277"/>
        <v>7.8991766867734459E-2</v>
      </c>
      <c r="CG159" s="484">
        <f t="shared" si="277"/>
        <v>6.1215834267611235E-2</v>
      </c>
      <c r="CH159" s="484">
        <f t="shared" si="277"/>
        <v>6.9121686158441387E-2</v>
      </c>
    </row>
    <row r="160" spans="1:86" s="77" customFormat="1">
      <c r="A160"/>
      <c r="B160"/>
      <c r="C160"/>
      <c r="D160"/>
      <c r="E160"/>
      <c r="F160"/>
      <c r="G160" s="230"/>
      <c r="H160" s="406" t="s">
        <v>455</v>
      </c>
      <c r="L160" s="483">
        <v>0.8358584009689729</v>
      </c>
      <c r="M160" s="483">
        <v>-1.3837878775256207</v>
      </c>
      <c r="N160" s="483">
        <v>4.9822940881925071E-2</v>
      </c>
      <c r="O160" s="483">
        <v>-291.77303756735995</v>
      </c>
      <c r="P160" s="484">
        <v>9.1581398576400908E-2</v>
      </c>
      <c r="Q160" s="483">
        <f t="shared" si="272"/>
        <v>0.13561628138748993</v>
      </c>
      <c r="R160" s="483">
        <f t="shared" si="272"/>
        <v>-4.2766587865393735</v>
      </c>
      <c r="S160" s="483">
        <f t="shared" si="272"/>
        <v>0.10470841944279519</v>
      </c>
      <c r="T160" s="483">
        <f t="shared" si="272"/>
        <v>-0.81039651938277846</v>
      </c>
      <c r="U160" s="484">
        <f t="shared" si="272"/>
        <v>0.3501680786315986</v>
      </c>
      <c r="V160" s="483">
        <f t="shared" si="272"/>
        <v>-0.39224553311137089</v>
      </c>
      <c r="W160" s="483">
        <f t="shared" si="272"/>
        <v>-0.19613451418426264</v>
      </c>
      <c r="X160" s="483">
        <f t="shared" si="272"/>
        <v>5.6613757295059575E-2</v>
      </c>
      <c r="Y160" s="483">
        <f t="shared" si="272"/>
        <v>5.4371325467672955</v>
      </c>
      <c r="Z160" s="484">
        <f t="shared" si="272"/>
        <v>0.105243095673341</v>
      </c>
      <c r="AA160" s="483">
        <f t="shared" si="273"/>
        <v>1.0842079919996994</v>
      </c>
      <c r="AB160" s="483">
        <f t="shared" si="273"/>
        <v>0.43971326274329114</v>
      </c>
      <c r="AC160" s="483">
        <f t="shared" si="273"/>
        <v>-1.5009008744985097</v>
      </c>
      <c r="AD160" s="483">
        <f t="shared" si="273"/>
        <v>-5.2328274305780589</v>
      </c>
      <c r="AE160" s="484">
        <f t="shared" si="273"/>
        <v>-1.6991019171946329</v>
      </c>
      <c r="AF160" s="483">
        <f t="shared" si="273"/>
        <v>0.23017055333565128</v>
      </c>
      <c r="AG160" s="483">
        <f t="shared" si="273"/>
        <v>0.20455793446473169</v>
      </c>
      <c r="AH160" s="483">
        <f t="shared" si="273"/>
        <v>-3.0159924421791651</v>
      </c>
      <c r="AI160" s="483">
        <f t="shared" si="273"/>
        <v>-1.251090919191272</v>
      </c>
      <c r="AJ160" s="484">
        <f t="shared" si="273"/>
        <v>-3.082071975174689</v>
      </c>
      <c r="AK160" s="483">
        <f t="shared" si="274"/>
        <v>-5.4798929147555242E-2</v>
      </c>
      <c r="AL160" s="483">
        <f t="shared" si="274"/>
        <v>0.15739477442744532</v>
      </c>
      <c r="AM160" s="483">
        <f t="shared" si="274"/>
        <v>0.37402923061123983</v>
      </c>
      <c r="AN160" s="483">
        <f t="shared" si="274"/>
        <v>0.26857796026078429</v>
      </c>
      <c r="AO160" s="484">
        <f t="shared" si="274"/>
        <v>0.16365263773571748</v>
      </c>
      <c r="AP160" s="483">
        <f t="shared" si="274"/>
        <v>-0.16055198519861624</v>
      </c>
      <c r="AQ160" s="483">
        <f t="shared" si="274"/>
        <v>-0.12047549356587994</v>
      </c>
      <c r="AR160" s="483">
        <f t="shared" si="274"/>
        <v>-5.8479727673312332E-2</v>
      </c>
      <c r="AS160" s="483">
        <f t="shared" si="274"/>
        <v>-0.27053344774819399</v>
      </c>
      <c r="AT160" s="484">
        <f t="shared" si="274"/>
        <v>-0.14891259701266824</v>
      </c>
      <c r="AU160" s="483">
        <f t="shared" si="275"/>
        <v>-4.6677817419691459E-2</v>
      </c>
      <c r="AV160" s="483">
        <f t="shared" si="275"/>
        <v>-0.23187303173516816</v>
      </c>
      <c r="AW160" s="483">
        <f t="shared" si="275"/>
        <v>6.7481925415176391E-2</v>
      </c>
      <c r="AX160" s="483">
        <f t="shared" si="275"/>
        <v>-3.4272120198999945E-2</v>
      </c>
      <c r="AY160" s="484">
        <f t="shared" si="275"/>
        <v>-6.2436221474838849E-2</v>
      </c>
      <c r="AZ160" s="483">
        <f t="shared" si="275"/>
        <v>0.56621034884139565</v>
      </c>
      <c r="BA160" s="483">
        <f t="shared" si="275"/>
        <v>0.347744753252752</v>
      </c>
      <c r="BB160" s="483">
        <f t="shared" si="275"/>
        <v>-6.3498898237017709E-2</v>
      </c>
      <c r="BC160" s="483">
        <f t="shared" si="275"/>
        <v>-9.218658772531052E-2</v>
      </c>
      <c r="BD160" s="484">
        <f t="shared" si="275"/>
        <v>0.18016580415030825</v>
      </c>
      <c r="BE160" s="483">
        <f t="shared" si="276"/>
        <v>-0.52276969935371365</v>
      </c>
      <c r="BF160" s="483">
        <f t="shared" si="276"/>
        <v>-0.38758763864113244</v>
      </c>
      <c r="BG160" s="483">
        <f t="shared" si="276"/>
        <v>-0.58008536353206264</v>
      </c>
      <c r="BH160" s="483">
        <f t="shared" si="276"/>
        <v>-0.4059372830093223</v>
      </c>
      <c r="BI160" s="484">
        <f t="shared" si="276"/>
        <v>-0.48465920987068778</v>
      </c>
      <c r="BJ160" s="483">
        <f t="shared" si="276"/>
        <v>-0.26656565053758019</v>
      </c>
      <c r="BK160" s="483">
        <f t="shared" si="276"/>
        <v>-0.17258561611815171</v>
      </c>
      <c r="BL160" s="483">
        <f t="shared" si="276"/>
        <v>0.61132130726887235</v>
      </c>
      <c r="BM160" s="483">
        <f t="shared" si="276"/>
        <v>0.12158369867984176</v>
      </c>
      <c r="BN160" s="484">
        <f t="shared" si="276"/>
        <v>1.5466010603043978E-2</v>
      </c>
      <c r="BO160" s="483">
        <f t="shared" si="276"/>
        <v>-0.16574163290667754</v>
      </c>
      <c r="BP160" s="483">
        <f t="shared" si="276"/>
        <v>0.25096534127751946</v>
      </c>
      <c r="BQ160" s="483">
        <f t="shared" si="276"/>
        <v>-2.3124623254574095E-2</v>
      </c>
      <c r="BR160" s="483">
        <f t="shared" si="276"/>
        <v>0.61845413022390483</v>
      </c>
      <c r="BS160" s="484">
        <f>BS145/BN145-1</f>
        <v>0.14130147322739939</v>
      </c>
      <c r="BT160" s="483">
        <f t="shared" si="276"/>
        <v>-1.2533742932303309</v>
      </c>
      <c r="BU160" s="483">
        <f t="shared" si="276"/>
        <v>0.35192575068467136</v>
      </c>
      <c r="BV160" s="483">
        <f t="shared" si="276"/>
        <v>-0.28264154765265714</v>
      </c>
      <c r="BW160" s="483">
        <f t="shared" si="276"/>
        <v>-3.1560005376843074</v>
      </c>
      <c r="BX160" s="484">
        <f>BX145/BS145-1</f>
        <v>-1.0748900985479009</v>
      </c>
      <c r="BY160" s="483"/>
      <c r="BZ160" s="483"/>
      <c r="CA160" s="483"/>
      <c r="CB160" s="483"/>
      <c r="CC160" s="484">
        <f>CC145/BX145-1</f>
        <v>-22.940961646339943</v>
      </c>
      <c r="CD160" s="484">
        <f t="shared" si="277"/>
        <v>0.12689380400749894</v>
      </c>
      <c r="CE160" s="484">
        <f t="shared" si="277"/>
        <v>0.14196375026990959</v>
      </c>
      <c r="CF160" s="484">
        <f t="shared" si="277"/>
        <v>9.2350179267001176E-2</v>
      </c>
      <c r="CG160" s="484">
        <f t="shared" si="277"/>
        <v>7.061212903811187E-2</v>
      </c>
      <c r="CH160" s="484">
        <f t="shared" si="277"/>
        <v>7.9120308441556375E-2</v>
      </c>
    </row>
    <row r="161" spans="1:86" s="77" customFormat="1">
      <c r="A161"/>
      <c r="B161"/>
      <c r="C161"/>
      <c r="D161"/>
      <c r="E161"/>
      <c r="F161"/>
      <c r="G161" s="230"/>
      <c r="H161" s="406" t="s">
        <v>410</v>
      </c>
      <c r="L161" s="483">
        <v>9.6162464110655765E-2</v>
      </c>
      <c r="M161" s="483">
        <v>-2.1478488844054899E-2</v>
      </c>
      <c r="N161" s="483">
        <v>4.4871404781756663E-3</v>
      </c>
      <c r="O161" s="483">
        <v>-1.5593453463410789E-2</v>
      </c>
      <c r="P161" s="484">
        <v>-1.358310817479369E-2</v>
      </c>
      <c r="Q161" s="483">
        <f t="shared" ref="Q161:AV161" si="278">Q156/L156-1</f>
        <v>1.0359167494723209E-2</v>
      </c>
      <c r="R161" s="483">
        <f t="shared" si="278"/>
        <v>0.16683423984005041</v>
      </c>
      <c r="S161" s="483">
        <f t="shared" si="278"/>
        <v>0.15205440437767104</v>
      </c>
      <c r="T161" s="483">
        <f t="shared" si="278"/>
        <v>2.1618405157159737E-2</v>
      </c>
      <c r="U161" s="484">
        <f t="shared" si="278"/>
        <v>2.1351325583106373E-2</v>
      </c>
      <c r="V161" s="483">
        <f t="shared" si="278"/>
        <v>-1.6318447502466249E-2</v>
      </c>
      <c r="W161" s="483">
        <f t="shared" si="278"/>
        <v>-3.5014423874667577E-2</v>
      </c>
      <c r="X161" s="483">
        <f t="shared" si="278"/>
        <v>-1.1728844694400165E-2</v>
      </c>
      <c r="Y161" s="483">
        <f t="shared" si="278"/>
        <v>0.24037097896612925</v>
      </c>
      <c r="Z161" s="484">
        <f t="shared" si="278"/>
        <v>0.24015835111818662</v>
      </c>
      <c r="AA161" s="483">
        <f t="shared" si="278"/>
        <v>0.28779287997906855</v>
      </c>
      <c r="AB161" s="483">
        <f t="shared" si="278"/>
        <v>0.27038417601043019</v>
      </c>
      <c r="AC161" s="483">
        <f t="shared" si="278"/>
        <v>5.7698750662729337E-2</v>
      </c>
      <c r="AD161" s="483">
        <f t="shared" si="278"/>
        <v>-0.50883959857482464</v>
      </c>
      <c r="AE161" s="484">
        <f t="shared" si="278"/>
        <v>-0.50886427284545155</v>
      </c>
      <c r="AF161" s="483">
        <f t="shared" si="278"/>
        <v>-0.48342264647229749</v>
      </c>
      <c r="AG161" s="483">
        <f t="shared" si="278"/>
        <v>-0.42097823024819392</v>
      </c>
      <c r="AH161" s="483">
        <f t="shared" si="278"/>
        <v>-0.28160986090998863</v>
      </c>
      <c r="AI161" s="483">
        <f t="shared" si="278"/>
        <v>0.40791569863616028</v>
      </c>
      <c r="AJ161" s="484">
        <f t="shared" si="278"/>
        <v>0.4093495662432669</v>
      </c>
      <c r="AK161" s="483">
        <f t="shared" si="278"/>
        <v>0.3468292759319227</v>
      </c>
      <c r="AL161" s="483">
        <f t="shared" si="278"/>
        <v>0.18856958457555506</v>
      </c>
      <c r="AM161" s="483">
        <f t="shared" si="278"/>
        <v>0.2439512678329232</v>
      </c>
      <c r="AN161" s="483">
        <f t="shared" si="278"/>
        <v>0.29384367045865334</v>
      </c>
      <c r="AO161" s="484">
        <f t="shared" si="278"/>
        <v>0.29484220616116885</v>
      </c>
      <c r="AP161" s="483">
        <f t="shared" si="278"/>
        <v>0.3215246565251757</v>
      </c>
      <c r="AQ161" s="483">
        <f t="shared" si="278"/>
        <v>0.3821688467706994</v>
      </c>
      <c r="AR161" s="483">
        <f t="shared" si="278"/>
        <v>0.2043896809346315</v>
      </c>
      <c r="AS161" s="483">
        <f t="shared" si="278"/>
        <v>8.4081633096419361E-2</v>
      </c>
      <c r="AT161" s="484">
        <f t="shared" si="278"/>
        <v>8.2150026686205857E-2</v>
      </c>
      <c r="AU161" s="483">
        <f t="shared" si="278"/>
        <v>5.9036009565497594E-2</v>
      </c>
      <c r="AV161" s="483">
        <f t="shared" si="278"/>
        <v>-2.0908426635370958E-3</v>
      </c>
      <c r="AW161" s="483">
        <f t="shared" ref="AW161:BW161" si="279">AW156/AR156-1</f>
        <v>6.0820003769436193E-2</v>
      </c>
      <c r="AX161" s="483">
        <f t="shared" si="279"/>
        <v>9.3447405752266954E-2</v>
      </c>
      <c r="AY161" s="484">
        <f t="shared" si="279"/>
        <v>8.8186688360954335E-2</v>
      </c>
      <c r="AZ161" s="483">
        <f t="shared" si="279"/>
        <v>3.2173477653168137E-2</v>
      </c>
      <c r="BA161" s="483">
        <f t="shared" si="279"/>
        <v>9.8951989060550583E-2</v>
      </c>
      <c r="BB161" s="483">
        <f t="shared" si="279"/>
        <v>8.6604069997179511E-2</v>
      </c>
      <c r="BC161" s="483">
        <f t="shared" si="279"/>
        <v>0.23267128937460435</v>
      </c>
      <c r="BD161" s="484">
        <f t="shared" si="279"/>
        <v>0.22983615146183101</v>
      </c>
      <c r="BE161" s="483">
        <f t="shared" si="279"/>
        <v>0.24517016546026738</v>
      </c>
      <c r="BF161" s="483">
        <f t="shared" si="279"/>
        <v>0.18939966724913271</v>
      </c>
      <c r="BG161" s="483">
        <f t="shared" si="279"/>
        <v>5.6158478156434155E-2</v>
      </c>
      <c r="BH161" s="483">
        <f t="shared" si="279"/>
        <v>-0.12020061484813449</v>
      </c>
      <c r="BI161" s="484">
        <f t="shared" si="279"/>
        <v>-0.11902007630115097</v>
      </c>
      <c r="BJ161" s="483">
        <f t="shared" si="279"/>
        <v>-0.17869566950894189</v>
      </c>
      <c r="BK161" s="483">
        <f t="shared" si="279"/>
        <v>-0.17448859309467468</v>
      </c>
      <c r="BL161" s="483">
        <f t="shared" si="279"/>
        <v>-0.13061359213407431</v>
      </c>
      <c r="BM161" s="483">
        <f t="shared" si="279"/>
        <v>-4.7487758866830765E-2</v>
      </c>
      <c r="BN161" s="484">
        <f t="shared" si="279"/>
        <v>-4.4337064218982647E-2</v>
      </c>
      <c r="BO161" s="483">
        <f t="shared" si="279"/>
        <v>9.2863459046010899E-3</v>
      </c>
      <c r="BP161" s="483">
        <f t="shared" si="279"/>
        <v>1.8261449652334782E-3</v>
      </c>
      <c r="BQ161" s="483">
        <f t="shared" si="279"/>
        <v>2.8822104102587121E-2</v>
      </c>
      <c r="BR161" s="483">
        <f t="shared" si="279"/>
        <v>-3.185446438018058E-2</v>
      </c>
      <c r="BS161" s="484">
        <f>BS156/BN156-1</f>
        <v>-3.1024359322812223E-2</v>
      </c>
      <c r="BT161" s="483">
        <f t="shared" si="279"/>
        <v>-5.557912745393534E-2</v>
      </c>
      <c r="BU161" s="483">
        <f t="shared" si="279"/>
        <v>-3.0475113084242667E-2</v>
      </c>
      <c r="BV161" s="483">
        <f t="shared" si="279"/>
        <v>-3.7638250469464452E-2</v>
      </c>
      <c r="BW161" s="483">
        <f t="shared" si="279"/>
        <v>-0.16779185400815322</v>
      </c>
      <c r="BX161" s="484">
        <f>BX156/BS156-1</f>
        <v>-0.16761161604288843</v>
      </c>
      <c r="BY161" s="483"/>
      <c r="BZ161" s="483"/>
      <c r="CA161" s="483"/>
      <c r="CB161" s="483"/>
      <c r="CC161" s="484">
        <f>CC156/BX156-1</f>
        <v>0.1008175646502476</v>
      </c>
      <c r="CD161" s="484">
        <f>CD156/CC156-1</f>
        <v>0.12640854847431426</v>
      </c>
      <c r="CE161" s="484">
        <f>CE156/CD156-1</f>
        <v>0.17645302021468501</v>
      </c>
      <c r="CF161" s="484">
        <f>CF156/CE156-1</f>
        <v>0.17908869564582264</v>
      </c>
      <c r="CG161" s="484">
        <f>CG156/CF156-1</f>
        <v>0.17227299645848726</v>
      </c>
      <c r="CH161" s="484">
        <f>CH156/CG156-1</f>
        <v>0.16816967963774232</v>
      </c>
    </row>
    <row r="162" spans="1:86" s="77" customFormat="1" ht="6.75" customHeight="1">
      <c r="A162"/>
      <c r="B162"/>
      <c r="C162"/>
      <c r="D162"/>
      <c r="E162"/>
      <c r="F162"/>
      <c r="G162" s="230"/>
      <c r="L162" s="341"/>
      <c r="M162" s="341"/>
      <c r="N162" s="341"/>
      <c r="O162" s="341"/>
      <c r="P162" s="345"/>
      <c r="Q162" s="341"/>
      <c r="R162" s="341"/>
      <c r="S162" s="341"/>
      <c r="T162" s="341"/>
      <c r="U162" s="345"/>
      <c r="V162" s="341"/>
      <c r="W162" s="341"/>
      <c r="X162" s="341"/>
      <c r="Y162" s="341"/>
      <c r="Z162" s="345"/>
      <c r="AA162" s="341"/>
      <c r="AB162" s="341"/>
      <c r="AC162" s="341"/>
      <c r="AD162" s="341"/>
      <c r="AE162" s="345"/>
      <c r="AF162" s="341"/>
      <c r="AG162" s="341"/>
      <c r="AH162" s="341"/>
      <c r="AI162" s="341"/>
      <c r="AJ162" s="345"/>
      <c r="AK162" s="341"/>
      <c r="AL162" s="341"/>
      <c r="AM162" s="341"/>
      <c r="AN162" s="341"/>
      <c r="AO162" s="345"/>
      <c r="AP162" s="341"/>
      <c r="AQ162" s="341"/>
      <c r="AR162" s="341"/>
      <c r="AS162" s="341"/>
      <c r="AT162" s="345"/>
      <c r="AU162" s="341"/>
      <c r="AV162" s="341"/>
      <c r="AW162" s="341"/>
      <c r="AX162" s="341"/>
      <c r="AY162" s="345"/>
      <c r="AZ162" s="341"/>
      <c r="BA162" s="341"/>
      <c r="BB162" s="341"/>
      <c r="BC162" s="341"/>
      <c r="BD162" s="345"/>
      <c r="BE162" s="341"/>
      <c r="BF162" s="341"/>
      <c r="BG162" s="341"/>
      <c r="BH162" s="341"/>
      <c r="BI162" s="345"/>
      <c r="BJ162" s="341"/>
      <c r="BK162" s="341"/>
      <c r="BL162" s="341"/>
      <c r="BM162" s="341"/>
      <c r="BN162" s="345"/>
      <c r="BO162" s="341"/>
      <c r="BP162" s="341"/>
      <c r="BQ162" s="341"/>
      <c r="BR162" s="341"/>
      <c r="BS162" s="345"/>
      <c r="BT162" s="341"/>
      <c r="BU162" s="341"/>
      <c r="BV162" s="341"/>
      <c r="BW162" s="341"/>
      <c r="BX162" s="345"/>
      <c r="BY162" s="341"/>
      <c r="BZ162" s="341"/>
      <c r="CA162" s="341"/>
      <c r="CB162" s="341"/>
      <c r="CC162" s="345"/>
      <c r="CD162" s="345"/>
      <c r="CE162" s="345"/>
      <c r="CF162" s="345"/>
      <c r="CG162" s="345"/>
      <c r="CH162" s="345"/>
    </row>
    <row r="163" spans="1:86" s="77" customFormat="1">
      <c r="A163"/>
      <c r="B163"/>
      <c r="C163"/>
      <c r="D163"/>
      <c r="E163"/>
      <c r="F163"/>
      <c r="G163" s="230"/>
      <c r="H163" s="47" t="s">
        <v>111</v>
      </c>
      <c r="I163" s="47"/>
      <c r="J163" s="47"/>
      <c r="K163" s="47"/>
      <c r="L163" s="384"/>
      <c r="M163" s="384"/>
      <c r="N163" s="384"/>
      <c r="O163" s="384"/>
      <c r="P163" s="377"/>
      <c r="Q163" s="384"/>
      <c r="R163" s="384"/>
      <c r="S163" s="384"/>
      <c r="T163" s="384"/>
      <c r="U163" s="377"/>
      <c r="V163" s="384"/>
      <c r="W163" s="384"/>
      <c r="X163" s="384"/>
      <c r="Y163" s="384"/>
      <c r="AA163" s="384"/>
      <c r="AB163" s="384"/>
      <c r="AC163" s="384"/>
      <c r="AD163" s="384"/>
      <c r="AF163" s="384"/>
      <c r="AG163" s="384"/>
      <c r="AH163" s="384"/>
      <c r="AI163" s="384"/>
      <c r="AK163" s="384"/>
      <c r="AL163" s="384"/>
      <c r="AM163" s="384"/>
      <c r="AN163" s="384"/>
      <c r="AP163" s="384"/>
      <c r="AQ163" s="384"/>
      <c r="AR163" s="384"/>
      <c r="AS163" s="384"/>
      <c r="AU163" s="384"/>
      <c r="AV163" s="384"/>
      <c r="AW163" s="384"/>
      <c r="AX163" s="384"/>
      <c r="AZ163" s="384"/>
      <c r="BA163" s="384"/>
      <c r="BB163" s="384"/>
      <c r="BC163" s="384"/>
      <c r="BE163" s="384"/>
      <c r="BF163" s="384"/>
      <c r="BG163" s="384"/>
      <c r="BH163" s="384"/>
      <c r="BJ163" s="384"/>
      <c r="BK163" s="384"/>
      <c r="BL163" s="384"/>
      <c r="BM163" s="384"/>
      <c r="BO163" s="384"/>
      <c r="BP163" s="384"/>
      <c r="BQ163" s="384"/>
      <c r="BR163" s="384"/>
      <c r="BT163" s="384"/>
      <c r="BU163" s="384"/>
      <c r="BV163" s="384"/>
      <c r="BW163" s="384"/>
      <c r="BY163" s="408"/>
      <c r="BZ163" s="408"/>
      <c r="CA163" s="408"/>
      <c r="CB163" s="408"/>
    </row>
    <row r="164" spans="1:86" s="276" customFormat="1">
      <c r="A164"/>
      <c r="B164"/>
      <c r="C164"/>
      <c r="D164"/>
      <c r="E164"/>
      <c r="F164"/>
      <c r="G164" s="485"/>
      <c r="H164" s="406" t="s">
        <v>112</v>
      </c>
      <c r="L164" s="483">
        <v>0.27002916452221648</v>
      </c>
      <c r="M164" s="483">
        <v>0.25456198707636934</v>
      </c>
      <c r="N164" s="483">
        <v>0.28274693843547793</v>
      </c>
      <c r="O164" s="483">
        <v>0.27480601170374569</v>
      </c>
      <c r="P164" s="484">
        <v>0.27054802564645308</v>
      </c>
      <c r="Q164" s="483">
        <f>'IS-ANNUAL'!Q63</f>
        <v>0.28434909012598258</v>
      </c>
      <c r="R164" s="483">
        <f>'IS-ANNUAL'!R63</f>
        <v>0.26914225129942332</v>
      </c>
      <c r="S164" s="483">
        <f>'IS-ANNUAL'!S63</f>
        <v>0.28616348132141145</v>
      </c>
      <c r="T164" s="483">
        <f>'IS-ANNUAL'!T63</f>
        <v>0.27329046239370602</v>
      </c>
      <c r="U164" s="484">
        <f>'IS-ANNUAL'!U63</f>
        <v>0.27805624153588782</v>
      </c>
      <c r="V164" s="483">
        <f>'IS-ANNUAL'!V63</f>
        <v>0.27701007997728455</v>
      </c>
      <c r="W164" s="483">
        <f>'IS-ANNUAL'!W63</f>
        <v>0.27098404197888082</v>
      </c>
      <c r="X164" s="483">
        <f>'IS-ANNUAL'!X63</f>
        <v>0.27472311851399678</v>
      </c>
      <c r="Y164" s="483">
        <f>'IS-ANNUAL'!Y63</f>
        <v>0.23877606073451754</v>
      </c>
      <c r="Z164" s="484">
        <f>'IS-ANNUAL'!Z63</f>
        <v>0.26430070249064858</v>
      </c>
      <c r="AA164" s="483">
        <f>'IS-ANNUAL'!AA63</f>
        <v>0.24893097128894323</v>
      </c>
      <c r="AB164" s="483">
        <f>'IS-ANNUAL'!AB63</f>
        <v>0.24696248333650733</v>
      </c>
      <c r="AC164" s="483">
        <f>'IS-ANNUAL'!AC63</f>
        <v>0.25686137849190965</v>
      </c>
      <c r="AD164" s="483">
        <f>'IS-ANNUAL'!AD63</f>
        <v>0.26217762320162702</v>
      </c>
      <c r="AE164" s="484">
        <f>'IS-ANNUAL'!AE63</f>
        <v>0.25382493102583403</v>
      </c>
      <c r="AF164" s="483">
        <f>'IS-ANNUAL'!AF63</f>
        <v>0.33347864856831477</v>
      </c>
      <c r="AG164" s="483">
        <f>'IS-ANNUAL'!AG63</f>
        <v>0.29711427821056158</v>
      </c>
      <c r="AH164" s="483">
        <f>'IS-ANNUAL'!AH63</f>
        <v>0.29116177052245529</v>
      </c>
      <c r="AI164" s="483">
        <f>'IS-ANNUAL'!AI63</f>
        <v>0.21325425042546373</v>
      </c>
      <c r="AJ164" s="484">
        <f>'IS-ANNUAL'!AJ63</f>
        <v>0.28121025773481512</v>
      </c>
      <c r="AK164" s="483">
        <f>'IS-ANNUAL'!AK63</f>
        <v>0.32520873591716187</v>
      </c>
      <c r="AL164" s="483">
        <f>'IS-ANNUAL'!AL63</f>
        <v>0.30681719345243286</v>
      </c>
      <c r="AM164" s="483">
        <f>'IS-ANNUAL'!AM63</f>
        <v>0.30608852499602113</v>
      </c>
      <c r="AN164" s="483">
        <f>'IS-ANNUAL'!AN63</f>
        <v>0.24061107986319885</v>
      </c>
      <c r="AO164" s="484">
        <f>'IS-ANNUAL'!AO63</f>
        <v>0.29325951374756892</v>
      </c>
      <c r="AP164" s="483">
        <f>'IS-ANNUAL'!AP63</f>
        <v>0.29767776407727092</v>
      </c>
      <c r="AQ164" s="483">
        <f>'IS-ANNUAL'!AQ63</f>
        <v>0.26608028146489687</v>
      </c>
      <c r="AR164" s="483">
        <f>'IS-ANNUAL'!AR63</f>
        <v>0.2485035783994794</v>
      </c>
      <c r="AS164" s="483">
        <f>'IS-ANNUAL'!AS63</f>
        <v>0.19998676898650436</v>
      </c>
      <c r="AT164" s="484">
        <f>'IS-ANNUAL'!AT63</f>
        <v>0.25277313415628389</v>
      </c>
      <c r="AU164" s="483">
        <f>'IS-ANNUAL'!AU63</f>
        <v>0.24260978222063556</v>
      </c>
      <c r="AV164" s="483">
        <f>'IS-ANNUAL'!AV63</f>
        <v>0.21170567964718698</v>
      </c>
      <c r="AW164" s="483">
        <f>'IS-ANNUAL'!AW63</f>
        <v>0.20946852093399207</v>
      </c>
      <c r="AX164" s="483">
        <f>'IS-ANNUAL'!AX63</f>
        <v>0.20418791801655101</v>
      </c>
      <c r="AY164" s="484">
        <f>'IS-ANNUAL'!AY63</f>
        <v>0.2168448272597365</v>
      </c>
      <c r="AZ164" s="483">
        <f>'IS-ANNUAL'!AZ63</f>
        <v>0.26368780905796452</v>
      </c>
      <c r="BA164" s="483">
        <f>'IS-ANNUAL'!BA63</f>
        <v>0.26618547312680241</v>
      </c>
      <c r="BB164" s="483">
        <f>'IS-ANNUAL'!BB63</f>
        <v>0.26216955964383465</v>
      </c>
      <c r="BC164" s="483">
        <f>'IS-ANNUAL'!BC63</f>
        <v>0.17256576229169526</v>
      </c>
      <c r="BD164" s="484">
        <f>'IS-ANNUAL'!BD63</f>
        <v>0.24104825032016905</v>
      </c>
      <c r="BE164" s="483">
        <f>'IS-ANNUAL'!BE63</f>
        <v>0.22442399265443838</v>
      </c>
      <c r="BF164" s="483">
        <f>'IS-ANNUAL'!BF63</f>
        <v>0.21727854769430247</v>
      </c>
      <c r="BG164" s="483">
        <f>'IS-ANNUAL'!BG63</f>
        <v>0.21338912133891222</v>
      </c>
      <c r="BH164" s="483">
        <f>'IS-ANNUAL'!BH63</f>
        <v>0.20746685411907137</v>
      </c>
      <c r="BI164" s="484">
        <f>'IS-ANNUAL'!BI63</f>
        <v>0.2154560655804563</v>
      </c>
      <c r="BJ164" s="483">
        <f>'IS-ANNUAL'!BJ63</f>
        <v>0.25794992141580719</v>
      </c>
      <c r="BK164" s="483">
        <f>'IS-ANNUAL'!BK63</f>
        <v>0.24205113784722918</v>
      </c>
      <c r="BL164" s="483">
        <f>'IS-ANNUAL'!BL63</f>
        <v>0.24957154666612896</v>
      </c>
      <c r="BM164" s="483">
        <f>'IS-ANNUAL'!BM63</f>
        <v>0.1781196517598034</v>
      </c>
      <c r="BN164" s="484">
        <f>'IS-ANNUAL'!BN63</f>
        <v>0.23040077760575572</v>
      </c>
      <c r="BO164" s="483">
        <f>'IS-ANNUAL'!BO63</f>
        <v>0.22087932416599865</v>
      </c>
      <c r="BP164" s="483">
        <f>'IS-ANNUAL'!BP63</f>
        <v>0.21667776791000612</v>
      </c>
      <c r="BQ164" s="483">
        <f>'IS-ANNUAL'!BQ63</f>
        <v>0.22996321050908175</v>
      </c>
      <c r="BR164" s="483">
        <f>'IS-ANNUAL'!BR63</f>
        <v>0.21423487544483993</v>
      </c>
      <c r="BS164" s="484">
        <f>'IS-ANNUAL'!BS63</f>
        <v>0.21979047816616548</v>
      </c>
      <c r="BT164" s="483">
        <f>'IS-ANNUAL'!BT63</f>
        <v>0.25233340983857389</v>
      </c>
      <c r="BU164" s="483">
        <f>'IS-ANNUAL'!BU63</f>
        <v>0.25833147331009737</v>
      </c>
      <c r="BV164" s="483">
        <f>'IS-ANNUAL'!BV63</f>
        <v>0.24117636662483866</v>
      </c>
      <c r="BW164" s="483">
        <f>'IS-ANNUAL'!BW63</f>
        <v>0.2455687573042461</v>
      </c>
      <c r="BX164" s="484">
        <f>'IS-ANNUAL'!BX63</f>
        <v>0.24927858129732941</v>
      </c>
      <c r="BY164" s="483"/>
      <c r="BZ164" s="483"/>
      <c r="CA164" s="483"/>
      <c r="CB164" s="483"/>
      <c r="CC164" s="484">
        <f>'IS-ANNUAL'!CC63</f>
        <v>0.27346948017842887</v>
      </c>
      <c r="CD164" s="484">
        <f>'IS-ANNUAL'!CD63</f>
        <v>0.29304606917134912</v>
      </c>
      <c r="CE164" s="484">
        <f>'IS-ANNUAL'!CE63</f>
        <v>0.31392903053907578</v>
      </c>
      <c r="CF164" s="484">
        <f>'IS-ANNUAL'!CF63</f>
        <v>0.32588648666447467</v>
      </c>
      <c r="CG164" s="484">
        <f>'IS-ANNUAL'!CG63</f>
        <v>0.33494426417234785</v>
      </c>
      <c r="CH164" s="484">
        <f>'IS-ANNUAL'!CH63</f>
        <v>0.3455533110692835</v>
      </c>
    </row>
    <row r="165" spans="1:86" s="276" customFormat="1">
      <c r="A165"/>
      <c r="B165"/>
      <c r="C165"/>
      <c r="D165"/>
      <c r="E165"/>
      <c r="F165"/>
      <c r="G165" s="485"/>
      <c r="H165" s="406" t="s">
        <v>113</v>
      </c>
      <c r="L165" s="483"/>
      <c r="M165" s="483"/>
      <c r="N165" s="483"/>
      <c r="O165" s="483"/>
      <c r="P165" s="484"/>
      <c r="Q165" s="483">
        <f>Q190*4/AVERAGE(Q78,L78)</f>
        <v>0.42987596759444119</v>
      </c>
      <c r="R165" s="483">
        <f>R190*4/AVERAGE(R78,M78)</f>
        <v>0.41567304229143365</v>
      </c>
      <c r="S165" s="483">
        <f>S190*4/AVERAGE(S78,N78)</f>
        <v>0.43540890456193687</v>
      </c>
      <c r="T165" s="483">
        <f>T190*4/AVERAGE(T78,O78)</f>
        <v>0.46292515312982435</v>
      </c>
      <c r="U165" s="484">
        <f>U190/AVERAGE(U78,P78)</f>
        <v>0.43073676609730588</v>
      </c>
      <c r="V165" s="483">
        <f>V190*4/AVERAGE(V78,Q78)</f>
        <v>0.45215841142899571</v>
      </c>
      <c r="W165" s="483">
        <f>W190*4/AVERAGE(W78,R78)</f>
        <v>0.47753038535892184</v>
      </c>
      <c r="X165" s="483">
        <f>X190*4/AVERAGE(X78,S78)</f>
        <v>0.47876753861948512</v>
      </c>
      <c r="Y165" s="483">
        <f>Y190*4/AVERAGE(Y78,T78)</f>
        <v>0.47160945514544939</v>
      </c>
      <c r="Z165" s="484">
        <f>Z190/AVERAGE(Z78,U78)</f>
        <v>0.46328777933211351</v>
      </c>
      <c r="AA165" s="483">
        <f>AA190*4/AVERAGE(AA78,V78)</f>
        <v>0.45635165252027132</v>
      </c>
      <c r="AB165" s="483">
        <f>AB190*4/AVERAGE(AB78,W78)</f>
        <v>0.48206734903004672</v>
      </c>
      <c r="AC165" s="483">
        <f>AC190*4/AVERAGE(AC78,X78)</f>
        <v>0.51507531671336582</v>
      </c>
      <c r="AD165" s="483">
        <f>AD190*4/AVERAGE(AD78,Y78)</f>
        <v>0.51907402885811671</v>
      </c>
      <c r="AE165" s="484">
        <f>AE190/AVERAGE(AE78,Z78)</f>
        <v>0.48566977106514608</v>
      </c>
      <c r="AF165" s="483">
        <f>AF190*4/AVERAGE(AF78,AA78)</f>
        <v>0.61364048082373512</v>
      </c>
      <c r="AG165" s="483">
        <f>AG190*4/AVERAGE(AG78,AB78)</f>
        <v>0.56832862239933291</v>
      </c>
      <c r="AH165" s="483">
        <f>AH190*4/AVERAGE(AH78,AC78)</f>
        <v>0.63632174988481249</v>
      </c>
      <c r="AI165" s="483">
        <f>AI190*4/AVERAGE(AI78,AD78)</f>
        <v>0.47547210185630967</v>
      </c>
      <c r="AJ165" s="484">
        <f>AJ190/AVERAGE(AJ78,AE78)</f>
        <v>0.5766876489713918</v>
      </c>
      <c r="AK165" s="483">
        <f>AK190*4/AVERAGE(AK78,AF78)</f>
        <v>0.63149441510719562</v>
      </c>
      <c r="AL165" s="483">
        <f>AL190*4/AVERAGE(AL78,AG78)</f>
        <v>0.66764761550062024</v>
      </c>
      <c r="AM165" s="483">
        <f>AM190*4/AVERAGE(AM78,AH78)</f>
        <v>0.66350945309312126</v>
      </c>
      <c r="AN165" s="483">
        <f>AN190*4/AVERAGE(AN78,AI78)</f>
        <v>0.61220589784423218</v>
      </c>
      <c r="AO165" s="484">
        <f>AO190/AVERAGE(AO78,AJ78)</f>
        <v>0.64950396886870221</v>
      </c>
      <c r="AP165" s="483">
        <f>AP190*4/AVERAGE(AP78,AK78)</f>
        <v>0.68940186904172462</v>
      </c>
      <c r="AQ165" s="483">
        <f>AQ190*4/AVERAGE(AQ78,AL78)</f>
        <v>0.66900070529479427</v>
      </c>
      <c r="AR165" s="483">
        <f>AR190*4/AVERAGE(AR78,AM78)</f>
        <v>0.63673583384642696</v>
      </c>
      <c r="AS165" s="483">
        <f>AS190*4/AVERAGE(AS78,AN78)</f>
        <v>0.49357365772880701</v>
      </c>
      <c r="AT165" s="484">
        <f>AT190/AVERAGE(AT78,AO78)</f>
        <v>0.62589643971721598</v>
      </c>
      <c r="AU165" s="483">
        <f>AU190*4/AVERAGE(AU78,AP78)</f>
        <v>0.52251896987082058</v>
      </c>
      <c r="AV165" s="483">
        <f>AV190*4/AVERAGE(AV78,AQ78)</f>
        <v>0.47444393075461044</v>
      </c>
      <c r="AW165" s="483">
        <f>AW190*4/AVERAGE(AW78,AR78)</f>
        <v>0.45992841933583967</v>
      </c>
      <c r="AX165" s="483">
        <f>AX190*4/AVERAGE(AX78,AS78)</f>
        <v>0.4872052750877866</v>
      </c>
      <c r="AY165" s="484">
        <f>AY190/AVERAGE(AY78,AT78)</f>
        <v>0.48761427582874295</v>
      </c>
      <c r="AZ165" s="483">
        <f>AZ190*4/AVERAGE(AZ78,AU78)</f>
        <v>0.64892703862660928</v>
      </c>
      <c r="BA165" s="483">
        <f>BA190*4/AVERAGE(BA78,AV78)</f>
        <v>0.65802341281805932</v>
      </c>
      <c r="BB165" s="483">
        <f>BB190*4/AVERAGE(BB78,AW78)</f>
        <v>0.6247314410338628</v>
      </c>
      <c r="BC165" s="483">
        <f>BC190*4/AVERAGE(BC78,AX78)</f>
        <v>0.40514244679296085</v>
      </c>
      <c r="BD165" s="484">
        <f>BD190/AVERAGE(BD78,AY78)</f>
        <v>0.57224019268288084</v>
      </c>
      <c r="BE165" s="483">
        <f>BE190*4/AVERAGE(BE78,AZ78)</f>
        <v>0.42816193303877775</v>
      </c>
      <c r="BF165" s="483">
        <f>BF190*4/AVERAGE(BF78,BA78)</f>
        <v>0.41698861325742131</v>
      </c>
      <c r="BG165" s="483">
        <f>BG190*4/AVERAGE(BG78,BB78)</f>
        <v>0.40225922950913018</v>
      </c>
      <c r="BH165" s="483">
        <f>BH190*4/AVERAGE(BH78,BC78)</f>
        <v>0.44473443165991206</v>
      </c>
      <c r="BI165" s="484">
        <f>BI190/AVERAGE(BI78,BD78)</f>
        <v>0.41858539217285445</v>
      </c>
      <c r="BJ165" s="483">
        <f>BJ190*4/AVERAGE(BJ78,BE78)</f>
        <v>0.46413003881568188</v>
      </c>
      <c r="BK165" s="483">
        <f>BK190*4/AVERAGE(BK78,BF78)</f>
        <v>0.47374329394982478</v>
      </c>
      <c r="BL165" s="483">
        <f>BL190*4/AVERAGE(BL78,BG78)</f>
        <v>0.45835246237266253</v>
      </c>
      <c r="BM165" s="483">
        <f>BM190*4/AVERAGE(BM78,BH78)</f>
        <v>0.41365015545594125</v>
      </c>
      <c r="BN165" s="484">
        <f>BN190/AVERAGE(BN78,BI78)</f>
        <v>0.45328205576435582</v>
      </c>
      <c r="BO165" s="483">
        <f>BO190*4/AVERAGE(BO78,BJ78)</f>
        <v>0.44159711708104465</v>
      </c>
      <c r="BP165" s="483">
        <f>BP190*4/AVERAGE(BP78,BK78)</f>
        <v>0.45189480815727873</v>
      </c>
      <c r="BQ165" s="483">
        <f>BQ190*4/AVERAGE(BQ78,BL78)</f>
        <v>0.45617129697682374</v>
      </c>
      <c r="BR165" s="483">
        <f>BR190*4/AVERAGE(BR78,BM78)</f>
        <v>0.49718816884478839</v>
      </c>
      <c r="BS165" s="484">
        <f>BS190/AVERAGE(BS78,BN78)</f>
        <v>0.45671251862799861</v>
      </c>
      <c r="BT165" s="483">
        <f>BT190*4/AVERAGE(BT78,BO78)</f>
        <v>0.5053649763649396</v>
      </c>
      <c r="BU165" s="483">
        <f>BU190*4/AVERAGE(BU78,BP78)</f>
        <v>0.56575509493119669</v>
      </c>
      <c r="BV165" s="483">
        <f>BV190*4/AVERAGE(BV78,BQ78)</f>
        <v>0.52547120543132486</v>
      </c>
      <c r="BW165" s="483">
        <f>BW190*4/AVERAGE(BW78,BR78)</f>
        <v>0.56527568782898363</v>
      </c>
      <c r="BX165" s="484">
        <f>BX190/AVERAGE(BX78,BS78)</f>
        <v>0.53055488872364465</v>
      </c>
      <c r="BY165" s="483"/>
      <c r="BZ165" s="483"/>
      <c r="CA165" s="483"/>
      <c r="CB165" s="483"/>
      <c r="CC165" s="484">
        <f>CC190/AVERAGE(CC78,BX78)</f>
        <v>0.60552147428293468</v>
      </c>
      <c r="CD165" s="484">
        <f>CD190/AVERAGE(CD78,CC78)</f>
        <v>0.64946785334974011</v>
      </c>
      <c r="CE165" s="484">
        <f>CE190/AVERAGE(CE78,CD78)</f>
        <v>0.7138442461072525</v>
      </c>
      <c r="CF165" s="484">
        <f>CF190/AVERAGE(CF78,CE78)</f>
        <v>0.75685412355374226</v>
      </c>
      <c r="CG165" s="484">
        <f>CG190/AVERAGE(CG78,CF78)</f>
        <v>0.78939924074385093</v>
      </c>
      <c r="CH165" s="484">
        <f>CH190/AVERAGE(CH78,CG78)</f>
        <v>0.82964502551448638</v>
      </c>
    </row>
    <row r="166" spans="1:86" s="77" customFormat="1">
      <c r="A166"/>
      <c r="B166"/>
      <c r="C166"/>
      <c r="D166"/>
      <c r="E166"/>
      <c r="F166"/>
      <c r="G166" s="230"/>
      <c r="H166" s="406" t="s">
        <v>43</v>
      </c>
      <c r="L166" s="474">
        <v>2.0600055063345413</v>
      </c>
      <c r="M166" s="474">
        <v>2.2288669324550758</v>
      </c>
      <c r="N166" s="474">
        <v>2.1587957679138778</v>
      </c>
      <c r="O166" s="474">
        <v>2.2774620252581541</v>
      </c>
      <c r="P166" s="475">
        <v>2.2774620252581541</v>
      </c>
      <c r="Q166" s="474">
        <f t="shared" ref="Q166:AV166" si="280">AVERAGE(Q84,L84)/AVERAGE(Q113,L113)</f>
        <v>2.034458183067148</v>
      </c>
      <c r="R166" s="474">
        <f t="shared" si="280"/>
        <v>2.1603048964532365</v>
      </c>
      <c r="S166" s="474">
        <f t="shared" si="280"/>
        <v>1.9935223831737463</v>
      </c>
      <c r="T166" s="474">
        <f t="shared" si="280"/>
        <v>2.1373744982225364</v>
      </c>
      <c r="U166" s="475">
        <f t="shared" si="280"/>
        <v>2.1373744982225364</v>
      </c>
      <c r="V166" s="474">
        <f t="shared" si="280"/>
        <v>2.0613050572367091</v>
      </c>
      <c r="W166" s="474">
        <f t="shared" si="280"/>
        <v>2.0644655895438193</v>
      </c>
      <c r="X166" s="474">
        <f t="shared" si="280"/>
        <v>1.8801496830964246</v>
      </c>
      <c r="Y166" s="474">
        <f t="shared" si="280"/>
        <v>1.9778049186247977</v>
      </c>
      <c r="Z166" s="475">
        <f t="shared" si="280"/>
        <v>1.9778049186247977</v>
      </c>
      <c r="AA166" s="474">
        <f t="shared" si="280"/>
        <v>1.9268381226814297</v>
      </c>
      <c r="AB166" s="474">
        <f t="shared" si="280"/>
        <v>1.9700205338809034</v>
      </c>
      <c r="AC166" s="474">
        <f t="shared" si="280"/>
        <v>1.9739063641643406</v>
      </c>
      <c r="AD166" s="474">
        <f t="shared" si="280"/>
        <v>2.7451580170296626</v>
      </c>
      <c r="AE166" s="475">
        <f t="shared" si="280"/>
        <v>2.7451580170296626</v>
      </c>
      <c r="AF166" s="474">
        <f t="shared" si="280"/>
        <v>2.377601060304837</v>
      </c>
      <c r="AG166" s="474">
        <f t="shared" si="280"/>
        <v>2.3471328010988071</v>
      </c>
      <c r="AH166" s="474">
        <f t="shared" si="280"/>
        <v>2.3189380291458388</v>
      </c>
      <c r="AI166" s="474">
        <f t="shared" si="280"/>
        <v>3.4853264947172926</v>
      </c>
      <c r="AJ166" s="475">
        <f t="shared" si="280"/>
        <v>3.4853264947172926</v>
      </c>
      <c r="AK166" s="474">
        <f t="shared" si="280"/>
        <v>2.9578437463916734</v>
      </c>
      <c r="AL166" s="474">
        <f t="shared" si="280"/>
        <v>2.9078865461046113</v>
      </c>
      <c r="AM166" s="474">
        <f t="shared" si="280"/>
        <v>2.5562941216019359</v>
      </c>
      <c r="AN166" s="474">
        <f t="shared" si="280"/>
        <v>2.6648752626708774</v>
      </c>
      <c r="AO166" s="475">
        <f t="shared" si="280"/>
        <v>2.6648752626708774</v>
      </c>
      <c r="AP166" s="474">
        <f t="shared" si="280"/>
        <v>2.4139979095362039</v>
      </c>
      <c r="AQ166" s="474">
        <f t="shared" si="280"/>
        <v>2.4682465537709635</v>
      </c>
      <c r="AR166" s="474">
        <f t="shared" si="280"/>
        <v>2.2920140987641728</v>
      </c>
      <c r="AS166" s="474">
        <f t="shared" si="280"/>
        <v>2.4919147230657757</v>
      </c>
      <c r="AT166" s="475">
        <f t="shared" si="280"/>
        <v>2.4919147230657757</v>
      </c>
      <c r="AU166" s="474">
        <f t="shared" si="280"/>
        <v>2.2232480665442602</v>
      </c>
      <c r="AV166" s="474">
        <f t="shared" si="280"/>
        <v>2.2596510745183647</v>
      </c>
      <c r="AW166" s="474">
        <f t="shared" ref="AW166:BW166" si="281">AVERAGE(AW84,AR84)/AVERAGE(AW113,AR113)</f>
        <v>2.1649890084461414</v>
      </c>
      <c r="AX166" s="474">
        <f t="shared" si="281"/>
        <v>2.4040940320387145</v>
      </c>
      <c r="AY166" s="475">
        <f t="shared" si="281"/>
        <v>2.4040940320387145</v>
      </c>
      <c r="AZ166" s="474">
        <f t="shared" si="281"/>
        <v>2.167300239772719</v>
      </c>
      <c r="BA166" s="474">
        <f t="shared" si="281"/>
        <v>2.2013924851832671</v>
      </c>
      <c r="BB166" s="474">
        <f t="shared" si="281"/>
        <v>2.0722422844657538</v>
      </c>
      <c r="BC166" s="474">
        <f t="shared" si="281"/>
        <v>2.1486490655445385</v>
      </c>
      <c r="BD166" s="475">
        <f t="shared" si="281"/>
        <v>2.1486490655445385</v>
      </c>
      <c r="BE166" s="474">
        <f t="shared" si="281"/>
        <v>2.0134637269061351</v>
      </c>
      <c r="BF166" s="474">
        <f t="shared" si="281"/>
        <v>2.0536243048701217</v>
      </c>
      <c r="BG166" s="474">
        <f t="shared" si="281"/>
        <v>1.9843024298265399</v>
      </c>
      <c r="BH166" s="474">
        <f t="shared" si="281"/>
        <v>2.1664819793634646</v>
      </c>
      <c r="BI166" s="475">
        <f t="shared" si="281"/>
        <v>2.1664819793634646</v>
      </c>
      <c r="BJ166" s="474">
        <f t="shared" si="281"/>
        <v>2.1147399182467197</v>
      </c>
      <c r="BK166" s="474">
        <f t="shared" si="281"/>
        <v>2.1729224897707042</v>
      </c>
      <c r="BL166" s="474">
        <f t="shared" si="281"/>
        <v>2.1551085246359727</v>
      </c>
      <c r="BM166" s="474">
        <f t="shared" si="281"/>
        <v>2.3976096122541555</v>
      </c>
      <c r="BN166" s="475">
        <f t="shared" si="281"/>
        <v>2.3976096122541555</v>
      </c>
      <c r="BO166" s="474">
        <f t="shared" si="281"/>
        <v>2.3467373899119295</v>
      </c>
      <c r="BP166" s="474">
        <f t="shared" si="281"/>
        <v>2.4696167783771998</v>
      </c>
      <c r="BQ166" s="474">
        <f t="shared" si="281"/>
        <v>2.3947797398944144</v>
      </c>
      <c r="BR166" s="474">
        <f t="shared" si="281"/>
        <v>2.5940957350335525</v>
      </c>
      <c r="BS166" s="475">
        <f>AVERAGE(BS84,BN84)/AVERAGE(BS113,BN113)</f>
        <v>2.5940957350335525</v>
      </c>
      <c r="BT166" s="474">
        <f t="shared" si="281"/>
        <v>2.4822658762713199</v>
      </c>
      <c r="BU166" s="474">
        <f t="shared" si="281"/>
        <v>2.6858415522151948</v>
      </c>
      <c r="BV166" s="474">
        <f t="shared" si="281"/>
        <v>2.6360428304182304</v>
      </c>
      <c r="BW166" s="474">
        <f t="shared" si="281"/>
        <v>3.254062388342577</v>
      </c>
      <c r="BX166" s="475">
        <f>AVERAGE(BX84,BS84)/AVERAGE(BX113,BS113)</f>
        <v>3.254062388342577</v>
      </c>
      <c r="BY166" s="474"/>
      <c r="BZ166" s="474"/>
      <c r="CA166" s="474"/>
      <c r="CB166" s="474"/>
      <c r="CC166" s="475">
        <f>AVERAGE(CC84,BX84)/AVERAGE(CC113,BX113)</f>
        <v>3.4064534259954837</v>
      </c>
      <c r="CD166" s="475">
        <f>AVERAGE(CD84,CC84)/AVERAGE(CD113,CC113)</f>
        <v>2.8395272637283737</v>
      </c>
      <c r="CE166" s="475">
        <f>AVERAGE(CE84,CD84)/AVERAGE(CE113,CD113)</f>
        <v>2.5717515811399756</v>
      </c>
      <c r="CF166" s="475">
        <f>AVERAGE(CF84,CE84)/AVERAGE(CF113,CE113)</f>
        <v>2.3395778863972736</v>
      </c>
      <c r="CG166" s="475">
        <f>AVERAGE(CG84,CF84)/AVERAGE(CG113,CF113)</f>
        <v>2.1283254558300166</v>
      </c>
      <c r="CH166" s="475">
        <f>AVERAGE(CH84,CG84)/AVERAGE(CH113,CG113)</f>
        <v>1.9547631452604561</v>
      </c>
    </row>
    <row r="167" spans="1:86" s="55" customFormat="1">
      <c r="A167"/>
      <c r="B167"/>
      <c r="C167"/>
      <c r="D167"/>
      <c r="E167"/>
      <c r="F167"/>
      <c r="G167" s="234"/>
      <c r="H167" s="406" t="s">
        <v>44</v>
      </c>
      <c r="L167" s="483">
        <v>0.78</v>
      </c>
      <c r="M167" s="483">
        <v>0.78</v>
      </c>
      <c r="N167" s="483">
        <v>0.77990571596935765</v>
      </c>
      <c r="O167" s="483">
        <v>0.81707317073170727</v>
      </c>
      <c r="P167" s="484">
        <v>0.78994988462383942</v>
      </c>
      <c r="Q167" s="483">
        <f>1-'IS-ANNUAL'!Q46</f>
        <v>0.78992710404241229</v>
      </c>
      <c r="R167" s="483">
        <f>1-'IS-ANNUAL'!R46</f>
        <v>0.79006533435818604</v>
      </c>
      <c r="S167" s="483">
        <f>1-'IS-ANNUAL'!S46</f>
        <v>0.79000678272665614</v>
      </c>
      <c r="T167" s="483">
        <f>1-'IS-ANNUAL'!T46</f>
        <v>0.80124116531632483</v>
      </c>
      <c r="U167" s="484">
        <f>1-'IS-ANNUAL'!U46</f>
        <v>0.79298884954332405</v>
      </c>
      <c r="V167" s="483">
        <f>1-'IS-ANNUAL'!V46</f>
        <v>0.77996070726915512</v>
      </c>
      <c r="W167" s="483">
        <f>1-'IS-ANNUAL'!W46</f>
        <v>0.77998246872260724</v>
      </c>
      <c r="X167" s="483">
        <f>1-'IS-ANNUAL'!X46</f>
        <v>0.79104832949765902</v>
      </c>
      <c r="Y167" s="483">
        <f>1-'IS-ANNUAL'!Y46</f>
        <v>0.79575532601678489</v>
      </c>
      <c r="Z167" s="484">
        <f>1-'IS-ANNUAL'!Z46</f>
        <v>0.78677739649536027</v>
      </c>
      <c r="AA167" s="483">
        <f>1-'IS-ANNUAL'!AA46</f>
        <v>0.78723926380368103</v>
      </c>
      <c r="AB167" s="483">
        <f>1-'IS-ANNUAL'!AB46</f>
        <v>0.78901912399753238</v>
      </c>
      <c r="AC167" s="483">
        <f>1-'IS-ANNUAL'!AC46</f>
        <v>0.78864769727192741</v>
      </c>
      <c r="AD167" s="483">
        <f>1-'IS-ANNUAL'!AD46</f>
        <v>0.80906125407756457</v>
      </c>
      <c r="AE167" s="484">
        <f>1-'IS-ANNUAL'!AE46</f>
        <v>0.79376330191547595</v>
      </c>
      <c r="AF167" s="483">
        <f>1-'IS-ANNUAL'!AF46</f>
        <v>0.77996315883296696</v>
      </c>
      <c r="AG167" s="483">
        <f>1-'IS-ANNUAL'!AG46</f>
        <v>0.77996960273702554</v>
      </c>
      <c r="AH167" s="483">
        <f>1-'IS-ANNUAL'!AH46</f>
        <v>0.81012658227848111</v>
      </c>
      <c r="AI167" s="483">
        <f>1-'IS-ANNUAL'!AI46</f>
        <v>0.79006005056890005</v>
      </c>
      <c r="AJ167" s="484">
        <f>1-'IS-ANNUAL'!AJ46</f>
        <v>0.79000115625575074</v>
      </c>
      <c r="AK167" s="483">
        <f>1-'IS-ANNUAL'!AK46</f>
        <v>0.72733897640002243</v>
      </c>
      <c r="AL167" s="483">
        <f>1-'IS-ANNUAL'!AL46</f>
        <v>0.77497448690327708</v>
      </c>
      <c r="AM167" s="483">
        <f>1-'IS-ANNUAL'!AM46</f>
        <v>0.77503033104165464</v>
      </c>
      <c r="AN167" s="483">
        <f>1-'IS-ANNUAL'!AN46</f>
        <v>0.82958056801999092</v>
      </c>
      <c r="AO167" s="484">
        <f>1-'IS-ANNUAL'!AO46</f>
        <v>0.77444408979678692</v>
      </c>
      <c r="AP167" s="483">
        <f>1-'IS-ANNUAL'!AP46</f>
        <v>0.79099068001380746</v>
      </c>
      <c r="AQ167" s="483">
        <f>1-'IS-ANNUAL'!AQ46</f>
        <v>0.79102055535521099</v>
      </c>
      <c r="AR167" s="483">
        <f>1-'IS-ANNUAL'!AR46</f>
        <v>0.82072260767116112</v>
      </c>
      <c r="AS167" s="483">
        <f>1-'IS-ANNUAL'!AS46</f>
        <v>0.80110817069136619</v>
      </c>
      <c r="AT167" s="484">
        <f>1-'IS-ANNUAL'!AT46</f>
        <v>0.80039094315035042</v>
      </c>
      <c r="AU167" s="483">
        <f>1-'IS-ANNUAL'!AU46</f>
        <v>0.75557354131410503</v>
      </c>
      <c r="AV167" s="483">
        <f>1-'IS-ANNUAL'!AV46</f>
        <v>0.7789491439655899</v>
      </c>
      <c r="AW167" s="483">
        <f>1-'IS-ANNUAL'!AW46</f>
        <v>0.77907384669356228</v>
      </c>
      <c r="AX167" s="483">
        <f>1-'IS-ANNUAL'!AX46</f>
        <v>0.7770486156772618</v>
      </c>
      <c r="AY167" s="484">
        <f>1-'IS-ANNUAL'!AY46</f>
        <v>0.77202472349477735</v>
      </c>
      <c r="AZ167" s="483">
        <f>1-'IS-ANNUAL'!AZ46</f>
        <v>0.84449258682553652</v>
      </c>
      <c r="BA167" s="483">
        <f>1-'IS-ANNUAL'!BA46</f>
        <v>0.79504561581348199</v>
      </c>
      <c r="BB167" s="483">
        <f>1-'IS-ANNUAL'!BB46</f>
        <v>0.79496497951632084</v>
      </c>
      <c r="BC167" s="483">
        <f>1-'IS-ANNUAL'!BC46</f>
        <v>0.79499201915403017</v>
      </c>
      <c r="BD167" s="484">
        <f>1-'IS-ANNUAL'!BD46</f>
        <v>0.80812377721537176</v>
      </c>
      <c r="BE167" s="483">
        <f>1-'IS-ANNUAL'!BE46</f>
        <v>0.79410085632730742</v>
      </c>
      <c r="BF167" s="483">
        <f>1-'IS-ANNUAL'!BF46</f>
        <v>0.7649198060425213</v>
      </c>
      <c r="BG167" s="483">
        <f>1-'IS-ANNUAL'!BG46</f>
        <v>0.76412918108419847</v>
      </c>
      <c r="BH167" s="483">
        <f>1-'IS-ANNUAL'!BH46</f>
        <v>0.83397647058823532</v>
      </c>
      <c r="BI167" s="484">
        <f>1-'IS-ANNUAL'!BI46</f>
        <v>0.78934292407070006</v>
      </c>
      <c r="BJ167" s="483">
        <f>1-'IS-ANNUAL'!BJ46</f>
        <v>0.77097070361405551</v>
      </c>
      <c r="BK167" s="483">
        <f>1-'IS-ANNUAL'!BK46</f>
        <v>0.79229939424114182</v>
      </c>
      <c r="BL167" s="483">
        <f>1-'IS-ANNUAL'!BL46</f>
        <v>0.74608175795766674</v>
      </c>
      <c r="BM167" s="483">
        <f>1-'IS-ANNUAL'!BM46</f>
        <v>0.86496083550913827</v>
      </c>
      <c r="BN167" s="484">
        <f>1-'IS-ANNUAL'!BN46</f>
        <v>0.78943133630531681</v>
      </c>
      <c r="BO167" s="483">
        <f>1-'IS-ANNUAL'!BO46</f>
        <v>0.82104969290898944</v>
      </c>
      <c r="BP167" s="483">
        <f>1-'IS-ANNUAL'!BP46</f>
        <v>0.77602254290837691</v>
      </c>
      <c r="BQ167" s="483">
        <f>1-'IS-ANNUAL'!BQ46</f>
        <v>0.77979730295669647</v>
      </c>
      <c r="BR167" s="483">
        <f>1-'IS-ANNUAL'!BR46</f>
        <v>0.82116522161899375</v>
      </c>
      <c r="BS167" s="484">
        <f>1-'IS-ANNUAL'!BS46</f>
        <v>0.79874726500493387</v>
      </c>
      <c r="BT167" s="483">
        <f>1-'IS-ANNUAL'!BT46</f>
        <v>0.78806943075873559</v>
      </c>
      <c r="BU167" s="483">
        <f>1-'IS-ANNUAL'!BU46</f>
        <v>0.78253356373787053</v>
      </c>
      <c r="BV167" s="483">
        <f>1-'IS-ANNUAL'!BV46</f>
        <v>0.81108017001319066</v>
      </c>
      <c r="BW167" s="483">
        <f>1-'IS-ANNUAL'!BW46</f>
        <v>0.79767334258708433</v>
      </c>
      <c r="BX167" s="484">
        <f>1-'IS-ANNUAL'!BX46</f>
        <v>0.79466446837618832</v>
      </c>
      <c r="BY167" s="483"/>
      <c r="BZ167" s="483"/>
      <c r="CA167" s="483"/>
      <c r="CB167" s="483"/>
      <c r="CC167" s="484">
        <f>1-'IS-ANNUAL'!CC46</f>
        <v>0.82909932354434845</v>
      </c>
      <c r="CD167" s="484">
        <f>1-'IS-ANNUAL'!CD46</f>
        <v>0.83199999999999996</v>
      </c>
      <c r="CE167" s="484">
        <f>1-'IS-ANNUAL'!CE46</f>
        <v>0.83499999999999996</v>
      </c>
      <c r="CF167" s="484">
        <f>1-'IS-ANNUAL'!CF46</f>
        <v>0.83499999999999996</v>
      </c>
      <c r="CG167" s="484">
        <f>1-'IS-ANNUAL'!CG46</f>
        <v>0.83499999999999996</v>
      </c>
      <c r="CH167" s="484">
        <f>1-'IS-ANNUAL'!CH46</f>
        <v>0.83499999999999996</v>
      </c>
    </row>
    <row r="168" spans="1:86" s="55" customFormat="1">
      <c r="A168"/>
      <c r="B168"/>
      <c r="C168"/>
      <c r="D168"/>
      <c r="E168"/>
      <c r="F168"/>
      <c r="G168" s="234"/>
      <c r="H168" s="406" t="s">
        <v>45</v>
      </c>
      <c r="L168" s="483">
        <v>0.26576542518404001</v>
      </c>
      <c r="M168" s="483">
        <v>0.26941768748355327</v>
      </c>
      <c r="N168" s="483">
        <v>0.28006409385208741</v>
      </c>
      <c r="O168" s="483">
        <v>0.30291418960300787</v>
      </c>
      <c r="P168" s="484">
        <v>0.28832104754096843</v>
      </c>
      <c r="Q168" s="483">
        <f>Q165*Q166*Q167</f>
        <v>0.69084234495155172</v>
      </c>
      <c r="R168" s="483">
        <f>R165*R166*R167</f>
        <v>0.709463270762972</v>
      </c>
      <c r="S168" s="483">
        <f>S165*S166*S167</f>
        <v>0.68572383108021495</v>
      </c>
      <c r="T168" s="483">
        <f>T165*T166*T167</f>
        <v>0.79278359760102879</v>
      </c>
      <c r="U168" s="484">
        <f>U190/U113</f>
        <v>0.31508464851967538</v>
      </c>
      <c r="V168" s="483">
        <f>V165*V166*V167</f>
        <v>0.72695178546135564</v>
      </c>
      <c r="W168" s="483">
        <f>W165*W166*W167</f>
        <v>0.76894185473436105</v>
      </c>
      <c r="X168" s="483">
        <f>X165*X166*X167</f>
        <v>0.71206582110708749</v>
      </c>
      <c r="Y168" s="483">
        <f>Y165*Y166*Y167</f>
        <v>0.74224197402020931</v>
      </c>
      <c r="Z168" s="484">
        <f>Z190/Z113</f>
        <v>0.28356898217265286</v>
      </c>
      <c r="AA168" s="483">
        <f>AA165*AA166*AA167</f>
        <v>0.69223189267497598</v>
      </c>
      <c r="AB168" s="483">
        <f>AB165*AB166*AB167</f>
        <v>0.74931771443009532</v>
      </c>
      <c r="AC168" s="483">
        <f>AC165*AC166*AC167</f>
        <v>0.80182635178137718</v>
      </c>
      <c r="AD168" s="483">
        <f>AD165*AD166*AD167</f>
        <v>1.1528639308866426</v>
      </c>
      <c r="AE168" s="484">
        <f>AE190/AE113</f>
        <v>0.62018024438406671</v>
      </c>
      <c r="AF168" s="483">
        <f>AF165*AF166*AF167</f>
        <v>1.1379602101474648</v>
      </c>
      <c r="AG168" s="483">
        <f>AG165*AG166*AG167</f>
        <v>1.0404347979120743</v>
      </c>
      <c r="AH168" s="483">
        <f>AH165*AH166*AH167</f>
        <v>1.1954152543437113</v>
      </c>
      <c r="AI168" s="483">
        <f>AI165*AI166*AI167</f>
        <v>1.3092681704703739</v>
      </c>
      <c r="AJ168" s="484">
        <f>AJ190/AJ113</f>
        <v>0.50927634825149859</v>
      </c>
      <c r="AK168" s="483">
        <f>AK190*4/AVERAGE(AK113,AF113)</f>
        <v>0.5707342017144017</v>
      </c>
      <c r="AL168" s="483">
        <f>AL190*4/AVERAGE(AL113,AG113)</f>
        <v>0.58180502572451664</v>
      </c>
      <c r="AM168" s="483">
        <f>AM190*4/AVERAGE(AM113,AH113)</f>
        <v>0.48102911185316322</v>
      </c>
      <c r="AN168" s="483">
        <f>AN190*4/AVERAGE(AN113,AI113)</f>
        <v>0.45035075963734306</v>
      </c>
      <c r="AO168" s="484">
        <f>AO190/AVERAGE(AO113,AJ113)</f>
        <v>0.477787957936193</v>
      </c>
      <c r="AP168" s="483">
        <f>AP190*4/AVERAGE(AP113,AK113)</f>
        <v>0.45085155657573844</v>
      </c>
      <c r="AQ168" s="483">
        <f>AQ190*4/AVERAGE(AQ113,AL113)</f>
        <v>0.42953129653276101</v>
      </c>
      <c r="AR168" s="483">
        <f>AR190*4/AVERAGE(AR113,AM113)</f>
        <v>0.36525703299664247</v>
      </c>
      <c r="AS168" s="483">
        <f>AS190*4/AVERAGE(AS113,AN113)</f>
        <v>0.29865425228530446</v>
      </c>
      <c r="AT168" s="484">
        <f>AT190/AVERAGE(AT113,AO113)</f>
        <v>0.37872084598665051</v>
      </c>
      <c r="AU168" s="483">
        <f>AU190*4/AVERAGE(AU113,AP113)</f>
        <v>0.28567851777666498</v>
      </c>
      <c r="AV168" s="483">
        <f>AV190*4/AVERAGE(AV113,AQ113)</f>
        <v>0.25848612379263175</v>
      </c>
      <c r="AW168" s="483">
        <f>AW190*4/AVERAGE(AW113,AR113)</f>
        <v>0.22839291912530338</v>
      </c>
      <c r="AX168" s="483">
        <f>AX190*4/AVERAGE(AX113,AS113)</f>
        <v>0.26710713619103094</v>
      </c>
      <c r="AY168" s="484">
        <f>AY190/AVERAGE(AY113,AT113)</f>
        <v>0.26733136819795489</v>
      </c>
      <c r="AZ168" s="483">
        <f>AZ190*4/AVERAGE(AZ113,AU113)</f>
        <v>0.3351176363917226</v>
      </c>
      <c r="BA168" s="483">
        <f>BA190*4/AVERAGE(BA113,AV113)</f>
        <v>0.33980158609274891</v>
      </c>
      <c r="BB168" s="483">
        <f>BB190*4/AVERAGE(BB113,AW113)</f>
        <v>0.29207659393681901</v>
      </c>
      <c r="BC168" s="483">
        <f>BC190*4/AVERAGE(BC113,AX113)</f>
        <v>0.19667680613057059</v>
      </c>
      <c r="BD168" s="484">
        <f>BD190/AVERAGE(BD113,AY113)</f>
        <v>0.27779457404996533</v>
      </c>
      <c r="BE168" s="483">
        <f>BE190*4/AVERAGE(BE113,AZ113)</f>
        <v>0.20047861687529847</v>
      </c>
      <c r="BF168" s="483">
        <f>BF190*4/AVERAGE(BF113,BA113)</f>
        <v>0.19747706974168827</v>
      </c>
      <c r="BG168" s="483">
        <f>BG190*4/AVERAGE(BG113,BB113)</f>
        <v>0.18392878832572757</v>
      </c>
      <c r="BH168" s="483">
        <f>BH190*4/AVERAGE(BH113,BC113)</f>
        <v>0.21462481228503608</v>
      </c>
      <c r="BI168" s="484">
        <f>BI190/AVERAGE(BI113,BD113)</f>
        <v>0.20200552245313164</v>
      </c>
      <c r="BJ168" s="483">
        <f>BJ190*4/AVERAGE(BJ113,BE113)</f>
        <v>0.2219412349490768</v>
      </c>
      <c r="BK168" s="483">
        <f>BK190*4/AVERAGE(BK113,BF113)</f>
        <v>0.23358878538969169</v>
      </c>
      <c r="BL168" s="483">
        <f>BL190*4/AVERAGE(BL113,BG113)</f>
        <v>0.22439966710607029</v>
      </c>
      <c r="BM168" s="483">
        <f>BM190*4/AVERAGE(BM113,BH113)</f>
        <v>0.22101246230619345</v>
      </c>
      <c r="BN168" s="484">
        <f>BN190/AVERAGE(BN113,BI113)</f>
        <v>0.24218770848344104</v>
      </c>
      <c r="BO168" s="483">
        <f>BO190*4/AVERAGE(BO113,BJ113)</f>
        <v>0.23546837469975979</v>
      </c>
      <c r="BP168" s="483">
        <f>BP190*4/AVERAGE(BP113,BK113)</f>
        <v>0.24761593373658139</v>
      </c>
      <c r="BQ168" s="483">
        <f>BQ190*4/AVERAGE(BQ113,BL113)</f>
        <v>0.24137383453188427</v>
      </c>
      <c r="BR168" s="483">
        <f>BR190*4/AVERAGE(BR113,BM113)</f>
        <v>0.28276853104901151</v>
      </c>
      <c r="BS168" s="484">
        <f>BS190/AVERAGE(BS113,BN113)</f>
        <v>0.25974859438871617</v>
      </c>
      <c r="BT168" s="483">
        <f>BT190*4/AVERAGE(BT113,BO113)</f>
        <v>0.28550343080550966</v>
      </c>
      <c r="BU168" s="483">
        <f>BU190*4/AVERAGE(BU113,BP113)</f>
        <v>0.32676169694614909</v>
      </c>
      <c r="BV168" s="483">
        <f>BV190*4/AVERAGE(BV113,BQ113)</f>
        <v>0.28958281550476822</v>
      </c>
      <c r="BW168" s="483">
        <f>BW190*4/AVERAGE(BW113,BR113)</f>
        <v>0.374951453294185</v>
      </c>
      <c r="BX168" s="484">
        <f>BX190/AVERAGE(BX113,BS113)</f>
        <v>0.35192089605567717</v>
      </c>
      <c r="BY168" s="483"/>
      <c r="BZ168" s="483"/>
      <c r="CA168" s="483"/>
      <c r="CB168" s="483"/>
      <c r="CC168" s="484">
        <f>CC190/AVERAGE(CC113,BX113)</f>
        <v>0.44604902675097452</v>
      </c>
      <c r="CD168" s="484">
        <f>CD190/AVERAGE(CD113,CC113)</f>
        <v>0.44287747872297772</v>
      </c>
      <c r="CE168" s="484">
        <f>CE190/AVERAGE(CE113,CD113)</f>
        <v>0.42978105761075042</v>
      </c>
      <c r="CF168" s="484">
        <f>CF190/AVERAGE(CF113,CE113)</f>
        <v>0.39370046411642107</v>
      </c>
      <c r="CG168" s="484">
        <f>CG190/AVERAGE(CG113,CF113)</f>
        <v>0.35545268385179979</v>
      </c>
      <c r="CH168" s="484">
        <f>CH190/AVERAGE(CH113,CG113)</f>
        <v>0.32478814989837868</v>
      </c>
    </row>
    <row r="169" spans="1:86" s="55" customFormat="1">
      <c r="A169"/>
      <c r="B169"/>
      <c r="C169"/>
      <c r="D169"/>
      <c r="E169"/>
      <c r="F169"/>
      <c r="G169" s="234"/>
      <c r="H169" s="406" t="s">
        <v>46</v>
      </c>
      <c r="L169" s="483">
        <f>L147*4/(L172+L113)</f>
        <v>0.32014837806124385</v>
      </c>
      <c r="M169" s="483">
        <f>M147*4/(M172+M113)</f>
        <v>0.37606149806230266</v>
      </c>
      <c r="N169" s="483">
        <f>N147*4/(N172+N113)</f>
        <v>0.32022365915990592</v>
      </c>
      <c r="O169" s="483">
        <f>O147*4/(O172+O113)</f>
        <v>0.32039437171492918</v>
      </c>
      <c r="P169" s="484">
        <f>P147/(P172+P113)</f>
        <v>0.29778655610329396</v>
      </c>
      <c r="Q169" s="483">
        <f>Q147*4/(Q172+Q113)</f>
        <v>0.30271068764310521</v>
      </c>
      <c r="R169" s="483">
        <f>R147*4/(R172+R113)</f>
        <v>0.2911295992500586</v>
      </c>
      <c r="S169" s="483">
        <f>S147*4/(S172+S113)</f>
        <v>0.29315051278650073</v>
      </c>
      <c r="T169" s="483">
        <f>T147*4/(T172+T113)</f>
        <v>0.39153977877539697</v>
      </c>
      <c r="U169" s="484">
        <f>U147/(U172+U113)</f>
        <v>0.38188087193964915</v>
      </c>
      <c r="V169" s="483">
        <f>V147*4/(V172+V113)</f>
        <v>0.33491521414526693</v>
      </c>
      <c r="W169" s="483">
        <f>W147*4/(W172+W113)</f>
        <v>0.36866806926687151</v>
      </c>
      <c r="X169" s="483">
        <f>X147*4/(X172+X113)</f>
        <v>0.33712749209356774</v>
      </c>
      <c r="Y169" s="483">
        <f>Y147*4/(Y172+Y113)</f>
        <v>0.34900725412560296</v>
      </c>
      <c r="Z169" s="484">
        <f>Z147/(Z172+Z113)</f>
        <v>0.34703476778127779</v>
      </c>
      <c r="AA169" s="483">
        <f>AA147*4/(AA172+AA113)</f>
        <v>0.35720222582235678</v>
      </c>
      <c r="AB169" s="483">
        <f>AB147*4/(AB172+AB113)</f>
        <v>0.37620048230831066</v>
      </c>
      <c r="AC169" s="483">
        <f>AC147*4/(AC172+AC113)</f>
        <v>0.47075170209809664</v>
      </c>
      <c r="AD169" s="483">
        <f>AD147*4/(AD172+AD113)</f>
        <v>0.5283554546099799</v>
      </c>
      <c r="AE169" s="484">
        <f>AE147/(AE172+AE113)</f>
        <v>0.49065760522393387</v>
      </c>
      <c r="AF169" s="483">
        <f>AF147*4/(AF172+AF113)</f>
        <v>0.55274584124632598</v>
      </c>
      <c r="AG169" s="483">
        <f>AG147*4/(AG172+AG113)</f>
        <v>0.49923314442055911</v>
      </c>
      <c r="AH169" s="483">
        <f>AH147*4/(AH172+AH113)</f>
        <v>0.50460424443264229</v>
      </c>
      <c r="AI169" s="483">
        <f>AI147*4/(AI172+AI113)</f>
        <v>0.45626101387534407</v>
      </c>
      <c r="AJ169" s="484">
        <f>AJ147/(AJ172+AJ113)</f>
        <v>0.54492035791886961</v>
      </c>
      <c r="AK169" s="483">
        <f>AK147*4/AVERAGE((AK172+AK113),(AF172+AF113))</f>
        <v>0.54536318463514033</v>
      </c>
      <c r="AL169" s="483">
        <f>AL147*4/AVERAGE((AL172+AL113),(AG172+AG113))</f>
        <v>0.57676142086803894</v>
      </c>
      <c r="AM169" s="483">
        <f>AM147*4/AVERAGE((AM172+AM113),(AH172+AH113))</f>
        <v>0.52373872830642576</v>
      </c>
      <c r="AN169" s="483">
        <f>AN147*4/AVERAGE((AN172+AN113),(AI172+AI113))</f>
        <v>0.50302813337119012</v>
      </c>
      <c r="AO169" s="484">
        <f>AO147/AVERAGE((AO172+AO113),(AJ172+AJ113))</f>
        <v>0.55734113512823968</v>
      </c>
      <c r="AP169" s="483">
        <f>AP147*4/AVERAGE((AP172+AP113),(AK172+AK113))</f>
        <v>0.53256820162336815</v>
      </c>
      <c r="AQ169" s="483">
        <f>AQ147*4/AVERAGE((AQ172+AQ113),(AL172+AL113))</f>
        <v>0.51764812016509176</v>
      </c>
      <c r="AR169" s="483">
        <f>AR147*4/AVERAGE((AR172+AR113),(AM172+AM113))</f>
        <v>0.44823880846150882</v>
      </c>
      <c r="AS169" s="483">
        <f>AS147*4/AVERAGE((AS172+AS113),(AN172+AN113))</f>
        <v>0.3768608648590962</v>
      </c>
      <c r="AT169" s="484">
        <f>AT147/AVERAGE((AT172+AT113),(AO172+AO113))</f>
        <v>0.48159525569979206</v>
      </c>
      <c r="AU169" s="483">
        <f>AU147*4/AVERAGE((AU172+AU113),(AP172+AP113))</f>
        <v>0.38489036199033055</v>
      </c>
      <c r="AV169" s="483">
        <f>AV147*4/AVERAGE((AV172+AV113),(AQ172+AQ113))</f>
        <v>0.32901493252142389</v>
      </c>
      <c r="AW169" s="483">
        <f>AW147*4/AVERAGE((AW172+AW113),(AR172+AR113))</f>
        <v>0.30355703848740923</v>
      </c>
      <c r="AX169" s="483">
        <f>AX147*4/AVERAGE((AX172+AX113),(AS172+AS113))</f>
        <v>0.35924115894414838</v>
      </c>
      <c r="AY169" s="484">
        <f>AY147/AVERAGE((AY172+AY113),(AT172+AT113))</f>
        <v>0.35510427410218665</v>
      </c>
      <c r="AZ169" s="483">
        <f>AZ147*4/AVERAGE((AZ172+AZ113),(AU172+AU113))</f>
        <v>0.37252940834855092</v>
      </c>
      <c r="BA169" s="483">
        <f>BA147*4/AVERAGE((BA172+BA113),(AV172+AV113))</f>
        <v>0.4123032988869918</v>
      </c>
      <c r="BB169" s="483">
        <f>BB147*4/AVERAGE((BB172+BB113),(AW172+AW113))</f>
        <v>0.39259515768806769</v>
      </c>
      <c r="BC169" s="483">
        <f>BC147*4/AVERAGE((BC172+BC113),(AX172+AX113))</f>
        <v>0.24772735774942933</v>
      </c>
      <c r="BD169" s="484">
        <f>BD147/AVERAGE((BD172+BD113),(AY172+AY113))</f>
        <v>0.34590300899080995</v>
      </c>
      <c r="BE169" s="483">
        <f>BE147*4/AVERAGE((BE172+BE113),(AZ172+AZ113))</f>
        <v>0.23354409024894754</v>
      </c>
      <c r="BF169" s="483">
        <f>BF147*4/AVERAGE((BF172+BF113),(BA172+BA113))</f>
        <v>0.23953672947470514</v>
      </c>
      <c r="BG169" s="483">
        <f>BG147*4/AVERAGE((BG172+BG113),(BB172+BB113))</f>
        <v>0.21472933479600553</v>
      </c>
      <c r="BH169" s="483">
        <f>BH147*4/AVERAGE((BH172+BH113),(BC172+BC113))</f>
        <v>0.22582265274467311</v>
      </c>
      <c r="BI169" s="484">
        <f>BI147/AVERAGE((BI172+BI113),(BD172+BD113))</f>
        <v>0.22075035586546746</v>
      </c>
      <c r="BJ169" s="483">
        <f>BJ147*4/AVERAGE((BJ172+BJ113),(BE172+BE113))</f>
        <v>0.23627167823106163</v>
      </c>
      <c r="BK169" s="483">
        <f>BK147*4/AVERAGE((BK172+BK113),(BF172+BF113))</f>
        <v>0.25660850941929136</v>
      </c>
      <c r="BL169" s="483">
        <f>BL147*4/AVERAGE((BL172+BL113),(BG172+BG113))</f>
        <v>0.2457495971055636</v>
      </c>
      <c r="BM169" s="483">
        <f>BM147*4/AVERAGE((BM172+BM113),(BH172+BH113))</f>
        <v>0.19897764553292105</v>
      </c>
      <c r="BN169" s="484">
        <f>BN147/AVERAGE((BN172+BN113),(BI172+BI113))</f>
        <v>0.23679822123401861</v>
      </c>
      <c r="BO169" s="483">
        <f>BO147*4/AVERAGE((BO172+BO113),(BJ172+BJ113))</f>
        <v>0.20816735863549024</v>
      </c>
      <c r="BP169" s="483">
        <f>BP147*4/AVERAGE((BP172+BP113),(BK172+BK113))</f>
        <v>0.23877528772328754</v>
      </c>
      <c r="BQ169" s="483">
        <f>BQ147*4/AVERAGE((BQ172+BQ113),(BL172+BL113))</f>
        <v>0.23487608962615497</v>
      </c>
      <c r="BR169" s="483">
        <f>BR147*4/AVERAGE((BR172+BR113),(BM172+BM113))</f>
        <v>0.2672875513175974</v>
      </c>
      <c r="BS169" s="484">
        <f>BS147/AVERAGE((BS172+BS113),(BN172+BN113))</f>
        <v>0.24916013284298819</v>
      </c>
      <c r="BT169" s="483">
        <f>BT147*4/AVERAGE((BT172+BT113),(BO172+BO113))</f>
        <v>0.25444577760869347</v>
      </c>
      <c r="BU169" s="483">
        <f>BU147*4/AVERAGE((BU172+BU113),(BP172+BP113))</f>
        <v>0.29362244649687114</v>
      </c>
      <c r="BV169" s="483">
        <f>BV147*4/AVERAGE((BV172+BV113),(BQ172+BQ113))</f>
        <v>0.26120322122216955</v>
      </c>
      <c r="BW169" s="483">
        <f>BW147*4/AVERAGE((BW172+BW113),(BR172+BR113))</f>
        <v>0.32733804872572131</v>
      </c>
      <c r="BX169" s="484">
        <f>BX147/AVERAGE((BX172+BX113),(BS172+BS113))</f>
        <v>0.31711013809363431</v>
      </c>
      <c r="BY169" s="483"/>
      <c r="BZ169" s="483"/>
      <c r="CA169" s="483"/>
      <c r="CB169" s="483"/>
      <c r="CC169" s="484">
        <f>CC147/AVERAGE((CC172+CC113),(BX172+BX113))</f>
        <v>0.42745119916673213</v>
      </c>
      <c r="CD169" s="484">
        <f>CD147/AVERAGE((CD172+CD113),(CC172+CC113))</f>
        <v>0.5228159026324567</v>
      </c>
      <c r="CE169" s="484">
        <f>CE147/AVERAGE((CE172+CE113),(CD172+CD113))</f>
        <v>0.58474930781393242</v>
      </c>
      <c r="CF169" s="484">
        <f>CF147/AVERAGE((CF172+CF113),(CE172+CE113))</f>
        <v>0.62824867410735918</v>
      </c>
      <c r="CG169" s="484">
        <f>CG147/AVERAGE((CG172+CG113),(CF172+CF113))</f>
        <v>0.6656216243208396</v>
      </c>
      <c r="CH169" s="484">
        <f>CH147/AVERAGE((CH172+CH113),(CG172+CG113))</f>
        <v>0.70884539135116997</v>
      </c>
    </row>
    <row r="170" spans="1:86" s="55" customFormat="1">
      <c r="A170"/>
      <c r="B170"/>
      <c r="C170"/>
      <c r="D170"/>
      <c r="E170"/>
      <c r="F170"/>
      <c r="G170" s="234"/>
      <c r="L170" s="483"/>
      <c r="M170" s="483"/>
      <c r="N170" s="483"/>
      <c r="O170" s="483"/>
      <c r="P170" s="484"/>
      <c r="Q170" s="483"/>
      <c r="R170" s="483"/>
      <c r="S170" s="483"/>
      <c r="T170" s="483"/>
      <c r="U170" s="484"/>
      <c r="V170" s="483"/>
      <c r="W170" s="483"/>
      <c r="X170" s="483"/>
      <c r="Y170" s="483"/>
      <c r="Z170" s="484"/>
      <c r="AA170" s="483"/>
      <c r="AB170" s="483"/>
      <c r="AC170" s="483"/>
      <c r="AD170" s="483"/>
      <c r="AE170" s="484"/>
      <c r="AF170" s="483"/>
      <c r="AG170" s="483"/>
      <c r="AH170" s="483"/>
      <c r="AI170" s="483"/>
      <c r="AJ170" s="484"/>
      <c r="AK170" s="483"/>
      <c r="AL170" s="483"/>
      <c r="AM170" s="483"/>
      <c r="AN170" s="483"/>
      <c r="AO170" s="484"/>
      <c r="AP170" s="483"/>
      <c r="AQ170" s="483"/>
      <c r="AR170" s="483"/>
      <c r="AS170" s="483"/>
      <c r="AT170" s="484"/>
      <c r="AU170" s="483"/>
      <c r="AV170" s="483"/>
      <c r="AW170" s="483"/>
      <c r="AX170" s="483"/>
      <c r="AY170" s="484"/>
      <c r="AZ170" s="483"/>
      <c r="BA170" s="483"/>
      <c r="BB170" s="483"/>
      <c r="BC170" s="483"/>
      <c r="BD170" s="484"/>
      <c r="BE170" s="483"/>
      <c r="BF170" s="483"/>
      <c r="BG170" s="483"/>
      <c r="BH170" s="483"/>
      <c r="BI170" s="484"/>
      <c r="BJ170" s="483"/>
      <c r="BK170" s="483"/>
      <c r="BL170" s="483"/>
      <c r="BM170" s="483"/>
      <c r="BN170" s="484"/>
      <c r="BO170" s="483"/>
      <c r="BP170" s="483"/>
      <c r="BQ170" s="483"/>
      <c r="BR170" s="483"/>
      <c r="BS170" s="484"/>
      <c r="BT170" s="483"/>
      <c r="BU170" s="483"/>
      <c r="BV170" s="483"/>
      <c r="BW170" s="483"/>
      <c r="BX170" s="484"/>
      <c r="BY170" s="483"/>
      <c r="BZ170" s="483"/>
      <c r="CA170" s="483"/>
      <c r="CB170" s="483"/>
      <c r="CC170" s="484"/>
      <c r="CD170" s="484"/>
      <c r="CE170" s="484"/>
      <c r="CF170" s="484"/>
      <c r="CG170" s="484"/>
      <c r="CH170" s="484"/>
    </row>
    <row r="171" spans="1:86" s="77" customFormat="1">
      <c r="A171"/>
      <c r="B171"/>
      <c r="C171"/>
      <c r="D171"/>
      <c r="E171"/>
      <c r="F171"/>
      <c r="G171" s="230"/>
      <c r="H171" s="250" t="s">
        <v>47</v>
      </c>
      <c r="I171" s="250"/>
      <c r="J171" s="250"/>
      <c r="K171" s="250"/>
      <c r="L171" s="384"/>
      <c r="M171" s="384"/>
      <c r="N171" s="384"/>
      <c r="O171" s="384"/>
      <c r="P171" s="377"/>
      <c r="Q171" s="384"/>
      <c r="R171" s="384"/>
      <c r="S171" s="384"/>
      <c r="T171" s="384"/>
      <c r="U171" s="377"/>
      <c r="V171" s="384"/>
      <c r="W171" s="384"/>
      <c r="X171" s="384"/>
      <c r="Y171" s="384"/>
      <c r="AA171" s="384"/>
      <c r="AB171" s="384"/>
      <c r="AC171" s="384"/>
      <c r="AD171" s="384"/>
      <c r="AF171" s="384"/>
      <c r="AG171" s="384"/>
      <c r="AH171" s="384"/>
      <c r="AI171" s="384"/>
      <c r="AK171" s="384"/>
      <c r="AL171" s="384"/>
      <c r="AM171" s="384"/>
      <c r="AN171" s="384"/>
      <c r="AP171" s="384"/>
      <c r="AQ171" s="384"/>
      <c r="AR171" s="384"/>
      <c r="AS171" s="384"/>
      <c r="AU171" s="384"/>
      <c r="AV171" s="384"/>
      <c r="AW171" s="384"/>
      <c r="AX171" s="384"/>
      <c r="AZ171" s="384"/>
      <c r="BA171" s="384"/>
      <c r="BB171" s="384"/>
      <c r="BC171" s="384"/>
      <c r="BE171" s="384"/>
      <c r="BF171" s="384"/>
      <c r="BG171" s="384"/>
      <c r="BH171" s="384"/>
      <c r="BJ171" s="384"/>
      <c r="BK171" s="384"/>
      <c r="BL171" s="384"/>
      <c r="BM171" s="384"/>
      <c r="BO171" s="384"/>
      <c r="BP171" s="384"/>
      <c r="BQ171" s="384"/>
      <c r="BR171" s="384"/>
      <c r="BT171" s="384"/>
      <c r="BU171" s="384"/>
      <c r="BV171" s="384"/>
      <c r="BW171" s="384"/>
      <c r="BY171" s="408"/>
      <c r="BZ171" s="408"/>
      <c r="CA171" s="408"/>
      <c r="CB171" s="408"/>
    </row>
    <row r="172" spans="1:86">
      <c r="G172" s="230"/>
      <c r="H172" s="473" t="s">
        <v>66</v>
      </c>
      <c r="I172" s="473"/>
      <c r="J172" s="473"/>
      <c r="K172" s="473"/>
      <c r="L172" s="400">
        <v>-1030.2</v>
      </c>
      <c r="M172" s="400">
        <v>-825</v>
      </c>
      <c r="N172" s="400">
        <v>277.3</v>
      </c>
      <c r="O172" s="400">
        <v>1460.5</v>
      </c>
      <c r="P172" s="399">
        <f t="shared" ref="P172:AU172" si="282">P86+P96-P66</f>
        <v>1460.5</v>
      </c>
      <c r="Q172" s="400">
        <f t="shared" si="282"/>
        <v>1844.8000000000002</v>
      </c>
      <c r="R172" s="400">
        <f t="shared" si="282"/>
        <v>1725.9000000000005</v>
      </c>
      <c r="S172" s="400">
        <f t="shared" si="282"/>
        <v>1268.9999999999995</v>
      </c>
      <c r="T172" s="400">
        <f t="shared" si="282"/>
        <v>-177.19999999999982</v>
      </c>
      <c r="U172" s="399">
        <f t="shared" si="282"/>
        <v>-177.19999999999982</v>
      </c>
      <c r="V172" s="400">
        <f t="shared" si="282"/>
        <v>1994.2999999999997</v>
      </c>
      <c r="W172" s="400">
        <f t="shared" si="282"/>
        <v>2033.7999999999997</v>
      </c>
      <c r="X172" s="400">
        <f t="shared" si="282"/>
        <v>1408.5</v>
      </c>
      <c r="Y172" s="400">
        <f t="shared" si="282"/>
        <v>176</v>
      </c>
      <c r="Z172" s="399">
        <f t="shared" si="282"/>
        <v>176</v>
      </c>
      <c r="AA172" s="400">
        <f t="shared" si="282"/>
        <v>-713.19999999999982</v>
      </c>
      <c r="AB172" s="400">
        <f t="shared" si="282"/>
        <v>-556.19999999999982</v>
      </c>
      <c r="AC172" s="400">
        <f t="shared" si="282"/>
        <v>-1506.6999999999989</v>
      </c>
      <c r="AD172" s="400">
        <f t="shared" si="282"/>
        <v>4535.9000000000015</v>
      </c>
      <c r="AE172" s="399">
        <f t="shared" si="282"/>
        <v>4535.9000000000015</v>
      </c>
      <c r="AF172" s="400">
        <f t="shared" si="282"/>
        <v>4965.3</v>
      </c>
      <c r="AG172" s="400">
        <f t="shared" si="282"/>
        <v>4232.5</v>
      </c>
      <c r="AH172" s="400">
        <f t="shared" si="282"/>
        <v>3463.099999999999</v>
      </c>
      <c r="AI172" s="400">
        <f t="shared" si="282"/>
        <v>2164.4999999999982</v>
      </c>
      <c r="AJ172" s="399">
        <f t="shared" si="282"/>
        <v>2164.4999999999982</v>
      </c>
      <c r="AK172" s="400">
        <f t="shared" si="282"/>
        <v>1922.9999999999973</v>
      </c>
      <c r="AL172" s="400">
        <f t="shared" si="282"/>
        <v>1692.2999999999956</v>
      </c>
      <c r="AM172" s="400">
        <f t="shared" si="282"/>
        <v>996.99999999999636</v>
      </c>
      <c r="AN172" s="400">
        <f t="shared" si="282"/>
        <v>199.49999999999545</v>
      </c>
      <c r="AO172" s="399">
        <f t="shared" si="282"/>
        <v>199.49999999999545</v>
      </c>
      <c r="AP172" s="400">
        <f t="shared" si="282"/>
        <v>-40.80000000000382</v>
      </c>
      <c r="AQ172" s="400">
        <f t="shared" si="282"/>
        <v>398.79999999999654</v>
      </c>
      <c r="AR172" s="400">
        <f t="shared" si="282"/>
        <v>295.69999999999618</v>
      </c>
      <c r="AS172" s="400">
        <f t="shared" si="282"/>
        <v>89.899999999995998</v>
      </c>
      <c r="AT172" s="399">
        <f t="shared" si="282"/>
        <v>89.899999999995998</v>
      </c>
      <c r="AU172" s="400">
        <f t="shared" si="282"/>
        <v>489.19999999999618</v>
      </c>
      <c r="AV172" s="400">
        <f t="shared" ref="AV172:BN172" si="283">AV86+AV96-AV66</f>
        <v>247.79999999999563</v>
      </c>
      <c r="AW172" s="400">
        <f t="shared" si="283"/>
        <v>-1379.9000000000042</v>
      </c>
      <c r="AX172" s="400">
        <f t="shared" si="283"/>
        <v>-153.00000000000455</v>
      </c>
      <c r="AY172" s="399">
        <f t="shared" si="283"/>
        <v>-153.00000000000455</v>
      </c>
      <c r="AZ172" s="400">
        <f t="shared" si="283"/>
        <v>727.19999999999618</v>
      </c>
      <c r="BA172" s="400">
        <f t="shared" si="283"/>
        <v>602.99999999999636</v>
      </c>
      <c r="BB172" s="400">
        <f t="shared" si="283"/>
        <v>-96.400000000004184</v>
      </c>
      <c r="BC172" s="400">
        <f t="shared" si="283"/>
        <v>-184.40000000000418</v>
      </c>
      <c r="BD172" s="399">
        <f t="shared" si="283"/>
        <v>-184.40000000000418</v>
      </c>
      <c r="BE172" s="400">
        <f t="shared" si="283"/>
        <v>51.999999999995453</v>
      </c>
      <c r="BF172" s="400">
        <f t="shared" si="283"/>
        <v>184.79999999999472</v>
      </c>
      <c r="BG172" s="400">
        <f t="shared" si="283"/>
        <v>795.69999999999709</v>
      </c>
      <c r="BH172" s="400">
        <f t="shared" si="283"/>
        <v>3194.4999999999982</v>
      </c>
      <c r="BI172" s="399">
        <f t="shared" si="283"/>
        <v>3194.4999999999982</v>
      </c>
      <c r="BJ172" s="400">
        <f t="shared" si="283"/>
        <v>4080.7999999999947</v>
      </c>
      <c r="BK172" s="400">
        <f t="shared" si="283"/>
        <v>3768.4999999999955</v>
      </c>
      <c r="BL172" s="400">
        <f t="shared" si="283"/>
        <v>3759.6999999999953</v>
      </c>
      <c r="BM172" s="400">
        <f t="shared" si="283"/>
        <v>3526.6999999999953</v>
      </c>
      <c r="BN172" s="399">
        <f t="shared" si="283"/>
        <v>3526.6999999999953</v>
      </c>
      <c r="BO172" s="400">
        <f t="shared" ref="BO172:BX172" si="284">BO86+BO96-BO66</f>
        <v>5130.8999999999942</v>
      </c>
      <c r="BP172" s="400">
        <f t="shared" si="284"/>
        <v>5396.4999999999936</v>
      </c>
      <c r="BQ172" s="400">
        <f t="shared" si="284"/>
        <v>5121.9999999999927</v>
      </c>
      <c r="BR172" s="400">
        <f t="shared" si="284"/>
        <v>4266.5999999999931</v>
      </c>
      <c r="BS172" s="399">
        <f t="shared" si="284"/>
        <v>4266.5999999999931</v>
      </c>
      <c r="BT172" s="400">
        <f t="shared" si="284"/>
        <v>6741.1999999999935</v>
      </c>
      <c r="BU172" s="400">
        <f t="shared" si="284"/>
        <v>6877.9999999999927</v>
      </c>
      <c r="BV172" s="400">
        <f t="shared" si="284"/>
        <v>6521.5999999999949</v>
      </c>
      <c r="BW172" s="400">
        <f t="shared" si="284"/>
        <v>5612.9999999999945</v>
      </c>
      <c r="BX172" s="399">
        <f t="shared" si="284"/>
        <v>5612.9999999999964</v>
      </c>
      <c r="BY172" s="400"/>
      <c r="BZ172" s="400"/>
      <c r="CA172" s="400"/>
      <c r="CB172" s="400"/>
      <c r="CC172" s="399">
        <f t="shared" ref="CC172:CH172" si="285">CC86+CC96-CC66</f>
        <v>-180.71499790417056</v>
      </c>
      <c r="CD172" s="399">
        <f t="shared" si="285"/>
        <v>77.072329600380726</v>
      </c>
      <c r="CE172" s="399">
        <f t="shared" si="285"/>
        <v>-4393.7519072221885</v>
      </c>
      <c r="CF172" s="399">
        <f t="shared" si="285"/>
        <v>-5273.3799950276853</v>
      </c>
      <c r="CG172" s="399">
        <f t="shared" si="285"/>
        <v>-10692.498533878355</v>
      </c>
      <c r="CH172" s="399">
        <f t="shared" si="285"/>
        <v>-12358.892894658029</v>
      </c>
    </row>
    <row r="173" spans="1:86" s="77" customFormat="1">
      <c r="A173"/>
      <c r="B173"/>
      <c r="C173"/>
      <c r="D173"/>
      <c r="E173"/>
      <c r="F173"/>
      <c r="G173" s="230"/>
      <c r="H173" s="77" t="s">
        <v>67</v>
      </c>
      <c r="L173" s="474">
        <v>1.0038024452913483</v>
      </c>
      <c r="M173" s="474">
        <v>1.2806255599267713</v>
      </c>
      <c r="N173" s="474">
        <v>1.178928781636257</v>
      </c>
      <c r="O173" s="474">
        <v>1.2777082812109082</v>
      </c>
      <c r="P173" s="475">
        <f>P172/P113</f>
        <v>0.13533298121739457</v>
      </c>
      <c r="Q173" s="474">
        <f>Q100/Q113</f>
        <v>1.0648612132510136</v>
      </c>
      <c r="R173" s="474">
        <f>R100/R113</f>
        <v>1.0485056796747287</v>
      </c>
      <c r="S173" s="474">
        <f>S100/S113</f>
        <v>0.83178472121151792</v>
      </c>
      <c r="T173" s="474">
        <f>T100/T113</f>
        <v>0.99945358674765727</v>
      </c>
      <c r="U173" s="475">
        <f>U172/U113</f>
        <v>-1.6137404719189105E-2</v>
      </c>
      <c r="V173" s="474">
        <f>V100/V113</f>
        <v>1.0576994771933175</v>
      </c>
      <c r="W173" s="474">
        <f>W100/W113</f>
        <v>1.0809342560553634</v>
      </c>
      <c r="X173" s="474">
        <f>X100/X113</f>
        <v>0.92891734700970896</v>
      </c>
      <c r="Y173" s="474">
        <f>Y100/Y113</f>
        <v>0.96040806767951759</v>
      </c>
      <c r="Z173" s="475">
        <f>Z172/Z113</f>
        <v>1.2880185006293725E-2</v>
      </c>
      <c r="AA173" s="474">
        <f>AA100/AA113</f>
        <v>0.82560931442904828</v>
      </c>
      <c r="AB173" s="474">
        <f>AB100/AB113</f>
        <v>0.88302347672682857</v>
      </c>
      <c r="AC173" s="474">
        <f>AC100/AC113</f>
        <v>1.0162935902660533</v>
      </c>
      <c r="AD173" s="474">
        <f>AD100/AD113</f>
        <v>3.3372381334164798</v>
      </c>
      <c r="AE173" s="475">
        <f>AE172/AE113</f>
        <v>0.67345181357920281</v>
      </c>
      <c r="AF173" s="474">
        <f>AF100/AF113</f>
        <v>2.4430405965202975</v>
      </c>
      <c r="AG173" s="474">
        <f>AG100/AG113</f>
        <v>2.1462032710280381</v>
      </c>
      <c r="AH173" s="474">
        <f>AH100/AH113</f>
        <v>1.7388086824835942</v>
      </c>
      <c r="AI173" s="474">
        <f>AI100/AI113</f>
        <v>1.8829433193705178</v>
      </c>
      <c r="AJ173" s="475">
        <f>AJ172/AJ113</f>
        <v>0.22723693741929363</v>
      </c>
      <c r="AK173" s="474">
        <f>AK100/AK113</f>
        <v>1.5996004702598856</v>
      </c>
      <c r="AL173" s="474">
        <f>AL100/AL113</f>
        <v>1.7085771789786321</v>
      </c>
      <c r="AM173" s="474">
        <f>AM100/AM113</f>
        <v>1.4105678932731445</v>
      </c>
      <c r="AN173" s="474">
        <f>AN100/AN113</f>
        <v>1.4975348027842215</v>
      </c>
      <c r="AO173" s="475">
        <f>AO172/AO113</f>
        <v>1.6072119102861184E-2</v>
      </c>
      <c r="AP173" s="474">
        <f>AP100/AP113</f>
        <v>1.2746408118155326</v>
      </c>
      <c r="AQ173" s="474">
        <f>AQ100/AQ113</f>
        <v>1.295951530433564</v>
      </c>
      <c r="AR173" s="474">
        <f>AR100/AR113</f>
        <v>1.1943431687021426</v>
      </c>
      <c r="AS173" s="474">
        <f>AS100/AS113</f>
        <v>1.4867608380862309</v>
      </c>
      <c r="AT173" s="475">
        <f>AT172/AT113</f>
        <v>6.6417447324090516E-3</v>
      </c>
      <c r="AU173" s="474">
        <f>AU100/AU113</f>
        <v>1.1749355713572511</v>
      </c>
      <c r="AV173" s="474">
        <f>AV100/AV113</f>
        <v>1.2234290147401086</v>
      </c>
      <c r="AW173" s="474">
        <f>AW100/AW113</f>
        <v>1.1374611537718984</v>
      </c>
      <c r="AX173" s="474">
        <f>AX100/AX113</f>
        <v>1.3283560874244442</v>
      </c>
      <c r="AY173" s="475">
        <f>AY172/AY113</f>
        <v>-1.0356100961831644E-2</v>
      </c>
      <c r="AZ173" s="474">
        <f>AZ100/AZ113</f>
        <v>1.1597328091149799</v>
      </c>
      <c r="BA173" s="474">
        <f>BA100/BA113</f>
        <v>1.1806988527473679</v>
      </c>
      <c r="BB173" s="474">
        <f>BB100/BB113</f>
        <v>1.0102627233503587</v>
      </c>
      <c r="BC173" s="474">
        <f>BC100/BC113</f>
        <v>0.9981463320616526</v>
      </c>
      <c r="BD173" s="475">
        <f>BD172/BD113</f>
        <v>-1.0453099933676336E-2</v>
      </c>
      <c r="BE173" s="474">
        <f>BE100/BE113</f>
        <v>0.89424318889076615</v>
      </c>
      <c r="BF173" s="474">
        <f>BF100/BF113</f>
        <v>0.94602885277969129</v>
      </c>
      <c r="BG173" s="474">
        <f>BG100/BG113</f>
        <v>0.95949667750600853</v>
      </c>
      <c r="BH173" s="474">
        <f>BH100/BH113</f>
        <v>1.3594595824045848</v>
      </c>
      <c r="BI173" s="475">
        <f>BI172/BI113</f>
        <v>0.20759547962386499</v>
      </c>
      <c r="BJ173" s="474">
        <f>BJ100/BJ113</f>
        <v>1.3854254479279564</v>
      </c>
      <c r="BK173" s="474">
        <f>BK100/BK113</f>
        <v>1.45056917866906</v>
      </c>
      <c r="BL173" s="474">
        <f>BL100/BL113</f>
        <v>1.3820574900432379</v>
      </c>
      <c r="BM173" s="474">
        <f>BM100/BM113</f>
        <v>1.4378456920008489</v>
      </c>
      <c r="BN173" s="475">
        <f>BN172/BN113</f>
        <v>0.24171538624976818</v>
      </c>
      <c r="BO173" s="474">
        <f>BO100/BO113</f>
        <v>1.3082624722211134</v>
      </c>
      <c r="BP173" s="474">
        <f>BP100/BP113</f>
        <v>1.4887283197554613</v>
      </c>
      <c r="BQ173" s="474">
        <f>BQ100/BQ113</f>
        <v>1.4071965573329575</v>
      </c>
      <c r="BR173" s="474">
        <f>BR100/BR113</f>
        <v>1.7560029828486197</v>
      </c>
      <c r="BS173" s="475">
        <f>BS172/BS113</f>
        <v>0.30301480771279365</v>
      </c>
      <c r="BT173" s="474">
        <f>BT100/BT113</f>
        <v>1.6676900387841482</v>
      </c>
      <c r="BU173" s="474">
        <f>BU100/BU113</f>
        <v>1.8897224359019598</v>
      </c>
      <c r="BV173" s="474">
        <f>BV100/BV113</f>
        <v>1.8749114340333932</v>
      </c>
      <c r="BW173" s="474">
        <f>BW100/BW113</f>
        <v>2.855106745858297</v>
      </c>
      <c r="BX173" s="475">
        <f>BX172/BX113</f>
        <v>0.48106343043735367</v>
      </c>
      <c r="BY173" s="474"/>
      <c r="BZ173" s="474"/>
      <c r="CA173" s="474"/>
      <c r="CB173" s="474"/>
      <c r="CC173" s="475">
        <f t="shared" ref="CC173:CH173" si="286">CC172/CC113</f>
        <v>-1.416936326095739E-2</v>
      </c>
      <c r="CD173" s="475">
        <f t="shared" si="286"/>
        <v>5.3810066360440653E-3</v>
      </c>
      <c r="CE173" s="475">
        <f t="shared" si="286"/>
        <v>-0.26153560719709912</v>
      </c>
      <c r="CF173" s="475">
        <f t="shared" si="286"/>
        <v>-0.26701934574739888</v>
      </c>
      <c r="CG173" s="475">
        <f t="shared" si="286"/>
        <v>-0.46324307965542494</v>
      </c>
      <c r="CH173" s="475">
        <f t="shared" si="286"/>
        <v>-0.4597356913205391</v>
      </c>
    </row>
    <row r="174" spans="1:86">
      <c r="G174" s="230"/>
      <c r="H174" s="473" t="s">
        <v>68</v>
      </c>
      <c r="I174" s="473"/>
      <c r="J174" s="473"/>
      <c r="K174" s="473"/>
      <c r="L174" s="486">
        <v>-6.3640126267150141E-2</v>
      </c>
      <c r="M174" s="486">
        <v>-5.5201300743377514E-2</v>
      </c>
      <c r="N174" s="486">
        <v>1.5497247603878514E-2</v>
      </c>
      <c r="O174" s="486">
        <v>8.4470303815478209E-2</v>
      </c>
      <c r="P174" s="487">
        <v>8.4470303815478209E-2</v>
      </c>
      <c r="Q174" s="486">
        <f t="shared" ref="Q174:AV174" si="287">Q172/(Q86+Q96+Q113)</f>
        <v>0.1022463378540906</v>
      </c>
      <c r="R174" s="486">
        <f t="shared" si="287"/>
        <v>9.4595261193416352E-2</v>
      </c>
      <c r="S174" s="486">
        <f t="shared" si="287"/>
        <v>7.0727112617181828E-2</v>
      </c>
      <c r="T174" s="486">
        <f t="shared" si="287"/>
        <v>-1.2058933614617701E-2</v>
      </c>
      <c r="U174" s="487">
        <f t="shared" si="287"/>
        <v>-1.2058933614617701E-2</v>
      </c>
      <c r="V174" s="486">
        <f t="shared" si="287"/>
        <v>0.11806110548718039</v>
      </c>
      <c r="W174" s="486">
        <f t="shared" si="287"/>
        <v>0.12253135882204096</v>
      </c>
      <c r="X174" s="486">
        <f t="shared" si="287"/>
        <v>7.8594067361560604E-2</v>
      </c>
      <c r="Y174" s="486">
        <f t="shared" si="287"/>
        <v>9.4260802502195845E-3</v>
      </c>
      <c r="Z174" s="487">
        <f t="shared" si="287"/>
        <v>9.4260802502195845E-3</v>
      </c>
      <c r="AA174" s="486">
        <f t="shared" si="287"/>
        <v>-3.6329368616763856E-2</v>
      </c>
      <c r="AB174" s="486">
        <f t="shared" si="287"/>
        <v>-2.874151241744953E-2</v>
      </c>
      <c r="AC174" s="486">
        <f t="shared" si="287"/>
        <v>-8.2092439126715516E-2</v>
      </c>
      <c r="AD174" s="486">
        <f t="shared" si="287"/>
        <v>0.26375651991882459</v>
      </c>
      <c r="AE174" s="487">
        <f t="shared" si="287"/>
        <v>0.26375651991882459</v>
      </c>
      <c r="AF174" s="486">
        <f t="shared" si="287"/>
        <v>0.30653027459502169</v>
      </c>
      <c r="AG174" s="486">
        <f t="shared" si="287"/>
        <v>0.25993526951587254</v>
      </c>
      <c r="AH174" s="486">
        <f t="shared" si="287"/>
        <v>0.20021159494022148</v>
      </c>
      <c r="AI174" s="486">
        <f t="shared" si="287"/>
        <v>0.133715111753586</v>
      </c>
      <c r="AJ174" s="487">
        <f t="shared" si="287"/>
        <v>0.133715111753586</v>
      </c>
      <c r="AK174" s="486">
        <f t="shared" si="287"/>
        <v>0.11216948500032066</v>
      </c>
      <c r="AL174" s="486">
        <f t="shared" si="287"/>
        <v>9.8825054601090576E-2</v>
      </c>
      <c r="AM174" s="486">
        <f t="shared" si="287"/>
        <v>5.1016753144412515E-2</v>
      </c>
      <c r="AN174" s="486">
        <f t="shared" si="287"/>
        <v>1.0315781853531169E-2</v>
      </c>
      <c r="AO174" s="487">
        <f t="shared" si="287"/>
        <v>1.0315781853531169E-2</v>
      </c>
      <c r="AP174" s="486">
        <f t="shared" si="287"/>
        <v>-1.9799577803122225E-3</v>
      </c>
      <c r="AQ174" s="486">
        <f t="shared" si="287"/>
        <v>1.8985413413565737E-2</v>
      </c>
      <c r="AR174" s="486">
        <f t="shared" si="287"/>
        <v>1.3357183834058159E-2</v>
      </c>
      <c r="AS174" s="486">
        <f t="shared" si="287"/>
        <v>4.3805365791856768E-3</v>
      </c>
      <c r="AT174" s="487">
        <f t="shared" si="287"/>
        <v>4.3805365791856768E-3</v>
      </c>
      <c r="AU174" s="486">
        <f t="shared" si="287"/>
        <v>2.4174260243916706E-2</v>
      </c>
      <c r="AV174" s="486">
        <f t="shared" si="287"/>
        <v>1.2504289203318109E-2</v>
      </c>
      <c r="AW174" s="486">
        <f t="shared" ref="AW174:BN174" si="288">AW172/(AW86+AW96+AW113)</f>
        <v>-6.3952653068791346E-2</v>
      </c>
      <c r="AX174" s="486">
        <f t="shared" si="288"/>
        <v>-7.535015661013166E-3</v>
      </c>
      <c r="AY174" s="487">
        <f t="shared" si="288"/>
        <v>-7.535015661013166E-3</v>
      </c>
      <c r="AZ174" s="486">
        <f t="shared" si="288"/>
        <v>3.5620518045377761E-2</v>
      </c>
      <c r="BA174" s="486">
        <f t="shared" si="288"/>
        <v>2.9342494549984249E-2</v>
      </c>
      <c r="BB174" s="486">
        <f t="shared" si="288"/>
        <v>-4.3464538527437733E-3</v>
      </c>
      <c r="BC174" s="486">
        <f t="shared" si="288"/>
        <v>-8.0687506563519151E-3</v>
      </c>
      <c r="BD174" s="487">
        <f t="shared" si="288"/>
        <v>-8.0687506563519151E-3</v>
      </c>
      <c r="BE174" s="486">
        <f t="shared" si="288"/>
        <v>2.2021674409541925E-3</v>
      </c>
      <c r="BF174" s="486">
        <f t="shared" si="288"/>
        <v>7.9292545728369239E-3</v>
      </c>
      <c r="BG174" s="486">
        <f t="shared" si="288"/>
        <v>3.4167665030637832E-2</v>
      </c>
      <c r="BH174" s="486">
        <f t="shared" si="288"/>
        <v>0.13646110997197719</v>
      </c>
      <c r="BI174" s="487">
        <f t="shared" si="288"/>
        <v>0.13646110997197719</v>
      </c>
      <c r="BJ174" s="486">
        <f t="shared" si="288"/>
        <v>0.17614482481773852</v>
      </c>
      <c r="BK174" s="486">
        <f t="shared" si="288"/>
        <v>0.16597811916422933</v>
      </c>
      <c r="BL174" s="486">
        <f t="shared" si="288"/>
        <v>0.16122350963558835</v>
      </c>
      <c r="BM174" s="486">
        <f t="shared" si="288"/>
        <v>0.15626440041118683</v>
      </c>
      <c r="BN174" s="487">
        <f t="shared" si="288"/>
        <v>0.15626440041118683</v>
      </c>
      <c r="BO174" s="486">
        <f t="shared" ref="BO174:BX174" si="289">BO172/(BO86+BO96+BO113)</f>
        <v>0.22158641866009049</v>
      </c>
      <c r="BP174" s="486">
        <f t="shared" si="289"/>
        <v>0.22497133923918677</v>
      </c>
      <c r="BQ174" s="486">
        <f t="shared" si="289"/>
        <v>0.20517052145838477</v>
      </c>
      <c r="BR174" s="486">
        <f t="shared" si="289"/>
        <v>0.17496319564334803</v>
      </c>
      <c r="BS174" s="487">
        <f t="shared" si="289"/>
        <v>0.17496319564334803</v>
      </c>
      <c r="BT174" s="486">
        <f t="shared" si="289"/>
        <v>0.27684031128724224</v>
      </c>
      <c r="BU174" s="486">
        <f t="shared" si="289"/>
        <v>0.2597255473570525</v>
      </c>
      <c r="BV174" s="486">
        <f t="shared" si="289"/>
        <v>0.22942941675197773</v>
      </c>
      <c r="BW174" s="486">
        <f t="shared" si="289"/>
        <v>0.22172624925933226</v>
      </c>
      <c r="BX174" s="487">
        <f t="shared" si="289"/>
        <v>0.22172624925933232</v>
      </c>
      <c r="BY174" s="486"/>
      <c r="BZ174" s="486"/>
      <c r="CA174" s="486"/>
      <c r="CB174" s="486"/>
      <c r="CC174" s="487">
        <f t="shared" ref="CC174:CH174" si="290">CC172/(CC86+CC96+CC113)</f>
        <v>-9.8430014583132646E-3</v>
      </c>
      <c r="CD174" s="487">
        <f t="shared" si="290"/>
        <v>4.0505795817892092E-3</v>
      </c>
      <c r="CE174" s="487">
        <f t="shared" si="290"/>
        <v>-0.2043199464913816</v>
      </c>
      <c r="CF174" s="487">
        <f t="shared" si="290"/>
        <v>-0.21564924101009059</v>
      </c>
      <c r="CG174" s="487">
        <f t="shared" si="290"/>
        <v>-0.39409206740515446</v>
      </c>
      <c r="CH174" s="487">
        <f t="shared" si="290"/>
        <v>-0.39954064812986162</v>
      </c>
    </row>
    <row r="175" spans="1:86">
      <c r="G175" s="230"/>
      <c r="H175" s="473" t="s">
        <v>69</v>
      </c>
      <c r="I175" s="473"/>
      <c r="J175" s="473"/>
      <c r="K175" s="473"/>
      <c r="L175" s="400"/>
      <c r="M175" s="384">
        <v>4676.1000000000004</v>
      </c>
      <c r="N175" s="384">
        <v>6510.2</v>
      </c>
      <c r="O175" s="384">
        <v>6498.2</v>
      </c>
      <c r="P175" s="377">
        <f t="shared" ref="P175:AU175" si="291">(P86+P96)</f>
        <v>6498.2</v>
      </c>
      <c r="Q175" s="384">
        <f t="shared" si="291"/>
        <v>6348.5</v>
      </c>
      <c r="R175" s="384">
        <f t="shared" si="291"/>
        <v>6316.6</v>
      </c>
      <c r="S175" s="384">
        <f t="shared" si="291"/>
        <v>4887.5</v>
      </c>
      <c r="T175" s="384">
        <f t="shared" si="291"/>
        <v>3713.8</v>
      </c>
      <c r="U175" s="377">
        <f t="shared" si="291"/>
        <v>3713.8</v>
      </c>
      <c r="V175" s="384">
        <f t="shared" si="291"/>
        <v>5358.2</v>
      </c>
      <c r="W175" s="384">
        <f t="shared" si="291"/>
        <v>5038.2</v>
      </c>
      <c r="X175" s="384">
        <f t="shared" si="291"/>
        <v>4974.3</v>
      </c>
      <c r="Y175" s="384">
        <f t="shared" si="291"/>
        <v>5007.2</v>
      </c>
      <c r="Z175" s="377">
        <f t="shared" si="291"/>
        <v>5007.2</v>
      </c>
      <c r="AA175" s="384">
        <f t="shared" si="291"/>
        <v>4721.3</v>
      </c>
      <c r="AB175" s="384">
        <f t="shared" si="291"/>
        <v>4613.8</v>
      </c>
      <c r="AC175" s="384">
        <f t="shared" si="291"/>
        <v>4612.1000000000004</v>
      </c>
      <c r="AD175" s="384">
        <f t="shared" si="291"/>
        <v>10462</v>
      </c>
      <c r="AE175" s="377">
        <f t="shared" si="291"/>
        <v>10462</v>
      </c>
      <c r="AF175" s="384">
        <f t="shared" si="291"/>
        <v>8473.6</v>
      </c>
      <c r="AG175" s="384">
        <f t="shared" si="291"/>
        <v>7722.9</v>
      </c>
      <c r="AH175" s="384">
        <f t="shared" si="291"/>
        <v>7392.2</v>
      </c>
      <c r="AI175" s="384">
        <f t="shared" si="291"/>
        <v>6662.0999999999995</v>
      </c>
      <c r="AJ175" s="377">
        <f t="shared" si="291"/>
        <v>6662.0999999999995</v>
      </c>
      <c r="AK175" s="384">
        <f t="shared" si="291"/>
        <v>6681.4000000000005</v>
      </c>
      <c r="AL175" s="384">
        <f t="shared" si="291"/>
        <v>6888.9</v>
      </c>
      <c r="AM175" s="384">
        <f t="shared" si="291"/>
        <v>7137.1</v>
      </c>
      <c r="AN175" s="384">
        <f t="shared" si="291"/>
        <v>6926.5</v>
      </c>
      <c r="AO175" s="377">
        <f t="shared" si="291"/>
        <v>6926.5</v>
      </c>
      <c r="AP175" s="384">
        <f t="shared" si="291"/>
        <v>6672.2999999999993</v>
      </c>
      <c r="AQ175" s="384">
        <f t="shared" si="291"/>
        <v>6728.6</v>
      </c>
      <c r="AR175" s="384">
        <f t="shared" si="291"/>
        <v>7080</v>
      </c>
      <c r="AS175" s="384">
        <f t="shared" si="291"/>
        <v>6987</v>
      </c>
      <c r="AT175" s="377">
        <f t="shared" si="291"/>
        <v>6987</v>
      </c>
      <c r="AU175" s="384">
        <f t="shared" si="291"/>
        <v>5413.8</v>
      </c>
      <c r="AV175" s="384">
        <f t="shared" ref="AV175:BN175" si="292">(AV86+AV96)</f>
        <v>5509.3</v>
      </c>
      <c r="AW175" s="384">
        <f t="shared" si="292"/>
        <v>5520</v>
      </c>
      <c r="AX175" s="384">
        <f t="shared" si="292"/>
        <v>5531.2999999999993</v>
      </c>
      <c r="AY175" s="377">
        <f t="shared" si="292"/>
        <v>5531.2999999999993</v>
      </c>
      <c r="AZ175" s="384">
        <f t="shared" si="292"/>
        <v>5459.6</v>
      </c>
      <c r="BA175" s="384">
        <f t="shared" si="292"/>
        <v>5314</v>
      </c>
      <c r="BB175" s="384">
        <f t="shared" si="292"/>
        <v>5282.9000000000005</v>
      </c>
      <c r="BC175" s="384">
        <f t="shared" si="292"/>
        <v>5212.9000000000005</v>
      </c>
      <c r="BD175" s="377">
        <f t="shared" si="292"/>
        <v>5212.9000000000005</v>
      </c>
      <c r="BE175" s="384">
        <f t="shared" si="292"/>
        <v>5264.4000000000005</v>
      </c>
      <c r="BF175" s="384">
        <f t="shared" si="292"/>
        <v>5311.3</v>
      </c>
      <c r="BG175" s="384">
        <f t="shared" si="292"/>
        <v>5605.6</v>
      </c>
      <c r="BH175" s="384">
        <f t="shared" si="292"/>
        <v>8021.5</v>
      </c>
      <c r="BI175" s="377">
        <f t="shared" si="292"/>
        <v>8021.5</v>
      </c>
      <c r="BJ175" s="384">
        <f t="shared" si="292"/>
        <v>8220.7000000000007</v>
      </c>
      <c r="BK175" s="384">
        <f t="shared" si="292"/>
        <v>7999.4000000000005</v>
      </c>
      <c r="BL175" s="384">
        <f t="shared" si="292"/>
        <v>8078.9000000000005</v>
      </c>
      <c r="BM175" s="384">
        <f t="shared" si="292"/>
        <v>7978.5</v>
      </c>
      <c r="BN175" s="377">
        <f t="shared" si="292"/>
        <v>7978.5</v>
      </c>
      <c r="BO175" s="384">
        <f t="shared" ref="BO175:BX175" si="293">(BO86+BO96)</f>
        <v>8125.9000000000005</v>
      </c>
      <c r="BP175" s="384">
        <f t="shared" si="293"/>
        <v>9331.2999999999993</v>
      </c>
      <c r="BQ175" s="384">
        <f t="shared" si="293"/>
        <v>9348.7999999999993</v>
      </c>
      <c r="BR175" s="384">
        <f t="shared" si="293"/>
        <v>10305.199999999999</v>
      </c>
      <c r="BS175" s="377">
        <f t="shared" si="293"/>
        <v>10305.199999999999</v>
      </c>
      <c r="BT175" s="384">
        <f t="shared" si="293"/>
        <v>10246.799999999999</v>
      </c>
      <c r="BU175" s="384">
        <f t="shared" si="293"/>
        <v>12312.099999999999</v>
      </c>
      <c r="BV175" s="384">
        <f t="shared" si="293"/>
        <v>13464.7</v>
      </c>
      <c r="BW175" s="384">
        <f t="shared" si="293"/>
        <v>13647.1</v>
      </c>
      <c r="BX175" s="377">
        <f t="shared" si="293"/>
        <v>13647.1</v>
      </c>
      <c r="BY175" s="384"/>
      <c r="BZ175" s="384"/>
      <c r="CA175" s="384"/>
      <c r="CB175" s="384"/>
      <c r="CC175" s="377">
        <f t="shared" ref="CC175:CH175" si="294">(CC86+CC96)</f>
        <v>5605.8200000000006</v>
      </c>
      <c r="CD175" s="377">
        <f t="shared" si="294"/>
        <v>4704.45</v>
      </c>
      <c r="CE175" s="377">
        <f t="shared" si="294"/>
        <v>4704.45</v>
      </c>
      <c r="CF175" s="377">
        <f t="shared" si="294"/>
        <v>4704.45</v>
      </c>
      <c r="CG175" s="377">
        <f t="shared" si="294"/>
        <v>4050.15</v>
      </c>
      <c r="CH175" s="377">
        <f t="shared" si="294"/>
        <v>4050.15</v>
      </c>
    </row>
    <row r="176" spans="1:86">
      <c r="G176" s="230"/>
      <c r="H176" s="473" t="s">
        <v>435</v>
      </c>
      <c r="I176" s="473"/>
      <c r="J176" s="473"/>
      <c r="K176" s="473"/>
      <c r="L176" s="400"/>
      <c r="M176" s="486">
        <v>0.31288097261346376</v>
      </c>
      <c r="N176" s="486">
        <v>0.36383044122167274</v>
      </c>
      <c r="O176" s="486">
        <v>0.37583356949930879</v>
      </c>
      <c r="P176" s="487"/>
      <c r="Q176" s="486">
        <f t="shared" ref="Q176:AV176" si="295">(Q86+Q96)/(Q86+Q96+Q113)</f>
        <v>0.35185975491473009</v>
      </c>
      <c r="R176" s="486">
        <f t="shared" si="295"/>
        <v>0.34620802297603198</v>
      </c>
      <c r="S176" s="486">
        <f t="shared" si="295"/>
        <v>0.27240249244797188</v>
      </c>
      <c r="T176" s="486">
        <f t="shared" si="295"/>
        <v>0.25273401612848345</v>
      </c>
      <c r="U176" s="487">
        <f t="shared" si="295"/>
        <v>0.25273401612848345</v>
      </c>
      <c r="V176" s="486">
        <f t="shared" si="295"/>
        <v>0.31720153207712481</v>
      </c>
      <c r="W176" s="486">
        <f t="shared" si="295"/>
        <v>0.30353893795712794</v>
      </c>
      <c r="X176" s="486">
        <f t="shared" si="295"/>
        <v>0.27756511840724951</v>
      </c>
      <c r="Y176" s="486">
        <f t="shared" si="295"/>
        <v>0.26817198311874713</v>
      </c>
      <c r="Z176" s="487">
        <f t="shared" si="295"/>
        <v>0.26817198311874713</v>
      </c>
      <c r="AA176" s="486">
        <f t="shared" si="295"/>
        <v>0.24049614140539435</v>
      </c>
      <c r="AB176" s="486">
        <f t="shared" si="295"/>
        <v>0.2384170981510764</v>
      </c>
      <c r="AC176" s="486">
        <f t="shared" si="295"/>
        <v>0.25128993064068822</v>
      </c>
      <c r="AD176" s="486">
        <f t="shared" si="295"/>
        <v>0.60835131096160455</v>
      </c>
      <c r="AE176" s="487">
        <f t="shared" si="295"/>
        <v>0.60835131096160455</v>
      </c>
      <c r="AF176" s="486">
        <f t="shared" si="295"/>
        <v>0.52311339391544831</v>
      </c>
      <c r="AG176" s="486">
        <f t="shared" si="295"/>
        <v>0.47429511941975949</v>
      </c>
      <c r="AH176" s="486">
        <f t="shared" si="295"/>
        <v>0.42736396642231111</v>
      </c>
      <c r="AI176" s="486">
        <f t="shared" si="295"/>
        <v>0.41156084361911111</v>
      </c>
      <c r="AJ176" s="487">
        <f t="shared" si="295"/>
        <v>0.41156084361911111</v>
      </c>
      <c r="AK176" s="486">
        <f t="shared" si="295"/>
        <v>0.38972917164906062</v>
      </c>
      <c r="AL176" s="486">
        <f t="shared" si="295"/>
        <v>0.40229032597143211</v>
      </c>
      <c r="AM176" s="486">
        <f t="shared" si="295"/>
        <v>0.36520729073920555</v>
      </c>
      <c r="AN176" s="486">
        <f t="shared" si="295"/>
        <v>0.35815670680945</v>
      </c>
      <c r="AO176" s="487">
        <f t="shared" si="295"/>
        <v>0.35815670680945</v>
      </c>
      <c r="AP176" s="486">
        <f t="shared" si="295"/>
        <v>0.32379588964647066</v>
      </c>
      <c r="AQ176" s="486">
        <f t="shared" si="295"/>
        <v>0.32032410404844414</v>
      </c>
      <c r="AR176" s="486">
        <f t="shared" si="295"/>
        <v>0.31981353244887717</v>
      </c>
      <c r="AS176" s="486">
        <f t="shared" si="295"/>
        <v>0.34045393858477963</v>
      </c>
      <c r="AT176" s="487">
        <f t="shared" si="295"/>
        <v>0.34045393858477963</v>
      </c>
      <c r="AU176" s="486">
        <f t="shared" si="295"/>
        <v>0.26752782115396012</v>
      </c>
      <c r="AV176" s="486">
        <f t="shared" si="295"/>
        <v>0.27800597460791637</v>
      </c>
      <c r="AW176" s="486">
        <f t="shared" ref="AW176:BN176" si="296">(AW86+AW96)/(AW86+AW96+AW113)</f>
        <v>0.25582915061941242</v>
      </c>
      <c r="AX176" s="486">
        <f t="shared" si="296"/>
        <v>0.27240805310954824</v>
      </c>
      <c r="AY176" s="487">
        <f t="shared" si="296"/>
        <v>0.27240805310954824</v>
      </c>
      <c r="AZ176" s="486">
        <f t="shared" si="296"/>
        <v>0.26742819075982599</v>
      </c>
      <c r="BA176" s="486">
        <f t="shared" si="296"/>
        <v>0.25858377452507003</v>
      </c>
      <c r="BB176" s="486">
        <f t="shared" si="296"/>
        <v>0.23819378691555068</v>
      </c>
      <c r="BC176" s="486">
        <f t="shared" si="296"/>
        <v>0.22809973045822099</v>
      </c>
      <c r="BD176" s="487">
        <f t="shared" si="296"/>
        <v>0.22809973045822099</v>
      </c>
      <c r="BE176" s="486">
        <f t="shared" si="296"/>
        <v>0.22294404377231283</v>
      </c>
      <c r="BF176" s="486">
        <f t="shared" si="296"/>
        <v>0.22789312669215347</v>
      </c>
      <c r="BG176" s="486">
        <f t="shared" si="296"/>
        <v>0.24070662698975009</v>
      </c>
      <c r="BH176" s="486">
        <f t="shared" si="296"/>
        <v>0.34265856742532969</v>
      </c>
      <c r="BI176" s="487">
        <f t="shared" si="296"/>
        <v>0.34265856742532969</v>
      </c>
      <c r="BJ176" s="486">
        <f t="shared" si="296"/>
        <v>0.35484065903234291</v>
      </c>
      <c r="BK176" s="486">
        <f t="shared" si="296"/>
        <v>0.35232197596983889</v>
      </c>
      <c r="BL176" s="486">
        <f t="shared" si="296"/>
        <v>0.34643950634224974</v>
      </c>
      <c r="BM176" s="486">
        <f t="shared" si="296"/>
        <v>0.35351901740455832</v>
      </c>
      <c r="BN176" s="487">
        <f t="shared" si="296"/>
        <v>0.35351901740455832</v>
      </c>
      <c r="BO176" s="486">
        <f t="shared" ref="BO176:BX176" si="297">(BO86+BO96)/(BO86+BO96+BO113)</f>
        <v>0.35093045652615168</v>
      </c>
      <c r="BP176" s="486">
        <f t="shared" si="297"/>
        <v>0.3890067743616466</v>
      </c>
      <c r="BQ176" s="486">
        <f t="shared" si="297"/>
        <v>0.37448226688991604</v>
      </c>
      <c r="BR176" s="486">
        <f t="shared" si="297"/>
        <v>0.42259192887634955</v>
      </c>
      <c r="BS176" s="487">
        <f t="shared" si="297"/>
        <v>0.42259192887634955</v>
      </c>
      <c r="BT176" s="486">
        <f t="shared" si="297"/>
        <v>0.4208045009342723</v>
      </c>
      <c r="BU176" s="486">
        <f t="shared" si="297"/>
        <v>0.46492685542523543</v>
      </c>
      <c r="BV176" s="486">
        <f t="shared" si="297"/>
        <v>0.47368717304654639</v>
      </c>
      <c r="BW176" s="486">
        <f t="shared" si="297"/>
        <v>0.53909144775824624</v>
      </c>
      <c r="BX176" s="487">
        <f t="shared" si="297"/>
        <v>0.53909144775824624</v>
      </c>
      <c r="BY176" s="486"/>
      <c r="BZ176" s="486"/>
      <c r="CA176" s="486"/>
      <c r="CB176" s="486"/>
      <c r="CC176" s="487">
        <f t="shared" ref="CC176:CH176" si="298">(CC86+CC96)/(CC86+CC96+CC113)</f>
        <v>0.30533212558429423</v>
      </c>
      <c r="CD176" s="487">
        <f t="shared" si="298"/>
        <v>0.24724501273481825</v>
      </c>
      <c r="CE176" s="487">
        <f t="shared" si="298"/>
        <v>0.21876814908265424</v>
      </c>
      <c r="CF176" s="487">
        <f t="shared" si="298"/>
        <v>0.19238345668745885</v>
      </c>
      <c r="CG176" s="487">
        <f t="shared" si="298"/>
        <v>0.14927586679051352</v>
      </c>
      <c r="CH176" s="487">
        <f t="shared" si="298"/>
        <v>0.13093402215036631</v>
      </c>
    </row>
    <row r="177" spans="1:86">
      <c r="G177" s="230"/>
      <c r="H177" s="473" t="s">
        <v>685</v>
      </c>
      <c r="I177" s="473"/>
      <c r="J177" s="473"/>
      <c r="K177" s="473"/>
      <c r="L177" s="400">
        <f t="shared" ref="L177:AQ177" si="299">L147/L178</f>
        <v>34.382113821138205</v>
      </c>
      <c r="M177" s="400">
        <f t="shared" si="299"/>
        <v>73.991666666666646</v>
      </c>
      <c r="N177" s="400">
        <f t="shared" si="299"/>
        <v>38.415637860082285</v>
      </c>
      <c r="O177" s="400">
        <f t="shared" si="299"/>
        <v>22.153498871331823</v>
      </c>
      <c r="P177" s="399">
        <f t="shared" si="299"/>
        <v>34.682509505703408</v>
      </c>
      <c r="Q177" s="400">
        <f t="shared" si="299"/>
        <v>15.763076923076925</v>
      </c>
      <c r="R177" s="400">
        <f t="shared" si="299"/>
        <v>15.057575757575757</v>
      </c>
      <c r="S177" s="400">
        <f t="shared" si="299"/>
        <v>16.742424242424242</v>
      </c>
      <c r="T177" s="400">
        <f t="shared" si="299"/>
        <v>23.71076233183857</v>
      </c>
      <c r="U177" s="399">
        <f t="shared" si="299"/>
        <v>17.312840956777173</v>
      </c>
      <c r="V177" s="400">
        <f t="shared" si="299"/>
        <v>21.371698113207543</v>
      </c>
      <c r="W177" s="400">
        <f t="shared" si="299"/>
        <v>21.23559322033897</v>
      </c>
      <c r="X177" s="400">
        <f t="shared" si="299"/>
        <v>21.682795698924743</v>
      </c>
      <c r="Y177" s="400">
        <f t="shared" si="299"/>
        <v>19.993377483443691</v>
      </c>
      <c r="Z177" s="399">
        <f t="shared" si="299"/>
        <v>21.047765118317255</v>
      </c>
      <c r="AA177" s="400">
        <f t="shared" si="299"/>
        <v>17.17886178861789</v>
      </c>
      <c r="AB177" s="400">
        <f t="shared" si="299"/>
        <v>19.443148688046648</v>
      </c>
      <c r="AC177" s="400">
        <f t="shared" si="299"/>
        <v>23.224193548387113</v>
      </c>
      <c r="AD177" s="400">
        <f t="shared" si="299"/>
        <v>24.36661211129298</v>
      </c>
      <c r="AE177" s="399">
        <f t="shared" si="299"/>
        <v>20.829755178907728</v>
      </c>
      <c r="AF177" s="400">
        <f t="shared" si="299"/>
        <v>20.018264840182656</v>
      </c>
      <c r="AG177" s="400">
        <f t="shared" si="299"/>
        <v>24.830637636080873</v>
      </c>
      <c r="AH177" s="400">
        <f t="shared" si="299"/>
        <v>28.486486486486502</v>
      </c>
      <c r="AI177" s="400">
        <f t="shared" si="299"/>
        <v>26.561752988047797</v>
      </c>
      <c r="AJ177" s="399">
        <f t="shared" si="299"/>
        <v>24.378147722923856</v>
      </c>
      <c r="AK177" s="400">
        <f t="shared" si="299"/>
        <v>35.911764705882341</v>
      </c>
      <c r="AL177" s="400">
        <f t="shared" si="299"/>
        <v>37.520000000000017</v>
      </c>
      <c r="AM177" s="400">
        <f t="shared" si="299"/>
        <v>37.131355932203391</v>
      </c>
      <c r="AN177" s="400">
        <f t="shared" si="299"/>
        <v>35.372222222222227</v>
      </c>
      <c r="AO177" s="399">
        <f t="shared" si="299"/>
        <v>36.50824797843665</v>
      </c>
      <c r="AP177" s="400">
        <f t="shared" si="299"/>
        <v>38.196506550218352</v>
      </c>
      <c r="AQ177" s="400">
        <f t="shared" si="299"/>
        <v>38.168514412416854</v>
      </c>
      <c r="AR177" s="400">
        <f t="shared" ref="AR177:BN177" si="300">AR147/AR178</f>
        <v>35.804444444444428</v>
      </c>
      <c r="AS177" s="400">
        <f t="shared" si="300"/>
        <v>24.719999999999995</v>
      </c>
      <c r="AT177" s="399">
        <f t="shared" si="300"/>
        <v>33.986013986014008</v>
      </c>
      <c r="AU177" s="400">
        <f t="shared" si="300"/>
        <v>31.017660044150119</v>
      </c>
      <c r="AV177" s="400">
        <f t="shared" si="300"/>
        <v>27.958139534883721</v>
      </c>
      <c r="AW177" s="400">
        <f t="shared" si="300"/>
        <v>24.244680851063805</v>
      </c>
      <c r="AX177" s="400">
        <f t="shared" si="300"/>
        <v>29.774851737089179</v>
      </c>
      <c r="AY177" s="399">
        <f t="shared" si="300"/>
        <v>28.191167419898836</v>
      </c>
      <c r="AZ177" s="400">
        <f t="shared" si="300"/>
        <v>35.813895781637711</v>
      </c>
      <c r="BA177" s="400">
        <f t="shared" si="300"/>
        <v>38.870967741935495</v>
      </c>
      <c r="BB177" s="400">
        <f t="shared" si="300"/>
        <v>38.811557788944725</v>
      </c>
      <c r="BC177" s="400">
        <f t="shared" si="300"/>
        <v>25.020151133501241</v>
      </c>
      <c r="BD177" s="399">
        <f t="shared" si="300"/>
        <v>34.652092442223633</v>
      </c>
      <c r="BE177" s="400">
        <f t="shared" si="300"/>
        <v>26.322751322751337</v>
      </c>
      <c r="BF177" s="400">
        <f t="shared" si="300"/>
        <v>28.69295774647885</v>
      </c>
      <c r="BG177" s="400">
        <f t="shared" si="300"/>
        <v>24.853018372703424</v>
      </c>
      <c r="BH177" s="400">
        <f t="shared" si="300"/>
        <v>27.200534759358295</v>
      </c>
      <c r="BI177" s="399">
        <f t="shared" si="300"/>
        <v>26.732526881720418</v>
      </c>
      <c r="BJ177" s="400">
        <f t="shared" si="300"/>
        <v>27.026894865525666</v>
      </c>
      <c r="BK177" s="400">
        <f t="shared" si="300"/>
        <v>24.493749999999995</v>
      </c>
      <c r="BL177" s="400">
        <f t="shared" si="300"/>
        <v>29.29516539440203</v>
      </c>
      <c r="BM177" s="400">
        <f t="shared" si="300"/>
        <v>20.651583710407216</v>
      </c>
      <c r="BN177" s="399">
        <f t="shared" si="300"/>
        <v>25.204176334106709</v>
      </c>
      <c r="BO177" s="400">
        <f t="shared" ref="BO177:BX177" si="301">BO147/BO178</f>
        <v>23.495391705069125</v>
      </c>
      <c r="BP177" s="400">
        <f t="shared" si="301"/>
        <v>26.618055555555582</v>
      </c>
      <c r="BQ177" s="400">
        <f t="shared" si="301"/>
        <v>24.718220338983041</v>
      </c>
      <c r="BR177" s="400">
        <f t="shared" si="301"/>
        <v>23.702334630350208</v>
      </c>
      <c r="BS177" s="399">
        <f t="shared" si="301"/>
        <v>24.52861771058317</v>
      </c>
      <c r="BT177" s="400">
        <f t="shared" si="301"/>
        <v>27.987124463519304</v>
      </c>
      <c r="BU177" s="400">
        <f t="shared" si="301"/>
        <v>28.143656716417915</v>
      </c>
      <c r="BV177" s="400">
        <f t="shared" si="301"/>
        <v>22.269789983844909</v>
      </c>
      <c r="BW177" s="400">
        <f t="shared" si="301"/>
        <v>23.176470588235283</v>
      </c>
      <c r="BX177" s="399">
        <f t="shared" si="301"/>
        <v>25.106666666666662</v>
      </c>
      <c r="BY177" s="400"/>
      <c r="BZ177" s="400"/>
      <c r="CA177" s="400"/>
      <c r="CB177" s="400"/>
      <c r="CC177" s="399">
        <f t="shared" ref="CC177:CH177" si="302">CC147/CC178</f>
        <v>28.369385555910377</v>
      </c>
      <c r="CD177" s="399">
        <f t="shared" si="302"/>
        <v>47.024600956217768</v>
      </c>
      <c r="CE177" s="399">
        <f t="shared" si="302"/>
        <v>58.770277219031392</v>
      </c>
      <c r="CF177" s="399">
        <f t="shared" si="302"/>
        <v>63.320194484276591</v>
      </c>
      <c r="CG177" s="399">
        <f t="shared" si="302"/>
        <v>68.731286954917877</v>
      </c>
      <c r="CH177" s="399">
        <f t="shared" si="302"/>
        <v>75.217012851108422</v>
      </c>
    </row>
    <row r="178" spans="1:86">
      <c r="G178" s="230"/>
      <c r="H178" s="14" t="s">
        <v>686</v>
      </c>
      <c r="I178" s="473"/>
      <c r="J178" s="473"/>
      <c r="K178" s="473"/>
      <c r="L178" s="400">
        <v>24.6</v>
      </c>
      <c r="M178" s="400">
        <v>12</v>
      </c>
      <c r="N178" s="400">
        <v>24.3</v>
      </c>
      <c r="O178" s="400">
        <v>44.3</v>
      </c>
      <c r="P178" s="399">
        <v>105.2</v>
      </c>
      <c r="Q178" s="400">
        <f>-'IS-ANNUAL'!Q35</f>
        <v>65</v>
      </c>
      <c r="R178" s="400">
        <f>-'IS-ANNUAL'!R35</f>
        <v>66</v>
      </c>
      <c r="S178" s="400">
        <f>-'IS-ANNUAL'!S35</f>
        <v>62.7</v>
      </c>
      <c r="T178" s="400">
        <f>-'IS-ANNUAL'!T35</f>
        <v>44.6</v>
      </c>
      <c r="U178" s="399">
        <f>-'IS-ANNUAL'!U35</f>
        <v>238.29999999999998</v>
      </c>
      <c r="V178" s="400">
        <f>-'IS-ANNUAL'!V35</f>
        <v>53</v>
      </c>
      <c r="W178" s="400">
        <f>-'IS-ANNUAL'!W35</f>
        <v>59</v>
      </c>
      <c r="X178" s="400">
        <f>-'IS-ANNUAL'!X35</f>
        <v>55.8</v>
      </c>
      <c r="Y178" s="400">
        <f>-'IS-ANNUAL'!Y35</f>
        <v>60.4</v>
      </c>
      <c r="Z178" s="399">
        <f>-'IS-ANNUAL'!Z35</f>
        <v>228.20000000000002</v>
      </c>
      <c r="AA178" s="400">
        <f>-'IS-ANNUAL'!AA35</f>
        <v>73.8</v>
      </c>
      <c r="AB178" s="400">
        <f>-'IS-ANNUAL'!AB35</f>
        <v>68.599999999999994</v>
      </c>
      <c r="AC178" s="400">
        <f>-'IS-ANNUAL'!AC35</f>
        <v>62</v>
      </c>
      <c r="AD178" s="400">
        <f>-'IS-ANNUAL'!AD35</f>
        <v>61.1</v>
      </c>
      <c r="AE178" s="399">
        <f>-'IS-ANNUAL'!AE35</f>
        <v>265.5</v>
      </c>
      <c r="AF178" s="400">
        <f>-'IS-ANNUAL'!AF35</f>
        <v>87.6</v>
      </c>
      <c r="AG178" s="400">
        <f>-'IS-ANNUAL'!AG35</f>
        <v>64.3</v>
      </c>
      <c r="AH178" s="400">
        <f>-'IS-ANNUAL'!AH35</f>
        <v>59.2</v>
      </c>
      <c r="AI178" s="400">
        <f>-'IS-ANNUAL'!AI35</f>
        <v>50.2</v>
      </c>
      <c r="AJ178" s="399">
        <f>-'IS-ANNUAL'!AJ35</f>
        <v>261.29999999999995</v>
      </c>
      <c r="AK178" s="400">
        <f>-'IS-ANNUAL'!AK35</f>
        <v>47.6</v>
      </c>
      <c r="AL178" s="400">
        <f>-'IS-ANNUAL'!AL35</f>
        <v>47.5</v>
      </c>
      <c r="AM178" s="400">
        <f>-'IS-ANNUAL'!AM35</f>
        <v>47.2</v>
      </c>
      <c r="AN178" s="400">
        <f>-'IS-ANNUAL'!AN35</f>
        <v>43.2</v>
      </c>
      <c r="AO178" s="399">
        <f>-'IS-ANNUAL'!AO35</f>
        <v>185.5</v>
      </c>
      <c r="AP178" s="400">
        <f>-'IS-ANNUAL'!AP35</f>
        <v>45.8</v>
      </c>
      <c r="AQ178" s="400">
        <f>-'IS-ANNUAL'!AQ35</f>
        <v>45.1</v>
      </c>
      <c r="AR178" s="400">
        <f>-'IS-ANNUAL'!AR35</f>
        <v>45</v>
      </c>
      <c r="AS178" s="400">
        <f>-'IS-ANNUAL'!AS35</f>
        <v>50</v>
      </c>
      <c r="AT178" s="399">
        <f>-'IS-ANNUAL'!AT35</f>
        <v>185.9</v>
      </c>
      <c r="AU178" s="400">
        <f>-'IS-ANNUAL'!AU35</f>
        <v>45.3</v>
      </c>
      <c r="AV178" s="400">
        <f>-'IS-ANNUAL'!AV35</f>
        <v>43</v>
      </c>
      <c r="AW178" s="400">
        <f>-'IS-ANNUAL'!AW35</f>
        <v>47</v>
      </c>
      <c r="AX178" s="400">
        <f>-'IS-ANNUAL'!AX35</f>
        <v>42.6</v>
      </c>
      <c r="AY178" s="399">
        <f>-'IS-ANNUAL'!AY35</f>
        <v>177.9</v>
      </c>
      <c r="AZ178" s="400">
        <f>-'IS-ANNUAL'!AZ35</f>
        <v>40.299999999999997</v>
      </c>
      <c r="BA178" s="400">
        <f>-'IS-ANNUAL'!BA35</f>
        <v>40.299999999999997</v>
      </c>
      <c r="BB178" s="400">
        <f>-'IS-ANNUAL'!BB35</f>
        <v>39.799999999999997</v>
      </c>
      <c r="BC178" s="400">
        <f>-'IS-ANNUAL'!BC35</f>
        <v>39.700000000000003</v>
      </c>
      <c r="BD178" s="399">
        <f>-'IS-ANNUAL'!BD35</f>
        <v>160.1</v>
      </c>
      <c r="BE178" s="400">
        <f>-'IS-ANNUAL'!BE35</f>
        <v>37.799999999999997</v>
      </c>
      <c r="BF178" s="400">
        <f>-'IS-ANNUAL'!BF35</f>
        <v>35.5</v>
      </c>
      <c r="BG178" s="400">
        <f>-'IS-ANNUAL'!BG35</f>
        <v>38.1</v>
      </c>
      <c r="BH178" s="400">
        <f>-'IS-ANNUAL'!BH35</f>
        <v>37.4</v>
      </c>
      <c r="BI178" s="399">
        <f>-'IS-ANNUAL'!BI35</f>
        <v>148.80000000000001</v>
      </c>
      <c r="BJ178" s="400">
        <f>-'IS-ANNUAL'!BJ35</f>
        <v>40.9</v>
      </c>
      <c r="BK178" s="400">
        <f>-'IS-ANNUAL'!BK35</f>
        <v>48</v>
      </c>
      <c r="BL178" s="400">
        <f>-'IS-ANNUAL'!BL35</f>
        <v>39.299999999999997</v>
      </c>
      <c r="BM178" s="400">
        <f>-'IS-ANNUAL'!BM35</f>
        <v>44.2</v>
      </c>
      <c r="BN178" s="399">
        <f>-'IS-ANNUAL'!BN35</f>
        <v>172.39999999999998</v>
      </c>
      <c r="BO178" s="400">
        <f>-'IS-ANNUAL'!BO35</f>
        <v>43.4</v>
      </c>
      <c r="BP178" s="400">
        <f>-'IS-ANNUAL'!BP35</f>
        <v>43.2</v>
      </c>
      <c r="BQ178" s="400">
        <f>-'IS-ANNUAL'!BQ35</f>
        <v>47.2</v>
      </c>
      <c r="BR178" s="400">
        <f>-'IS-ANNUAL'!BR35</f>
        <v>51.4</v>
      </c>
      <c r="BS178" s="399">
        <f>-'IS-ANNUAL'!BS35</f>
        <v>185.20000000000002</v>
      </c>
      <c r="BT178" s="400">
        <f>-'IS-ANNUAL'!BT35</f>
        <v>46.6</v>
      </c>
      <c r="BU178" s="400">
        <f>-'IS-ANNUAL'!BU35</f>
        <v>53.6</v>
      </c>
      <c r="BV178" s="400">
        <f>-'IS-ANNUAL'!BV35</f>
        <v>61.9</v>
      </c>
      <c r="BW178" s="400">
        <f>-'IS-ANNUAL'!BW35</f>
        <v>62.9</v>
      </c>
      <c r="BX178" s="399">
        <f>-'IS-ANNUAL'!BX35</f>
        <v>225</v>
      </c>
      <c r="BY178" s="400"/>
      <c r="BZ178" s="400"/>
      <c r="CA178" s="400"/>
      <c r="CB178" s="400"/>
      <c r="CC178" s="399">
        <f>-'IS-ANNUAL'!CC35</f>
        <v>224.911025</v>
      </c>
      <c r="CD178" s="399">
        <f>-'IS-ANNUAL'!CD35</f>
        <v>149.94361874999998</v>
      </c>
      <c r="CE178" s="399">
        <f>-'IS-ANNUAL'!CE35</f>
        <v>133.35731249999998</v>
      </c>
      <c r="CF178" s="399">
        <f>-'IS-ANNUAL'!CF35</f>
        <v>133.35731249999998</v>
      </c>
      <c r="CG178" s="399">
        <f>-'IS-ANNUAL'!CG35</f>
        <v>130.0858125</v>
      </c>
      <c r="CH178" s="399">
        <f>-'IS-ANNUAL'!CH35</f>
        <v>126.8143125</v>
      </c>
    </row>
    <row r="179" spans="1:86" s="55" customFormat="1">
      <c r="A179"/>
      <c r="B179"/>
      <c r="C179"/>
      <c r="D179"/>
      <c r="E179"/>
      <c r="F179"/>
      <c r="G179" s="234"/>
      <c r="H179" s="55" t="s">
        <v>687</v>
      </c>
      <c r="L179" s="488">
        <f t="shared" ref="L179:AQ179" si="303">-L44/L11</f>
        <v>0.56093137414611371</v>
      </c>
      <c r="M179" s="488">
        <f t="shared" si="303"/>
        <v>0.56024527538156232</v>
      </c>
      <c r="N179" s="488">
        <f t="shared" si="303"/>
        <v>0.53456743483188518</v>
      </c>
      <c r="O179" s="488">
        <f t="shared" si="303"/>
        <v>0.469804822043628</v>
      </c>
      <c r="P179" s="489">
        <f t="shared" si="303"/>
        <v>0.52872466977040544</v>
      </c>
      <c r="Q179" s="488">
        <f t="shared" si="303"/>
        <v>0.519534995206136</v>
      </c>
      <c r="R179" s="488">
        <f t="shared" si="303"/>
        <v>0.52426121853338203</v>
      </c>
      <c r="S179" s="488">
        <f t="shared" si="303"/>
        <v>0.50014309427050541</v>
      </c>
      <c r="T179" s="488">
        <f t="shared" si="303"/>
        <v>0.46772805507745252</v>
      </c>
      <c r="U179" s="489">
        <f t="shared" si="303"/>
        <v>0.50184256542913719</v>
      </c>
      <c r="V179" s="488">
        <f t="shared" si="303"/>
        <v>0.50695433139853252</v>
      </c>
      <c r="W179" s="488">
        <f t="shared" si="303"/>
        <v>0.47364119329791626</v>
      </c>
      <c r="X179" s="488">
        <f t="shared" si="303"/>
        <v>0.46478731942215051</v>
      </c>
      <c r="Y179" s="488">
        <f t="shared" si="303"/>
        <v>0.47033769394584779</v>
      </c>
      <c r="Z179" s="489">
        <f t="shared" si="303"/>
        <v>0.47837307732011997</v>
      </c>
      <c r="AA179" s="488">
        <f t="shared" si="303"/>
        <v>0.53366583541147128</v>
      </c>
      <c r="AB179" s="488">
        <f t="shared" si="303"/>
        <v>0.49609069585613769</v>
      </c>
      <c r="AC179" s="488">
        <f t="shared" si="303"/>
        <v>0.48381997396317611</v>
      </c>
      <c r="AD179" s="488">
        <f t="shared" si="303"/>
        <v>0.46160738285099823</v>
      </c>
      <c r="AE179" s="489">
        <f t="shared" si="303"/>
        <v>0.49237509276770935</v>
      </c>
      <c r="AF179" s="488">
        <f t="shared" si="303"/>
        <v>0.40895931738534186</v>
      </c>
      <c r="AG179" s="488">
        <f t="shared" si="303"/>
        <v>0.43945830038075506</v>
      </c>
      <c r="AH179" s="488">
        <f t="shared" si="303"/>
        <v>0.40899390243902423</v>
      </c>
      <c r="AI179" s="488">
        <f t="shared" si="303"/>
        <v>0.53975397539753989</v>
      </c>
      <c r="AJ179" s="489">
        <f t="shared" si="303"/>
        <v>0.44363957196542564</v>
      </c>
      <c r="AK179" s="488">
        <f t="shared" si="303"/>
        <v>0.41556840077071311</v>
      </c>
      <c r="AL179" s="488">
        <f t="shared" si="303"/>
        <v>0.39264028092764625</v>
      </c>
      <c r="AM179" s="488">
        <f t="shared" si="303"/>
        <v>0.40648527767424519</v>
      </c>
      <c r="AN179" s="488">
        <f t="shared" si="303"/>
        <v>0.44057393642002302</v>
      </c>
      <c r="AO179" s="489">
        <f t="shared" si="303"/>
        <v>0.41315580589519313</v>
      </c>
      <c r="AP179" s="488">
        <f t="shared" si="303"/>
        <v>0.39508327878391142</v>
      </c>
      <c r="AQ179" s="488">
        <f t="shared" si="303"/>
        <v>0.4194969987083047</v>
      </c>
      <c r="AR179" s="488">
        <f t="shared" ref="AR179:BN179" si="304">-AR44/AR11</f>
        <v>0.43137411276816368</v>
      </c>
      <c r="AS179" s="488">
        <f t="shared" si="304"/>
        <v>0.56147414060080514</v>
      </c>
      <c r="AT179" s="489">
        <f t="shared" si="304"/>
        <v>0.44368690980136727</v>
      </c>
      <c r="AU179" s="488">
        <f t="shared" si="304"/>
        <v>0.5303340149965915</v>
      </c>
      <c r="AV179" s="488">
        <f t="shared" si="304"/>
        <v>0.59592897358163699</v>
      </c>
      <c r="AW179" s="488">
        <f t="shared" si="304"/>
        <v>0.61263086795001775</v>
      </c>
      <c r="AX179" s="488">
        <f t="shared" si="304"/>
        <v>0.57997774383545575</v>
      </c>
      <c r="AY179" s="489">
        <f t="shared" si="304"/>
        <v>0.57806421249745699</v>
      </c>
      <c r="AZ179" s="488">
        <f t="shared" si="304"/>
        <v>0.42576559243225925</v>
      </c>
      <c r="BA179" s="488">
        <f t="shared" si="304"/>
        <v>0.42473503864849771</v>
      </c>
      <c r="BB179" s="488">
        <f t="shared" si="304"/>
        <v>0.43861690632532641</v>
      </c>
      <c r="BC179" s="488">
        <f t="shared" si="304"/>
        <v>0.66369682519764084</v>
      </c>
      <c r="BD179" s="489">
        <f t="shared" si="304"/>
        <v>0.47102592008528932</v>
      </c>
      <c r="BE179" s="488">
        <f t="shared" si="304"/>
        <v>0.62796549245147337</v>
      </c>
      <c r="BF179" s="488">
        <f t="shared" si="304"/>
        <v>0.64232597830062232</v>
      </c>
      <c r="BG179" s="488">
        <f t="shared" si="304"/>
        <v>0.66037735849056545</v>
      </c>
      <c r="BH179" s="488">
        <f t="shared" si="304"/>
        <v>0.59270962645299574</v>
      </c>
      <c r="BI179" s="489">
        <f t="shared" si="304"/>
        <v>0.62985611510791395</v>
      </c>
      <c r="BJ179" s="488">
        <f t="shared" si="304"/>
        <v>0.57150590018404257</v>
      </c>
      <c r="BK179" s="488">
        <f t="shared" si="304"/>
        <v>0.56535400083787191</v>
      </c>
      <c r="BL179" s="488">
        <f t="shared" si="304"/>
        <v>0.56989713048186241</v>
      </c>
      <c r="BM179" s="488">
        <f t="shared" si="304"/>
        <v>0.64392658778073031</v>
      </c>
      <c r="BN179" s="489">
        <f t="shared" si="304"/>
        <v>0.58600077130736661</v>
      </c>
      <c r="BO179" s="488">
        <f t="shared" ref="BO179:BX179" si="305">-BO44/BO11</f>
        <v>0.61010993992972895</v>
      </c>
      <c r="BP179" s="488">
        <f t="shared" si="305"/>
        <v>0.59551056338028086</v>
      </c>
      <c r="BQ179" s="488">
        <f t="shared" si="305"/>
        <v>0.57776584317937729</v>
      </c>
      <c r="BR179" s="488">
        <f t="shared" si="305"/>
        <v>0.53394513518847408</v>
      </c>
      <c r="BS179" s="489">
        <f t="shared" si="305"/>
        <v>0.57968095391556496</v>
      </c>
      <c r="BT179" s="488">
        <f t="shared" si="305"/>
        <v>0.52649802827738801</v>
      </c>
      <c r="BU179" s="488">
        <f t="shared" si="305"/>
        <v>0.46602683879735002</v>
      </c>
      <c r="BV179" s="488">
        <f t="shared" si="305"/>
        <v>0.49485001807011209</v>
      </c>
      <c r="BW179" s="488">
        <f t="shared" si="305"/>
        <v>0.45434206165064683</v>
      </c>
      <c r="BX179" s="489">
        <f t="shared" si="305"/>
        <v>0.4838325203610922</v>
      </c>
      <c r="BY179" s="488"/>
      <c r="BZ179" s="488"/>
      <c r="CA179" s="488"/>
      <c r="CB179" s="488"/>
      <c r="CC179" s="489">
        <f t="shared" ref="CC179:CH179" si="306">-CC44/CC11</f>
        <v>0.43341021769789401</v>
      </c>
      <c r="CD179" s="489">
        <f t="shared" si="306"/>
        <v>0.40474084357758572</v>
      </c>
      <c r="CE179" s="489">
        <f t="shared" si="306"/>
        <v>0.36800435841385332</v>
      </c>
      <c r="CF179" s="489">
        <f t="shared" si="306"/>
        <v>0.34684390735183734</v>
      </c>
      <c r="CG179" s="489">
        <f t="shared" si="306"/>
        <v>0.33228362012181567</v>
      </c>
      <c r="CH179" s="489">
        <f t="shared" si="306"/>
        <v>0.31589565243631035</v>
      </c>
    </row>
    <row r="180" spans="1:86" s="77" customFormat="1">
      <c r="A180"/>
      <c r="B180"/>
      <c r="C180"/>
      <c r="D180"/>
      <c r="E180"/>
      <c r="F180"/>
      <c r="G180" s="230"/>
      <c r="H180" s="406" t="s">
        <v>99</v>
      </c>
      <c r="I180" s="29"/>
      <c r="J180" s="29"/>
      <c r="K180" s="29"/>
      <c r="L180" s="490">
        <v>0.38</v>
      </c>
      <c r="M180" s="490">
        <v>0.38</v>
      </c>
      <c r="N180" s="490">
        <v>0.38</v>
      </c>
      <c r="O180" s="490">
        <v>0.38</v>
      </c>
      <c r="P180" s="491">
        <v>1.52</v>
      </c>
      <c r="Q180" s="490">
        <v>0.4</v>
      </c>
      <c r="R180" s="490">
        <v>0.4</v>
      </c>
      <c r="S180" s="490">
        <v>0.4</v>
      </c>
      <c r="T180" s="490">
        <v>0.4</v>
      </c>
      <c r="U180" s="491">
        <f>SUM(Q180:T180)</f>
        <v>1.6</v>
      </c>
      <c r="V180" s="490">
        <v>0.42499999999999999</v>
      </c>
      <c r="W180" s="490">
        <v>0.42499999999999999</v>
      </c>
      <c r="X180" s="490">
        <v>0.42499999999999999</v>
      </c>
      <c r="Y180" s="490">
        <v>0.42499999999999999</v>
      </c>
      <c r="Z180" s="491">
        <f>SUM(V180:Y180)</f>
        <v>1.7</v>
      </c>
      <c r="AA180" s="490">
        <v>0.47</v>
      </c>
      <c r="AB180" s="490">
        <v>0.47</v>
      </c>
      <c r="AC180" s="490">
        <v>0.47</v>
      </c>
      <c r="AD180" s="490">
        <v>0.47</v>
      </c>
      <c r="AE180" s="491">
        <f>SUM(AA180:AD180)</f>
        <v>1.88</v>
      </c>
      <c r="AF180" s="490">
        <v>0.49</v>
      </c>
      <c r="AG180" s="490">
        <v>0.49</v>
      </c>
      <c r="AH180" s="490">
        <v>0.49</v>
      </c>
      <c r="AI180" s="490">
        <v>0.49</v>
      </c>
      <c r="AJ180" s="491">
        <f>SUM(AF180:AI180)</f>
        <v>1.96</v>
      </c>
      <c r="AK180" s="490">
        <v>0.49</v>
      </c>
      <c r="AL180" s="490">
        <v>0.49</v>
      </c>
      <c r="AM180" s="490">
        <v>0.49</v>
      </c>
      <c r="AN180" s="490">
        <v>0.49</v>
      </c>
      <c r="AO180" s="491">
        <f>SUM(AK180:AN180)</f>
        <v>1.96</v>
      </c>
      <c r="AP180" s="490">
        <v>0.49</v>
      </c>
      <c r="AQ180" s="490">
        <v>0.49</v>
      </c>
      <c r="AR180" s="490">
        <v>0.49</v>
      </c>
      <c r="AS180" s="490">
        <v>0.49</v>
      </c>
      <c r="AT180" s="491">
        <f>SUM(AP180:AS180)</f>
        <v>1.96</v>
      </c>
      <c r="AU180" s="490">
        <v>0.49</v>
      </c>
      <c r="AV180" s="490">
        <v>0.49</v>
      </c>
      <c r="AW180" s="490">
        <v>0.49</v>
      </c>
      <c r="AX180" s="490">
        <v>0.49</v>
      </c>
      <c r="AY180" s="491">
        <f>SUM(AU180:AX180)</f>
        <v>1.96</v>
      </c>
      <c r="AZ180" s="490">
        <v>0.49</v>
      </c>
      <c r="BA180" s="490">
        <v>0.49</v>
      </c>
      <c r="BB180" s="490">
        <v>0.49</v>
      </c>
      <c r="BC180" s="490">
        <v>0.49</v>
      </c>
      <c r="BD180" s="491">
        <f>SUM(AZ180:BC180)</f>
        <v>1.96</v>
      </c>
      <c r="BE180" s="490">
        <v>0.49</v>
      </c>
      <c r="BF180" s="490">
        <v>0.49</v>
      </c>
      <c r="BG180" s="490">
        <v>0.49</v>
      </c>
      <c r="BH180" s="490">
        <v>0.49</v>
      </c>
      <c r="BI180" s="491">
        <f>SUM(BE180:BH180)</f>
        <v>1.96</v>
      </c>
      <c r="BJ180" s="490">
        <v>0.5</v>
      </c>
      <c r="BK180" s="490">
        <v>0.5</v>
      </c>
      <c r="BL180" s="490">
        <v>0.5</v>
      </c>
      <c r="BM180" s="490">
        <v>0.49</v>
      </c>
      <c r="BN180" s="491">
        <f>SUM(BJ180:BM180)</f>
        <v>1.99</v>
      </c>
      <c r="BO180" s="490">
        <v>0.51</v>
      </c>
      <c r="BP180" s="490">
        <v>0.51</v>
      </c>
      <c r="BQ180" s="490">
        <v>0.51</v>
      </c>
      <c r="BR180" s="490">
        <v>0.51</v>
      </c>
      <c r="BS180" s="491">
        <f>SUM(BO180:BR180)</f>
        <v>2.04</v>
      </c>
      <c r="BT180" s="490">
        <v>0.52</v>
      </c>
      <c r="BU180" s="490">
        <v>0.52</v>
      </c>
      <c r="BV180" s="490">
        <v>0.52</v>
      </c>
      <c r="BW180" s="490">
        <v>0.52</v>
      </c>
      <c r="BX180" s="491">
        <f>SUM(BT180:BW180)</f>
        <v>2.08</v>
      </c>
      <c r="BY180" s="1212"/>
      <c r="BZ180" s="1212"/>
      <c r="CA180" s="1212"/>
      <c r="CB180" s="1212"/>
      <c r="CC180" s="1211">
        <v>2.25</v>
      </c>
      <c r="CD180" s="1211">
        <v>2.3199999999999998</v>
      </c>
      <c r="CE180" s="1211">
        <v>2.36</v>
      </c>
      <c r="CF180" s="1211">
        <v>2.4</v>
      </c>
      <c r="CG180" s="1211">
        <v>2.44</v>
      </c>
      <c r="CH180" s="1211">
        <v>2.48</v>
      </c>
    </row>
    <row r="181" spans="1:86" s="77" customFormat="1">
      <c r="A181"/>
      <c r="B181"/>
      <c r="C181"/>
      <c r="D181"/>
      <c r="E181"/>
      <c r="F181"/>
      <c r="G181" s="230"/>
      <c r="H181" s="492" t="s">
        <v>100</v>
      </c>
      <c r="I181" s="493"/>
      <c r="J181" s="493"/>
      <c r="K181" s="493"/>
      <c r="L181" s="494">
        <v>7.0422535211267734E-2</v>
      </c>
      <c r="M181" s="494">
        <v>7.0422535211267734E-2</v>
      </c>
      <c r="N181" s="494">
        <v>7.0422535211267734E-2</v>
      </c>
      <c r="O181" s="494">
        <v>7.0422535211267734E-2</v>
      </c>
      <c r="P181" s="495">
        <v>7.0422535211267734E-2</v>
      </c>
      <c r="Q181" s="494">
        <f t="shared" ref="Q181:AH181" si="307">Q180/L180-1</f>
        <v>5.2631578947368363E-2</v>
      </c>
      <c r="R181" s="494">
        <f t="shared" si="307"/>
        <v>5.2631578947368363E-2</v>
      </c>
      <c r="S181" s="494">
        <f t="shared" si="307"/>
        <v>5.2631578947368363E-2</v>
      </c>
      <c r="T181" s="494">
        <f t="shared" si="307"/>
        <v>5.2631578947368363E-2</v>
      </c>
      <c r="U181" s="495">
        <f t="shared" si="307"/>
        <v>5.2631578947368363E-2</v>
      </c>
      <c r="V181" s="488">
        <f t="shared" si="307"/>
        <v>6.25E-2</v>
      </c>
      <c r="W181" s="488">
        <f t="shared" si="307"/>
        <v>6.25E-2</v>
      </c>
      <c r="X181" s="488">
        <f t="shared" si="307"/>
        <v>6.25E-2</v>
      </c>
      <c r="Y181" s="488">
        <f t="shared" si="307"/>
        <v>6.25E-2</v>
      </c>
      <c r="Z181" s="495">
        <f t="shared" si="307"/>
        <v>6.25E-2</v>
      </c>
      <c r="AA181" s="496">
        <f t="shared" si="307"/>
        <v>0.10588235294117654</v>
      </c>
      <c r="AB181" s="496">
        <f t="shared" si="307"/>
        <v>0.10588235294117654</v>
      </c>
      <c r="AC181" s="496">
        <f t="shared" si="307"/>
        <v>0.10588235294117654</v>
      </c>
      <c r="AD181" s="496">
        <f t="shared" si="307"/>
        <v>0.10588235294117654</v>
      </c>
      <c r="AE181" s="495">
        <f t="shared" si="307"/>
        <v>0.10588235294117654</v>
      </c>
      <c r="AF181" s="496">
        <f t="shared" si="307"/>
        <v>4.2553191489361764E-2</v>
      </c>
      <c r="AG181" s="496">
        <f t="shared" si="307"/>
        <v>4.2553191489361764E-2</v>
      </c>
      <c r="AH181" s="496">
        <f t="shared" si="307"/>
        <v>4.2553191489361764E-2</v>
      </c>
      <c r="AI181" s="496">
        <f t="shared" ref="AI181:AO181" si="308">AI180/AD180-1</f>
        <v>4.2553191489361764E-2</v>
      </c>
      <c r="AJ181" s="495">
        <f t="shared" si="308"/>
        <v>4.2553191489361764E-2</v>
      </c>
      <c r="AK181" s="496">
        <f t="shared" si="308"/>
        <v>0</v>
      </c>
      <c r="AL181" s="496">
        <f t="shared" si="308"/>
        <v>0</v>
      </c>
      <c r="AM181" s="496">
        <f t="shared" si="308"/>
        <v>0</v>
      </c>
      <c r="AN181" s="496">
        <f t="shared" si="308"/>
        <v>0</v>
      </c>
      <c r="AO181" s="495">
        <f t="shared" si="308"/>
        <v>0</v>
      </c>
      <c r="AP181" s="496">
        <f t="shared" ref="AP181:BH181" si="309">AP180/AK180-1</f>
        <v>0</v>
      </c>
      <c r="AQ181" s="496">
        <f t="shared" si="309"/>
        <v>0</v>
      </c>
      <c r="AR181" s="496">
        <f t="shared" si="309"/>
        <v>0</v>
      </c>
      <c r="AS181" s="496">
        <f>AS180/AN180-1</f>
        <v>0</v>
      </c>
      <c r="AT181" s="495">
        <f>AT180/AO180-1</f>
        <v>0</v>
      </c>
      <c r="AU181" s="496">
        <f t="shared" si="309"/>
        <v>0</v>
      </c>
      <c r="AV181" s="496">
        <f t="shared" si="309"/>
        <v>0</v>
      </c>
      <c r="AW181" s="496">
        <f t="shared" si="309"/>
        <v>0</v>
      </c>
      <c r="AX181" s="496">
        <f t="shared" si="309"/>
        <v>0</v>
      </c>
      <c r="AY181" s="495">
        <f>AY180/AT180-1</f>
        <v>0</v>
      </c>
      <c r="AZ181" s="496">
        <f t="shared" si="309"/>
        <v>0</v>
      </c>
      <c r="BA181" s="496">
        <f t="shared" si="309"/>
        <v>0</v>
      </c>
      <c r="BB181" s="496">
        <f t="shared" si="309"/>
        <v>0</v>
      </c>
      <c r="BC181" s="496">
        <f t="shared" si="309"/>
        <v>0</v>
      </c>
      <c r="BD181" s="495">
        <f>BD180/AY180-1</f>
        <v>0</v>
      </c>
      <c r="BE181" s="496">
        <f t="shared" si="309"/>
        <v>0</v>
      </c>
      <c r="BF181" s="496">
        <f t="shared" si="309"/>
        <v>0</v>
      </c>
      <c r="BG181" s="496">
        <f t="shared" si="309"/>
        <v>0</v>
      </c>
      <c r="BH181" s="496">
        <f t="shared" si="309"/>
        <v>0</v>
      </c>
      <c r="BI181" s="495">
        <f t="shared" ref="BI181:BN181" si="310">BI180/BD180-1</f>
        <v>0</v>
      </c>
      <c r="BJ181" s="496">
        <f t="shared" si="310"/>
        <v>2.0408163265306145E-2</v>
      </c>
      <c r="BK181" s="496">
        <f t="shared" si="310"/>
        <v>2.0408163265306145E-2</v>
      </c>
      <c r="BL181" s="496">
        <f t="shared" si="310"/>
        <v>2.0408163265306145E-2</v>
      </c>
      <c r="BM181" s="496">
        <f t="shared" si="310"/>
        <v>0</v>
      </c>
      <c r="BN181" s="495">
        <f t="shared" si="310"/>
        <v>1.5306122448979664E-2</v>
      </c>
      <c r="BO181" s="496">
        <f t="shared" ref="BO181:BW181" si="311">BO180/BJ180-1</f>
        <v>2.0000000000000018E-2</v>
      </c>
      <c r="BP181" s="496">
        <f t="shared" si="311"/>
        <v>2.0000000000000018E-2</v>
      </c>
      <c r="BQ181" s="496">
        <f t="shared" si="311"/>
        <v>2.0000000000000018E-2</v>
      </c>
      <c r="BR181" s="496">
        <f t="shared" si="311"/>
        <v>4.081632653061229E-2</v>
      </c>
      <c r="BS181" s="495">
        <f>BS180/BN180-1</f>
        <v>2.5125628140703515E-2</v>
      </c>
      <c r="BT181" s="496">
        <f t="shared" si="311"/>
        <v>1.9607843137254832E-2</v>
      </c>
      <c r="BU181" s="496">
        <f t="shared" si="311"/>
        <v>1.9607843137254832E-2</v>
      </c>
      <c r="BV181" s="496">
        <f t="shared" si="311"/>
        <v>1.9607843137254832E-2</v>
      </c>
      <c r="BW181" s="496">
        <f t="shared" si="311"/>
        <v>1.9607843137254832E-2</v>
      </c>
      <c r="BX181" s="495">
        <f>BX180/BS180-1</f>
        <v>1.9607843137254832E-2</v>
      </c>
      <c r="BY181" s="497"/>
      <c r="BZ181" s="497"/>
      <c r="CA181" s="497"/>
      <c r="CB181" s="497"/>
      <c r="CC181" s="495">
        <f>CC180/BX180-1</f>
        <v>8.1730769230769162E-2</v>
      </c>
      <c r="CD181" s="495">
        <f>CD180/CC180-1</f>
        <v>3.1111111111111089E-2</v>
      </c>
      <c r="CE181" s="495">
        <f>CE180/CD180-1</f>
        <v>1.7241379310344751E-2</v>
      </c>
      <c r="CF181" s="495">
        <f>CF180/CE180-1</f>
        <v>1.6949152542372836E-2</v>
      </c>
      <c r="CG181" s="495">
        <f>CG180/CF180-1</f>
        <v>1.6666666666666607E-2</v>
      </c>
      <c r="CH181" s="495">
        <f>CH180/CG180-1</f>
        <v>1.6393442622950838E-2</v>
      </c>
    </row>
    <row r="182" spans="1:86" s="77" customFormat="1">
      <c r="A182"/>
      <c r="B182"/>
      <c r="C182"/>
      <c r="D182"/>
      <c r="E182"/>
      <c r="F182"/>
      <c r="G182" s="230"/>
      <c r="H182" s="385"/>
      <c r="I182" s="396"/>
      <c r="J182" s="396"/>
      <c r="K182" s="396"/>
      <c r="L182" s="369"/>
      <c r="M182" s="369"/>
      <c r="N182" s="369"/>
      <c r="O182" s="369"/>
      <c r="P182" s="344"/>
      <c r="Q182" s="369"/>
      <c r="R182" s="369"/>
      <c r="S182" s="369"/>
      <c r="T182" s="369"/>
      <c r="U182" s="344"/>
      <c r="V182" s="488"/>
      <c r="W182" s="488"/>
      <c r="X182" s="488"/>
      <c r="Y182" s="488"/>
      <c r="Z182" s="344"/>
      <c r="AA182" s="748"/>
      <c r="AB182" s="748"/>
      <c r="AC182" s="748"/>
      <c r="AD182" s="748"/>
      <c r="AE182" s="344"/>
      <c r="AF182" s="748"/>
      <c r="AG182" s="748"/>
      <c r="AH182" s="748"/>
      <c r="AI182" s="748"/>
      <c r="AJ182" s="344"/>
      <c r="AK182" s="749"/>
      <c r="AL182" s="749"/>
      <c r="AM182" s="749"/>
      <c r="AN182" s="749"/>
      <c r="AO182" s="498"/>
      <c r="AP182" s="749"/>
      <c r="AQ182" s="749"/>
      <c r="AR182" s="749"/>
      <c r="AS182" s="749"/>
      <c r="AT182" s="498"/>
      <c r="AU182" s="749"/>
      <c r="AV182" s="749"/>
      <c r="AW182" s="749"/>
      <c r="AX182" s="749"/>
      <c r="AY182" s="498"/>
      <c r="AZ182" s="749"/>
      <c r="BA182" s="749"/>
      <c r="BB182" s="749"/>
      <c r="BC182" s="749"/>
      <c r="BD182" s="498"/>
      <c r="BE182" s="749"/>
      <c r="BF182" s="749"/>
      <c r="BG182" s="749"/>
      <c r="BH182" s="749"/>
      <c r="BI182" s="498"/>
      <c r="BJ182" s="749"/>
      <c r="BK182" s="749"/>
      <c r="BL182" s="749"/>
      <c r="BM182" s="749"/>
      <c r="BN182" s="498"/>
      <c r="BO182" s="749"/>
      <c r="BP182" s="749"/>
      <c r="BQ182" s="749"/>
      <c r="BR182" s="749"/>
      <c r="BS182" s="498"/>
      <c r="BT182" s="749"/>
      <c r="BU182" s="749"/>
      <c r="BV182" s="749"/>
      <c r="BW182" s="749"/>
      <c r="BX182" s="498"/>
      <c r="BY182" s="749"/>
      <c r="BZ182" s="749"/>
      <c r="CA182" s="749"/>
      <c r="CB182" s="749"/>
      <c r="CC182" s="498"/>
      <c r="CD182" s="498"/>
      <c r="CE182" s="498"/>
      <c r="CF182" s="498"/>
      <c r="CG182" s="498"/>
      <c r="CH182" s="498"/>
    </row>
    <row r="183" spans="1:86" s="77" customFormat="1">
      <c r="A183"/>
      <c r="B183"/>
      <c r="C183"/>
      <c r="D183"/>
      <c r="E183"/>
      <c r="F183"/>
      <c r="G183" s="230"/>
      <c r="H183" s="385"/>
      <c r="I183" s="385"/>
      <c r="J183" s="385"/>
      <c r="K183" s="385"/>
      <c r="L183" s="344"/>
      <c r="M183" s="344"/>
      <c r="N183" s="344"/>
      <c r="O183" s="344"/>
      <c r="P183" s="498"/>
      <c r="Q183" s="344"/>
      <c r="R183" s="344"/>
      <c r="S183" s="344"/>
      <c r="T183" s="344"/>
      <c r="U183" s="344"/>
      <c r="V183" s="344"/>
      <c r="W183" s="344"/>
      <c r="X183" s="344"/>
      <c r="Y183" s="344"/>
      <c r="Z183" s="498"/>
      <c r="AA183" s="344"/>
      <c r="AB183" s="344"/>
      <c r="AC183" s="344"/>
      <c r="AD183" s="344"/>
      <c r="AE183" s="498"/>
      <c r="AF183" s="344"/>
      <c r="AG183" s="344"/>
      <c r="AH183" s="344"/>
      <c r="AI183" s="344"/>
      <c r="AJ183" s="498"/>
      <c r="AK183" s="498"/>
      <c r="AL183" s="498"/>
      <c r="AM183" s="498"/>
      <c r="AN183" s="498"/>
      <c r="AO183" s="498"/>
      <c r="AP183" s="498"/>
      <c r="AQ183" s="498"/>
      <c r="AR183" s="498"/>
      <c r="AS183" s="498"/>
      <c r="AT183" s="498"/>
      <c r="AU183" s="498"/>
      <c r="AV183" s="498"/>
      <c r="AW183" s="498"/>
      <c r="AX183" s="498"/>
      <c r="AY183" s="498"/>
      <c r="AZ183" s="498"/>
      <c r="BA183" s="498"/>
      <c r="BB183" s="498"/>
      <c r="BC183" s="498"/>
      <c r="BD183" s="498"/>
      <c r="BE183" s="498"/>
      <c r="BF183" s="498"/>
      <c r="BG183" s="498"/>
      <c r="BH183" s="498"/>
      <c r="BI183" s="498"/>
      <c r="BJ183" s="498"/>
      <c r="BK183" s="498"/>
      <c r="BL183" s="498"/>
      <c r="BM183" s="498"/>
      <c r="BN183" s="498"/>
      <c r="BO183" s="498"/>
      <c r="BP183" s="498"/>
      <c r="BQ183" s="498"/>
      <c r="BR183" s="498"/>
      <c r="BS183" s="498"/>
      <c r="BT183" s="498"/>
      <c r="BU183" s="498"/>
      <c r="BV183" s="498"/>
      <c r="BW183" s="498"/>
      <c r="BX183" s="498"/>
      <c r="BY183" s="498"/>
      <c r="BZ183" s="498"/>
      <c r="CA183" s="498"/>
      <c r="CB183" s="498"/>
      <c r="CC183" s="498"/>
      <c r="CD183" s="498"/>
      <c r="CE183" s="498"/>
      <c r="CF183" s="498"/>
      <c r="CG183" s="498"/>
      <c r="CH183" s="498"/>
    </row>
    <row r="184" spans="1:86" s="77" customFormat="1">
      <c r="A184"/>
      <c r="B184"/>
      <c r="C184"/>
      <c r="D184"/>
      <c r="E184"/>
      <c r="F184"/>
      <c r="G184" s="230"/>
      <c r="H184" s="385"/>
      <c r="I184" s="385"/>
      <c r="J184" s="385"/>
      <c r="K184" s="385"/>
      <c r="L184" s="344"/>
      <c r="M184" s="344"/>
      <c r="N184" s="344"/>
      <c r="O184" s="344"/>
      <c r="P184" s="498"/>
      <c r="Q184" s="344"/>
      <c r="R184" s="344"/>
      <c r="S184" s="344"/>
      <c r="T184" s="344"/>
      <c r="U184" s="344"/>
      <c r="V184" s="344"/>
      <c r="W184" s="344"/>
      <c r="X184" s="344"/>
      <c r="Y184" s="344"/>
      <c r="Z184" s="498"/>
      <c r="AA184" s="344"/>
      <c r="AB184" s="344"/>
      <c r="AC184" s="344"/>
      <c r="AD184" s="344"/>
      <c r="AE184" s="498"/>
      <c r="AF184" s="344"/>
      <c r="AG184" s="344"/>
      <c r="AH184" s="344"/>
      <c r="AI184" s="344"/>
      <c r="AJ184" s="498"/>
      <c r="AK184" s="498"/>
      <c r="AL184" s="498"/>
      <c r="AM184" s="498"/>
      <c r="AN184" s="498"/>
      <c r="AO184" s="498"/>
      <c r="AP184" s="498"/>
      <c r="AQ184" s="498"/>
      <c r="AR184" s="498"/>
      <c r="AS184" s="498"/>
      <c r="AT184" s="498"/>
      <c r="AU184" s="498"/>
      <c r="AV184" s="498"/>
      <c r="AW184" s="498"/>
      <c r="AX184" s="498"/>
      <c r="AY184" s="498"/>
      <c r="AZ184" s="498"/>
      <c r="BA184" s="498"/>
      <c r="BB184" s="498"/>
      <c r="BC184" s="498"/>
      <c r="BD184" s="498"/>
      <c r="BE184" s="498"/>
      <c r="BF184" s="498"/>
      <c r="BG184" s="498"/>
      <c r="BH184" s="498"/>
      <c r="BI184" s="498"/>
      <c r="BJ184" s="498"/>
      <c r="BK184" s="498"/>
      <c r="BL184" s="498"/>
      <c r="BM184" s="498"/>
      <c r="BN184" s="498"/>
      <c r="BO184" s="498"/>
      <c r="BP184" s="498"/>
      <c r="BQ184" s="498"/>
      <c r="BR184" s="498"/>
      <c r="BS184" s="498"/>
      <c r="BT184" s="498"/>
      <c r="BU184" s="498"/>
      <c r="BV184" s="498"/>
      <c r="BW184" s="498"/>
      <c r="BX184" s="498"/>
      <c r="BY184" s="498"/>
      <c r="BZ184" s="498"/>
      <c r="CA184" s="498"/>
      <c r="CB184" s="498"/>
      <c r="CC184" s="498"/>
      <c r="CD184" s="498"/>
      <c r="CE184" s="498"/>
      <c r="CF184" s="498"/>
      <c r="CG184" s="498"/>
      <c r="CH184" s="498"/>
    </row>
    <row r="185" spans="1:86" s="77" customFormat="1">
      <c r="A185"/>
      <c r="B185"/>
      <c r="C185"/>
      <c r="D185"/>
      <c r="E185"/>
      <c r="F185"/>
      <c r="G185" s="230"/>
      <c r="H185" s="385"/>
      <c r="I185" s="385"/>
      <c r="J185" s="385"/>
      <c r="K185" s="385"/>
      <c r="L185" s="344"/>
      <c r="M185" s="344"/>
      <c r="N185" s="344"/>
      <c r="O185" s="344"/>
      <c r="P185" s="498"/>
      <c r="Q185" s="344"/>
      <c r="R185" s="344"/>
      <c r="S185" s="344"/>
      <c r="T185" s="344"/>
      <c r="U185" s="344"/>
      <c r="V185" s="344"/>
      <c r="W185" s="344"/>
      <c r="X185" s="344"/>
      <c r="Y185" s="344"/>
      <c r="Z185" s="498"/>
      <c r="AA185" s="344"/>
      <c r="AB185" s="344"/>
      <c r="AC185" s="344"/>
      <c r="AD185" s="344"/>
      <c r="AE185" s="498"/>
      <c r="AF185" s="344"/>
      <c r="AG185" s="344"/>
      <c r="AH185" s="344"/>
      <c r="AI185" s="344"/>
      <c r="AJ185" s="498"/>
      <c r="AK185" s="498"/>
      <c r="AL185" s="498"/>
      <c r="AM185" s="498"/>
      <c r="AN185" s="498"/>
      <c r="AO185" s="498"/>
      <c r="AP185" s="498"/>
      <c r="AQ185" s="498"/>
      <c r="AR185" s="498"/>
      <c r="AS185" s="498"/>
      <c r="AT185" s="498"/>
      <c r="AU185" s="498"/>
      <c r="AV185" s="498"/>
      <c r="AW185" s="498"/>
      <c r="AX185" s="498"/>
      <c r="AY185" s="498"/>
      <c r="AZ185" s="498"/>
      <c r="BA185" s="498"/>
      <c r="BB185" s="498"/>
      <c r="BC185" s="498"/>
      <c r="BD185" s="498"/>
      <c r="BE185" s="498"/>
      <c r="BF185" s="498"/>
      <c r="BG185" s="498"/>
      <c r="BH185" s="498"/>
      <c r="BI185" s="498"/>
      <c r="BJ185" s="498"/>
      <c r="BK185" s="498"/>
      <c r="BL185" s="498"/>
      <c r="BM185" s="498"/>
      <c r="BN185" s="498"/>
      <c r="BO185" s="498"/>
      <c r="BP185" s="498"/>
      <c r="BQ185" s="498"/>
      <c r="BR185" s="498"/>
      <c r="BS185" s="498"/>
      <c r="BT185" s="498"/>
      <c r="BU185" s="498"/>
      <c r="BV185" s="498"/>
      <c r="BW185" s="498"/>
      <c r="BX185" s="498"/>
      <c r="BY185" s="498"/>
      <c r="BZ185" s="498"/>
      <c r="CA185" s="498"/>
      <c r="CB185" s="498"/>
      <c r="CC185" s="498"/>
      <c r="CD185" s="498"/>
      <c r="CE185" s="498"/>
      <c r="CF185" s="498"/>
      <c r="CG185" s="498"/>
      <c r="CH185" s="498"/>
    </row>
    <row r="186" spans="1:86" s="77" customFormat="1">
      <c r="A186"/>
      <c r="B186"/>
      <c r="C186"/>
      <c r="D186"/>
      <c r="E186"/>
      <c r="F186"/>
      <c r="G186" s="230"/>
      <c r="H186" s="499" t="s">
        <v>193</v>
      </c>
      <c r="I186" s="499"/>
      <c r="J186" s="499"/>
      <c r="K186" s="499"/>
      <c r="L186" s="500"/>
      <c r="M186" s="500"/>
      <c r="N186" s="500"/>
      <c r="O186" s="500"/>
      <c r="P186" s="500"/>
      <c r="Q186" s="500"/>
      <c r="R186" s="500"/>
      <c r="S186" s="500"/>
      <c r="T186" s="500"/>
      <c r="U186" s="500"/>
      <c r="V186" s="500"/>
      <c r="W186" s="500"/>
      <c r="X186" s="500"/>
      <c r="Y186" s="500"/>
      <c r="Z186" s="501"/>
      <c r="AA186" s="500"/>
      <c r="AB186" s="500"/>
      <c r="AC186" s="500"/>
      <c r="AD186" s="500"/>
      <c r="AE186" s="501"/>
      <c r="AF186" s="500"/>
      <c r="AG186" s="500"/>
      <c r="AH186" s="500"/>
      <c r="AI186" s="500"/>
      <c r="AJ186" s="501"/>
      <c r="AK186" s="500"/>
      <c r="AL186" s="500"/>
      <c r="AM186" s="500"/>
      <c r="AN186" s="500"/>
      <c r="AO186" s="502"/>
      <c r="AP186" s="500"/>
      <c r="AQ186" s="500"/>
      <c r="AR186" s="500"/>
      <c r="AS186" s="500"/>
      <c r="AT186" s="502"/>
      <c r="AU186" s="500"/>
      <c r="AV186" s="500"/>
      <c r="AW186" s="500"/>
      <c r="AX186" s="500"/>
      <c r="AY186" s="502"/>
      <c r="AZ186" s="500"/>
      <c r="BA186" s="500"/>
      <c r="BB186" s="500"/>
      <c r="BC186" s="500"/>
      <c r="BD186" s="502"/>
      <c r="BE186" s="500"/>
      <c r="BF186" s="500"/>
      <c r="BG186" s="500"/>
      <c r="BH186" s="500"/>
      <c r="BI186" s="502"/>
      <c r="BJ186" s="500"/>
      <c r="BK186" s="500"/>
      <c r="BL186" s="500"/>
      <c r="BM186" s="500"/>
      <c r="BN186" s="502"/>
      <c r="BO186" s="500"/>
      <c r="BP186" s="500"/>
      <c r="BQ186" s="500"/>
      <c r="BR186" s="500"/>
      <c r="BS186" s="502"/>
      <c r="BT186" s="500"/>
      <c r="BU186" s="500"/>
      <c r="BV186" s="500"/>
      <c r="BW186" s="500"/>
      <c r="BX186" s="502"/>
      <c r="BY186" s="500"/>
      <c r="BZ186" s="500"/>
      <c r="CA186" s="500"/>
      <c r="CB186" s="500"/>
      <c r="CC186" s="502"/>
      <c r="CD186" s="502"/>
      <c r="CE186" s="502"/>
      <c r="CF186" s="502"/>
      <c r="CG186" s="502"/>
      <c r="CH186" s="502"/>
    </row>
    <row r="187" spans="1:86" s="77" customFormat="1">
      <c r="A187"/>
      <c r="B187"/>
      <c r="C187"/>
      <c r="D187"/>
      <c r="E187"/>
      <c r="F187"/>
      <c r="G187" s="230"/>
      <c r="H187" s="503" t="s">
        <v>331</v>
      </c>
      <c r="I187" s="503"/>
      <c r="J187" s="503"/>
      <c r="K187" s="504"/>
      <c r="L187" s="504">
        <f>'IS-ANNUAL'!L11</f>
        <v>3497.4</v>
      </c>
      <c r="M187" s="504">
        <f>'IS-ANNUAL'!M11</f>
        <v>3667.7</v>
      </c>
      <c r="N187" s="504">
        <f>'IS-ANNUAL'!N11</f>
        <v>3601.1</v>
      </c>
      <c r="O187" s="504">
        <f>'IS-ANNUAL'!O11</f>
        <v>3879.1</v>
      </c>
      <c r="P187" s="504">
        <f>'IS-ANNUAL'!P11</f>
        <v>14645.3</v>
      </c>
      <c r="Q187" s="504">
        <f>'IS-ANNUAL'!Q11</f>
        <v>3714.8</v>
      </c>
      <c r="R187" s="504">
        <f>'IS-ANNUAL'!R11</f>
        <v>3867.1</v>
      </c>
      <c r="S187" s="504">
        <f>'IS-ANNUAL'!S11</f>
        <v>3864.05</v>
      </c>
      <c r="T187" s="504">
        <f>'IS-ANNUAL'!T11</f>
        <v>4245.3</v>
      </c>
      <c r="U187" s="504">
        <f>'IS-ANNUAL'!U11</f>
        <v>15691.25</v>
      </c>
      <c r="V187" s="504">
        <f>'IS-ANNUAL'!V11</f>
        <v>4226.2</v>
      </c>
      <c r="W187" s="504">
        <f>'IS-ANNUAL'!W11</f>
        <v>4630.8999999999996</v>
      </c>
      <c r="X187" s="504">
        <f>'IS-ANNUAL'!X11</f>
        <v>4586.8</v>
      </c>
      <c r="Y187" s="504">
        <f>'IS-ANNUAL'!Y11</f>
        <v>5189.7999999999993</v>
      </c>
      <c r="Z187" s="504">
        <f>'IS-ANNUAL'!Z11</f>
        <v>18633.699999999997</v>
      </c>
      <c r="AA187" s="504">
        <f>'IS-ANNUAL'!AA11</f>
        <v>4911</v>
      </c>
      <c r="AB187" s="504">
        <f>'IS-ANNUAL'!AB11</f>
        <v>5251</v>
      </c>
      <c r="AC187" s="504">
        <f>'IS-ANNUAL'!AC11</f>
        <v>5308.7000000000007</v>
      </c>
      <c r="AD187" s="504">
        <f>'IS-ANNUAL'!AD11</f>
        <v>5261.7000000000007</v>
      </c>
      <c r="AE187" s="504">
        <f>'IS-ANNUAL'!AE11</f>
        <v>20732.400000000001</v>
      </c>
      <c r="AF187" s="504">
        <f>'IS-ANNUAL'!AF11</f>
        <v>5046.5</v>
      </c>
      <c r="AG187" s="504">
        <f>'IS-ANNUAL'!AG11</f>
        <v>5292.61</v>
      </c>
      <c r="AH187" s="504">
        <f>'IS-ANNUAL'!AH11</f>
        <v>5562.2000000000007</v>
      </c>
      <c r="AI187" s="504">
        <f>'IS-ANNUAL'!AI11</f>
        <v>5934.7</v>
      </c>
      <c r="AJ187" s="504">
        <f>'IS-ANNUAL'!AJ11</f>
        <v>21836.010000000002</v>
      </c>
      <c r="AK187" s="504">
        <f>'IS-ANNUAL'!AK11</f>
        <v>5485.4</v>
      </c>
      <c r="AL187" s="504">
        <f>'IS-ANNUAL'!AL11</f>
        <v>5748.7000000000007</v>
      </c>
      <c r="AM187" s="504">
        <f>'IS-ANNUAL'!AM11</f>
        <v>5654.9000000000005</v>
      </c>
      <c r="AN187" s="504">
        <f>'IS-ANNUAL'!AN11</f>
        <v>6187.08</v>
      </c>
      <c r="AO187" s="504">
        <f>'IS-ANNUAL'!AO11</f>
        <v>23076.080000000002</v>
      </c>
      <c r="AP187" s="504">
        <f>'IS-ANNUAL'!AP11</f>
        <v>5839.2000000000007</v>
      </c>
      <c r="AQ187" s="504">
        <f>'IS-ANNUAL'!AQ11</f>
        <v>6253</v>
      </c>
      <c r="AR187" s="504">
        <f>'IS-ANNUAL'!AR11</f>
        <v>6148</v>
      </c>
      <c r="AS187" s="504">
        <f>'IS-ANNUAL'!AS11</f>
        <v>6046.4</v>
      </c>
      <c r="AT187" s="504">
        <f>'IS-ANNUAL'!AT11</f>
        <v>24286.600000000002</v>
      </c>
      <c r="AU187" s="504">
        <f>'IS-ANNUAL'!AU11</f>
        <v>5602</v>
      </c>
      <c r="AV187" s="504">
        <f>'IS-ANNUAL'!AV11</f>
        <v>5600.7</v>
      </c>
      <c r="AW187" s="504">
        <f>'IS-ANNUAL'!AW11</f>
        <v>5443.2999999999993</v>
      </c>
      <c r="AX187" s="504">
        <f>'IS-ANNUAL'!AX11</f>
        <v>5957.2999999999993</v>
      </c>
      <c r="AY187" s="504">
        <f>'IS-ANNUAL'!AY11</f>
        <v>22603.300000000003</v>
      </c>
      <c r="AZ187" s="504">
        <f>'IS-ANNUAL'!AZ11</f>
        <v>5601.7</v>
      </c>
      <c r="BA187" s="504">
        <f>'IS-ANNUAL'!BA11</f>
        <v>5929.7</v>
      </c>
      <c r="BB187" s="504">
        <f>'IS-ANNUAL'!BB11</f>
        <v>5772.6</v>
      </c>
      <c r="BC187" s="504">
        <f>'IS-ANNUAL'!BC11</f>
        <v>5808.7999999999993</v>
      </c>
      <c r="BD187" s="504">
        <f>'IS-ANNUAL'!BD11</f>
        <v>23112.800000000003</v>
      </c>
      <c r="BE187" s="504">
        <f>'IS-ANNUAL'!BE11</f>
        <v>4683.1000000000004</v>
      </c>
      <c r="BF187" s="504">
        <f>'IS-ANNUAL'!BF11</f>
        <v>4935.5999999999995</v>
      </c>
      <c r="BG187" s="504">
        <f>'IS-ANNUAL'!BG11</f>
        <v>4875.6000000000004</v>
      </c>
      <c r="BH187" s="504">
        <f>'IS-ANNUAL'!BH11</f>
        <v>5121.3</v>
      </c>
      <c r="BI187" s="504">
        <f>'IS-ANNUAL'!BI11</f>
        <v>19615.599999999999</v>
      </c>
      <c r="BJ187" s="504">
        <f>'IS-ANNUAL'!BJ11</f>
        <v>4644.7</v>
      </c>
      <c r="BK187" s="504">
        <f>'IS-ANNUAL'!BK11</f>
        <v>4978.7</v>
      </c>
      <c r="BL187" s="504">
        <f>'IS-ANNUAL'!BL11</f>
        <v>4959.7</v>
      </c>
      <c r="BM187" s="504">
        <f>'IS-ANNUAL'!BM11</f>
        <v>5375.5999999999995</v>
      </c>
      <c r="BN187" s="504">
        <f>'IS-ANNUAL'!BN11</f>
        <v>19958.699999999997</v>
      </c>
      <c r="BO187" s="504">
        <f>'IS-ANNUAL'!BO11</f>
        <v>4865.1000000000004</v>
      </c>
      <c r="BP187" s="504">
        <f>'IS-ANNUAL'!BP11</f>
        <v>5404.8000000000011</v>
      </c>
      <c r="BQ187" s="504">
        <f>'IS-ANNUAL'!BQ11</f>
        <v>5191.7</v>
      </c>
      <c r="BR187" s="504">
        <f>'IS-ANNUAL'!BR11</f>
        <v>5760.5000000000009</v>
      </c>
      <c r="BS187" s="504">
        <f>'IS-ANNUAL'!BS11</f>
        <v>21210.200000000004</v>
      </c>
      <c r="BT187" s="504">
        <f>'IS-ANNUAL'!BT11</f>
        <v>5228.3999999999996</v>
      </c>
      <c r="BU187" s="504">
        <f>'IS-ANNUAL'!BU11</f>
        <v>5824.3</v>
      </c>
      <c r="BV187" s="504">
        <f>'IS-ANNUAL'!BV11</f>
        <v>5658.1</v>
      </c>
      <c r="BW187" s="504">
        <f>'IS-ANNUAL'!BW11</f>
        <v>6160.7999999999993</v>
      </c>
      <c r="BX187" s="504">
        <f>'IS-ANNUAL'!BX11</f>
        <v>22871.599999999999</v>
      </c>
      <c r="BY187" s="504">
        <f>'IS-ANNUAL'!BY11</f>
        <v>5700</v>
      </c>
      <c r="BZ187" s="504">
        <f>'IS-ANNUAL'!BZ11</f>
        <v>6017.2599999999993</v>
      </c>
      <c r="CA187" s="504">
        <f>'IS-ANNUAL'!CA11</f>
        <v>6059.8329999999996</v>
      </c>
      <c r="CB187" s="504">
        <f>'IS-ANNUAL'!CB11</f>
        <v>6245.3459999999995</v>
      </c>
      <c r="CC187" s="504">
        <f>'IS-ANNUAL'!CC11</f>
        <v>24022.338999999996</v>
      </c>
      <c r="CD187" s="504">
        <f>'IS-ANNUAL'!CD11</f>
        <v>24592.02145</v>
      </c>
      <c r="CE187" s="504">
        <f>'IS-ANNUAL'!CE11</f>
        <v>25514.011554000001</v>
      </c>
      <c r="CF187" s="504">
        <f>'IS-ANNUAL'!CF11</f>
        <v>26439.738999584999</v>
      </c>
      <c r="CG187" s="504">
        <f>'IS-ANNUAL'!CG11</f>
        <v>27217.601464911932</v>
      </c>
      <c r="CH187" s="504">
        <f>'IS-ANNUAL'!CH11</f>
        <v>28120.927073300889</v>
      </c>
    </row>
    <row r="188" spans="1:86" s="77" customFormat="1">
      <c r="A188"/>
      <c r="B188"/>
      <c r="C188"/>
      <c r="D188"/>
      <c r="E188"/>
      <c r="F188"/>
      <c r="G188" s="230"/>
      <c r="H188" s="503" t="s">
        <v>622</v>
      </c>
      <c r="I188" s="503"/>
      <c r="J188" s="503"/>
      <c r="K188" s="503"/>
      <c r="L188" s="504">
        <f>'IS-ANNUAL'!L24</f>
        <v>859</v>
      </c>
      <c r="M188" s="504">
        <f>'IS-ANNUAL'!M24</f>
        <v>871.3</v>
      </c>
      <c r="N188" s="504">
        <f>'IS-ANNUAL'!N24</f>
        <v>845.7</v>
      </c>
      <c r="O188" s="504">
        <f>'IS-ANNUAL'!O24</f>
        <v>898.2</v>
      </c>
      <c r="P188" s="504">
        <f>'IS-ANNUAL'!P24</f>
        <v>3474.2</v>
      </c>
      <c r="Q188" s="504">
        <f>'IS-ANNUAL'!Q24</f>
        <v>806.5</v>
      </c>
      <c r="R188" s="504">
        <f>'IS-ANNUAL'!R24</f>
        <v>860.6</v>
      </c>
      <c r="S188" s="504">
        <f>'IS-ANNUAL'!S24</f>
        <v>860.4</v>
      </c>
      <c r="T188" s="504">
        <f>'IS-ANNUAL'!T24</f>
        <v>1019</v>
      </c>
      <c r="U188" s="504">
        <f>'IS-ANNUAL'!U24</f>
        <v>3546.5</v>
      </c>
      <c r="V188" s="504">
        <f>'IS-ANNUAL'!V24</f>
        <v>922.5</v>
      </c>
      <c r="W188" s="504">
        <f>'IS-ANNUAL'!W24</f>
        <v>998.9</v>
      </c>
      <c r="X188" s="504">
        <f>'IS-ANNUAL'!X24</f>
        <v>1054.5999999999999</v>
      </c>
      <c r="Y188" s="504">
        <f>'IS-ANNUAL'!Y24</f>
        <v>1272.8</v>
      </c>
      <c r="Z188" s="504">
        <f>'IS-ANNUAL'!Z24</f>
        <v>4248.8</v>
      </c>
      <c r="AA188" s="504">
        <f>'IS-ANNUAL'!AA24</f>
        <v>1155.0999999999999</v>
      </c>
      <c r="AB188" s="504">
        <f>'IS-ANNUAL'!AB24</f>
        <v>1183.3</v>
      </c>
      <c r="AC188" s="504">
        <f>'IS-ANNUAL'!AC24</f>
        <v>1199.2</v>
      </c>
      <c r="AD188" s="504">
        <f>'IS-ANNUAL'!AD24</f>
        <v>930.9</v>
      </c>
      <c r="AE188" s="504">
        <f>'IS-ANNUAL'!AE24</f>
        <v>4468.4999999999991</v>
      </c>
      <c r="AF188" s="504">
        <f>'IS-ANNUAL'!AF24</f>
        <v>816.4</v>
      </c>
      <c r="AG188" s="504">
        <f>'IS-ANNUAL'!AG24</f>
        <v>947.4</v>
      </c>
      <c r="AH188" s="504">
        <f>'IS-ANNUAL'!AH24</f>
        <v>1051.9000000000001</v>
      </c>
      <c r="AI188" s="504">
        <f>'IS-ANNUAL'!AI24</f>
        <v>1431.3</v>
      </c>
      <c r="AJ188" s="504">
        <f>'IS-ANNUAL'!AJ24</f>
        <v>4247</v>
      </c>
      <c r="AK188" s="504">
        <f>'IS-ANNUAL'!AK24</f>
        <v>1122.5</v>
      </c>
      <c r="AL188" s="504">
        <f>'IS-ANNUAL'!AL24</f>
        <v>1023.9</v>
      </c>
      <c r="AM188" s="504">
        <f>'IS-ANNUAL'!AM24</f>
        <v>987.6</v>
      </c>
      <c r="AN188" s="504">
        <f>'IS-ANNUAL'!AN24</f>
        <v>1232.2</v>
      </c>
      <c r="AO188" s="504">
        <f>'IS-ANNUAL'!AO24</f>
        <v>4366.2</v>
      </c>
      <c r="AP188" s="504">
        <f>'IS-ANNUAL'!AP24</f>
        <v>1180.0999999999999</v>
      </c>
      <c r="AQ188" s="504">
        <f>'IS-ANNUAL'!AQ24</f>
        <v>1228</v>
      </c>
      <c r="AR188" s="504">
        <f>'IS-ANNUAL'!AR24</f>
        <v>1338.1</v>
      </c>
      <c r="AS188" s="504">
        <f>'IS-ANNUAL'!AS24</f>
        <v>1321.7</v>
      </c>
      <c r="AT188" s="504">
        <f>'IS-ANNUAL'!AT24</f>
        <v>5067.8999999999996</v>
      </c>
      <c r="AU188" s="504">
        <f>'IS-ANNUAL'!AU24</f>
        <v>1197.9000000000001</v>
      </c>
      <c r="AV188" s="504">
        <f>'IS-ANNUAL'!AV24</f>
        <v>1146.7</v>
      </c>
      <c r="AW188" s="504">
        <f>'IS-ANNUAL'!AW24</f>
        <v>1203.5999999999999</v>
      </c>
      <c r="AX188" s="504">
        <f>'IS-ANNUAL'!AX24</f>
        <v>1248.3000000000002</v>
      </c>
      <c r="AY188" s="504">
        <f>'IS-ANNUAL'!AY24</f>
        <v>4796.5</v>
      </c>
      <c r="AZ188" s="504">
        <f>'IS-ANNUAL'!AZ24</f>
        <v>1158.3</v>
      </c>
      <c r="BA188" s="504">
        <f>'IS-ANNUAL'!BA24</f>
        <v>1165.2</v>
      </c>
      <c r="BB188" s="504">
        <f>'IS-ANNUAL'!BB24</f>
        <v>1198.0999999999999</v>
      </c>
      <c r="BC188" s="504">
        <f>'IS-ANNUAL'!BC24</f>
        <v>1386.5</v>
      </c>
      <c r="BD188" s="504">
        <f>'IS-ANNUAL'!BD24</f>
        <v>4908.1000000000004</v>
      </c>
      <c r="BE188" s="504">
        <f>'IS-ANNUAL'!BE24</f>
        <v>1130.3</v>
      </c>
      <c r="BF188" s="504">
        <f>'IS-ANNUAL'!BF24</f>
        <v>1093.9000000000001</v>
      </c>
      <c r="BG188" s="504">
        <f>'IS-ANNUAL'!BG24</f>
        <v>1168.9000000000001</v>
      </c>
      <c r="BH188" s="504">
        <f>'IS-ANNUAL'!BH24</f>
        <v>1154.3</v>
      </c>
      <c r="BI188" s="504">
        <f>'IS-ANNUAL'!BI24</f>
        <v>4547.3999999999996</v>
      </c>
      <c r="BJ188" s="504">
        <f>'IS-ANNUAL'!BJ24</f>
        <v>1012.3</v>
      </c>
      <c r="BK188" s="504">
        <f>'IS-ANNUAL'!BK24</f>
        <v>1033.9000000000001</v>
      </c>
      <c r="BL188" s="504">
        <f>'IS-ANNUAL'!BL24</f>
        <v>1099</v>
      </c>
      <c r="BM188" s="504">
        <f>'IS-ANNUAL'!BM24</f>
        <v>1222.3</v>
      </c>
      <c r="BN188" s="504">
        <f>'IS-ANNUAL'!BN24</f>
        <v>4367.5</v>
      </c>
      <c r="BO188" s="504">
        <f>'IS-ANNUAL'!BO24</f>
        <v>1152.4000000000001</v>
      </c>
      <c r="BP188" s="504">
        <f>'IS-ANNUAL'!BP24</f>
        <v>1298.4000000000001</v>
      </c>
      <c r="BQ188" s="504">
        <f>'IS-ANNUAL'!BQ24</f>
        <v>1225.0999999999999</v>
      </c>
      <c r="BR188" s="504">
        <f>'IS-ANNUAL'!BR24</f>
        <v>1303.3</v>
      </c>
      <c r="BS188" s="504">
        <f>'IS-ANNUAL'!BS24</f>
        <v>4979.2</v>
      </c>
      <c r="BT188" s="504">
        <f>'IS-ANNUAL'!BT24</f>
        <v>1143</v>
      </c>
      <c r="BU188" s="504">
        <f>'IS-ANNUAL'!BU24</f>
        <v>1359.2</v>
      </c>
      <c r="BV188" s="504">
        <f>'IS-ANNUAL'!BV24</f>
        <v>1406.1</v>
      </c>
      <c r="BW188" s="504">
        <f>'IS-ANNUAL'!BW24</f>
        <v>1450.7</v>
      </c>
      <c r="BX188" s="504">
        <f>'IS-ANNUAL'!BX24</f>
        <v>5359</v>
      </c>
      <c r="BY188" s="504">
        <f>'IS-ANNUAL'!BY24</f>
        <v>1420.2</v>
      </c>
      <c r="BZ188" s="504">
        <f>'IS-ANNUAL'!BZ24</f>
        <v>1504.3149999999998</v>
      </c>
      <c r="CA188" s="504">
        <f>'IS-ANNUAL'!CA24</f>
        <v>1527.077916</v>
      </c>
      <c r="CB188" s="504">
        <f>'IS-ANNUAL'!CB24</f>
        <v>1561.3364999999999</v>
      </c>
      <c r="CC188" s="504">
        <f>'IS-ANNUAL'!CC24</f>
        <v>6012.929415999999</v>
      </c>
      <c r="CD188" s="504">
        <f>'IS-ANNUAL'!CD24</f>
        <v>5975.8612123499997</v>
      </c>
      <c r="CE188" s="504">
        <f>'IS-ANNUAL'!CE24</f>
        <v>5995.7927151899994</v>
      </c>
      <c r="CF188" s="504">
        <f>'IS-ANNUAL'!CF24</f>
        <v>6081.1399699045496</v>
      </c>
      <c r="CG188" s="504">
        <f>'IS-ANNUAL'!CG24</f>
        <v>6123.9603296051846</v>
      </c>
      <c r="CH188" s="504">
        <f>'IS-ANNUAL'!CH24</f>
        <v>6186.603956126196</v>
      </c>
    </row>
    <row r="189" spans="1:86" s="77" customFormat="1">
      <c r="A189"/>
      <c r="B189"/>
      <c r="C189"/>
      <c r="D189"/>
      <c r="E189"/>
      <c r="F189"/>
      <c r="G189" s="230"/>
      <c r="H189" s="503" t="s">
        <v>194</v>
      </c>
      <c r="I189" s="503"/>
      <c r="J189" s="503"/>
      <c r="K189" s="503"/>
      <c r="L189" s="504">
        <f>'IS-ANNUAL'!L24+'IS-ANNUAL'!L26+'IS-ANNUAL'!L28</f>
        <v>2651.6000000000004</v>
      </c>
      <c r="M189" s="504">
        <f>'IS-ANNUAL'!M24+'IS-ANNUAL'!M26+'IS-ANNUAL'!M28</f>
        <v>2779.7999999999997</v>
      </c>
      <c r="N189" s="504">
        <f>'IS-ANNUAL'!N24+'IS-ANNUAL'!N26+'IS-ANNUAL'!N28</f>
        <v>2667.6000000000004</v>
      </c>
      <c r="O189" s="504">
        <f>'IS-ANNUAL'!O24+'IS-ANNUAL'!O26+'IS-ANNUAL'!O28</f>
        <v>2897.7000000000003</v>
      </c>
      <c r="P189" s="504">
        <f>'IS-ANNUAL'!P24+'IS-ANNUAL'!P26+'IS-ANNUAL'!P28</f>
        <v>10996.7</v>
      </c>
      <c r="Q189" s="504">
        <f>'IS-ANNUAL'!Q24+'IS-ANNUAL'!Q26+'IS-ANNUAL'!Q28</f>
        <v>2690.2</v>
      </c>
      <c r="R189" s="504">
        <f>'IS-ANNUAL'!R24+'IS-ANNUAL'!R26+'IS-ANNUAL'!R28</f>
        <v>2873.3</v>
      </c>
      <c r="S189" s="504">
        <f>'IS-ANNUAL'!S24+'IS-ANNUAL'!S26+'IS-ANNUAL'!S28</f>
        <v>2814.3</v>
      </c>
      <c r="T189" s="504">
        <f>'IS-ANNUAL'!T24+'IS-ANNUAL'!T26+'IS-ANNUAL'!T28</f>
        <v>3187.8</v>
      </c>
      <c r="U189" s="504">
        <f>'IS-ANNUAL'!U24+'IS-ANNUAL'!U26+'IS-ANNUAL'!U28</f>
        <v>11565.599999999999</v>
      </c>
      <c r="V189" s="504">
        <f>'IS-ANNUAL'!V24+'IS-ANNUAL'!V26+'IS-ANNUAL'!V28</f>
        <v>3093.5</v>
      </c>
      <c r="W189" s="504">
        <f>'IS-ANNUAL'!W24+'IS-ANNUAL'!W26+'IS-ANNUAL'!W28</f>
        <v>3378</v>
      </c>
      <c r="X189" s="504">
        <f>'IS-ANNUAL'!X24+'IS-ANNUAL'!X26+'IS-ANNUAL'!X28</f>
        <v>3376.8999999999996</v>
      </c>
      <c r="Y189" s="504">
        <f>'IS-ANNUAL'!Y24+'IS-ANNUAL'!Y26+'IS-ANNUAL'!Y28</f>
        <v>3982.2</v>
      </c>
      <c r="Z189" s="504">
        <f>'IS-ANNUAL'!Z24+'IS-ANNUAL'!Z26+'IS-ANNUAL'!Z28</f>
        <v>13830.600000000002</v>
      </c>
      <c r="AA189" s="504">
        <f>'IS-ANNUAL'!AA24+'IS-ANNUAL'!AA26+'IS-ANNUAL'!AA28</f>
        <v>3643.2</v>
      </c>
      <c r="AB189" s="504">
        <f>'IS-ANNUAL'!AB24+'IS-ANNUAL'!AB26+'IS-ANNUAL'!AB28</f>
        <v>3917.2</v>
      </c>
      <c r="AC189" s="504">
        <f>'IS-ANNUAL'!AC24+'IS-ANNUAL'!AC26+'IS-ANNUAL'!AC28</f>
        <v>3868.8</v>
      </c>
      <c r="AD189" s="504">
        <f>'IS-ANNUAL'!AD24+'IS-ANNUAL'!AD26+'IS-ANNUAL'!AD28</f>
        <v>3772.9</v>
      </c>
      <c r="AE189" s="504">
        <f>'IS-ANNUAL'!AE24+'IS-ANNUAL'!AE26+'IS-ANNUAL'!AE28</f>
        <v>15202.099999999999</v>
      </c>
      <c r="AF189" s="504">
        <f>'IS-ANNUAL'!AF24+'IS-ANNUAL'!AF26+'IS-ANNUAL'!AF28</f>
        <v>3292.8999999999996</v>
      </c>
      <c r="AG189" s="504">
        <f>'IS-ANNUAL'!AG24+'IS-ANNUAL'!AG26+'IS-ANNUAL'!AG28</f>
        <v>3696</v>
      </c>
      <c r="AH189" s="504">
        <f>'IS-ANNUAL'!AH24+'IS-ANNUAL'!AH26+'IS-ANNUAL'!AH28</f>
        <v>3875.7999999999997</v>
      </c>
      <c r="AI189" s="504">
        <f>'IS-ANNUAL'!AI24+'IS-ANNUAL'!AI26+'IS-ANNUAL'!AI28</f>
        <v>4601.3</v>
      </c>
      <c r="AJ189" s="504">
        <f>'IS-ANNUAL'!AJ24+'IS-ANNUAL'!AJ26+'IS-ANNUAL'!AJ28</f>
        <v>15466</v>
      </c>
      <c r="AK189" s="504">
        <f>'IS-ANNUAL'!AK24+'IS-ANNUAL'!AK26+'IS-ANNUAL'!AK28</f>
        <v>3776</v>
      </c>
      <c r="AL189" s="504">
        <f>'IS-ANNUAL'!AL24+'IS-ANNUAL'!AL26+'IS-ANNUAL'!AL28</f>
        <v>3966.5</v>
      </c>
      <c r="AM189" s="504">
        <f>'IS-ANNUAL'!AM24+'IS-ANNUAL'!AM26+'IS-ANNUAL'!AM28</f>
        <v>3902.3</v>
      </c>
      <c r="AN189" s="504">
        <f>'IS-ANNUAL'!AN24+'IS-ANNUAL'!AN26+'IS-ANNUAL'!AN28</f>
        <v>4659</v>
      </c>
      <c r="AO189" s="504">
        <f>'IS-ANNUAL'!AO24+'IS-ANNUAL'!AO26+'IS-ANNUAL'!AO28</f>
        <v>16303.800000000001</v>
      </c>
      <c r="AP189" s="504">
        <f>'IS-ANNUAL'!AP24+'IS-ANNUAL'!AP26+'IS-ANNUAL'!AP28</f>
        <v>4089.8</v>
      </c>
      <c r="AQ189" s="504">
        <f>'IS-ANNUAL'!AQ24+'IS-ANNUAL'!AQ26+'IS-ANNUAL'!AQ28</f>
        <v>4531.6000000000004</v>
      </c>
      <c r="AR189" s="504">
        <f>'IS-ANNUAL'!AR24+'IS-ANNUAL'!AR26+'IS-ANNUAL'!AR28</f>
        <v>4536.7999999999993</v>
      </c>
      <c r="AS189" s="504">
        <f>'IS-ANNUAL'!AS24+'IS-ANNUAL'!AS26+'IS-ANNUAL'!AS28</f>
        <v>4810.4000000000005</v>
      </c>
      <c r="AT189" s="504">
        <f>'IS-ANNUAL'!AT24+'IS-ANNUAL'!AT26+'IS-ANNUAL'!AT28</f>
        <v>17968.599999999999</v>
      </c>
      <c r="AU189" s="504">
        <f>'IS-ANNUAL'!AU24+'IS-ANNUAL'!AU26+'IS-ANNUAL'!AU28</f>
        <v>4196.8999999999996</v>
      </c>
      <c r="AV189" s="504">
        <f>'IS-ANNUAL'!AV24+'IS-ANNUAL'!AV26+'IS-ANNUAL'!AV28</f>
        <v>4398.5</v>
      </c>
      <c r="AW189" s="504">
        <f>'IS-ANNUAL'!AW24+'IS-ANNUAL'!AW26+'IS-ANNUAL'!AW28</f>
        <v>4303.8</v>
      </c>
      <c r="AX189" s="504">
        <f>'IS-ANNUAL'!AX24+'IS-ANNUAL'!AX26+'IS-ANNUAL'!AX28</f>
        <v>4688.8913160000002</v>
      </c>
      <c r="AY189" s="504">
        <f>'IS-ANNUAL'!AY24+'IS-ANNUAL'!AY26+'IS-ANNUAL'!AY28</f>
        <v>17588.091315999998</v>
      </c>
      <c r="AZ189" s="504">
        <f>'IS-ANNUAL'!AZ24+'IS-ANNUAL'!AZ26+'IS-ANNUAL'!AZ28</f>
        <v>4158.3999999999996</v>
      </c>
      <c r="BA189" s="504">
        <f>'IS-ANNUAL'!BA24+'IS-ANNUAL'!BA26+'IS-ANNUAL'!BA28</f>
        <v>4363.2</v>
      </c>
      <c r="BB189" s="504">
        <f>'IS-ANNUAL'!BB24+'IS-ANNUAL'!BB26+'IS-ANNUAL'!BB28</f>
        <v>4227.8999999999996</v>
      </c>
      <c r="BC189" s="504">
        <f>'IS-ANNUAL'!BC24+'IS-ANNUAL'!BC26+'IS-ANNUAL'!BC28</f>
        <v>4815.5</v>
      </c>
      <c r="BD189" s="504">
        <f>'IS-ANNUAL'!BD24+'IS-ANNUAL'!BD26+'IS-ANNUAL'!BD28</f>
        <v>17565</v>
      </c>
      <c r="BE189" s="504">
        <f>'IS-ANNUAL'!BE24+'IS-ANNUAL'!BE26+'IS-ANNUAL'!BE28</f>
        <v>3688.1</v>
      </c>
      <c r="BF189" s="504">
        <f>'IS-ANNUAL'!BF24+'IS-ANNUAL'!BF26+'IS-ANNUAL'!BF28</f>
        <v>3917</v>
      </c>
      <c r="BG189" s="504">
        <f>'IS-ANNUAL'!BG24+'IS-ANNUAL'!BG26+'IS-ANNUAL'!BG28</f>
        <v>3928.7</v>
      </c>
      <c r="BH189" s="504">
        <f>'IS-ANNUAL'!BH24+'IS-ANNUAL'!BH26+'IS-ANNUAL'!BH28</f>
        <v>4104</v>
      </c>
      <c r="BI189" s="504">
        <f>'IS-ANNUAL'!BI24+'IS-ANNUAL'!BI26+'IS-ANNUAL'!BI28</f>
        <v>15637.8</v>
      </c>
      <c r="BJ189" s="504">
        <f>'IS-ANNUAL'!BJ24+'IS-ANNUAL'!BJ26+'IS-ANNUAL'!BJ28</f>
        <v>3539.2999999999997</v>
      </c>
      <c r="BK189" s="504">
        <f>'IS-ANNUAL'!BK24+'IS-ANNUAL'!BK26+'IS-ANNUAL'!BK28</f>
        <v>3803</v>
      </c>
      <c r="BL189" s="504">
        <f>'IS-ANNUAL'!BL24+'IS-ANNUAL'!BL26+'IS-ANNUAL'!BL28</f>
        <v>3808.4</v>
      </c>
      <c r="BM189" s="504">
        <f>'IS-ANNUAL'!BM24+'IS-ANNUAL'!BM26+'IS-ANNUAL'!BM28</f>
        <v>4462.8</v>
      </c>
      <c r="BN189" s="504">
        <f>'IS-ANNUAL'!BN24+'IS-ANNUAL'!BN26+'IS-ANNUAL'!BN28</f>
        <v>15613.5</v>
      </c>
      <c r="BO189" s="504">
        <f>'IS-ANNUAL'!BO24+'IS-ANNUAL'!BO26+'IS-ANNUAL'!BO28</f>
        <v>3845.4000000000005</v>
      </c>
      <c r="BP189" s="504">
        <f>'IS-ANNUAL'!BP24+'IS-ANNUAL'!BP26+'IS-ANNUAL'!BP28</f>
        <v>4254.8999999999996</v>
      </c>
      <c r="BQ189" s="504">
        <f>'IS-ANNUAL'!BQ24+'IS-ANNUAL'!BQ26+'IS-ANNUAL'!BQ28</f>
        <v>4025</v>
      </c>
      <c r="BR189" s="504">
        <f>'IS-ANNUAL'!BR24+'IS-ANNUAL'!BR26+'IS-ANNUAL'!BR28</f>
        <v>4542.2</v>
      </c>
      <c r="BS189" s="504">
        <f>'IS-ANNUAL'!BS24+'IS-ANNUAL'!BS26+'IS-ANNUAL'!BS28</f>
        <v>16667.5</v>
      </c>
      <c r="BT189" s="504">
        <f>'IS-ANNUAL'!BT24+'IS-ANNUAL'!BT26+'IS-ANNUAL'!BT28</f>
        <v>3924.2</v>
      </c>
      <c r="BU189" s="504">
        <f>'IS-ANNUAL'!BU24+'IS-ANNUAL'!BU26+'IS-ANNUAL'!BU28</f>
        <v>4315.8</v>
      </c>
      <c r="BV189" s="504">
        <f>'IS-ANNUAL'!BV24+'IS-ANNUAL'!BV26+'IS-ANNUAL'!BV28</f>
        <v>4279.5999999999995</v>
      </c>
      <c r="BW189" s="504">
        <f>'IS-ANNUAL'!BW24+'IS-ANNUAL'!BW26+'IS-ANNUAL'!BW28</f>
        <v>4703</v>
      </c>
      <c r="BX189" s="504">
        <f>'IS-ANNUAL'!BX24+'IS-ANNUAL'!BX26+'IS-ANNUAL'!BX28</f>
        <v>17222.599999999999</v>
      </c>
      <c r="BY189" s="504">
        <f>'IS-ANNUAL'!BY24+'IS-ANNUAL'!BY26+'IS-ANNUAL'!BY28</f>
        <v>4095.8</v>
      </c>
      <c r="BZ189" s="504">
        <f>'IS-ANNUAL'!BZ24+'IS-ANNUAL'!BZ26+'IS-ANNUAL'!BZ28</f>
        <v>4430.2070000000003</v>
      </c>
      <c r="CA189" s="504">
        <f>'IS-ANNUAL'!CA24+'IS-ANNUAL'!CA26+'IS-ANNUAL'!CA28</f>
        <v>4340.7569159999994</v>
      </c>
      <c r="CB189" s="504">
        <f>'IS-ANNUAL'!CB24+'IS-ANNUAL'!CB26+'IS-ANNUAL'!CB28</f>
        <v>4774.9874999999993</v>
      </c>
      <c r="CC189" s="504">
        <f>'IS-ANNUAL'!CC24+'IS-ANNUAL'!CC26+'IS-ANNUAL'!CC28</f>
        <v>17641.751415999999</v>
      </c>
      <c r="CD189" s="504">
        <f>'IS-ANNUAL'!CD24+'IS-ANNUAL'!CD26+'IS-ANNUAL'!CD28</f>
        <v>17540.982612350002</v>
      </c>
      <c r="CE189" s="504">
        <f>'IS-ANNUAL'!CE24+'IS-ANNUAL'!CE26+'IS-ANNUAL'!CE28</f>
        <v>17676.565329190002</v>
      </c>
      <c r="CF189" s="504">
        <f>'IS-ANNUAL'!CF24+'IS-ANNUAL'!CF26+'IS-ANNUAL'!CF28</f>
        <v>17995.528036184551</v>
      </c>
      <c r="CG189" s="504">
        <f>'IS-ANNUAL'!CG24+'IS-ANNUAL'!CG26+'IS-ANNUAL'!CG28</f>
        <v>18276.636157210785</v>
      </c>
      <c r="CH189" s="504">
        <f>'IS-ANNUAL'!CH24+'IS-ANNUAL'!CH26+'IS-ANNUAL'!CH28</f>
        <v>18582.333300283906</v>
      </c>
    </row>
    <row r="190" spans="1:86" s="77" customFormat="1">
      <c r="A190"/>
      <c r="B190"/>
      <c r="C190"/>
      <c r="D190"/>
      <c r="E190"/>
      <c r="F190"/>
      <c r="G190" s="230"/>
      <c r="H190" s="503" t="s">
        <v>262</v>
      </c>
      <c r="I190" s="503"/>
      <c r="J190" s="503"/>
      <c r="K190" s="504"/>
      <c r="L190" s="504">
        <f>'IS-ANNUAL'!L47</f>
        <v>736.63199999999995</v>
      </c>
      <c r="M190" s="504">
        <f>'IS-ANNUAL'!M47</f>
        <v>728.2524599999997</v>
      </c>
      <c r="N190" s="504">
        <f>'IS-ANNUAL'!N47</f>
        <v>794.1</v>
      </c>
      <c r="O190" s="504">
        <f>'IS-ANNUAL'!O47</f>
        <v>871</v>
      </c>
      <c r="P190" s="504">
        <f>'IS-ANNUAL'!P47</f>
        <v>3129.9844599999988</v>
      </c>
      <c r="Q190" s="504">
        <f>'IS-ANNUAL'!Q47</f>
        <v>834.4000000000002</v>
      </c>
      <c r="R190" s="504">
        <f>'IS-ANNUAL'!R47</f>
        <v>822.3</v>
      </c>
      <c r="S190" s="504">
        <f>'IS-ANNUAL'!S47</f>
        <v>873.55</v>
      </c>
      <c r="T190" s="504">
        <f>'IS-ANNUAL'!T47</f>
        <v>929.60000000000025</v>
      </c>
      <c r="U190" s="504">
        <f>'IS-ANNUAL'!U47</f>
        <v>3459.8499999999995</v>
      </c>
      <c r="V190" s="504">
        <f>'IS-ANNUAL'!V47</f>
        <v>913.0999999999998</v>
      </c>
      <c r="W190" s="504">
        <f>'IS-ANNUAL'!W47</f>
        <v>978.79999999999916</v>
      </c>
      <c r="X190" s="504">
        <f>'IS-ANNUAL'!X47</f>
        <v>996.80000000000064</v>
      </c>
      <c r="Y190" s="504">
        <f>'IS-ANNUAL'!Y47</f>
        <v>986.09999999999889</v>
      </c>
      <c r="Z190" s="504">
        <f>'IS-ANNUAL'!Z47</f>
        <v>3874.7999999999979</v>
      </c>
      <c r="AA190" s="504">
        <f>'IS-ANNUAL'!AA47</f>
        <v>962.4000000000002</v>
      </c>
      <c r="AB190" s="504">
        <f>'IS-ANNUAL'!AB47</f>
        <v>1023.1999999999999</v>
      </c>
      <c r="AC190" s="504">
        <f>'IS-ANNUAL'!AC47</f>
        <v>1075.400000000001</v>
      </c>
      <c r="AD190" s="504">
        <f>'IS-ANNUAL'!AD47</f>
        <v>1116.1000000000013</v>
      </c>
      <c r="AE190" s="504">
        <f>'IS-ANNUAL'!AE47</f>
        <v>4177.1000000000022</v>
      </c>
      <c r="AF190" s="504">
        <f>'IS-ANNUAL'!AF47</f>
        <v>1312.6000000000006</v>
      </c>
      <c r="AG190" s="504">
        <f>'IS-ANNUAL'!AG47</f>
        <v>1226.5100000000002</v>
      </c>
      <c r="AH190" s="504">
        <f>'IS-ANNUAL'!AH47</f>
        <v>1312.0000000000009</v>
      </c>
      <c r="AI190" s="504">
        <f>'IS-ANNUAL'!AI47</f>
        <v>999.89999999999941</v>
      </c>
      <c r="AJ190" s="504">
        <f>'IS-ANNUAL'!AJ47</f>
        <v>4851.0100000000011</v>
      </c>
      <c r="AK190" s="504">
        <f>'IS-ANNUAL'!AK47</f>
        <v>1297.4999999999995</v>
      </c>
      <c r="AL190" s="504">
        <f>'IS-ANNUAL'!AL47</f>
        <v>1366.900000000001</v>
      </c>
      <c r="AM190" s="504">
        <f>'IS-ANNUAL'!AM47</f>
        <v>1341.5</v>
      </c>
      <c r="AN190" s="504">
        <f>'IS-ANNUAL'!AN47</f>
        <v>1234.9800000000002</v>
      </c>
      <c r="AO190" s="504">
        <f>'IS-ANNUAL'!AO47</f>
        <v>5240.880000000001</v>
      </c>
      <c r="AP190" s="504">
        <f>'IS-ANNUAL'!AP47</f>
        <v>1374.9000000000005</v>
      </c>
      <c r="AQ190" s="504">
        <f>'IS-ANNUAL'!AQ47</f>
        <v>1316.1000000000001</v>
      </c>
      <c r="AR190" s="504">
        <f>'IS-ANNUAL'!AR47</f>
        <v>1253.8999999999992</v>
      </c>
      <c r="AS190" s="504">
        <f>'IS-ANNUAL'!AS47</f>
        <v>968.69999999999982</v>
      </c>
      <c r="AT190" s="504">
        <f>'IS-ANNUAL'!AT47</f>
        <v>4913.600000000004</v>
      </c>
      <c r="AU190" s="504">
        <f>'IS-ANNUAL'!AU47</f>
        <v>1026.9000000000003</v>
      </c>
      <c r="AV190" s="504">
        <f>'IS-ANNUAL'!AV47</f>
        <v>923.6</v>
      </c>
      <c r="AW190" s="504">
        <f>'IS-ANNUAL'!AW47</f>
        <v>888.29999999999893</v>
      </c>
      <c r="AX190" s="504">
        <f>'IS-ANNUAL'!AX47</f>
        <v>945.20868399999904</v>
      </c>
      <c r="AY190" s="504">
        <f>'IS-ANNUAL'!AY47</f>
        <v>3784.0086840000026</v>
      </c>
      <c r="AZ190" s="504">
        <f>'IS-ANNUAL'!AZ47</f>
        <v>1247.3999999999996</v>
      </c>
      <c r="BA190" s="504">
        <f>'IS-ANNUAL'!BA47</f>
        <v>1254.9000000000003</v>
      </c>
      <c r="BB190" s="504">
        <f>'IS-ANNUAL'!BB47</f>
        <v>1203.0999999999999</v>
      </c>
      <c r="BC190" s="504">
        <f>'IS-ANNUAL'!BC47</f>
        <v>796.8999999999993</v>
      </c>
      <c r="BD190" s="504">
        <f>'IS-ANNUAL'!BD47</f>
        <v>4502.3000000000038</v>
      </c>
      <c r="BE190" s="504">
        <f>'IS-ANNUAL'!BE47</f>
        <v>834.60000000000048</v>
      </c>
      <c r="BF190" s="504">
        <f>'IS-ANNUAL'!BF47</f>
        <v>820.29999999999916</v>
      </c>
      <c r="BG190" s="504">
        <f>'IS-ANNUAL'!BG47</f>
        <v>795.00000000000057</v>
      </c>
      <c r="BH190" s="504">
        <f>'IS-ANNUAL'!BH47</f>
        <v>886.10000000000025</v>
      </c>
      <c r="BI190" s="504">
        <f>'IS-ANNUAL'!BI47</f>
        <v>3335.9999999999982</v>
      </c>
      <c r="BJ190" s="504">
        <f>'IS-ANNUAL'!BJ47</f>
        <v>923.6999999999997</v>
      </c>
      <c r="BK190" s="504">
        <f>'IS-ANNUAL'!BK47</f>
        <v>954.8</v>
      </c>
      <c r="BL190" s="504">
        <f>'IS-ANNUAL'!BL47</f>
        <v>923.49999999999977</v>
      </c>
      <c r="BM190" s="504">
        <f>'IS-ANNUAL'!BM47</f>
        <v>828.19999999999914</v>
      </c>
      <c r="BN190" s="504">
        <f>'IS-ANNUAL'!BN47</f>
        <v>3630.1999999999962</v>
      </c>
      <c r="BO190" s="504">
        <f>'IS-ANNUAL'!BO47</f>
        <v>882.30000000000018</v>
      </c>
      <c r="BP190" s="504">
        <f>'IS-ANNUAL'!BP47</f>
        <v>908.80000000000132</v>
      </c>
      <c r="BQ190" s="504">
        <f>'IS-ANNUAL'!BQ47</f>
        <v>930.99999999999966</v>
      </c>
      <c r="BR190" s="504">
        <f>'IS-ANNUAL'!BR47</f>
        <v>1013.4000000000005</v>
      </c>
      <c r="BS190" s="504">
        <f>'IS-ANNUAL'!BS47</f>
        <v>3723.600000000004</v>
      </c>
      <c r="BT190" s="504">
        <f>'IS-ANNUAL'!BT47</f>
        <v>1039.6999999999994</v>
      </c>
      <c r="BU190" s="504">
        <f>'IS-ANNUAL'!BU47</f>
        <v>1177.4000000000001</v>
      </c>
      <c r="BV190" s="504">
        <f>'IS-ANNUAL'!BV47</f>
        <v>1106.7999999999997</v>
      </c>
      <c r="BW190" s="504">
        <f>'IS-ANNUAL'!BW47</f>
        <v>1206.7999999999993</v>
      </c>
      <c r="BX190" s="504">
        <f>'IS-ANNUAL'!BX47</f>
        <v>4530.6999999999989</v>
      </c>
      <c r="BY190" s="504">
        <f>'IS-ANNUAL'!BY47</f>
        <v>1406.1</v>
      </c>
      <c r="BZ190" s="504">
        <f>'IS-ANNUAL'!BZ47</f>
        <v>1342.6731931249994</v>
      </c>
      <c r="CA190" s="504">
        <f>'IS-ANNUAL'!CA47</f>
        <v>1451.5922374249997</v>
      </c>
      <c r="CB190" s="504">
        <f>'IS-ANNUAL'!CB47</f>
        <v>1246.4002306250002</v>
      </c>
      <c r="CC190" s="504">
        <f>'IS-ANNUAL'!CC47</f>
        <v>5446.6656611749977</v>
      </c>
      <c r="CD190" s="504">
        <f>'IS-ANNUAL'!CD47</f>
        <v>5995.8872221248012</v>
      </c>
      <c r="CE190" s="504">
        <f>'IS-ANNUAL'!CE47</f>
        <v>6688.0067417788487</v>
      </c>
      <c r="CF190" s="504">
        <f>'IS-ANNUAL'!CF47</f>
        <v>7194.6552985018743</v>
      </c>
      <c r="CG190" s="504">
        <f>'IS-ANNUAL'!CG47</f>
        <v>7612.1768784929545</v>
      </c>
      <c r="CH190" s="504">
        <f>'IS-ANNUAL'!CH47</f>
        <v>8113.9283495316768</v>
      </c>
    </row>
    <row r="191" spans="1:86" s="77" customFormat="1">
      <c r="A191"/>
      <c r="B191"/>
      <c r="C191"/>
      <c r="D191"/>
      <c r="E191"/>
      <c r="F191"/>
      <c r="G191" s="230"/>
      <c r="H191" s="505" t="s">
        <v>2</v>
      </c>
      <c r="I191" s="505"/>
      <c r="J191" s="505"/>
      <c r="K191" s="505"/>
      <c r="L191" s="506">
        <f>'IS-ANNUAL'!L50</f>
        <v>1089.201</v>
      </c>
      <c r="M191" s="506">
        <f>'IS-ANNUAL'!M50</f>
        <v>1090.2190000000001</v>
      </c>
      <c r="N191" s="506">
        <f>'IS-ANNUAL'!N50</f>
        <v>1091.3620000000001</v>
      </c>
      <c r="O191" s="506">
        <f>'IS-ANNUAL'!O50</f>
        <v>1093.511</v>
      </c>
      <c r="P191" s="506">
        <f>'IS-ANNUAL'!P50</f>
        <v>1091.0732499999999</v>
      </c>
      <c r="Q191" s="506">
        <f>'IS-ANNUAL'!Q50</f>
        <v>1086.9939999999999</v>
      </c>
      <c r="R191" s="506">
        <f>'IS-ANNUAL'!R50</f>
        <v>1085.31</v>
      </c>
      <c r="S191" s="506">
        <f>'IS-ANNUAL'!S50</f>
        <v>1086.412</v>
      </c>
      <c r="T191" s="506">
        <f>'IS-ANNUAL'!T50</f>
        <v>1089.097</v>
      </c>
      <c r="U191" s="506">
        <f>'IS-ANNUAL'!U50</f>
        <v>1086.95325</v>
      </c>
      <c r="V191" s="506">
        <f>'IS-ANNUAL'!V50</f>
        <v>1089.8789999999999</v>
      </c>
      <c r="W191" s="506">
        <f>'IS-ANNUAL'!W50</f>
        <v>1089.9459999999999</v>
      </c>
      <c r="X191" s="506">
        <f>'IS-ANNUAL'!X50</f>
        <v>1090.2280000000001</v>
      </c>
      <c r="Y191" s="506">
        <f>'IS-ANNUAL'!Y50</f>
        <v>1092.636</v>
      </c>
      <c r="Z191" s="506">
        <f>'IS-ANNUAL'!Z50</f>
        <v>1090.6722500000001</v>
      </c>
      <c r="AA191" s="506">
        <f>'IS-ANNUAL'!AA50</f>
        <v>1094.056</v>
      </c>
      <c r="AB191" s="506">
        <f>'IS-ANNUAL'!AB50</f>
        <v>1093.8320000000001</v>
      </c>
      <c r="AC191" s="506">
        <f>'IS-ANNUAL'!AC50</f>
        <v>1094.0239999999999</v>
      </c>
      <c r="AD191" s="506">
        <f>'IS-ANNUAL'!AD50</f>
        <v>1096.5250000000001</v>
      </c>
      <c r="AE191" s="506">
        <f>'IS-ANNUAL'!AE50</f>
        <v>1094.60925</v>
      </c>
      <c r="AF191" s="506">
        <f>'IS-ANNUAL'!AF50</f>
        <v>1097.2560000000001</v>
      </c>
      <c r="AG191" s="506">
        <f>'IS-ANNUAL'!AG50</f>
        <v>1097.213</v>
      </c>
      <c r="AH191" s="506">
        <f>'IS-ANNUAL'!AH50</f>
        <v>1097.7</v>
      </c>
      <c r="AI191" s="506">
        <f>'IS-ANNUAL'!AI50</f>
        <v>1101.4469999999999</v>
      </c>
      <c r="AJ191" s="506">
        <f>'IS-ANNUAL'!AJ50</f>
        <v>1098.404</v>
      </c>
      <c r="AK191" s="506">
        <f>'IS-ANNUAL'!AK50</f>
        <v>1103.4059999999999</v>
      </c>
      <c r="AL191" s="506">
        <f>'IS-ANNUAL'!AL50</f>
        <v>1103.807</v>
      </c>
      <c r="AM191" s="506">
        <f>'IS-ANNUAL'!AM50</f>
        <v>1105.1980000000001</v>
      </c>
      <c r="AN191" s="506">
        <f>'IS-ANNUAL'!AN50</f>
        <v>1109.3610000000001</v>
      </c>
      <c r="AO191" s="506">
        <f>'IS-ANNUAL'!AO50</f>
        <v>1105.443</v>
      </c>
      <c r="AP191" s="506">
        <f>'IS-ANNUAL'!AP50</f>
        <v>1112.0260000000001</v>
      </c>
      <c r="AQ191" s="506">
        <f>'IS-ANNUAL'!AQ50</f>
        <v>1113.9570000000001</v>
      </c>
      <c r="AR191" s="506">
        <f>'IS-ANNUAL'!AR50</f>
        <v>1113.8409999999999</v>
      </c>
      <c r="AS191" s="506">
        <f>'IS-ANNUAL'!AS50</f>
        <v>1115.883</v>
      </c>
      <c r="AT191" s="506">
        <f>'IS-ANNUAL'!AT50</f>
        <v>1113.9267500000001</v>
      </c>
      <c r="AU191" s="506">
        <f>'IS-ANNUAL'!AU50</f>
        <v>1116.9829999999999</v>
      </c>
      <c r="AV191" s="506">
        <f>'IS-ANNUAL'!AV50</f>
        <v>1118.7070000000001</v>
      </c>
      <c r="AW191" s="506">
        <f>'IS-ANNUAL'!AW50</f>
        <v>1119.6410000000001</v>
      </c>
      <c r="AX191" s="506">
        <f>'IS-ANNUAL'!AX50</f>
        <v>1113.8800000000001</v>
      </c>
      <c r="AY191" s="506">
        <f>'IS-ANNUAL'!AY50</f>
        <v>1117.3027500000001</v>
      </c>
      <c r="AZ191" s="506">
        <f>'IS-ANNUAL'!AZ50</f>
        <v>1091.876</v>
      </c>
      <c r="BA191" s="506">
        <f>'IS-ANNUAL'!BA50</f>
        <v>1084.037</v>
      </c>
      <c r="BB191" s="506">
        <f>'IS-ANNUAL'!BB50</f>
        <v>1084.2570000000001</v>
      </c>
      <c r="BC191" s="506">
        <f>'IS-ANNUAL'!BC50</f>
        <v>1078.9760000000001</v>
      </c>
      <c r="BD191" s="506">
        <f>'IS-ANNUAL'!BD50</f>
        <v>1084.7865000000002</v>
      </c>
      <c r="BE191" s="506">
        <f>'IS-ANNUAL'!BE50</f>
        <v>1075.836</v>
      </c>
      <c r="BF191" s="506">
        <f>'IS-ANNUAL'!BF50</f>
        <v>1076.4179999999999</v>
      </c>
      <c r="BG191" s="506">
        <f>'IS-ANNUAL'!BG50</f>
        <v>1074.386</v>
      </c>
      <c r="BH191" s="506">
        <f>'IS-ANNUAL'!BH50</f>
        <v>1069.787</v>
      </c>
      <c r="BI191" s="506">
        <f>'IS-ANNUAL'!BI50</f>
        <v>1074.1067499999999</v>
      </c>
      <c r="BJ191" s="506">
        <f>'IS-ANNUAL'!BJ50</f>
        <v>1067.0360000000001</v>
      </c>
      <c r="BK191" s="506">
        <f>'IS-ANNUAL'!BK50</f>
        <v>1065.5840000000001</v>
      </c>
      <c r="BL191" s="506">
        <f>'IS-ANNUAL'!BL50</f>
        <v>1065.1590000000001</v>
      </c>
      <c r="BM191" s="506">
        <f>'IS-ANNUAL'!BM50</f>
        <v>1064.893</v>
      </c>
      <c r="BN191" s="506">
        <f>'IS-ANNUAL'!BN50</f>
        <v>1065.6680000000001</v>
      </c>
      <c r="BO191" s="506">
        <f>'IS-ANNUAL'!BO50</f>
        <v>1063.075</v>
      </c>
      <c r="BP191" s="506">
        <f>'IS-ANNUAL'!BP50</f>
        <v>1060.0830000000001</v>
      </c>
      <c r="BQ191" s="506">
        <f>'IS-ANNUAL'!BQ50</f>
        <v>1060.7860000000001</v>
      </c>
      <c r="BR191" s="506">
        <f>'IS-ANNUAL'!BR50</f>
        <v>1061.498</v>
      </c>
      <c r="BS191" s="506">
        <f>'IS-ANNUAL'!BS50</f>
        <v>1061.3605000000002</v>
      </c>
      <c r="BT191" s="506">
        <f>'IS-ANNUAL'!BT50</f>
        <v>1056.306</v>
      </c>
      <c r="BU191" s="506">
        <f>'IS-ANNUAL'!BU50</f>
        <v>1057.1099999999999</v>
      </c>
      <c r="BV191" s="506">
        <f>'IS-ANNUAL'!BV50</f>
        <v>1056.0250000000001</v>
      </c>
      <c r="BW191" s="506">
        <f>'IS-ANNUAL'!BW50</f>
        <v>1056.9680000000001</v>
      </c>
      <c r="BX191" s="506">
        <f>'IS-ANNUAL'!BX50</f>
        <v>1056.6022500000001</v>
      </c>
      <c r="BY191" s="506">
        <f>'IS-ANNUAL'!BY50</f>
        <v>1049.8389999999999</v>
      </c>
      <c r="BZ191" s="506">
        <f>'IS-ANNUAL'!BZ50</f>
        <v>1049.7102299999999</v>
      </c>
      <c r="CA191" s="506">
        <f>'IS-ANNUAL'!CA50</f>
        <v>1048.6328250000001</v>
      </c>
      <c r="CB191" s="506">
        <f>'IS-ANNUAL'!CB50</f>
        <v>1048.512256</v>
      </c>
      <c r="CC191" s="506">
        <f>'IS-ANNUAL'!CC50</f>
        <v>1049.1735777499998</v>
      </c>
      <c r="CD191" s="506">
        <f>'IS-ANNUAL'!CD50</f>
        <v>1046.0260570167497</v>
      </c>
      <c r="CE191" s="506">
        <f>'IS-ANNUAL'!CE50</f>
        <v>1042.8879788456995</v>
      </c>
      <c r="CF191" s="506">
        <f>'IS-ANNUAL'!CF50</f>
        <v>1039.7593149091624</v>
      </c>
      <c r="CG191" s="506">
        <f>'IS-ANNUAL'!CG50</f>
        <v>1036.640036964435</v>
      </c>
      <c r="CH191" s="506">
        <f>'IS-ANNUAL'!CH50</f>
        <v>1033.5301168535418</v>
      </c>
    </row>
    <row r="192" spans="1:86" s="77" customFormat="1">
      <c r="A192"/>
      <c r="B192"/>
      <c r="C192"/>
      <c r="D192"/>
      <c r="E192"/>
      <c r="F192"/>
      <c r="G192" s="230"/>
      <c r="H192" s="385"/>
      <c r="I192" s="385"/>
      <c r="J192" s="385"/>
      <c r="K192" s="385"/>
      <c r="L192" s="344"/>
      <c r="M192" s="344"/>
      <c r="N192" s="344"/>
      <c r="O192" s="344"/>
      <c r="P192" s="498"/>
      <c r="Q192" s="344"/>
      <c r="R192" s="344"/>
      <c r="S192" s="344"/>
      <c r="T192" s="344"/>
      <c r="U192" s="344"/>
      <c r="V192" s="344"/>
      <c r="W192" s="344"/>
      <c r="X192" s="344"/>
      <c r="Y192" s="344"/>
      <c r="Z192" s="498"/>
      <c r="AA192" s="344"/>
      <c r="AB192" s="344"/>
      <c r="AC192" s="344"/>
      <c r="AD192" s="344"/>
      <c r="AE192" s="498"/>
      <c r="AF192" s="344"/>
      <c r="AG192" s="344"/>
      <c r="AH192" s="344"/>
      <c r="AI192" s="344"/>
      <c r="AJ192" s="498"/>
      <c r="AK192" s="498"/>
      <c r="AL192" s="498"/>
      <c r="AM192" s="498"/>
      <c r="AN192" s="498"/>
      <c r="AO192" s="498"/>
      <c r="AP192" s="498"/>
      <c r="AQ192" s="498"/>
      <c r="AR192" s="498"/>
      <c r="AS192" s="498"/>
      <c r="AT192" s="498"/>
      <c r="AU192" s="498"/>
      <c r="AV192" s="498"/>
      <c r="AW192" s="498"/>
      <c r="AX192" s="498"/>
      <c r="AY192" s="498"/>
      <c r="AZ192" s="498"/>
      <c r="BA192" s="498"/>
      <c r="BB192" s="498"/>
      <c r="BC192" s="498"/>
      <c r="BD192" s="498"/>
      <c r="BE192" s="498"/>
      <c r="BF192" s="498"/>
      <c r="BG192" s="498"/>
      <c r="BH192" s="498"/>
      <c r="BI192" s="498"/>
      <c r="BJ192" s="498"/>
      <c r="BK192" s="498"/>
      <c r="BL192" s="498"/>
      <c r="BM192" s="498"/>
      <c r="BN192" s="498"/>
      <c r="BO192" s="498"/>
      <c r="BP192" s="498"/>
      <c r="BQ192" s="498"/>
      <c r="BR192" s="498"/>
      <c r="BS192" s="498"/>
      <c r="BT192" s="498"/>
      <c r="BU192" s="498"/>
      <c r="BV192" s="498"/>
      <c r="BW192" s="498"/>
      <c r="BX192" s="498"/>
      <c r="BY192" s="498"/>
      <c r="BZ192" s="498"/>
      <c r="CA192" s="498"/>
      <c r="CB192" s="498"/>
      <c r="CC192" s="498"/>
      <c r="CD192" s="498"/>
      <c r="CE192" s="498"/>
      <c r="CF192" s="498"/>
      <c r="CG192" s="498"/>
      <c r="CH192" s="498"/>
    </row>
    <row r="193" spans="1:86" s="77" customFormat="1">
      <c r="A193"/>
      <c r="B193"/>
      <c r="C193"/>
      <c r="D193"/>
      <c r="E193"/>
      <c r="F193"/>
      <c r="G193" s="230"/>
      <c r="H193" s="385"/>
      <c r="I193" s="385"/>
      <c r="J193" s="385"/>
      <c r="K193" s="385"/>
      <c r="L193" s="344"/>
      <c r="M193" s="344"/>
      <c r="N193" s="344"/>
      <c r="O193" s="344"/>
      <c r="P193" s="498"/>
      <c r="Q193" s="344"/>
      <c r="R193" s="344"/>
      <c r="S193" s="344"/>
      <c r="T193" s="344"/>
      <c r="U193" s="344"/>
      <c r="V193" s="344"/>
      <c r="W193" s="344"/>
      <c r="X193" s="344"/>
      <c r="Y193" s="344"/>
      <c r="Z193" s="498"/>
      <c r="AA193" s="344"/>
      <c r="AB193" s="344"/>
      <c r="AC193" s="344"/>
      <c r="AD193" s="344"/>
      <c r="AE193" s="498"/>
      <c r="AF193" s="344"/>
      <c r="AG193" s="344"/>
      <c r="AH193" s="344"/>
      <c r="AI193" s="344"/>
      <c r="AJ193" s="498"/>
      <c r="AK193" s="498"/>
      <c r="AL193" s="498"/>
      <c r="AM193" s="498"/>
      <c r="AN193" s="498"/>
      <c r="AO193" s="498"/>
      <c r="AP193" s="498"/>
      <c r="AQ193" s="498"/>
      <c r="AR193" s="498"/>
      <c r="AS193" s="498"/>
      <c r="AT193" s="498"/>
      <c r="AU193" s="498"/>
      <c r="AV193" s="498"/>
      <c r="AW193" s="498"/>
      <c r="AX193" s="498"/>
      <c r="AY193" s="498"/>
      <c r="AZ193" s="498"/>
      <c r="BA193" s="498"/>
      <c r="BB193" s="498"/>
      <c r="BC193" s="498"/>
      <c r="BD193" s="498"/>
      <c r="BE193" s="498"/>
      <c r="BF193" s="498"/>
      <c r="BG193" s="498"/>
      <c r="BH193" s="498"/>
      <c r="BI193" s="498"/>
      <c r="BJ193" s="498"/>
      <c r="BK193" s="498"/>
      <c r="BL193" s="498"/>
      <c r="BM193" s="498"/>
      <c r="BN193" s="498"/>
      <c r="BO193" s="498"/>
      <c r="BP193" s="498"/>
      <c r="BQ193" s="498"/>
      <c r="BR193" s="498"/>
      <c r="BS193" s="498"/>
      <c r="BT193" s="498"/>
      <c r="BU193" s="498"/>
      <c r="BV193" s="498"/>
      <c r="BW193" s="498"/>
      <c r="BX193" s="498"/>
      <c r="BY193" s="498"/>
      <c r="BZ193" s="498"/>
      <c r="CA193" s="498"/>
      <c r="CB193" s="498"/>
      <c r="CC193" s="498"/>
      <c r="CD193" s="498"/>
      <c r="CE193" s="498"/>
      <c r="CF193" s="498"/>
      <c r="CG193" s="498"/>
      <c r="CH193" s="498"/>
    </row>
    <row r="194" spans="1:86" s="77" customFormat="1">
      <c r="A194"/>
      <c r="B194"/>
      <c r="C194"/>
      <c r="D194"/>
      <c r="E194"/>
      <c r="F194"/>
      <c r="G194" s="122"/>
      <c r="H194" s="122" t="s">
        <v>379</v>
      </c>
      <c r="I194" s="122"/>
      <c r="J194" s="122"/>
      <c r="K194" s="122"/>
      <c r="L194" s="369"/>
      <c r="M194" s="369"/>
      <c r="N194" s="369"/>
      <c r="O194" s="369"/>
      <c r="P194" s="507">
        <v>0</v>
      </c>
      <c r="Q194" s="507">
        <v>0</v>
      </c>
      <c r="R194" s="507">
        <v>0</v>
      </c>
      <c r="S194" s="507">
        <v>0</v>
      </c>
      <c r="T194" s="507">
        <v>0</v>
      </c>
      <c r="U194" s="507">
        <v>0</v>
      </c>
      <c r="V194" s="507">
        <v>0</v>
      </c>
      <c r="W194" s="507">
        <v>0</v>
      </c>
      <c r="X194" s="507">
        <v>0</v>
      </c>
      <c r="Y194" s="507">
        <v>0</v>
      </c>
      <c r="Z194" s="507">
        <v>0</v>
      </c>
      <c r="AA194" s="507">
        <v>0</v>
      </c>
      <c r="AB194" s="507">
        <v>0</v>
      </c>
      <c r="AC194" s="507">
        <v>0</v>
      </c>
      <c r="AD194" s="507">
        <v>0</v>
      </c>
      <c r="AE194" s="507">
        <v>0</v>
      </c>
      <c r="AF194" s="507">
        <v>0</v>
      </c>
      <c r="AG194" s="507">
        <v>0</v>
      </c>
      <c r="AH194" s="507">
        <v>0</v>
      </c>
      <c r="AI194" s="507">
        <v>0</v>
      </c>
      <c r="AJ194" s="507">
        <v>0</v>
      </c>
      <c r="AK194" s="507">
        <v>0</v>
      </c>
      <c r="AL194" s="507">
        <v>0</v>
      </c>
      <c r="AM194" s="507">
        <v>0</v>
      </c>
      <c r="AN194" s="507">
        <v>0</v>
      </c>
      <c r="AO194" s="507">
        <v>0</v>
      </c>
      <c r="AP194" s="507">
        <v>0</v>
      </c>
      <c r="AQ194" s="507">
        <v>0</v>
      </c>
      <c r="AR194" s="507">
        <v>0</v>
      </c>
      <c r="AS194" s="507">
        <v>0</v>
      </c>
      <c r="AT194" s="507">
        <v>0</v>
      </c>
      <c r="AU194" s="507">
        <v>0</v>
      </c>
      <c r="AV194" s="507">
        <v>0</v>
      </c>
      <c r="AW194" s="507">
        <v>0</v>
      </c>
      <c r="AX194" s="507">
        <v>0</v>
      </c>
      <c r="AY194" s="507">
        <v>0</v>
      </c>
      <c r="AZ194" s="507">
        <v>0</v>
      </c>
      <c r="BA194" s="507">
        <v>0</v>
      </c>
      <c r="BB194" s="507">
        <v>0</v>
      </c>
      <c r="BC194" s="507">
        <v>0</v>
      </c>
      <c r="BD194" s="507">
        <v>0</v>
      </c>
      <c r="BE194" s="507">
        <v>0</v>
      </c>
      <c r="BF194" s="507">
        <v>0</v>
      </c>
      <c r="BG194" s="507">
        <v>0</v>
      </c>
      <c r="BH194" s="507">
        <v>0</v>
      </c>
      <c r="BI194" s="507">
        <v>0</v>
      </c>
      <c r="BJ194" s="507">
        <v>0</v>
      </c>
      <c r="BK194" s="507">
        <v>0</v>
      </c>
      <c r="BL194" s="507">
        <v>0</v>
      </c>
      <c r="BM194" s="507">
        <v>0</v>
      </c>
      <c r="BN194" s="507">
        <v>0</v>
      </c>
      <c r="BO194" s="507">
        <v>0</v>
      </c>
      <c r="BP194" s="507">
        <v>0</v>
      </c>
      <c r="BQ194" s="507">
        <v>0</v>
      </c>
      <c r="BR194" s="507">
        <v>0</v>
      </c>
      <c r="BS194" s="507">
        <v>0</v>
      </c>
      <c r="BT194" s="507">
        <v>0</v>
      </c>
      <c r="BU194" s="507">
        <v>0</v>
      </c>
      <c r="BV194" s="507">
        <v>0</v>
      </c>
      <c r="BW194" s="507">
        <v>0</v>
      </c>
      <c r="BX194" s="507">
        <v>0</v>
      </c>
      <c r="BY194" s="507">
        <v>0</v>
      </c>
      <c r="BZ194" s="507">
        <v>0</v>
      </c>
      <c r="CA194" s="507">
        <v>0</v>
      </c>
      <c r="CB194" s="507">
        <v>0</v>
      </c>
      <c r="CC194" s="507">
        <v>0</v>
      </c>
      <c r="CD194" s="507">
        <v>0</v>
      </c>
      <c r="CE194" s="507">
        <v>0</v>
      </c>
      <c r="CF194" s="507">
        <v>0</v>
      </c>
      <c r="CG194" s="507">
        <v>0</v>
      </c>
      <c r="CH194" s="507">
        <v>0</v>
      </c>
    </row>
    <row r="195" spans="1:86" s="77" customFormat="1">
      <c r="A195"/>
      <c r="B195"/>
      <c r="C195"/>
      <c r="D195"/>
      <c r="E195"/>
      <c r="F195"/>
      <c r="G195" s="122"/>
      <c r="H195" s="122" t="s">
        <v>380</v>
      </c>
      <c r="I195" s="122"/>
      <c r="J195" s="122"/>
      <c r="K195" s="122"/>
      <c r="L195" s="369"/>
      <c r="M195" s="369"/>
      <c r="N195" s="369"/>
      <c r="O195" s="369"/>
      <c r="P195" s="508">
        <f t="shared" ref="P195:AI195" si="312">P180*P191</f>
        <v>1658.4313399999999</v>
      </c>
      <c r="Q195" s="508">
        <f t="shared" si="312"/>
        <v>434.79759999999999</v>
      </c>
      <c r="R195" s="508">
        <f t="shared" si="312"/>
        <v>434.12400000000002</v>
      </c>
      <c r="S195" s="508">
        <f t="shared" si="312"/>
        <v>434.56480000000005</v>
      </c>
      <c r="T195" s="508">
        <f t="shared" si="312"/>
        <v>435.6388</v>
      </c>
      <c r="U195" s="508">
        <f t="shared" si="312"/>
        <v>1739.1252000000002</v>
      </c>
      <c r="V195" s="508">
        <f t="shared" si="312"/>
        <v>463.19857499999995</v>
      </c>
      <c r="W195" s="508">
        <f t="shared" si="312"/>
        <v>463.22704999999996</v>
      </c>
      <c r="X195" s="508">
        <f t="shared" si="312"/>
        <v>463.34690000000001</v>
      </c>
      <c r="Y195" s="508">
        <f t="shared" si="312"/>
        <v>464.37029999999999</v>
      </c>
      <c r="Z195" s="508">
        <f t="shared" si="312"/>
        <v>1854.1428250000001</v>
      </c>
      <c r="AA195" s="508">
        <f t="shared" si="312"/>
        <v>514.20632000000001</v>
      </c>
      <c r="AB195" s="508">
        <f t="shared" si="312"/>
        <v>514.10104000000001</v>
      </c>
      <c r="AC195" s="508">
        <f t="shared" si="312"/>
        <v>514.19127999999989</v>
      </c>
      <c r="AD195" s="508">
        <f t="shared" si="312"/>
        <v>515.36675000000002</v>
      </c>
      <c r="AE195" s="508">
        <f t="shared" si="312"/>
        <v>2057.8653899999999</v>
      </c>
      <c r="AF195" s="508">
        <f t="shared" si="312"/>
        <v>537.65544</v>
      </c>
      <c r="AG195" s="508">
        <f t="shared" si="312"/>
        <v>537.63436999999999</v>
      </c>
      <c r="AH195" s="508">
        <f t="shared" si="312"/>
        <v>537.87300000000005</v>
      </c>
      <c r="AI195" s="508">
        <f t="shared" si="312"/>
        <v>539.70902999999998</v>
      </c>
      <c r="AJ195" s="508">
        <f t="shared" ref="AJ195:AO195" si="313">AJ180*AJ191</f>
        <v>2152.8718399999998</v>
      </c>
      <c r="AK195" s="508">
        <f t="shared" si="313"/>
        <v>540.66894000000002</v>
      </c>
      <c r="AL195" s="508">
        <f t="shared" si="313"/>
        <v>540.86542999999995</v>
      </c>
      <c r="AM195" s="508">
        <f t="shared" si="313"/>
        <v>541.54702000000009</v>
      </c>
      <c r="AN195" s="508">
        <f t="shared" si="313"/>
        <v>543.58689000000004</v>
      </c>
      <c r="AO195" s="508">
        <f t="shared" si="313"/>
        <v>2166.6682799999999</v>
      </c>
      <c r="AP195" s="508">
        <f t="shared" ref="AP195:BB195" si="314">AP180*AP191</f>
        <v>544.89274</v>
      </c>
      <c r="AQ195" s="508">
        <f t="shared" si="314"/>
        <v>545.83893</v>
      </c>
      <c r="AR195" s="508">
        <f t="shared" si="314"/>
        <v>545.78208999999993</v>
      </c>
      <c r="AS195" s="508">
        <f t="shared" si="314"/>
        <v>546.78267000000005</v>
      </c>
      <c r="AT195" s="508">
        <f t="shared" si="314"/>
        <v>2183.2964300000003</v>
      </c>
      <c r="AU195" s="508">
        <f t="shared" si="314"/>
        <v>547.32166999999993</v>
      </c>
      <c r="AV195" s="508">
        <f t="shared" si="314"/>
        <v>548.16642999999999</v>
      </c>
      <c r="AW195" s="508">
        <f t="shared" si="314"/>
        <v>548.62409000000002</v>
      </c>
      <c r="AX195" s="508">
        <f t="shared" si="314"/>
        <v>545.80119999999999</v>
      </c>
      <c r="AY195" s="508">
        <f t="shared" si="314"/>
        <v>2189.9133900000002</v>
      </c>
      <c r="AZ195" s="508">
        <f t="shared" si="314"/>
        <v>535.01923999999997</v>
      </c>
      <c r="BA195" s="508">
        <f t="shared" si="314"/>
        <v>531.17813000000001</v>
      </c>
      <c r="BB195" s="508">
        <f t="shared" si="314"/>
        <v>531.28593000000001</v>
      </c>
      <c r="BC195" s="508">
        <f t="shared" ref="BC195:BN195" si="315">BC180*BC191</f>
        <v>528.69824000000006</v>
      </c>
      <c r="BD195" s="508">
        <f t="shared" si="315"/>
        <v>2126.1815400000005</v>
      </c>
      <c r="BE195" s="508">
        <f t="shared" si="315"/>
        <v>527.15963999999997</v>
      </c>
      <c r="BF195" s="508">
        <f t="shared" si="315"/>
        <v>527.44481999999994</v>
      </c>
      <c r="BG195" s="508">
        <f t="shared" si="315"/>
        <v>526.44913999999994</v>
      </c>
      <c r="BH195" s="508">
        <f t="shared" si="315"/>
        <v>524.19563000000005</v>
      </c>
      <c r="BI195" s="508">
        <f t="shared" si="315"/>
        <v>2105.2492299999999</v>
      </c>
      <c r="BJ195" s="508">
        <f t="shared" si="315"/>
        <v>533.51800000000003</v>
      </c>
      <c r="BK195" s="508">
        <f t="shared" si="315"/>
        <v>532.79200000000003</v>
      </c>
      <c r="BL195" s="508">
        <f t="shared" si="315"/>
        <v>532.57950000000005</v>
      </c>
      <c r="BM195" s="508">
        <f t="shared" si="315"/>
        <v>521.79756999999995</v>
      </c>
      <c r="BN195" s="508">
        <f t="shared" si="315"/>
        <v>2120.6793200000002</v>
      </c>
      <c r="BO195" s="508">
        <f t="shared" ref="BO195:CE195" si="316">BO180*BO191</f>
        <v>542.16825000000006</v>
      </c>
      <c r="BP195" s="508">
        <f t="shared" si="316"/>
        <v>540.64233000000002</v>
      </c>
      <c r="BQ195" s="508">
        <f t="shared" si="316"/>
        <v>541.00085999999999</v>
      </c>
      <c r="BR195" s="508">
        <f t="shared" si="316"/>
        <v>541.36398000000008</v>
      </c>
      <c r="BS195" s="508">
        <f t="shared" si="316"/>
        <v>2165.1754200000005</v>
      </c>
      <c r="BT195" s="508">
        <f t="shared" si="316"/>
        <v>549.27912000000003</v>
      </c>
      <c r="BU195" s="508">
        <f t="shared" si="316"/>
        <v>549.69719999999995</v>
      </c>
      <c r="BV195" s="508">
        <f t="shared" si="316"/>
        <v>549.13300000000004</v>
      </c>
      <c r="BW195" s="508">
        <f>BW180*BW191</f>
        <v>549.62336000000005</v>
      </c>
      <c r="BX195" s="508">
        <f>BX180*BX191</f>
        <v>2197.7326800000005</v>
      </c>
      <c r="BY195" s="508">
        <f t="shared" si="316"/>
        <v>0</v>
      </c>
      <c r="BZ195" s="508">
        <f t="shared" si="316"/>
        <v>0</v>
      </c>
      <c r="CA195" s="508">
        <f t="shared" si="316"/>
        <v>0</v>
      </c>
      <c r="CB195" s="508">
        <f t="shared" si="316"/>
        <v>0</v>
      </c>
      <c r="CC195" s="508">
        <f t="shared" si="316"/>
        <v>2360.6405499374996</v>
      </c>
      <c r="CD195" s="508">
        <f t="shared" si="316"/>
        <v>2426.7804522788592</v>
      </c>
      <c r="CE195" s="508">
        <f t="shared" si="316"/>
        <v>2461.2156300758506</v>
      </c>
      <c r="CF195" s="508">
        <f>CF180*CF191</f>
        <v>2495.4223557819896</v>
      </c>
      <c r="CG195" s="508">
        <f>CG180*CG191</f>
        <v>2529.4016901932214</v>
      </c>
      <c r="CH195" s="508">
        <f>CH180*CH191</f>
        <v>2563.1546897967837</v>
      </c>
    </row>
    <row r="196" spans="1:86" s="77" customFormat="1">
      <c r="A196"/>
      <c r="B196"/>
      <c r="C196"/>
      <c r="D196"/>
      <c r="E196"/>
      <c r="F196"/>
      <c r="G196" s="230"/>
      <c r="H196" s="9" t="s">
        <v>382</v>
      </c>
      <c r="I196" s="427"/>
      <c r="J196" s="427"/>
      <c r="K196" s="427"/>
      <c r="L196" s="509"/>
      <c r="M196" s="509"/>
      <c r="N196" s="509"/>
      <c r="O196" s="509"/>
      <c r="P196" s="508">
        <f t="shared" ref="P196:AR196" si="317">P105-K105+P106-K106</f>
        <v>4030.7000000000003</v>
      </c>
      <c r="Q196" s="508">
        <f t="shared" si="317"/>
        <v>25.700000000000273</v>
      </c>
      <c r="R196" s="508">
        <f t="shared" si="317"/>
        <v>39</v>
      </c>
      <c r="S196" s="508">
        <f t="shared" si="317"/>
        <v>-118.39999999999964</v>
      </c>
      <c r="T196" s="508">
        <f t="shared" si="317"/>
        <v>249.09999999999991</v>
      </c>
      <c r="U196" s="508">
        <f t="shared" si="317"/>
        <v>249.09999999999991</v>
      </c>
      <c r="V196" s="508">
        <f t="shared" si="317"/>
        <v>336.40000000000009</v>
      </c>
      <c r="W196" s="508">
        <f t="shared" si="317"/>
        <v>300.30000000000018</v>
      </c>
      <c r="X196" s="508">
        <f t="shared" si="317"/>
        <v>266.90000000000009</v>
      </c>
      <c r="Y196" s="508">
        <f t="shared" si="317"/>
        <v>234.89999999999964</v>
      </c>
      <c r="Z196" s="508">
        <f t="shared" si="317"/>
        <v>234.89999999999964</v>
      </c>
      <c r="AA196" s="508">
        <f t="shared" si="317"/>
        <v>200.29999999999973</v>
      </c>
      <c r="AB196" s="508">
        <f t="shared" si="317"/>
        <v>176.19999999999982</v>
      </c>
      <c r="AC196" s="508">
        <f t="shared" si="317"/>
        <v>167.39999999999964</v>
      </c>
      <c r="AD196" s="508">
        <f t="shared" si="317"/>
        <v>173</v>
      </c>
      <c r="AE196" s="508">
        <f t="shared" si="317"/>
        <v>173</v>
      </c>
      <c r="AF196" s="508">
        <f t="shared" si="317"/>
        <v>580.30000000000018</v>
      </c>
      <c r="AG196" s="508">
        <f t="shared" si="317"/>
        <v>625.39999999999964</v>
      </c>
      <c r="AH196" s="508">
        <f t="shared" si="317"/>
        <v>654.70000000000027</v>
      </c>
      <c r="AI196" s="508">
        <f t="shared" si="317"/>
        <v>666.60000000000082</v>
      </c>
      <c r="AJ196" s="508">
        <f t="shared" si="317"/>
        <v>666.60000000000082</v>
      </c>
      <c r="AK196" s="508">
        <f t="shared" si="317"/>
        <v>266</v>
      </c>
      <c r="AL196" s="508">
        <f t="shared" si="317"/>
        <v>215.20000000000073</v>
      </c>
      <c r="AM196" s="508">
        <f t="shared" si="317"/>
        <v>185.59999999999945</v>
      </c>
      <c r="AN196" s="508">
        <f t="shared" si="317"/>
        <v>165.5</v>
      </c>
      <c r="AO196" s="508">
        <f t="shared" si="317"/>
        <v>165.5</v>
      </c>
      <c r="AP196" s="508">
        <f t="shared" si="317"/>
        <v>115.70000000000073</v>
      </c>
      <c r="AQ196" s="508">
        <f t="shared" si="317"/>
        <v>128.30000000000018</v>
      </c>
      <c r="AR196" s="508">
        <f t="shared" si="317"/>
        <v>98.400000000000546</v>
      </c>
      <c r="AS196" s="508">
        <f>AS104-AN104</f>
        <v>-1043.7999999999975</v>
      </c>
      <c r="AT196" s="508">
        <f>AT104-AO104</f>
        <v>-1043.7999999999975</v>
      </c>
      <c r="AU196" s="508">
        <f>AU105-AP105+AU106-AP106</f>
        <v>123.09999999999945</v>
      </c>
      <c r="AV196" s="508">
        <f>AV105-AQ105+AV106-AQ106</f>
        <v>98.300000000000182</v>
      </c>
      <c r="AW196" s="508">
        <f>AW105-AR105+AW106-AR106</f>
        <v>82.799999999999272</v>
      </c>
      <c r="AX196" s="508">
        <f>AX105-AS105+AX106-AS106</f>
        <v>68.800000000000182</v>
      </c>
      <c r="AY196" s="508">
        <f t="shared" ref="AY196:BN196" si="318">AY104-AT104</f>
        <v>33.099999999996726</v>
      </c>
      <c r="AZ196" s="508">
        <f t="shared" si="318"/>
        <v>-441.20000000000073</v>
      </c>
      <c r="BA196" s="508">
        <f t="shared" si="318"/>
        <v>44.599999999996726</v>
      </c>
      <c r="BB196" s="508">
        <f t="shared" si="318"/>
        <v>73.800000000001091</v>
      </c>
      <c r="BC196" s="508">
        <f t="shared" si="318"/>
        <v>1962</v>
      </c>
      <c r="BD196" s="508">
        <f t="shared" si="318"/>
        <v>1962</v>
      </c>
      <c r="BE196" s="508">
        <f t="shared" si="318"/>
        <v>2186.5999999999985</v>
      </c>
      <c r="BF196" s="508">
        <f t="shared" si="318"/>
        <v>2160.6000000000004</v>
      </c>
      <c r="BG196" s="508">
        <f t="shared" si="318"/>
        <v>1186.2999999999956</v>
      </c>
      <c r="BH196" s="508">
        <f t="shared" si="318"/>
        <v>-1748.4999999999982</v>
      </c>
      <c r="BI196" s="508">
        <f t="shared" si="318"/>
        <v>-1748.4999999999982</v>
      </c>
      <c r="BJ196" s="508">
        <f t="shared" si="318"/>
        <v>-2459.7999999999993</v>
      </c>
      <c r="BK196" s="508">
        <f t="shared" si="318"/>
        <v>-2223.9999999999982</v>
      </c>
      <c r="BL196" s="508">
        <f t="shared" si="318"/>
        <v>-1897.7000000000007</v>
      </c>
      <c r="BM196" s="508">
        <f t="shared" si="318"/>
        <v>-331.00000000000182</v>
      </c>
      <c r="BN196" s="508">
        <f t="shared" si="318"/>
        <v>-331.00000000000182</v>
      </c>
      <c r="BO196" s="508">
        <f t="shared" ref="BO196:CC196" si="319">BO104-BJ104</f>
        <v>641.89999999999782</v>
      </c>
      <c r="BP196" s="508">
        <f t="shared" si="319"/>
        <v>257.79999999999927</v>
      </c>
      <c r="BQ196" s="508">
        <f t="shared" si="319"/>
        <v>9048.3000000000029</v>
      </c>
      <c r="BR196" s="508">
        <f t="shared" si="319"/>
        <v>-598.09999999999854</v>
      </c>
      <c r="BS196" s="508">
        <f t="shared" si="319"/>
        <v>-598.09999999999854</v>
      </c>
      <c r="BT196" s="508">
        <f t="shared" si="319"/>
        <v>-700.59999999999491</v>
      </c>
      <c r="BU196" s="508">
        <f t="shared" si="319"/>
        <v>-302.49999999999818</v>
      </c>
      <c r="BV196" s="508">
        <f t="shared" si="319"/>
        <v>-8668.1999999999989</v>
      </c>
      <c r="BW196" s="508">
        <f t="shared" si="319"/>
        <v>-263.30000000000291</v>
      </c>
      <c r="BX196" s="508">
        <f t="shared" si="319"/>
        <v>-263.30000000000291</v>
      </c>
      <c r="BY196" s="508">
        <f t="shared" si="319"/>
        <v>1845.6999999999971</v>
      </c>
      <c r="BZ196" s="508">
        <f t="shared" si="319"/>
        <v>1489.2999999999993</v>
      </c>
      <c r="CA196" s="508">
        <f t="shared" si="319"/>
        <v>1255.1999999999989</v>
      </c>
      <c r="CB196" s="508">
        <f t="shared" si="319"/>
        <v>2301.9000000000015</v>
      </c>
      <c r="CC196" s="508">
        <f t="shared" si="319"/>
        <v>-999.99999999999636</v>
      </c>
      <c r="CD196" s="508">
        <f>CD104-CC104</f>
        <v>-1000</v>
      </c>
      <c r="CE196" s="508">
        <f>CE104-CD104</f>
        <v>-750</v>
      </c>
      <c r="CF196" s="508">
        <f>CF104-CE104</f>
        <v>-749.99999999999636</v>
      </c>
      <c r="CG196" s="508">
        <f>CG104-CF104</f>
        <v>-750.00000000000728</v>
      </c>
      <c r="CH196" s="508">
        <f>CH104-CG104</f>
        <v>-750.00000000000364</v>
      </c>
    </row>
    <row r="197" spans="1:86" s="77" customFormat="1">
      <c r="A197"/>
      <c r="B197"/>
      <c r="C197"/>
      <c r="D197"/>
      <c r="E197"/>
      <c r="F197"/>
      <c r="G197" s="230"/>
      <c r="H197" s="427" t="s">
        <v>386</v>
      </c>
      <c r="I197" s="427"/>
      <c r="J197" s="427"/>
      <c r="K197" s="427"/>
      <c r="L197" s="509"/>
      <c r="M197" s="509"/>
      <c r="N197" s="509"/>
      <c r="O197" s="509"/>
      <c r="P197" s="508">
        <f t="shared" ref="P197:AR197" si="320">P107-K107+P108-K108+P109-K109+P110-K110+P111-K111-P15-P44</f>
        <v>6644.7000000000007</v>
      </c>
      <c r="Q197" s="508">
        <f t="shared" si="320"/>
        <v>-331.59999999999957</v>
      </c>
      <c r="R197" s="508">
        <f t="shared" si="320"/>
        <v>1226.6000000000004</v>
      </c>
      <c r="S197" s="508">
        <f t="shared" si="320"/>
        <v>1350.1000000000004</v>
      </c>
      <c r="T197" s="508">
        <f t="shared" si="320"/>
        <v>236.80000000000013</v>
      </c>
      <c r="U197" s="508">
        <f t="shared" si="320"/>
        <v>-992.10000000000014</v>
      </c>
      <c r="V197" s="508">
        <f t="shared" si="320"/>
        <v>-546.8999999999993</v>
      </c>
      <c r="W197" s="508">
        <f t="shared" si="320"/>
        <v>-873.19999999999993</v>
      </c>
      <c r="X197" s="508">
        <f t="shared" si="320"/>
        <v>-842.09999999999968</v>
      </c>
      <c r="Y197" s="508">
        <f t="shared" si="320"/>
        <v>2056.3999999999996</v>
      </c>
      <c r="Z197" s="508">
        <f t="shared" si="320"/>
        <v>1347.6</v>
      </c>
      <c r="AA197" s="508">
        <f t="shared" si="320"/>
        <v>2622.8999999999983</v>
      </c>
      <c r="AB197" s="508">
        <f t="shared" si="320"/>
        <v>2548.1999999999994</v>
      </c>
      <c r="AC197" s="508">
        <f t="shared" si="320"/>
        <v>1610.7999999999993</v>
      </c>
      <c r="AD197" s="508">
        <f t="shared" si="320"/>
        <v>-2960.1000000000013</v>
      </c>
      <c r="AE197" s="508">
        <f t="shared" si="320"/>
        <v>-2976.1000000000013</v>
      </c>
      <c r="AF197" s="508">
        <f t="shared" si="320"/>
        <v>-8547.2000000000007</v>
      </c>
      <c r="AG197" s="508">
        <f t="shared" si="320"/>
        <v>-7421.2</v>
      </c>
      <c r="AH197" s="508">
        <f t="shared" si="320"/>
        <v>-4898.2999999999984</v>
      </c>
      <c r="AI197" s="508">
        <f t="shared" si="320"/>
        <v>1744.7000000000003</v>
      </c>
      <c r="AJ197" s="508">
        <f t="shared" si="320"/>
        <v>-56.299999999999727</v>
      </c>
      <c r="AK197" s="508">
        <f t="shared" si="320"/>
        <v>1761.5000000000016</v>
      </c>
      <c r="AL197" s="508">
        <f t="shared" si="320"/>
        <v>648.80000000000086</v>
      </c>
      <c r="AM197" s="508">
        <f t="shared" si="320"/>
        <v>1563.0999999999997</v>
      </c>
      <c r="AN197" s="508">
        <f t="shared" si="320"/>
        <v>2101.4000000000015</v>
      </c>
      <c r="AO197" s="508">
        <f t="shared" si="320"/>
        <v>-177.29999999999882</v>
      </c>
      <c r="AP197" s="508">
        <f t="shared" si="320"/>
        <v>2845.8999999999987</v>
      </c>
      <c r="AQ197" s="508">
        <f t="shared" si="320"/>
        <v>3257.6000000000004</v>
      </c>
      <c r="AR197" s="508">
        <f t="shared" si="320"/>
        <v>1849.4999999999991</v>
      </c>
      <c r="AS197" s="787">
        <v>0</v>
      </c>
      <c r="AT197" s="508">
        <f t="shared" ref="AT197:BN197" si="321">AT107-AO107+AT108-AO108+AT109-AO109+AT110-AO110+AT111-AO111-AT15-AT44</f>
        <v>-1139.5000000000014</v>
      </c>
      <c r="AU197" s="508">
        <f t="shared" si="321"/>
        <v>304.40000000000191</v>
      </c>
      <c r="AV197" s="508">
        <f t="shared" si="321"/>
        <v>-439.89999999999941</v>
      </c>
      <c r="AW197" s="508">
        <f t="shared" si="321"/>
        <v>136.70000000000107</v>
      </c>
      <c r="AX197" s="508">
        <f t="shared" si="321"/>
        <v>1069.8000000000018</v>
      </c>
      <c r="AY197" s="508">
        <f t="shared" si="321"/>
        <v>-552.29999999999791</v>
      </c>
      <c r="AZ197" s="508">
        <f t="shared" si="321"/>
        <v>-927.19999999999948</v>
      </c>
      <c r="BA197" s="508">
        <f t="shared" si="321"/>
        <v>183.99999999999795</v>
      </c>
      <c r="BB197" s="508">
        <f t="shared" si="321"/>
        <v>44.499999999999318</v>
      </c>
      <c r="BC197" s="508">
        <f t="shared" si="321"/>
        <v>2401.1999999999998</v>
      </c>
      <c r="BD197" s="508">
        <f t="shared" si="321"/>
        <v>35.699999999999818</v>
      </c>
      <c r="BE197" s="508">
        <f t="shared" si="321"/>
        <v>3053.9999999999982</v>
      </c>
      <c r="BF197" s="508">
        <f t="shared" si="321"/>
        <v>2400.3000000000006</v>
      </c>
      <c r="BG197" s="508">
        <f t="shared" si="321"/>
        <v>630.60000000000127</v>
      </c>
      <c r="BH197" s="508">
        <f t="shared" si="321"/>
        <v>-2404.3000000000011</v>
      </c>
      <c r="BI197" s="508">
        <f t="shared" si="321"/>
        <v>-2790.3000000000011</v>
      </c>
      <c r="BJ197" s="508">
        <f t="shared" si="321"/>
        <v>-3661.7000000000003</v>
      </c>
      <c r="BK197" s="508">
        <f t="shared" si="321"/>
        <v>-3619.6999999999989</v>
      </c>
      <c r="BL197" s="508">
        <f t="shared" si="321"/>
        <v>-2940.400000000001</v>
      </c>
      <c r="BM197" s="508">
        <f t="shared" si="321"/>
        <v>-1006.300000000001</v>
      </c>
      <c r="BN197" s="508">
        <f t="shared" si="321"/>
        <v>-1342.3000000000011</v>
      </c>
      <c r="BO197" s="508">
        <f t="shared" ref="BO197:CC197" si="322">BO107-BJ107+BO108-BJ108+BO109-BJ109+BO110-BJ110+BO111-BJ111-BO15-BO44</f>
        <v>-70.299999999999159</v>
      </c>
      <c r="BP197" s="508">
        <f t="shared" si="322"/>
        <v>-474.79999999999916</v>
      </c>
      <c r="BQ197" s="508">
        <f t="shared" si="322"/>
        <v>8329.9999999999982</v>
      </c>
      <c r="BR197" s="508">
        <f t="shared" si="322"/>
        <v>-899.00000000000045</v>
      </c>
      <c r="BS197" s="508">
        <f t="shared" si="322"/>
        <v>-1247.4000000000001</v>
      </c>
      <c r="BT197" s="508">
        <f t="shared" si="322"/>
        <v>-424.39999999999975</v>
      </c>
      <c r="BU197" s="508">
        <f t="shared" si="322"/>
        <v>-1101.6999999999998</v>
      </c>
      <c r="BV197" s="508">
        <f t="shared" si="322"/>
        <v>-9245.7999999999975</v>
      </c>
      <c r="BW197" s="508">
        <f t="shared" si="322"/>
        <v>-396.29999999999893</v>
      </c>
      <c r="BX197" s="508">
        <f t="shared" si="322"/>
        <v>-205.29999999999927</v>
      </c>
      <c r="BY197" s="508">
        <f t="shared" si="322"/>
        <v>-7875</v>
      </c>
      <c r="BZ197" s="508">
        <f t="shared" si="322"/>
        <v>-7877.800000000002</v>
      </c>
      <c r="CA197" s="508">
        <f t="shared" si="322"/>
        <v>-8598.6999999999989</v>
      </c>
      <c r="CB197" s="508">
        <f t="shared" si="322"/>
        <v>-5238.1000000000013</v>
      </c>
      <c r="CC197" s="508">
        <f t="shared" si="322"/>
        <v>8656.0000000000036</v>
      </c>
      <c r="CD197" s="508">
        <f>CD107-CC107+CD108-CC108+CD109-CC109+CD110-CC110+CD111-CC111-CD15-CD44</f>
        <v>0</v>
      </c>
      <c r="CE197" s="508">
        <f>CE107-CD107+CE108-CD108+CE109-CD109+CE110-CD110+CE111-CD111-CE15-CE44</f>
        <v>0</v>
      </c>
      <c r="CF197" s="508">
        <f>CF107-CE107+CF108-CE108+CF109-CE109+CF110-CE110+CF111-CE111-CF15-CF44</f>
        <v>0</v>
      </c>
      <c r="CG197" s="508">
        <f>CG107-CF107+CG108-CF108+CG109-CF109+CG110-CF110+CG111-CF111-CG15-CG44</f>
        <v>0</v>
      </c>
      <c r="CH197" s="508">
        <f>CH107-CG107+CH108-CG108+CH109-CG109+CH110-CG110+CH111-CG111-CH15-CH44</f>
        <v>0</v>
      </c>
    </row>
    <row r="198" spans="1:86" s="77" customFormat="1">
      <c r="A198"/>
      <c r="B198"/>
      <c r="C198"/>
      <c r="D198"/>
      <c r="E198"/>
      <c r="F198"/>
      <c r="H198" s="385"/>
      <c r="I198" s="385"/>
      <c r="J198" s="385"/>
      <c r="K198" s="385"/>
      <c r="L198" s="344"/>
      <c r="M198" s="344"/>
      <c r="N198" s="344"/>
      <c r="O198" s="344"/>
      <c r="P198" s="498"/>
      <c r="Q198" s="344"/>
      <c r="R198" s="344"/>
      <c r="S198" s="344"/>
      <c r="T198" s="344"/>
      <c r="U198" s="344"/>
      <c r="V198" s="344"/>
      <c r="W198" s="344"/>
      <c r="X198" s="344"/>
      <c r="Y198" s="344"/>
      <c r="Z198" s="498"/>
      <c r="AA198" s="344"/>
      <c r="AB198" s="344"/>
      <c r="AC198" s="344"/>
      <c r="AD198" s="344"/>
      <c r="AE198" s="498"/>
      <c r="AF198" s="344"/>
      <c r="AG198" s="344"/>
      <c r="AH198" s="344"/>
      <c r="AI198" s="344"/>
      <c r="AJ198" s="498"/>
      <c r="AK198" s="498"/>
      <c r="AL198" s="498"/>
      <c r="AM198" s="498"/>
      <c r="AN198" s="498"/>
      <c r="AO198" s="498"/>
      <c r="AP198" s="498"/>
      <c r="AQ198" s="498"/>
      <c r="AR198" s="498"/>
      <c r="AS198" s="498"/>
      <c r="AT198" s="498"/>
      <c r="AU198" s="498"/>
      <c r="AV198" s="498"/>
      <c r="AW198" s="498"/>
      <c r="AX198" s="498"/>
      <c r="AY198" s="498"/>
      <c r="AZ198" s="498"/>
      <c r="BA198" s="498"/>
      <c r="BB198" s="498"/>
      <c r="BC198" s="498"/>
      <c r="BD198" s="498"/>
      <c r="BE198" s="498"/>
      <c r="BF198" s="498"/>
      <c r="BG198" s="498"/>
      <c r="BH198" s="498"/>
      <c r="BI198" s="498"/>
      <c r="BJ198" s="498"/>
      <c r="BK198" s="498"/>
      <c r="BL198" s="498"/>
      <c r="BM198" s="498"/>
      <c r="BN198" s="498"/>
      <c r="BO198" s="498"/>
      <c r="BP198" s="498"/>
      <c r="BQ198" s="498"/>
      <c r="BR198" s="498"/>
      <c r="BS198" s="498"/>
      <c r="BT198" s="498"/>
      <c r="BU198" s="498"/>
      <c r="BV198" s="498"/>
      <c r="BW198" s="498"/>
      <c r="BX198" s="498"/>
      <c r="BY198" s="498"/>
      <c r="BZ198" s="498"/>
      <c r="CA198" s="498"/>
      <c r="CB198" s="498"/>
      <c r="CC198" s="498"/>
      <c r="CD198" s="498"/>
      <c r="CE198" s="498"/>
      <c r="CF198" s="498"/>
      <c r="CG198" s="498"/>
      <c r="CH198" s="498"/>
    </row>
    <row r="199" spans="1:86" s="715" customFormat="1">
      <c r="A199"/>
      <c r="B199"/>
      <c r="C199"/>
      <c r="D199"/>
      <c r="E199"/>
      <c r="F199"/>
      <c r="H199" s="716" t="s">
        <v>703</v>
      </c>
      <c r="I199" s="717"/>
      <c r="J199" s="717"/>
      <c r="K199" s="717"/>
      <c r="L199" s="509"/>
      <c r="M199" s="509"/>
      <c r="N199" s="509"/>
      <c r="O199" s="509"/>
      <c r="P199" s="510"/>
      <c r="Q199" s="509"/>
      <c r="R199" s="509"/>
      <c r="S199" s="509"/>
      <c r="T199" s="509"/>
      <c r="U199" s="509"/>
      <c r="V199" s="509"/>
      <c r="W199" s="509"/>
      <c r="X199" s="509"/>
      <c r="Y199" s="509"/>
      <c r="Z199" s="510"/>
      <c r="AA199" s="509"/>
      <c r="AB199" s="509"/>
      <c r="AC199" s="509"/>
      <c r="AD199" s="509"/>
      <c r="AE199" s="510"/>
      <c r="AF199" s="509"/>
      <c r="AG199" s="509"/>
      <c r="AH199" s="509"/>
      <c r="AI199" s="509"/>
      <c r="AJ199" s="722">
        <f>AJ66</f>
        <v>4497.6000000000013</v>
      </c>
      <c r="AK199" s="718"/>
      <c r="AL199" s="718"/>
      <c r="AM199" s="718"/>
      <c r="AN199" s="718"/>
      <c r="AO199" s="722">
        <f>AO66</f>
        <v>6727.0000000000045</v>
      </c>
      <c r="AP199" s="718"/>
      <c r="AQ199" s="718"/>
      <c r="AR199" s="718"/>
      <c r="AS199" s="718"/>
      <c r="AT199" s="722">
        <f>AT66</f>
        <v>6897.100000000004</v>
      </c>
      <c r="AU199" s="718"/>
      <c r="AV199" s="718"/>
      <c r="AW199" s="718"/>
      <c r="AX199" s="718"/>
      <c r="AY199" s="722">
        <f>AY66</f>
        <v>5684.3000000000038</v>
      </c>
      <c r="AZ199" s="722">
        <f>AZ66</f>
        <v>4732.4000000000042</v>
      </c>
      <c r="BA199" s="718"/>
      <c r="BB199" s="718"/>
      <c r="BC199" s="718"/>
      <c r="BD199" s="722">
        <f>BD66</f>
        <v>5397.3000000000047</v>
      </c>
      <c r="BE199" s="718"/>
      <c r="BF199" s="718"/>
      <c r="BG199" s="718"/>
      <c r="BH199" s="718"/>
      <c r="BI199" s="722">
        <f>BI66</f>
        <v>4827.0000000000018</v>
      </c>
      <c r="BJ199" s="718"/>
      <c r="BK199" s="718"/>
      <c r="BL199" s="718"/>
      <c r="BM199" s="718"/>
      <c r="BN199" s="722">
        <f t="shared" ref="BN199:BS199" si="323">BN66</f>
        <v>4451.8000000000047</v>
      </c>
      <c r="BO199" s="722">
        <f t="shared" si="323"/>
        <v>2995.0000000000059</v>
      </c>
      <c r="BP199" s="722">
        <f t="shared" si="323"/>
        <v>3934.8000000000056</v>
      </c>
      <c r="BQ199" s="722">
        <f t="shared" si="323"/>
        <v>4226.8000000000065</v>
      </c>
      <c r="BR199" s="722">
        <f t="shared" si="323"/>
        <v>6038.6000000000058</v>
      </c>
      <c r="BS199" s="722">
        <f t="shared" si="323"/>
        <v>6038.6000000000058</v>
      </c>
      <c r="BT199" s="718"/>
      <c r="BU199" s="718"/>
      <c r="BV199" s="718"/>
      <c r="BW199" s="722"/>
      <c r="BX199" s="722">
        <f>BX66</f>
        <v>8034.100000000004</v>
      </c>
      <c r="BY199" s="718"/>
      <c r="BZ199" s="718"/>
      <c r="CA199" s="718"/>
      <c r="CB199" s="718"/>
      <c r="CC199" s="722">
        <f t="shared" ref="CC199:CH199" si="324">CC66</f>
        <v>5786.5349979041712</v>
      </c>
      <c r="CD199" s="722">
        <f t="shared" si="324"/>
        <v>4627.3776703996191</v>
      </c>
      <c r="CE199" s="722">
        <f t="shared" si="324"/>
        <v>9098.2019072221883</v>
      </c>
      <c r="CF199" s="722">
        <f t="shared" si="324"/>
        <v>9977.8299950276851</v>
      </c>
      <c r="CG199" s="722">
        <f t="shared" si="324"/>
        <v>14742.648533878355</v>
      </c>
      <c r="CH199" s="722">
        <f t="shared" si="324"/>
        <v>16409.042894658029</v>
      </c>
    </row>
    <row r="200" spans="1:86" s="715" customFormat="1">
      <c r="A200"/>
      <c r="B200"/>
      <c r="C200"/>
      <c r="D200"/>
      <c r="E200"/>
      <c r="F200"/>
      <c r="H200" s="716" t="s">
        <v>247</v>
      </c>
      <c r="I200" s="719"/>
      <c r="J200" s="719"/>
      <c r="K200" s="719"/>
      <c r="L200" s="720"/>
      <c r="M200" s="720"/>
      <c r="N200" s="720"/>
      <c r="O200" s="720"/>
      <c r="P200" s="720"/>
      <c r="Q200" s="720"/>
      <c r="R200" s="720"/>
      <c r="S200" s="720"/>
      <c r="T200" s="720"/>
      <c r="U200" s="720"/>
      <c r="V200" s="720"/>
      <c r="W200" s="720"/>
      <c r="X200" s="720"/>
      <c r="Y200" s="720"/>
      <c r="Z200" s="719"/>
      <c r="AA200" s="720"/>
      <c r="AB200" s="720"/>
      <c r="AC200" s="720"/>
      <c r="AD200" s="720"/>
      <c r="AE200" s="719"/>
      <c r="AF200" s="720"/>
      <c r="AG200" s="720"/>
      <c r="AH200" s="720"/>
      <c r="AI200" s="720"/>
      <c r="AJ200" s="721">
        <v>1.7999999999999999E-2</v>
      </c>
      <c r="AK200" s="721">
        <v>1.2999999999999999E-2</v>
      </c>
      <c r="AL200" s="721">
        <v>1.2999999999999999E-2</v>
      </c>
      <c r="AM200" s="721">
        <v>1.2999999999999999E-2</v>
      </c>
      <c r="AN200" s="721">
        <v>1.2999999999999999E-2</v>
      </c>
      <c r="AO200" s="721">
        <f>AJ200</f>
        <v>1.7999999999999999E-2</v>
      </c>
      <c r="AP200" s="721">
        <v>1.2999999999999999E-2</v>
      </c>
      <c r="AQ200" s="721">
        <v>1.2999999999999999E-2</v>
      </c>
      <c r="AR200" s="721">
        <v>1.2999999999999999E-2</v>
      </c>
      <c r="AS200" s="721">
        <v>1.2999999999999999E-2</v>
      </c>
      <c r="AT200" s="721">
        <f>AO200</f>
        <v>1.7999999999999999E-2</v>
      </c>
      <c r="AU200" s="721">
        <v>1.2999999999999999E-2</v>
      </c>
      <c r="AV200" s="721">
        <v>1.2999999999999999E-2</v>
      </c>
      <c r="AW200" s="721">
        <v>1.2999999999999999E-2</v>
      </c>
      <c r="AX200" s="721">
        <v>1.2999999999999999E-2</v>
      </c>
      <c r="AY200" s="721">
        <f>AT200</f>
        <v>1.7999999999999999E-2</v>
      </c>
      <c r="AZ200" s="721">
        <f>AY200</f>
        <v>1.7999999999999999E-2</v>
      </c>
      <c r="BA200" s="721">
        <f>AZ200</f>
        <v>1.7999999999999999E-2</v>
      </c>
      <c r="BB200" s="721">
        <f>BA200</f>
        <v>1.7999999999999999E-2</v>
      </c>
      <c r="BC200" s="721">
        <f>BB200</f>
        <v>1.7999999999999999E-2</v>
      </c>
      <c r="BD200" s="721">
        <f>AY200</f>
        <v>1.7999999999999999E-2</v>
      </c>
      <c r="BE200" s="721">
        <v>1.2999999999999999E-2</v>
      </c>
      <c r="BF200" s="721">
        <v>1.2999999999999999E-2</v>
      </c>
      <c r="BG200" s="721">
        <v>1.2999999999999999E-2</v>
      </c>
      <c r="BH200" s="721">
        <v>1.2999999999999999E-2</v>
      </c>
      <c r="BI200" s="721">
        <f>BD200</f>
        <v>1.7999999999999999E-2</v>
      </c>
      <c r="BJ200" s="721">
        <v>1.2999999999999999E-2</v>
      </c>
      <c r="BK200" s="721">
        <v>1.2999999999999999E-2</v>
      </c>
      <c r="BL200" s="721">
        <v>1.2999999999999999E-2</v>
      </c>
      <c r="BM200" s="721">
        <v>1.2999999999999999E-2</v>
      </c>
      <c r="BN200" s="721">
        <f>BI200</f>
        <v>1.7999999999999999E-2</v>
      </c>
      <c r="BO200" s="721">
        <v>1.2999999999999999E-2</v>
      </c>
      <c r="BP200" s="721">
        <v>1.2999999999999999E-2</v>
      </c>
      <c r="BQ200" s="721">
        <v>1.2999999999999999E-2</v>
      </c>
      <c r="BR200" s="721">
        <v>1.2999999999999999E-2</v>
      </c>
      <c r="BS200" s="721">
        <f>BN200</f>
        <v>1.7999999999999999E-2</v>
      </c>
      <c r="BT200" s="721">
        <v>1.2999999999999999E-2</v>
      </c>
      <c r="BU200" s="721">
        <v>1.2999999999999999E-2</v>
      </c>
      <c r="BV200" s="721">
        <v>1.2999999999999999E-2</v>
      </c>
      <c r="BW200" s="721">
        <v>1.2999999999999999E-2</v>
      </c>
      <c r="BX200" s="721">
        <f>BS200</f>
        <v>1.7999999999999999E-2</v>
      </c>
      <c r="BY200" s="721">
        <v>1.2999999999999999E-2</v>
      </c>
      <c r="BZ200" s="721">
        <v>1.2999999999999999E-2</v>
      </c>
      <c r="CA200" s="721">
        <v>1.2999999999999999E-2</v>
      </c>
      <c r="CB200" s="721">
        <v>1.2999999999999999E-2</v>
      </c>
      <c r="CC200" s="721">
        <f>BX200</f>
        <v>1.7999999999999999E-2</v>
      </c>
      <c r="CD200" s="721">
        <f>CC200</f>
        <v>1.7999999999999999E-2</v>
      </c>
      <c r="CE200" s="721">
        <f>CD200</f>
        <v>1.7999999999999999E-2</v>
      </c>
      <c r="CF200" s="721">
        <f>CE200</f>
        <v>1.7999999999999999E-2</v>
      </c>
      <c r="CG200" s="721">
        <f>CF200</f>
        <v>1.7999999999999999E-2</v>
      </c>
      <c r="CH200" s="721">
        <f>CG200</f>
        <v>1.7999999999999999E-2</v>
      </c>
    </row>
    <row r="201" spans="1:86" s="715" customFormat="1">
      <c r="A201"/>
      <c r="B201"/>
      <c r="C201"/>
      <c r="D201"/>
      <c r="E201"/>
      <c r="F201"/>
      <c r="H201" s="716" t="s">
        <v>704</v>
      </c>
      <c r="I201" s="717"/>
      <c r="J201" s="717"/>
      <c r="K201" s="717"/>
      <c r="L201" s="509"/>
      <c r="M201" s="509"/>
      <c r="N201" s="509"/>
      <c r="O201" s="509"/>
      <c r="P201" s="510"/>
      <c r="Q201" s="509"/>
      <c r="R201" s="509"/>
      <c r="S201" s="509"/>
      <c r="T201" s="509"/>
      <c r="U201" s="509"/>
      <c r="V201" s="509"/>
      <c r="W201" s="509"/>
      <c r="X201" s="509"/>
      <c r="Y201" s="509"/>
      <c r="Z201" s="510"/>
      <c r="AA201" s="509"/>
      <c r="AB201" s="509"/>
      <c r="AC201" s="509"/>
      <c r="AD201" s="509"/>
      <c r="AE201" s="510"/>
      <c r="AF201" s="509"/>
      <c r="AG201" s="509"/>
      <c r="AH201" s="509"/>
      <c r="AI201" s="509"/>
      <c r="AJ201" s="718">
        <f>AJ199*AJ200</f>
        <v>80.956800000000015</v>
      </c>
      <c r="AK201" s="718"/>
      <c r="AL201" s="718"/>
      <c r="AM201" s="718"/>
      <c r="AN201" s="718"/>
      <c r="AO201" s="718">
        <f>AO199*AO200</f>
        <v>121.08600000000007</v>
      </c>
      <c r="AP201" s="718"/>
      <c r="AQ201" s="718"/>
      <c r="AR201" s="718"/>
      <c r="AS201" s="718"/>
      <c r="AT201" s="718">
        <f>AT199*AT200</f>
        <v>124.14780000000006</v>
      </c>
      <c r="AU201" s="718"/>
      <c r="AV201" s="718"/>
      <c r="AW201" s="718"/>
      <c r="AX201" s="718"/>
      <c r="AY201" s="718">
        <f>AY199*AY200</f>
        <v>102.31740000000006</v>
      </c>
      <c r="AZ201" s="718">
        <f>AZ199*AZ200</f>
        <v>85.18320000000007</v>
      </c>
      <c r="BA201" s="718"/>
      <c r="BB201" s="718"/>
      <c r="BC201" s="718"/>
      <c r="BD201" s="718">
        <f>BD199*BD200</f>
        <v>97.151400000000081</v>
      </c>
      <c r="BE201" s="718"/>
      <c r="BF201" s="718"/>
      <c r="BG201" s="718"/>
      <c r="BH201" s="718"/>
      <c r="BI201" s="718">
        <f>BI199*BI200</f>
        <v>86.886000000000024</v>
      </c>
      <c r="BJ201" s="718"/>
      <c r="BK201" s="718"/>
      <c r="BL201" s="718"/>
      <c r="BM201" s="718"/>
      <c r="BN201" s="718">
        <f t="shared" ref="BN201:BS201" si="325">BN199*BN200</f>
        <v>80.132400000000075</v>
      </c>
      <c r="BO201" s="718">
        <f t="shared" si="325"/>
        <v>38.935000000000073</v>
      </c>
      <c r="BP201" s="718">
        <f t="shared" si="325"/>
        <v>51.152400000000071</v>
      </c>
      <c r="BQ201" s="718">
        <f t="shared" si="325"/>
        <v>54.948400000000085</v>
      </c>
      <c r="BR201" s="718">
        <f t="shared" si="325"/>
        <v>78.501800000000074</v>
      </c>
      <c r="BS201" s="718">
        <f t="shared" si="325"/>
        <v>108.6948000000001</v>
      </c>
      <c r="BT201" s="718"/>
      <c r="BU201" s="718"/>
      <c r="BV201" s="718"/>
      <c r="BW201" s="718"/>
      <c r="BX201" s="718">
        <f>BX199*BX200</f>
        <v>144.61380000000005</v>
      </c>
      <c r="BY201" s="718"/>
      <c r="BZ201" s="718"/>
      <c r="CA201" s="718"/>
      <c r="CB201" s="718"/>
      <c r="CC201" s="718">
        <f t="shared" ref="CC201:CH201" si="326">CC199*CC200</f>
        <v>104.15762996227507</v>
      </c>
      <c r="CD201" s="718">
        <f t="shared" si="326"/>
        <v>83.292798067193132</v>
      </c>
      <c r="CE201" s="718">
        <f t="shared" si="326"/>
        <v>163.76763432999937</v>
      </c>
      <c r="CF201" s="718">
        <f t="shared" si="326"/>
        <v>179.60093991049831</v>
      </c>
      <c r="CG201" s="718">
        <f t="shared" si="326"/>
        <v>265.36767360981037</v>
      </c>
      <c r="CH201" s="718">
        <f t="shared" si="326"/>
        <v>295.36277210384452</v>
      </c>
    </row>
    <row r="202" spans="1:86" s="77" customFormat="1">
      <c r="A202"/>
      <c r="B202"/>
      <c r="C202"/>
      <c r="D202"/>
      <c r="E202"/>
      <c r="F202"/>
      <c r="H202" s="385"/>
      <c r="I202" s="385"/>
      <c r="J202" s="385"/>
      <c r="K202" s="385"/>
      <c r="L202" s="344"/>
      <c r="M202" s="344"/>
      <c r="N202" s="344"/>
      <c r="O202" s="344"/>
      <c r="P202" s="498"/>
      <c r="Q202" s="344"/>
      <c r="R202" s="344"/>
      <c r="S202" s="344"/>
      <c r="T202" s="344"/>
      <c r="U202" s="344"/>
      <c r="V202" s="344"/>
      <c r="W202" s="344"/>
      <c r="X202" s="344"/>
      <c r="Y202" s="344"/>
      <c r="Z202" s="498"/>
      <c r="AA202" s="344"/>
      <c r="AB202" s="344"/>
      <c r="AC202" s="344"/>
      <c r="AD202" s="344"/>
      <c r="AE202" s="498"/>
      <c r="AF202" s="344"/>
      <c r="AG202" s="344"/>
      <c r="AH202" s="344"/>
      <c r="AI202" s="344"/>
      <c r="AJ202" s="498"/>
      <c r="AK202" s="498"/>
      <c r="AL202" s="498"/>
      <c r="AM202" s="498"/>
      <c r="AN202" s="498"/>
      <c r="AO202" s="498"/>
      <c r="AP202" s="498"/>
      <c r="AQ202" s="498"/>
      <c r="AR202" s="498"/>
      <c r="AS202" s="498"/>
      <c r="AT202" s="498"/>
      <c r="AU202" s="498"/>
      <c r="AV202" s="498"/>
      <c r="AW202" s="498"/>
      <c r="AX202" s="498"/>
      <c r="AY202" s="498"/>
      <c r="AZ202" s="498"/>
      <c r="BA202" s="498"/>
      <c r="BB202" s="498"/>
      <c r="BC202" s="498"/>
      <c r="BD202" s="498"/>
      <c r="BE202" s="498"/>
      <c r="BF202" s="498"/>
      <c r="BG202" s="498"/>
      <c r="BH202" s="498"/>
      <c r="BI202" s="498"/>
      <c r="BJ202" s="498"/>
      <c r="BK202" s="498"/>
      <c r="BL202" s="498"/>
      <c r="BM202" s="498"/>
      <c r="BN202" s="498"/>
      <c r="BO202" s="498"/>
      <c r="BP202" s="498"/>
      <c r="BQ202" s="498"/>
      <c r="BR202" s="498"/>
      <c r="BS202" s="498"/>
      <c r="BT202" s="498"/>
      <c r="BU202" s="498"/>
      <c r="BV202" s="498"/>
      <c r="BW202" s="498"/>
      <c r="BX202" s="498"/>
      <c r="BY202" s="498"/>
      <c r="BZ202" s="498"/>
      <c r="CA202" s="498"/>
      <c r="CB202" s="498"/>
      <c r="CC202" s="498"/>
      <c r="CD202" s="498"/>
      <c r="CE202" s="498"/>
      <c r="CF202" s="498"/>
      <c r="CG202" s="498"/>
      <c r="CH202" s="498"/>
    </row>
    <row r="203" spans="1:86" s="77" customFormat="1">
      <c r="A203"/>
      <c r="B203"/>
      <c r="C203"/>
      <c r="D203"/>
      <c r="E203"/>
      <c r="F203"/>
      <c r="H203" s="385" t="s">
        <v>387</v>
      </c>
      <c r="I203" s="385"/>
      <c r="J203" s="385"/>
      <c r="K203" s="385"/>
      <c r="L203" s="344"/>
      <c r="M203" s="344"/>
      <c r="N203" s="344"/>
      <c r="O203" s="344"/>
      <c r="P203" s="498"/>
      <c r="Q203" s="344"/>
      <c r="R203" s="344"/>
      <c r="S203" s="344"/>
      <c r="T203" s="344"/>
      <c r="U203" s="344">
        <f>U147*(1-'IS-ANNUAL'!U46)/(U205+U206)</f>
        <v>0.20457310375108115</v>
      </c>
      <c r="V203" s="344"/>
      <c r="W203" s="344"/>
      <c r="X203" s="344"/>
      <c r="Y203" s="344"/>
      <c r="Z203" s="344">
        <f>Z147*(1-'IS-ANNUAL'!Z46)/(Z205+Z206)</f>
        <v>0.22651556598504843</v>
      </c>
      <c r="AA203" s="344"/>
      <c r="AB203" s="344"/>
      <c r="AC203" s="344"/>
      <c r="AD203" s="344"/>
      <c r="AE203" s="344">
        <f>AE147*(1-'IS-ANNUAL'!AE46)/(AE205+AE206)</f>
        <v>0.24476631224170015</v>
      </c>
      <c r="AF203" s="344"/>
      <c r="AG203" s="344"/>
      <c r="AH203" s="344"/>
      <c r="AI203" s="344"/>
      <c r="AJ203" s="344">
        <f>AJ147*(1-'IS-ANNUAL'!AJ46)/(AJ205+AJ206)</f>
        <v>0.30147434395760314</v>
      </c>
      <c r="AK203" s="498"/>
      <c r="AL203" s="498"/>
      <c r="AM203" s="498"/>
      <c r="AN203" s="498"/>
      <c r="AO203" s="344">
        <f>AO147*(1-'IS-ANNUAL'!AO46)/(AO205+AO206)</f>
        <v>0.29525693185401297</v>
      </c>
      <c r="AP203" s="498"/>
      <c r="AQ203" s="498"/>
      <c r="AR203" s="498"/>
      <c r="AS203" s="498"/>
      <c r="AT203" s="344">
        <f>AT147*(1-'IS-ANNUAL'!AT46)/(AT205+AT206)</f>
        <v>0.25371946539547363</v>
      </c>
      <c r="AU203" s="498"/>
      <c r="AV203" s="498"/>
      <c r="AW203" s="498"/>
      <c r="AX203" s="498"/>
      <c r="AY203" s="344">
        <f>AY147*(1-'IS-ANNUAL'!AY46)/(AY205+AY206)</f>
        <v>0.18966807408352684</v>
      </c>
      <c r="AZ203" s="498"/>
      <c r="BA203" s="498"/>
      <c r="BB203" s="498"/>
      <c r="BC203" s="498"/>
      <c r="BD203" s="344">
        <f>BD147*(1-'IS-ANNUAL'!BD46)/(BD205+BD206)</f>
        <v>0.20775874636159683</v>
      </c>
      <c r="BE203" s="498"/>
      <c r="BF203" s="498"/>
      <c r="BG203" s="498"/>
      <c r="BH203" s="498"/>
      <c r="BI203" s="344">
        <f>BI147*(1-'IS-ANNUAL'!BI46)/(BI205+BI206)</f>
        <v>0.13573848256793428</v>
      </c>
      <c r="BJ203" s="498"/>
      <c r="BK203" s="498"/>
      <c r="BL203" s="498"/>
      <c r="BM203" s="498"/>
      <c r="BN203" s="344">
        <f>BN147*(1-'IS-ANNUAL'!BN46)/(BN205+BN206)</f>
        <v>0.14921080518303631</v>
      </c>
      <c r="BO203" s="498"/>
      <c r="BP203" s="498"/>
      <c r="BQ203" s="498"/>
      <c r="BR203" s="498"/>
      <c r="BS203" s="344">
        <f>BS147*(1-'IS-ANNUAL'!BS46)/(BS205+BS206)</f>
        <v>0.15455256474833784</v>
      </c>
      <c r="BT203" s="498"/>
      <c r="BU203" s="498"/>
      <c r="BV203" s="498"/>
      <c r="BW203" s="498"/>
      <c r="BX203" s="344">
        <f>BX147*(1-'IS-ANNUAL'!BX46)/(BX205+BX206)</f>
        <v>0.18064371656162137</v>
      </c>
      <c r="BY203" s="498"/>
      <c r="BZ203" s="498"/>
      <c r="CA203" s="498"/>
      <c r="CB203" s="498"/>
      <c r="CC203" s="344">
        <f>CC147*(1-'IS-ANNUAL'!CC46)/(CC205+CC206)</f>
        <v>0.24225171028410719</v>
      </c>
      <c r="CD203" s="344">
        <f>CD147*(1-'IS-ANNUAL'!CD46)/(CD205+CD206)</f>
        <v>0.31382184691738318</v>
      </c>
      <c r="CE203" s="344">
        <f>CE147*(1-'IS-ANNUAL'!CE46)/(CE205+CE206)</f>
        <v>0.32292051593035387</v>
      </c>
      <c r="CF203" s="344">
        <f>CF147*(1-'IS-ANNUAL'!CF46)/(CF205+CF206)</f>
        <v>0.306843207781682</v>
      </c>
      <c r="CG203" s="344">
        <f>CG147*(1-'IS-ANNUAL'!CG46)/(CG205+CG206)</f>
        <v>0.28944986109548498</v>
      </c>
      <c r="CH203" s="344">
        <f>CH147*(1-'IS-ANNUAL'!CH46)/(CH205+CH206)</f>
        <v>0.27433951695495062</v>
      </c>
    </row>
    <row r="204" spans="1:86" s="77" customFormat="1">
      <c r="A204"/>
      <c r="B204"/>
      <c r="C204"/>
      <c r="D204"/>
      <c r="E204"/>
      <c r="F204"/>
      <c r="H204" s="385" t="s">
        <v>667</v>
      </c>
      <c r="I204" s="385"/>
      <c r="J204" s="385"/>
      <c r="K204" s="385"/>
      <c r="L204" s="344"/>
      <c r="M204" s="344"/>
      <c r="N204" s="344"/>
      <c r="O204" s="344"/>
      <c r="P204" s="512">
        <f>P147*(1-'IS-ANNUAL'!P46)</f>
        <v>2882.2111490385391</v>
      </c>
      <c r="Q204" s="344"/>
      <c r="R204" s="344"/>
      <c r="S204" s="344"/>
      <c r="T204" s="344"/>
      <c r="U204" s="512">
        <f>U147*(1-'IS-ANNUAL'!U46)</f>
        <v>3271.5944471184148</v>
      </c>
      <c r="V204" s="344"/>
      <c r="W204" s="344"/>
      <c r="X204" s="344"/>
      <c r="Y204" s="344"/>
      <c r="Z204" s="512">
        <f>Z147*(1-'IS-ANNUAL'!Z46)</f>
        <v>3778.9705131068631</v>
      </c>
      <c r="AA204" s="344"/>
      <c r="AB204" s="344"/>
      <c r="AC204" s="344"/>
      <c r="AD204" s="344"/>
      <c r="AE204" s="512">
        <f>AE147*(1-'IS-ANNUAL'!AE46)</f>
        <v>4389.7491885831587</v>
      </c>
      <c r="AF204" s="344"/>
      <c r="AG204" s="344"/>
      <c r="AH204" s="344"/>
      <c r="AI204" s="344"/>
      <c r="AJ204" s="512">
        <f>AJ147*(1-'IS-ANNUAL'!AJ46)</f>
        <v>5032.3152653606967</v>
      </c>
      <c r="AK204" s="498"/>
      <c r="AL204" s="498"/>
      <c r="AM204" s="498"/>
      <c r="AN204" s="498"/>
      <c r="AO204" s="512">
        <f>AO147*(1-'IS-ANNUAL'!AO46)</f>
        <v>5244.7522204489833</v>
      </c>
      <c r="AP204" s="498"/>
      <c r="AQ204" s="498"/>
      <c r="AR204" s="498"/>
      <c r="AS204" s="498"/>
      <c r="AT204" s="512">
        <f>AT147*(1-'IS-ANNUAL'!AT46)</f>
        <v>5056.8699788239173</v>
      </c>
      <c r="AU204" s="498"/>
      <c r="AV204" s="498"/>
      <c r="AW204" s="498"/>
      <c r="AX204" s="498"/>
      <c r="AY204" s="512">
        <f>AY147*(1-'IS-ANNUAL'!AY46)</f>
        <v>3871.8650975337086</v>
      </c>
      <c r="AZ204" s="498"/>
      <c r="BA204" s="498"/>
      <c r="BB204" s="498"/>
      <c r="BC204" s="498"/>
      <c r="BD204" s="512">
        <f>BD147*(1-'IS-ANNUAL'!BD46)</f>
        <v>4483.3090912354428</v>
      </c>
      <c r="BE204" s="498"/>
      <c r="BF204" s="498"/>
      <c r="BG204" s="498"/>
      <c r="BH204" s="498"/>
      <c r="BI204" s="512">
        <f>BI147*(1-'IS-ANNUAL'!BI46)</f>
        <v>3139.8482833684293</v>
      </c>
      <c r="BJ204" s="498"/>
      <c r="BK204" s="498"/>
      <c r="BL204" s="498"/>
      <c r="BM204" s="498"/>
      <c r="BN204" s="512">
        <f>BN147*(1-'IS-ANNUAL'!BN46)</f>
        <v>3430.2370425138597</v>
      </c>
      <c r="BO204" s="498"/>
      <c r="BP204" s="498"/>
      <c r="BQ204" s="498"/>
      <c r="BR204" s="498"/>
      <c r="BS204" s="512">
        <f>BS147*(1-'IS-ANNUAL'!BS46)</f>
        <v>3628.4692007379158</v>
      </c>
      <c r="BT204" s="498"/>
      <c r="BU204" s="498"/>
      <c r="BV204" s="498"/>
      <c r="BW204" s="498"/>
      <c r="BX204" s="512">
        <f>BX147*(1-'IS-ANNUAL'!BX46)</f>
        <v>4489.0595818570873</v>
      </c>
      <c r="BY204" s="498"/>
      <c r="BZ204" s="498"/>
      <c r="CA204" s="498"/>
      <c r="CB204" s="498"/>
      <c r="CC204" s="512">
        <f>CC147*(1-'IS-ANNUAL'!CC46)</f>
        <v>5290.1408497098664</v>
      </c>
      <c r="CD204" s="512">
        <f>CD147*(1-'IS-ANNUAL'!CD46)</f>
        <v>5866.4643129248007</v>
      </c>
      <c r="CE204" s="512">
        <f>CE147*(1-'IS-ANNUAL'!CE46)</f>
        <v>6544.267597716349</v>
      </c>
      <c r="CF204" s="512">
        <f>CF147*(1-'IS-ANNUAL'!CF46)</f>
        <v>7050.9161544393737</v>
      </c>
      <c r="CG204" s="512">
        <f>CG147*(1-'IS-ANNUAL'!CG46)</f>
        <v>7465.7060319304537</v>
      </c>
      <c r="CH204" s="512">
        <f>CH147*(1-'IS-ANNUAL'!CH46)</f>
        <v>7964.7258004691766</v>
      </c>
    </row>
    <row r="205" spans="1:86" s="77" customFormat="1">
      <c r="A205"/>
      <c r="B205"/>
      <c r="C205"/>
      <c r="D205"/>
      <c r="E205"/>
      <c r="F205"/>
      <c r="H205" s="77" t="s">
        <v>668</v>
      </c>
      <c r="L205" s="377"/>
      <c r="M205" s="377"/>
      <c r="N205" s="377"/>
      <c r="O205" s="377"/>
      <c r="P205" s="377"/>
      <c r="Q205" s="377"/>
      <c r="R205" s="377"/>
      <c r="S205" s="377"/>
      <c r="T205" s="377"/>
      <c r="U205" s="377">
        <f>AVERAGE(U86+U96,P86+P96)</f>
        <v>5106</v>
      </c>
      <c r="V205" s="377"/>
      <c r="W205" s="377"/>
      <c r="X205" s="377"/>
      <c r="Y205" s="377"/>
      <c r="Z205" s="377">
        <f>AVERAGE(Z86+Z96,U86+U96)</f>
        <v>4360.5</v>
      </c>
      <c r="AA205" s="377"/>
      <c r="AB205" s="377"/>
      <c r="AC205" s="377"/>
      <c r="AD205" s="377"/>
      <c r="AE205" s="377">
        <f>AVERAGE(AE86+AE96,Z86+Z96)</f>
        <v>7734.6</v>
      </c>
      <c r="AF205" s="377"/>
      <c r="AG205" s="377"/>
      <c r="AH205" s="377"/>
      <c r="AI205" s="377"/>
      <c r="AJ205" s="377">
        <f>AVERAGE(AJ86+AJ96,AE86+AE96)</f>
        <v>8562.0499999999993</v>
      </c>
      <c r="AO205" s="377">
        <f>AVERAGE(AO86+AO96,AJ86+AJ96)</f>
        <v>6794.2999999999993</v>
      </c>
      <c r="AT205" s="377">
        <f>AVERAGE(AT86+AT96,AO86+AO96)</f>
        <v>6956.75</v>
      </c>
      <c r="AY205" s="377">
        <f>AVERAGE(AY86+AY96,AT86+AT96)</f>
        <v>6259.15</v>
      </c>
      <c r="BD205" s="377">
        <f>AVERAGE(BD86+BD96,AY86+AY96)</f>
        <v>5372.1</v>
      </c>
      <c r="BI205" s="377">
        <f>AVERAGE(BI86+BI96,BD86+BD96)</f>
        <v>6617.2000000000007</v>
      </c>
      <c r="BN205" s="377">
        <f>AVERAGE(BN86+BN96,BI86+BI96)</f>
        <v>8000</v>
      </c>
      <c r="BS205" s="377">
        <f>AVERAGE(BS86+BS96,BN86+BN96)</f>
        <v>9141.8499999999985</v>
      </c>
      <c r="BX205" s="377">
        <f>AVERAGE(BX86+BX96,BS86+BS96)</f>
        <v>11976.15</v>
      </c>
      <c r="CC205" s="377">
        <f>AVERAGE(CC86+CC96,BX86+BX96)</f>
        <v>9626.4600000000009</v>
      </c>
      <c r="CD205" s="377">
        <f>AVERAGE(CD86+CD96,CC86+CC96)</f>
        <v>5155.1350000000002</v>
      </c>
      <c r="CE205" s="377">
        <f>AVERAGE(CE86+CE96,CD86+CD96)</f>
        <v>4704.45</v>
      </c>
      <c r="CF205" s="377">
        <f>AVERAGE(CF86+CF96,CE86+CE96)</f>
        <v>4704.45</v>
      </c>
      <c r="CG205" s="377">
        <f>AVERAGE(CG86+CG96,CF86+CF96)</f>
        <v>4377.3</v>
      </c>
      <c r="CH205" s="377">
        <f>AVERAGE(CH86+CH96,CG86+CG96)</f>
        <v>4050.15</v>
      </c>
    </row>
    <row r="206" spans="1:86" s="77" customFormat="1">
      <c r="A206"/>
      <c r="B206"/>
      <c r="C206"/>
      <c r="D206"/>
      <c r="E206"/>
      <c r="F206"/>
      <c r="H206" s="77" t="s">
        <v>669</v>
      </c>
      <c r="L206" s="377"/>
      <c r="M206" s="377"/>
      <c r="N206" s="377"/>
      <c r="O206" s="377"/>
      <c r="P206" s="377"/>
      <c r="Q206" s="377"/>
      <c r="R206" s="377"/>
      <c r="S206" s="377"/>
      <c r="T206" s="377"/>
      <c r="U206" s="377">
        <f>AVERAGE(U113,P113)</f>
        <v>10886.3</v>
      </c>
      <c r="V206" s="377"/>
      <c r="W206" s="377"/>
      <c r="X206" s="377"/>
      <c r="Y206" s="377"/>
      <c r="Z206" s="377">
        <f>AVERAGE(Z113,U113)</f>
        <v>12322.550000000001</v>
      </c>
      <c r="AA206" s="377"/>
      <c r="AB206" s="377"/>
      <c r="AC206" s="377"/>
      <c r="AD206" s="377"/>
      <c r="AE206" s="377">
        <f>AVERAGE(AE113,Z113)</f>
        <v>10199.849999999999</v>
      </c>
      <c r="AF206" s="377"/>
      <c r="AG206" s="377"/>
      <c r="AH206" s="377"/>
      <c r="AI206" s="377"/>
      <c r="AJ206" s="377">
        <f>AVERAGE(AJ113,AE113)</f>
        <v>8130.2999999999993</v>
      </c>
      <c r="AO206" s="377">
        <f>AVERAGE(AO113,AJ113)</f>
        <v>10969.050000000007</v>
      </c>
      <c r="AT206" s="377">
        <f>AVERAGE(AT113,AO113)</f>
        <v>12974.200000000008</v>
      </c>
      <c r="AY206" s="377">
        <f>AVERAGE(AY113,AT113)</f>
        <v>14154.750000000004</v>
      </c>
      <c r="BD206" s="377">
        <f>AVERAGE(BD113,AY113)</f>
        <v>16207.300000000003</v>
      </c>
      <c r="BI206" s="377">
        <f>AVERAGE(BI113,BD113)</f>
        <v>16514.400000000005</v>
      </c>
      <c r="BN206" s="377">
        <f>AVERAGE(BN113,BI113)</f>
        <v>14989.200000000008</v>
      </c>
      <c r="BS206" s="377">
        <f>AVERAGE(BS113,BN113)</f>
        <v>14335.400000000009</v>
      </c>
      <c r="BX206" s="377">
        <f>AVERAGE(BX113,BS113)</f>
        <v>12874.2</v>
      </c>
      <c r="CC206" s="377">
        <f>AVERAGE(CC113,BX113)</f>
        <v>12210.912555618748</v>
      </c>
      <c r="CD206" s="377">
        <f>AVERAGE(CD113,CC113)</f>
        <v>13538.478496160473</v>
      </c>
      <c r="CE206" s="377">
        <f>AVERAGE(CE113,CD113)</f>
        <v>15561.427436934942</v>
      </c>
      <c r="CF206" s="377">
        <f>AVERAGE(CF113,CE113)</f>
        <v>18274.439464146388</v>
      </c>
      <c r="CG206" s="377">
        <f>AVERAGE(CG113,CF113)</f>
        <v>21415.443529656193</v>
      </c>
      <c r="CH206" s="377">
        <f>AVERAGE(CH113,CG113)</f>
        <v>24982.217953673502</v>
      </c>
    </row>
    <row r="207" spans="1:86">
      <c r="H207" s="47" t="s">
        <v>670</v>
      </c>
      <c r="L207" s="377"/>
      <c r="M207" s="377"/>
      <c r="N207" s="377"/>
      <c r="P207" s="377"/>
      <c r="Q207" s="377"/>
      <c r="R207" s="377"/>
      <c r="S207" s="377"/>
      <c r="U207" s="484">
        <f>U204/P204-1</f>
        <v>0.13509881058151052</v>
      </c>
      <c r="V207" s="377"/>
      <c r="W207" s="377"/>
      <c r="X207" s="377"/>
      <c r="Z207" s="484">
        <f>Z204/U204-1</f>
        <v>0.15508525710921761</v>
      </c>
      <c r="AA207" s="377"/>
      <c r="AB207" s="377"/>
      <c r="AC207" s="377"/>
      <c r="AE207" s="484">
        <f>AE204/Z204-1</f>
        <v>0.16162567909907999</v>
      </c>
      <c r="AF207" s="377"/>
      <c r="AG207" s="377"/>
      <c r="AH207" s="377"/>
      <c r="AJ207" s="484">
        <f>AJ204/AE204-1</f>
        <v>0.1463787677092625</v>
      </c>
      <c r="AK207" s="77"/>
      <c r="AL207" s="77"/>
      <c r="AM207" s="77"/>
      <c r="AN207" s="77"/>
      <c r="AO207" s="484">
        <f>AO204/AJ204-1</f>
        <v>4.2214556101158651E-2</v>
      </c>
      <c r="AT207" s="484">
        <f>AT204/AO204-1</f>
        <v>-3.5822901393229634E-2</v>
      </c>
      <c r="AY207" s="484">
        <f>AY204/AT204-1</f>
        <v>-0.23433564363974546</v>
      </c>
      <c r="BD207" s="484">
        <f>BD204/AY204-1</f>
        <v>0.15791975657705892</v>
      </c>
      <c r="BI207" s="484">
        <f>BI204/BD204-1</f>
        <v>-0.29965830606981481</v>
      </c>
      <c r="BN207" s="484">
        <f>BN204/BI204-1</f>
        <v>9.2484965176056644E-2</v>
      </c>
      <c r="BS207" s="484">
        <f>BS204/BN204-1</f>
        <v>5.7789638374023511E-2</v>
      </c>
      <c r="BX207" s="484">
        <f>BX204/BS204-1</f>
        <v>0.23717725947464419</v>
      </c>
      <c r="CC207" s="484">
        <f>CC204/BX204-1</f>
        <v>0.17845191253206272</v>
      </c>
      <c r="CD207" s="484">
        <f>CD204/CC204-1</f>
        <v>0.10894293357927176</v>
      </c>
      <c r="CE207" s="484">
        <f>CE204/CD204-1</f>
        <v>0.1155386359886712</v>
      </c>
      <c r="CF207" s="484">
        <f>CF204/CE204-1</f>
        <v>7.7418679654820632E-2</v>
      </c>
      <c r="CG207" s="484">
        <f>CG204/CF204-1</f>
        <v>5.8827798885386251E-2</v>
      </c>
      <c r="CH207" s="484">
        <f>CH204/CG204-1</f>
        <v>6.684160431772157E-2</v>
      </c>
    </row>
    <row r="208" spans="1:86">
      <c r="L208" s="377"/>
      <c r="M208" s="377"/>
      <c r="N208" s="377"/>
      <c r="P208" s="377"/>
      <c r="Q208" s="377"/>
      <c r="R208" s="377"/>
      <c r="S208" s="377"/>
      <c r="U208" s="377"/>
      <c r="V208" s="377"/>
      <c r="W208" s="377"/>
      <c r="X208" s="377"/>
      <c r="Z208" s="77"/>
      <c r="AA208" s="377"/>
      <c r="AB208" s="377"/>
      <c r="AC208" s="377"/>
      <c r="AE208" s="77"/>
      <c r="AF208" s="377"/>
      <c r="AG208" s="377"/>
      <c r="AH208" s="377"/>
      <c r="AJ208" s="77"/>
      <c r="AK208" s="77"/>
      <c r="AL208" s="77"/>
      <c r="AM208" s="77"/>
      <c r="AN208" s="77"/>
    </row>
    <row r="209" spans="12:86">
      <c r="L209" s="377"/>
      <c r="M209" s="377"/>
      <c r="N209" s="377"/>
      <c r="P209" s="377"/>
      <c r="Q209" s="377"/>
      <c r="R209" s="377"/>
      <c r="S209" s="377"/>
      <c r="U209" s="513"/>
      <c r="V209" s="424"/>
      <c r="W209" s="424"/>
      <c r="X209" s="424"/>
      <c r="Y209" s="424"/>
      <c r="Z209" s="513"/>
      <c r="AA209" s="424"/>
      <c r="AB209" s="424"/>
      <c r="AC209" s="424"/>
      <c r="AD209" s="424"/>
      <c r="AE209" s="513"/>
      <c r="AF209" s="424"/>
      <c r="AG209" s="424"/>
      <c r="AH209" s="424"/>
      <c r="AI209" s="424"/>
      <c r="AJ209" s="513"/>
      <c r="AK209" s="514"/>
      <c r="AL209" s="514"/>
      <c r="AM209" s="514"/>
      <c r="AN209" s="514"/>
      <c r="AO209" s="513"/>
      <c r="AP209" s="514"/>
      <c r="AQ209" s="514"/>
      <c r="AR209" s="514"/>
      <c r="AS209" s="514"/>
      <c r="AT209" s="513"/>
      <c r="AU209" s="514"/>
      <c r="AV209" s="514"/>
      <c r="AW209" s="514"/>
      <c r="AX209" s="514"/>
      <c r="AY209" s="513"/>
      <c r="AZ209" s="514"/>
      <c r="BA209" s="514"/>
      <c r="BB209" s="514"/>
      <c r="BC209" s="514"/>
      <c r="BD209" s="513"/>
      <c r="BE209" s="514"/>
      <c r="BF209" s="514"/>
      <c r="BG209" s="514"/>
      <c r="BH209" s="514"/>
      <c r="BI209" s="513"/>
      <c r="BJ209" s="514"/>
      <c r="BK209" s="514"/>
      <c r="BL209" s="514"/>
      <c r="BM209" s="514"/>
      <c r="BN209" s="513"/>
      <c r="BO209" s="514"/>
      <c r="BP209" s="514"/>
      <c r="BQ209" s="514"/>
      <c r="BR209" s="514"/>
      <c r="BS209" s="513"/>
      <c r="BT209" s="514"/>
      <c r="BU209" s="514"/>
      <c r="BV209" s="514"/>
      <c r="BW209" s="514"/>
      <c r="BX209" s="513"/>
      <c r="BY209" s="514"/>
      <c r="BZ209" s="514"/>
      <c r="CA209" s="514"/>
      <c r="CB209" s="514"/>
      <c r="CC209" s="513"/>
      <c r="CD209" s="513"/>
      <c r="CE209" s="513"/>
      <c r="CF209" s="513"/>
      <c r="CG209" s="513"/>
      <c r="CH209" s="513"/>
    </row>
    <row r="210" spans="12:86">
      <c r="L210" s="377"/>
      <c r="M210" s="377"/>
      <c r="N210" s="377"/>
      <c r="P210" s="377"/>
      <c r="Q210" s="377"/>
      <c r="R210" s="377"/>
      <c r="S210" s="377"/>
      <c r="U210" s="515"/>
      <c r="V210" s="516"/>
      <c r="W210" s="516"/>
      <c r="X210" s="516"/>
      <c r="Y210" s="516"/>
      <c r="Z210" s="515"/>
      <c r="AA210" s="516"/>
      <c r="AB210" s="516"/>
      <c r="AC210" s="516"/>
      <c r="AD210" s="516"/>
      <c r="AE210" s="515"/>
      <c r="AF210" s="516"/>
      <c r="AG210" s="516"/>
      <c r="AH210" s="516"/>
      <c r="AI210" s="516"/>
      <c r="AJ210" s="515"/>
      <c r="AK210" s="517"/>
      <c r="AL210" s="517"/>
      <c r="AM210" s="517"/>
      <c r="AN210" s="517"/>
      <c r="AO210" s="515"/>
      <c r="AP210" s="517"/>
      <c r="AQ210" s="517"/>
      <c r="AR210" s="517"/>
      <c r="AS210" s="517"/>
      <c r="AT210" s="515"/>
      <c r="AU210" s="517"/>
      <c r="AV210" s="517"/>
      <c r="AW210" s="517"/>
      <c r="AX210" s="517"/>
      <c r="AY210" s="515"/>
      <c r="AZ210" s="517"/>
      <c r="BA210" s="517"/>
      <c r="BB210" s="517"/>
      <c r="BC210" s="517"/>
      <c r="BD210" s="515"/>
      <c r="BE210" s="517"/>
      <c r="BF210" s="517"/>
      <c r="BG210" s="517"/>
      <c r="BH210" s="517"/>
      <c r="BI210" s="515"/>
      <c r="BJ210" s="517"/>
      <c r="BK210" s="517"/>
      <c r="BL210" s="517"/>
      <c r="BM210" s="517"/>
      <c r="BN210" s="515"/>
      <c r="BO210" s="517"/>
      <c r="BP210" s="517"/>
      <c r="BQ210" s="517"/>
      <c r="BR210" s="517"/>
      <c r="BS210" s="515"/>
      <c r="BT210" s="517"/>
      <c r="BU210" s="517"/>
      <c r="BV210" s="517"/>
      <c r="BW210" s="517"/>
      <c r="BX210" s="515"/>
      <c r="BY210" s="517"/>
      <c r="BZ210" s="517"/>
      <c r="CA210" s="517"/>
      <c r="CB210" s="517"/>
      <c r="CC210" s="515"/>
      <c r="CD210" s="515"/>
      <c r="CE210" s="515"/>
      <c r="CF210" s="515"/>
      <c r="CG210" s="515"/>
      <c r="CH210" s="515"/>
    </row>
    <row r="211" spans="12:86">
      <c r="L211" s="377"/>
      <c r="M211" s="377"/>
      <c r="N211" s="377"/>
      <c r="P211" s="377"/>
      <c r="Q211" s="377"/>
      <c r="R211" s="377"/>
      <c r="S211" s="377"/>
      <c r="U211" s="377"/>
      <c r="V211" s="377"/>
      <c r="W211" s="377"/>
      <c r="X211" s="377"/>
      <c r="Z211" s="77"/>
      <c r="AA211" s="377"/>
      <c r="AB211" s="377"/>
      <c r="AC211" s="377"/>
      <c r="AE211" s="77"/>
      <c r="AF211" s="377"/>
      <c r="AG211" s="377"/>
      <c r="AH211" s="377"/>
      <c r="AJ211" s="77"/>
      <c r="AK211" s="77"/>
      <c r="AL211" s="77"/>
      <c r="AM211" s="77"/>
      <c r="AN211" s="77"/>
    </row>
    <row r="212" spans="12:86">
      <c r="L212" s="377"/>
      <c r="M212" s="377"/>
      <c r="N212" s="377"/>
      <c r="P212" s="377"/>
      <c r="Q212" s="377"/>
      <c r="R212" s="377"/>
      <c r="S212" s="377"/>
      <c r="U212" s="377"/>
      <c r="V212" s="377"/>
      <c r="W212" s="377"/>
      <c r="X212" s="377"/>
      <c r="Z212" s="77"/>
      <c r="AA212" s="377"/>
      <c r="AB212" s="377"/>
      <c r="AC212" s="377"/>
      <c r="AE212" s="77"/>
      <c r="AF212" s="377"/>
      <c r="AG212" s="377"/>
      <c r="AH212" s="377"/>
      <c r="AJ212" s="77"/>
      <c r="AK212" s="77"/>
      <c r="AL212" s="77"/>
      <c r="AM212" s="77"/>
      <c r="AN212" s="77"/>
    </row>
    <row r="213" spans="12:86">
      <c r="L213" s="377"/>
      <c r="M213" s="377"/>
      <c r="N213" s="377"/>
      <c r="P213" s="377"/>
      <c r="Q213" s="377"/>
      <c r="R213" s="377"/>
      <c r="S213" s="377"/>
      <c r="U213" s="377"/>
      <c r="V213" s="377"/>
      <c r="W213" s="377"/>
      <c r="X213" s="377"/>
      <c r="Z213" s="77"/>
      <c r="AA213" s="377"/>
      <c r="AB213" s="377"/>
      <c r="AC213" s="377"/>
      <c r="AE213" s="77"/>
      <c r="AF213" s="377"/>
      <c r="AG213" s="377"/>
      <c r="AH213" s="377"/>
      <c r="AJ213" s="77"/>
      <c r="AK213" s="77"/>
      <c r="AL213" s="77"/>
      <c r="AM213" s="77"/>
      <c r="AN213" s="77"/>
    </row>
    <row r="214" spans="12:86">
      <c r="L214" s="377"/>
      <c r="M214" s="377"/>
      <c r="N214" s="377"/>
      <c r="P214" s="377"/>
      <c r="Q214" s="377"/>
      <c r="R214" s="377"/>
      <c r="S214" s="377"/>
      <c r="U214" s="377"/>
      <c r="V214" s="377"/>
      <c r="W214" s="377"/>
      <c r="X214" s="377"/>
      <c r="Z214" s="77"/>
      <c r="AA214" s="377"/>
      <c r="AB214" s="377"/>
      <c r="AC214" s="377"/>
      <c r="AE214" s="77"/>
      <c r="AF214" s="377"/>
      <c r="AG214" s="377"/>
      <c r="AH214" s="377"/>
      <c r="AJ214" s="77"/>
      <c r="AK214" s="77"/>
      <c r="AL214" s="77"/>
      <c r="AM214" s="77"/>
      <c r="AN214" s="77"/>
    </row>
    <row r="215" spans="12:86">
      <c r="L215" s="377"/>
      <c r="M215" s="377"/>
      <c r="N215" s="377"/>
      <c r="P215" s="377"/>
      <c r="Q215" s="377"/>
      <c r="R215" s="377"/>
      <c r="S215" s="377"/>
      <c r="U215" s="377"/>
      <c r="V215" s="377"/>
      <c r="W215" s="377"/>
      <c r="X215" s="377"/>
      <c r="Z215" s="77"/>
      <c r="AA215" s="377"/>
      <c r="AB215" s="377"/>
      <c r="AC215" s="377"/>
      <c r="AE215" s="77"/>
      <c r="AF215" s="377"/>
      <c r="AG215" s="377"/>
      <c r="AH215" s="377"/>
      <c r="AJ215" s="77"/>
      <c r="AK215" s="77"/>
      <c r="AL215" s="77"/>
      <c r="AM215" s="77"/>
      <c r="AN215" s="77"/>
    </row>
    <row r="216" spans="12:86">
      <c r="L216" s="377"/>
      <c r="M216" s="377"/>
      <c r="N216" s="377"/>
      <c r="P216" s="377"/>
      <c r="Q216" s="377"/>
      <c r="R216" s="377"/>
      <c r="S216" s="377"/>
      <c r="U216" s="377"/>
      <c r="V216" s="377"/>
      <c r="W216" s="377"/>
      <c r="X216" s="377"/>
      <c r="Z216" s="77"/>
      <c r="AA216" s="377"/>
      <c r="AB216" s="377"/>
      <c r="AC216" s="377"/>
      <c r="AE216" s="77"/>
      <c r="AF216" s="377"/>
      <c r="AG216" s="377"/>
      <c r="AH216" s="377"/>
      <c r="AJ216" s="77"/>
      <c r="AK216" s="77"/>
      <c r="AL216" s="77"/>
      <c r="AM216" s="77"/>
      <c r="AN216" s="77"/>
    </row>
    <row r="217" spans="12:86">
      <c r="L217" s="377"/>
      <c r="M217" s="377"/>
      <c r="N217" s="377"/>
      <c r="P217" s="377"/>
      <c r="Q217" s="377"/>
      <c r="R217" s="377"/>
      <c r="S217" s="377"/>
      <c r="U217" s="377"/>
      <c r="V217" s="377"/>
      <c r="W217" s="377"/>
      <c r="X217" s="377"/>
      <c r="Z217" s="77"/>
      <c r="AA217" s="377"/>
      <c r="AB217" s="377"/>
      <c r="AC217" s="377"/>
      <c r="AE217" s="77"/>
      <c r="AF217" s="377"/>
      <c r="AG217" s="377"/>
      <c r="AH217" s="377"/>
      <c r="AJ217" s="77"/>
      <c r="AK217" s="77"/>
      <c r="AL217" s="77"/>
      <c r="AM217" s="77"/>
      <c r="AN217" s="77"/>
    </row>
    <row r="218" spans="12:86">
      <c r="L218" s="377"/>
      <c r="M218" s="377"/>
      <c r="N218" s="377"/>
      <c r="P218" s="377"/>
      <c r="Q218" s="377"/>
      <c r="R218" s="377"/>
      <c r="S218" s="377"/>
      <c r="U218" s="377"/>
      <c r="V218" s="377"/>
      <c r="W218" s="377"/>
      <c r="X218" s="377"/>
      <c r="Z218" s="77"/>
      <c r="AA218" s="377"/>
      <c r="AB218" s="377"/>
      <c r="AC218" s="377"/>
      <c r="AE218" s="77"/>
      <c r="AF218" s="377"/>
      <c r="AG218" s="377"/>
      <c r="AH218" s="377"/>
      <c r="AJ218" s="77"/>
      <c r="AK218" s="77"/>
      <c r="AL218" s="77"/>
      <c r="AM218" s="77"/>
      <c r="AN218" s="77"/>
    </row>
    <row r="219" spans="12:86">
      <c r="L219" s="377"/>
      <c r="M219" s="377"/>
      <c r="N219" s="377"/>
      <c r="P219" s="377"/>
      <c r="Q219" s="377"/>
      <c r="R219" s="377"/>
      <c r="S219" s="377"/>
      <c r="U219" s="377"/>
      <c r="V219" s="377"/>
      <c r="W219" s="377"/>
      <c r="X219" s="377"/>
      <c r="Z219" s="77"/>
      <c r="AA219" s="377"/>
      <c r="AB219" s="377"/>
      <c r="AC219" s="377"/>
      <c r="AE219" s="77"/>
      <c r="AF219" s="377"/>
      <c r="AG219" s="377"/>
      <c r="AH219" s="377"/>
      <c r="AJ219" s="77"/>
      <c r="AK219" s="77"/>
      <c r="AL219" s="77"/>
      <c r="AM219" s="77"/>
      <c r="AN219" s="77"/>
    </row>
    <row r="220" spans="12:86">
      <c r="L220" s="377"/>
      <c r="M220" s="377"/>
      <c r="N220" s="377"/>
      <c r="P220" s="377"/>
      <c r="Q220" s="377"/>
      <c r="R220" s="377"/>
      <c r="S220" s="377"/>
      <c r="U220" s="377"/>
      <c r="V220" s="377"/>
      <c r="W220" s="377"/>
      <c r="X220" s="377"/>
      <c r="Z220" s="77"/>
      <c r="AA220" s="377"/>
      <c r="AB220" s="377"/>
      <c r="AC220" s="377"/>
      <c r="AE220" s="77"/>
      <c r="AF220" s="377"/>
      <c r="AG220" s="377"/>
      <c r="AH220" s="377"/>
      <c r="AJ220" s="77"/>
      <c r="AK220" s="77"/>
      <c r="AL220" s="77"/>
      <c r="AM220" s="77"/>
      <c r="AN220" s="77"/>
    </row>
    <row r="221" spans="12:86">
      <c r="L221" s="377"/>
      <c r="M221" s="377"/>
      <c r="N221" s="377"/>
      <c r="P221" s="377"/>
      <c r="Q221" s="377"/>
      <c r="R221" s="377"/>
      <c r="S221" s="377"/>
      <c r="U221" s="377"/>
      <c r="V221" s="377"/>
      <c r="W221" s="377"/>
      <c r="X221" s="377"/>
      <c r="Z221" s="77"/>
      <c r="AA221" s="377"/>
      <c r="AB221" s="377"/>
      <c r="AC221" s="377"/>
      <c r="AE221" s="77"/>
      <c r="AF221" s="377"/>
      <c r="AG221" s="377"/>
      <c r="AH221" s="377"/>
      <c r="AJ221" s="77"/>
      <c r="AK221" s="77"/>
      <c r="AL221" s="77"/>
      <c r="AM221" s="77"/>
      <c r="AN221" s="77"/>
    </row>
    <row r="222" spans="12:86">
      <c r="L222" s="377"/>
      <c r="M222" s="377"/>
      <c r="N222" s="377"/>
      <c r="P222" s="377"/>
      <c r="Q222" s="377"/>
      <c r="R222" s="377"/>
      <c r="S222" s="377"/>
      <c r="U222" s="377"/>
      <c r="V222" s="377"/>
      <c r="W222" s="377"/>
      <c r="X222" s="377"/>
      <c r="Z222" s="77"/>
      <c r="AA222" s="377"/>
      <c r="AB222" s="377"/>
      <c r="AC222" s="377"/>
      <c r="AE222" s="77"/>
      <c r="AF222" s="377"/>
      <c r="AG222" s="377"/>
      <c r="AH222" s="377"/>
      <c r="AJ222" s="77"/>
      <c r="AK222" s="77"/>
      <c r="AL222" s="77"/>
      <c r="AM222" s="77"/>
      <c r="AN222" s="77"/>
    </row>
    <row r="223" spans="12:86">
      <c r="L223" s="377"/>
      <c r="M223" s="377"/>
      <c r="N223" s="377"/>
      <c r="P223" s="377"/>
      <c r="Q223" s="377"/>
      <c r="R223" s="377"/>
      <c r="S223" s="377"/>
      <c r="U223" s="377"/>
      <c r="V223" s="377"/>
      <c r="W223" s="377"/>
      <c r="X223" s="377"/>
      <c r="Z223" s="77"/>
      <c r="AA223" s="377"/>
      <c r="AB223" s="377"/>
      <c r="AC223" s="377"/>
      <c r="AE223" s="77"/>
      <c r="AF223" s="377"/>
      <c r="AG223" s="377"/>
      <c r="AH223" s="377"/>
      <c r="AJ223" s="77"/>
      <c r="AK223" s="77"/>
      <c r="AL223" s="77"/>
      <c r="AM223" s="77"/>
      <c r="AN223" s="77"/>
    </row>
    <row r="224" spans="12:86">
      <c r="L224" s="377"/>
      <c r="M224" s="377"/>
      <c r="N224" s="377"/>
      <c r="P224" s="377"/>
      <c r="Q224" s="377"/>
      <c r="R224" s="377"/>
      <c r="S224" s="377"/>
      <c r="U224" s="377"/>
      <c r="V224" s="377"/>
      <c r="W224" s="377"/>
      <c r="X224" s="377"/>
      <c r="Z224" s="77"/>
      <c r="AA224" s="377"/>
      <c r="AB224" s="377"/>
      <c r="AC224" s="377"/>
      <c r="AE224" s="77"/>
      <c r="AF224" s="377"/>
      <c r="AG224" s="377"/>
      <c r="AH224" s="377"/>
      <c r="AJ224" s="77"/>
      <c r="AK224" s="77"/>
      <c r="AL224" s="77"/>
      <c r="AM224" s="77"/>
      <c r="AN224" s="77"/>
    </row>
    <row r="225" spans="12:40">
      <c r="L225" s="377"/>
      <c r="M225" s="377"/>
      <c r="N225" s="377"/>
      <c r="P225" s="377"/>
      <c r="Q225" s="377"/>
      <c r="R225" s="377"/>
      <c r="S225" s="377"/>
      <c r="U225" s="377"/>
      <c r="V225" s="377"/>
      <c r="W225" s="377"/>
      <c r="X225" s="377"/>
      <c r="Z225" s="77"/>
      <c r="AA225" s="377"/>
      <c r="AB225" s="377"/>
      <c r="AC225" s="377"/>
      <c r="AE225" s="77"/>
      <c r="AF225" s="377"/>
      <c r="AG225" s="377"/>
      <c r="AH225" s="377"/>
      <c r="AJ225" s="77"/>
      <c r="AK225" s="77"/>
      <c r="AL225" s="77"/>
      <c r="AM225" s="77"/>
      <c r="AN225" s="77"/>
    </row>
    <row r="226" spans="12:40">
      <c r="L226" s="377"/>
      <c r="M226" s="377"/>
      <c r="N226" s="377"/>
      <c r="P226" s="377"/>
      <c r="Q226" s="377"/>
      <c r="R226" s="377"/>
      <c r="S226" s="377"/>
      <c r="U226" s="377"/>
      <c r="V226" s="377"/>
      <c r="W226" s="377"/>
      <c r="X226" s="377"/>
      <c r="Z226" s="77"/>
      <c r="AA226" s="377"/>
      <c r="AB226" s="377"/>
      <c r="AC226" s="377"/>
      <c r="AE226" s="77"/>
      <c r="AF226" s="377"/>
      <c r="AG226" s="377"/>
      <c r="AH226" s="377"/>
      <c r="AJ226" s="77"/>
      <c r="AK226" s="77"/>
      <c r="AL226" s="77"/>
      <c r="AM226" s="77"/>
      <c r="AN226" s="77"/>
    </row>
    <row r="227" spans="12:40">
      <c r="L227" s="377"/>
      <c r="M227" s="377"/>
      <c r="N227" s="377"/>
      <c r="P227" s="377"/>
      <c r="Q227" s="377"/>
      <c r="R227" s="377"/>
      <c r="S227" s="377"/>
      <c r="U227" s="377"/>
      <c r="V227" s="377"/>
      <c r="W227" s="377"/>
      <c r="X227" s="377"/>
      <c r="Z227" s="77"/>
      <c r="AA227" s="377"/>
      <c r="AB227" s="377"/>
      <c r="AC227" s="377"/>
      <c r="AE227" s="77"/>
      <c r="AF227" s="377"/>
      <c r="AG227" s="377"/>
      <c r="AH227" s="377"/>
      <c r="AJ227" s="77"/>
      <c r="AK227" s="77"/>
      <c r="AL227" s="77"/>
      <c r="AM227" s="77"/>
      <c r="AN227" s="77"/>
    </row>
    <row r="228" spans="12:40">
      <c r="L228" s="377"/>
      <c r="M228" s="377"/>
      <c r="N228" s="377"/>
      <c r="P228" s="377"/>
      <c r="Q228" s="377"/>
      <c r="R228" s="377"/>
      <c r="S228" s="377"/>
      <c r="U228" s="377"/>
      <c r="V228" s="377"/>
      <c r="W228" s="377"/>
      <c r="X228" s="377"/>
      <c r="Z228" s="77"/>
      <c r="AA228" s="377"/>
      <c r="AB228" s="377"/>
      <c r="AC228" s="377"/>
      <c r="AE228" s="77"/>
      <c r="AF228" s="377"/>
      <c r="AG228" s="377"/>
      <c r="AH228" s="377"/>
      <c r="AJ228" s="77"/>
      <c r="AK228" s="77"/>
      <c r="AL228" s="77"/>
      <c r="AM228" s="77"/>
      <c r="AN228" s="77"/>
    </row>
    <row r="229" spans="12:40">
      <c r="L229" s="377"/>
      <c r="M229" s="377"/>
      <c r="N229" s="377"/>
      <c r="P229" s="377"/>
      <c r="Q229" s="377"/>
      <c r="R229" s="377"/>
      <c r="S229" s="377"/>
      <c r="U229" s="377"/>
      <c r="V229" s="377"/>
      <c r="W229" s="377"/>
      <c r="X229" s="377"/>
      <c r="Z229" s="77"/>
      <c r="AA229" s="377"/>
      <c r="AB229" s="377"/>
      <c r="AC229" s="377"/>
      <c r="AE229" s="77"/>
      <c r="AF229" s="377"/>
      <c r="AG229" s="377"/>
      <c r="AH229" s="377"/>
      <c r="AJ229" s="77"/>
      <c r="AK229" s="77"/>
      <c r="AL229" s="77"/>
      <c r="AM229" s="77"/>
      <c r="AN229" s="77"/>
    </row>
    <row r="230" spans="12:40">
      <c r="L230" s="377"/>
      <c r="M230" s="377"/>
      <c r="N230" s="377"/>
      <c r="P230" s="377"/>
      <c r="Q230" s="377"/>
      <c r="R230" s="377"/>
      <c r="S230" s="377"/>
      <c r="U230" s="377"/>
      <c r="V230" s="377"/>
      <c r="W230" s="377"/>
      <c r="X230" s="377"/>
      <c r="Z230" s="77"/>
      <c r="AA230" s="377"/>
      <c r="AB230" s="377"/>
      <c r="AC230" s="377"/>
      <c r="AE230" s="77"/>
      <c r="AF230" s="377"/>
      <c r="AG230" s="377"/>
      <c r="AH230" s="377"/>
      <c r="AJ230" s="77"/>
      <c r="AK230" s="77"/>
      <c r="AL230" s="77"/>
      <c r="AM230" s="77"/>
      <c r="AN230" s="77"/>
    </row>
    <row r="231" spans="12:40">
      <c r="L231" s="377"/>
      <c r="M231" s="377"/>
      <c r="N231" s="377"/>
      <c r="P231" s="377"/>
      <c r="Q231" s="377"/>
      <c r="R231" s="377"/>
      <c r="S231" s="377"/>
      <c r="U231" s="377"/>
      <c r="V231" s="377"/>
      <c r="W231" s="377"/>
      <c r="X231" s="377"/>
      <c r="Z231" s="77"/>
      <c r="AA231" s="377"/>
      <c r="AB231" s="377"/>
      <c r="AC231" s="377"/>
      <c r="AE231" s="77"/>
      <c r="AF231" s="377"/>
      <c r="AG231" s="377"/>
      <c r="AH231" s="377"/>
      <c r="AJ231" s="77"/>
      <c r="AK231" s="77"/>
      <c r="AL231" s="77"/>
      <c r="AM231" s="77"/>
      <c r="AN231" s="77"/>
    </row>
    <row r="232" spans="12:40">
      <c r="L232" s="377"/>
      <c r="M232" s="377"/>
      <c r="N232" s="377"/>
      <c r="P232" s="377"/>
      <c r="Q232" s="377"/>
      <c r="R232" s="377"/>
      <c r="S232" s="377"/>
      <c r="U232" s="377"/>
      <c r="V232" s="377"/>
      <c r="W232" s="377"/>
      <c r="X232" s="377"/>
      <c r="Z232" s="77"/>
      <c r="AA232" s="377"/>
      <c r="AB232" s="377"/>
      <c r="AC232" s="377"/>
      <c r="AE232" s="77"/>
      <c r="AF232" s="377"/>
      <c r="AG232" s="377"/>
      <c r="AH232" s="377"/>
      <c r="AJ232" s="77"/>
      <c r="AK232" s="77"/>
      <c r="AL232" s="77"/>
      <c r="AM232" s="77"/>
      <c r="AN232" s="77"/>
    </row>
    <row r="233" spans="12:40">
      <c r="L233" s="377"/>
      <c r="M233" s="377"/>
      <c r="N233" s="377"/>
      <c r="P233" s="377"/>
      <c r="Q233" s="377"/>
      <c r="R233" s="377"/>
      <c r="S233" s="377"/>
      <c r="U233" s="377"/>
      <c r="V233" s="377"/>
      <c r="W233" s="377"/>
      <c r="X233" s="377"/>
      <c r="Z233" s="77"/>
      <c r="AA233" s="377"/>
      <c r="AB233" s="377"/>
      <c r="AC233" s="377"/>
      <c r="AE233" s="77"/>
      <c r="AF233" s="377"/>
      <c r="AG233" s="377"/>
      <c r="AH233" s="377"/>
      <c r="AJ233" s="77"/>
      <c r="AK233" s="77"/>
      <c r="AL233" s="77"/>
      <c r="AM233" s="77"/>
      <c r="AN233" s="77"/>
    </row>
    <row r="234" spans="12:40">
      <c r="L234" s="377"/>
      <c r="M234" s="377"/>
      <c r="N234" s="377"/>
      <c r="P234" s="377"/>
      <c r="Q234" s="377"/>
      <c r="R234" s="377"/>
      <c r="S234" s="377"/>
      <c r="U234" s="377"/>
      <c r="V234" s="377"/>
      <c r="W234" s="377"/>
      <c r="X234" s="377"/>
      <c r="Z234" s="77"/>
      <c r="AA234" s="377"/>
      <c r="AB234" s="377"/>
      <c r="AC234" s="377"/>
      <c r="AE234" s="77"/>
      <c r="AF234" s="377"/>
      <c r="AG234" s="377"/>
      <c r="AH234" s="377"/>
      <c r="AJ234" s="77"/>
      <c r="AK234" s="77"/>
      <c r="AL234" s="77"/>
      <c r="AM234" s="77"/>
      <c r="AN234" s="77"/>
    </row>
    <row r="235" spans="12:40">
      <c r="L235" s="377"/>
      <c r="M235" s="377"/>
      <c r="N235" s="377"/>
      <c r="P235" s="377"/>
      <c r="Q235" s="377"/>
      <c r="R235" s="377"/>
      <c r="S235" s="377"/>
      <c r="U235" s="377"/>
      <c r="V235" s="377"/>
      <c r="W235" s="377"/>
      <c r="X235" s="377"/>
      <c r="Z235" s="77"/>
      <c r="AA235" s="377"/>
      <c r="AB235" s="377"/>
      <c r="AC235" s="377"/>
      <c r="AE235" s="77"/>
      <c r="AF235" s="377"/>
      <c r="AG235" s="377"/>
      <c r="AH235" s="377"/>
      <c r="AJ235" s="77"/>
      <c r="AK235" s="77"/>
      <c r="AL235" s="77"/>
      <c r="AM235" s="77"/>
      <c r="AN235" s="77"/>
    </row>
    <row r="236" spans="12:40">
      <c r="L236" s="377"/>
      <c r="M236" s="377"/>
      <c r="N236" s="377"/>
      <c r="P236" s="377"/>
      <c r="Q236" s="377"/>
      <c r="R236" s="377"/>
      <c r="S236" s="377"/>
      <c r="U236" s="377"/>
      <c r="V236" s="377"/>
      <c r="W236" s="377"/>
      <c r="X236" s="377"/>
      <c r="Z236" s="77"/>
      <c r="AA236" s="377"/>
      <c r="AB236" s="377"/>
      <c r="AC236" s="377"/>
      <c r="AE236" s="77"/>
      <c r="AF236" s="377"/>
      <c r="AG236" s="377"/>
      <c r="AH236" s="377"/>
      <c r="AJ236" s="77"/>
      <c r="AK236" s="77"/>
      <c r="AL236" s="77"/>
      <c r="AM236" s="77"/>
      <c r="AN236" s="77"/>
    </row>
    <row r="237" spans="12:40">
      <c r="L237" s="377"/>
      <c r="M237" s="377"/>
      <c r="N237" s="377"/>
      <c r="P237" s="377"/>
      <c r="Q237" s="377"/>
      <c r="R237" s="377"/>
      <c r="S237" s="377"/>
      <c r="U237" s="377"/>
      <c r="V237" s="377"/>
      <c r="W237" s="377"/>
      <c r="X237" s="377"/>
      <c r="Z237" s="77"/>
      <c r="AA237" s="377"/>
      <c r="AB237" s="377"/>
      <c r="AC237" s="377"/>
      <c r="AE237" s="77"/>
      <c r="AF237" s="377"/>
      <c r="AG237" s="377"/>
      <c r="AH237" s="377"/>
      <c r="AJ237" s="77"/>
      <c r="AK237" s="77"/>
      <c r="AL237" s="77"/>
      <c r="AM237" s="77"/>
      <c r="AN237" s="77"/>
    </row>
    <row r="238" spans="12:40">
      <c r="L238" s="377"/>
      <c r="M238" s="377"/>
      <c r="N238" s="377"/>
      <c r="P238" s="377"/>
      <c r="Q238" s="377"/>
      <c r="R238" s="377"/>
      <c r="S238" s="377"/>
      <c r="U238" s="377"/>
      <c r="V238" s="377"/>
      <c r="W238" s="377"/>
      <c r="X238" s="377"/>
      <c r="Z238" s="77"/>
      <c r="AA238" s="377"/>
      <c r="AB238" s="377"/>
      <c r="AC238" s="377"/>
      <c r="AE238" s="77"/>
      <c r="AF238" s="377"/>
      <c r="AG238" s="377"/>
      <c r="AH238" s="377"/>
      <c r="AJ238" s="77"/>
      <c r="AK238" s="77"/>
      <c r="AL238" s="77"/>
      <c r="AM238" s="77"/>
      <c r="AN238" s="77"/>
    </row>
    <row r="239" spans="12:40">
      <c r="L239" s="377"/>
      <c r="M239" s="377"/>
      <c r="N239" s="377"/>
      <c r="P239" s="377"/>
      <c r="Q239" s="377"/>
      <c r="R239" s="377"/>
      <c r="S239" s="377"/>
      <c r="U239" s="377"/>
      <c r="V239" s="377"/>
      <c r="W239" s="377"/>
      <c r="X239" s="377"/>
      <c r="Z239" s="77"/>
      <c r="AA239" s="377"/>
      <c r="AB239" s="377"/>
      <c r="AC239" s="377"/>
      <c r="AE239" s="77"/>
      <c r="AF239" s="377"/>
      <c r="AG239" s="377"/>
      <c r="AH239" s="377"/>
      <c r="AJ239" s="77"/>
      <c r="AK239" s="77"/>
      <c r="AL239" s="77"/>
      <c r="AM239" s="77"/>
      <c r="AN239" s="77"/>
    </row>
    <row r="240" spans="12:40">
      <c r="L240" s="377"/>
      <c r="M240" s="377"/>
      <c r="N240" s="377"/>
      <c r="P240" s="377"/>
      <c r="Q240" s="377"/>
      <c r="R240" s="377"/>
      <c r="S240" s="377"/>
      <c r="U240" s="377"/>
      <c r="V240" s="377"/>
      <c r="W240" s="377"/>
      <c r="X240" s="377"/>
      <c r="Z240" s="77"/>
      <c r="AA240" s="377"/>
      <c r="AB240" s="377"/>
      <c r="AC240" s="377"/>
      <c r="AE240" s="77"/>
      <c r="AF240" s="377"/>
      <c r="AG240" s="377"/>
      <c r="AH240" s="377"/>
      <c r="AJ240" s="77"/>
      <c r="AK240" s="77"/>
      <c r="AL240" s="77"/>
      <c r="AM240" s="77"/>
      <c r="AN240" s="77"/>
    </row>
    <row r="241" spans="12:40">
      <c r="L241" s="377"/>
      <c r="M241" s="377"/>
      <c r="N241" s="377"/>
      <c r="P241" s="377"/>
      <c r="Q241" s="377"/>
      <c r="R241" s="377"/>
      <c r="S241" s="377"/>
      <c r="U241" s="377"/>
      <c r="V241" s="377"/>
      <c r="W241" s="377"/>
      <c r="X241" s="377"/>
      <c r="Z241" s="77"/>
      <c r="AA241" s="377"/>
      <c r="AB241" s="377"/>
      <c r="AC241" s="377"/>
      <c r="AE241" s="77"/>
      <c r="AF241" s="377"/>
      <c r="AG241" s="377"/>
      <c r="AH241" s="377"/>
      <c r="AJ241" s="77"/>
      <c r="AK241" s="77"/>
      <c r="AL241" s="77"/>
      <c r="AM241" s="77"/>
      <c r="AN241" s="77"/>
    </row>
    <row r="242" spans="12:40">
      <c r="L242" s="377"/>
      <c r="M242" s="377"/>
      <c r="N242" s="377"/>
      <c r="P242" s="377"/>
      <c r="Q242" s="377"/>
      <c r="R242" s="377"/>
      <c r="S242" s="377"/>
      <c r="U242" s="377"/>
      <c r="V242" s="377"/>
      <c r="W242" s="377"/>
      <c r="X242" s="377"/>
      <c r="Z242" s="77"/>
      <c r="AA242" s="377"/>
      <c r="AB242" s="377"/>
      <c r="AC242" s="377"/>
      <c r="AE242" s="77"/>
      <c r="AF242" s="377"/>
      <c r="AG242" s="377"/>
      <c r="AH242" s="377"/>
      <c r="AJ242" s="77"/>
      <c r="AK242" s="77"/>
      <c r="AL242" s="77"/>
      <c r="AM242" s="77"/>
      <c r="AN242" s="77"/>
    </row>
    <row r="243" spans="12:40">
      <c r="L243" s="377"/>
      <c r="M243" s="377"/>
      <c r="N243" s="377"/>
      <c r="P243" s="377"/>
      <c r="Q243" s="377"/>
      <c r="R243" s="377"/>
      <c r="S243" s="377"/>
      <c r="U243" s="377"/>
      <c r="V243" s="377"/>
      <c r="W243" s="377"/>
      <c r="X243" s="377"/>
      <c r="Z243" s="77"/>
      <c r="AA243" s="377"/>
      <c r="AB243" s="377"/>
      <c r="AC243" s="377"/>
      <c r="AE243" s="77"/>
      <c r="AF243" s="377"/>
      <c r="AG243" s="377"/>
      <c r="AH243" s="377"/>
      <c r="AJ243" s="77"/>
      <c r="AK243" s="77"/>
      <c r="AL243" s="77"/>
      <c r="AM243" s="77"/>
      <c r="AN243" s="77"/>
    </row>
    <row r="244" spans="12:40">
      <c r="L244" s="377"/>
      <c r="M244" s="377"/>
      <c r="N244" s="377"/>
      <c r="P244" s="377"/>
      <c r="Q244" s="377"/>
      <c r="R244" s="377"/>
      <c r="S244" s="377"/>
      <c r="U244" s="377"/>
      <c r="V244" s="377"/>
      <c r="W244" s="377"/>
      <c r="X244" s="377"/>
      <c r="Z244" s="77"/>
      <c r="AA244" s="377"/>
      <c r="AB244" s="377"/>
      <c r="AC244" s="377"/>
      <c r="AE244" s="77"/>
      <c r="AF244" s="377"/>
      <c r="AG244" s="377"/>
      <c r="AH244" s="377"/>
      <c r="AJ244" s="77"/>
      <c r="AK244" s="77"/>
      <c r="AL244" s="77"/>
      <c r="AM244" s="77"/>
      <c r="AN244" s="77"/>
    </row>
    <row r="245" spans="12:40">
      <c r="L245" s="377"/>
      <c r="M245" s="377"/>
      <c r="N245" s="377"/>
      <c r="P245" s="377"/>
      <c r="Q245" s="377"/>
      <c r="R245" s="377"/>
      <c r="S245" s="377"/>
      <c r="U245" s="377"/>
      <c r="V245" s="377"/>
      <c r="W245" s="377"/>
      <c r="X245" s="377"/>
      <c r="Z245" s="77"/>
      <c r="AA245" s="377"/>
      <c r="AB245" s="377"/>
      <c r="AC245" s="377"/>
      <c r="AE245" s="77"/>
      <c r="AF245" s="377"/>
      <c r="AG245" s="377"/>
      <c r="AH245" s="377"/>
      <c r="AJ245" s="77"/>
      <c r="AK245" s="77"/>
      <c r="AL245" s="77"/>
      <c r="AM245" s="77"/>
      <c r="AN245" s="77"/>
    </row>
    <row r="246" spans="12:40">
      <c r="L246" s="377"/>
      <c r="M246" s="377"/>
      <c r="N246" s="377"/>
      <c r="P246" s="377"/>
      <c r="Q246" s="377"/>
      <c r="R246" s="377"/>
      <c r="S246" s="377"/>
      <c r="U246" s="377"/>
      <c r="V246" s="377"/>
      <c r="W246" s="377"/>
      <c r="X246" s="377"/>
      <c r="Z246" s="77"/>
      <c r="AA246" s="377"/>
      <c r="AB246" s="377"/>
      <c r="AC246" s="377"/>
      <c r="AE246" s="77"/>
      <c r="AF246" s="377"/>
      <c r="AG246" s="377"/>
      <c r="AH246" s="377"/>
      <c r="AJ246" s="77"/>
      <c r="AK246" s="77"/>
      <c r="AL246" s="77"/>
      <c r="AM246" s="77"/>
      <c r="AN246" s="77"/>
    </row>
    <row r="247" spans="12:40">
      <c r="L247" s="377"/>
      <c r="M247" s="377"/>
      <c r="N247" s="377"/>
      <c r="P247" s="377"/>
      <c r="Q247" s="377"/>
      <c r="R247" s="377"/>
      <c r="S247" s="377"/>
      <c r="U247" s="377"/>
      <c r="V247" s="377"/>
      <c r="W247" s="377"/>
      <c r="X247" s="377"/>
      <c r="Z247" s="77"/>
      <c r="AA247" s="377"/>
      <c r="AB247" s="377"/>
      <c r="AC247" s="377"/>
      <c r="AE247" s="77"/>
      <c r="AF247" s="377"/>
      <c r="AG247" s="377"/>
      <c r="AH247" s="377"/>
      <c r="AJ247" s="77"/>
      <c r="AK247" s="77"/>
      <c r="AL247" s="77"/>
      <c r="AM247" s="77"/>
      <c r="AN247" s="77"/>
    </row>
    <row r="248" spans="12:40">
      <c r="L248" s="377"/>
      <c r="M248" s="377"/>
      <c r="N248" s="377"/>
      <c r="P248" s="377"/>
      <c r="Q248" s="377"/>
      <c r="R248" s="377"/>
      <c r="S248" s="377"/>
      <c r="U248" s="377"/>
      <c r="V248" s="377"/>
      <c r="W248" s="377"/>
      <c r="X248" s="377"/>
      <c r="Z248" s="77"/>
      <c r="AA248" s="377"/>
      <c r="AB248" s="377"/>
      <c r="AC248" s="377"/>
      <c r="AE248" s="77"/>
      <c r="AF248" s="377"/>
      <c r="AG248" s="377"/>
      <c r="AH248" s="377"/>
      <c r="AJ248" s="77"/>
      <c r="AK248" s="77"/>
      <c r="AL248" s="77"/>
      <c r="AM248" s="77"/>
      <c r="AN248" s="77"/>
    </row>
    <row r="249" spans="12:40">
      <c r="L249" s="377"/>
      <c r="M249" s="377"/>
      <c r="N249" s="377"/>
      <c r="P249" s="377"/>
      <c r="Q249" s="377"/>
      <c r="R249" s="377"/>
      <c r="S249" s="377"/>
      <c r="U249" s="377"/>
      <c r="V249" s="377"/>
      <c r="W249" s="377"/>
      <c r="X249" s="377"/>
      <c r="Z249" s="77"/>
      <c r="AA249" s="377"/>
      <c r="AB249" s="377"/>
      <c r="AC249" s="377"/>
      <c r="AE249" s="77"/>
      <c r="AF249" s="377"/>
      <c r="AG249" s="377"/>
      <c r="AH249" s="377"/>
      <c r="AJ249" s="77"/>
      <c r="AK249" s="77"/>
      <c r="AL249" s="77"/>
      <c r="AM249" s="77"/>
      <c r="AN249" s="77"/>
    </row>
    <row r="250" spans="12:40">
      <c r="L250" s="377"/>
      <c r="M250" s="377"/>
      <c r="N250" s="377"/>
      <c r="P250" s="377"/>
      <c r="Q250" s="377"/>
      <c r="R250" s="377"/>
      <c r="S250" s="377"/>
      <c r="U250" s="377"/>
      <c r="V250" s="377"/>
      <c r="W250" s="377"/>
      <c r="X250" s="377"/>
      <c r="Z250" s="77"/>
      <c r="AA250" s="377"/>
      <c r="AB250" s="377"/>
      <c r="AC250" s="377"/>
      <c r="AE250" s="77"/>
      <c r="AF250" s="377"/>
      <c r="AG250" s="377"/>
      <c r="AH250" s="377"/>
      <c r="AJ250" s="77"/>
      <c r="AK250" s="77"/>
      <c r="AL250" s="77"/>
      <c r="AM250" s="77"/>
      <c r="AN250" s="77"/>
    </row>
    <row r="251" spans="12:40">
      <c r="L251" s="377"/>
      <c r="M251" s="377"/>
      <c r="N251" s="377"/>
      <c r="P251" s="377"/>
      <c r="Q251" s="377"/>
      <c r="R251" s="377"/>
      <c r="S251" s="377"/>
      <c r="U251" s="377"/>
      <c r="V251" s="377"/>
      <c r="W251" s="377"/>
      <c r="X251" s="377"/>
      <c r="Z251" s="77"/>
      <c r="AA251" s="377"/>
      <c r="AB251" s="377"/>
      <c r="AC251" s="377"/>
      <c r="AE251" s="77"/>
      <c r="AF251" s="377"/>
      <c r="AG251" s="377"/>
      <c r="AH251" s="377"/>
      <c r="AJ251" s="77"/>
      <c r="AK251" s="77"/>
      <c r="AL251" s="77"/>
      <c r="AM251" s="77"/>
      <c r="AN251" s="77"/>
    </row>
    <row r="252" spans="12:40">
      <c r="L252" s="377"/>
      <c r="M252" s="377"/>
      <c r="N252" s="377"/>
      <c r="P252" s="377"/>
      <c r="Q252" s="377"/>
      <c r="R252" s="377"/>
      <c r="S252" s="377"/>
      <c r="U252" s="377"/>
      <c r="V252" s="377"/>
      <c r="W252" s="377"/>
      <c r="X252" s="377"/>
      <c r="Z252" s="77"/>
      <c r="AA252" s="377"/>
      <c r="AB252" s="377"/>
      <c r="AC252" s="377"/>
      <c r="AE252" s="77"/>
      <c r="AF252" s="377"/>
      <c r="AG252" s="377"/>
      <c r="AH252" s="377"/>
      <c r="AJ252" s="77"/>
      <c r="AK252" s="77"/>
      <c r="AL252" s="77"/>
      <c r="AM252" s="77"/>
      <c r="AN252" s="77"/>
    </row>
    <row r="253" spans="12:40">
      <c r="L253" s="377"/>
      <c r="M253" s="377"/>
      <c r="N253" s="377"/>
      <c r="P253" s="377"/>
      <c r="Q253" s="377"/>
      <c r="R253" s="377"/>
      <c r="S253" s="377"/>
      <c r="U253" s="377"/>
      <c r="V253" s="377"/>
      <c r="W253" s="377"/>
      <c r="X253" s="377"/>
      <c r="Z253" s="77"/>
      <c r="AA253" s="377"/>
      <c r="AB253" s="377"/>
      <c r="AC253" s="377"/>
      <c r="AE253" s="77"/>
      <c r="AF253" s="377"/>
      <c r="AG253" s="377"/>
      <c r="AH253" s="377"/>
      <c r="AJ253" s="77"/>
      <c r="AK253" s="77"/>
      <c r="AL253" s="77"/>
      <c r="AM253" s="77"/>
      <c r="AN253" s="77"/>
    </row>
    <row r="254" spans="12:40">
      <c r="L254" s="377"/>
      <c r="M254" s="377"/>
      <c r="N254" s="377"/>
      <c r="P254" s="377"/>
      <c r="Q254" s="377"/>
      <c r="R254" s="377"/>
      <c r="S254" s="377"/>
      <c r="U254" s="377"/>
      <c r="V254" s="377"/>
      <c r="W254" s="377"/>
      <c r="X254" s="377"/>
      <c r="Z254" s="77"/>
      <c r="AA254" s="377"/>
      <c r="AB254" s="377"/>
      <c r="AC254" s="377"/>
      <c r="AE254" s="77"/>
      <c r="AF254" s="377"/>
      <c r="AG254" s="377"/>
      <c r="AH254" s="377"/>
      <c r="AJ254" s="77"/>
      <c r="AK254" s="77"/>
      <c r="AL254" s="77"/>
      <c r="AM254" s="77"/>
      <c r="AN254" s="77"/>
    </row>
    <row r="255" spans="12:40">
      <c r="L255" s="377"/>
      <c r="M255" s="377"/>
      <c r="N255" s="377"/>
      <c r="P255" s="377"/>
      <c r="Q255" s="377"/>
      <c r="R255" s="377"/>
      <c r="S255" s="377"/>
      <c r="U255" s="377"/>
      <c r="V255" s="377"/>
      <c r="W255" s="377"/>
      <c r="X255" s="377"/>
      <c r="Z255" s="77"/>
      <c r="AA255" s="377"/>
      <c r="AB255" s="377"/>
      <c r="AC255" s="377"/>
      <c r="AE255" s="77"/>
      <c r="AF255" s="377"/>
      <c r="AG255" s="377"/>
      <c r="AH255" s="377"/>
      <c r="AJ255" s="77"/>
      <c r="AK255" s="77"/>
      <c r="AL255" s="77"/>
      <c r="AM255" s="77"/>
      <c r="AN255" s="77"/>
    </row>
    <row r="256" spans="12:40">
      <c r="L256" s="377"/>
      <c r="M256" s="377"/>
      <c r="N256" s="377"/>
      <c r="P256" s="377"/>
      <c r="Q256" s="377"/>
      <c r="R256" s="377"/>
      <c r="S256" s="377"/>
      <c r="U256" s="377"/>
      <c r="V256" s="377"/>
      <c r="W256" s="377"/>
      <c r="X256" s="377"/>
      <c r="Z256" s="77"/>
      <c r="AA256" s="377"/>
      <c r="AB256" s="377"/>
      <c r="AC256" s="377"/>
      <c r="AE256" s="77"/>
      <c r="AF256" s="377"/>
      <c r="AG256" s="377"/>
      <c r="AH256" s="377"/>
      <c r="AJ256" s="77"/>
      <c r="AK256" s="77"/>
      <c r="AL256" s="77"/>
      <c r="AM256" s="77"/>
      <c r="AN256" s="77"/>
    </row>
    <row r="257" spans="12:40">
      <c r="L257" s="377"/>
      <c r="M257" s="377"/>
      <c r="N257" s="377"/>
      <c r="P257" s="377"/>
      <c r="Q257" s="377"/>
      <c r="R257" s="377"/>
      <c r="S257" s="377"/>
      <c r="U257" s="377"/>
      <c r="V257" s="377"/>
      <c r="W257" s="377"/>
      <c r="X257" s="377"/>
      <c r="Z257" s="77"/>
      <c r="AA257" s="377"/>
      <c r="AB257" s="377"/>
      <c r="AC257" s="377"/>
      <c r="AE257" s="77"/>
      <c r="AF257" s="377"/>
      <c r="AG257" s="377"/>
      <c r="AH257" s="377"/>
      <c r="AJ257" s="77"/>
      <c r="AK257" s="77"/>
      <c r="AL257" s="77"/>
      <c r="AM257" s="77"/>
      <c r="AN257" s="77"/>
    </row>
    <row r="258" spans="12:40">
      <c r="L258" s="377"/>
      <c r="M258" s="377"/>
      <c r="N258" s="377"/>
      <c r="P258" s="377"/>
      <c r="Q258" s="377"/>
      <c r="R258" s="377"/>
      <c r="S258" s="377"/>
      <c r="U258" s="377"/>
      <c r="V258" s="377"/>
      <c r="W258" s="377"/>
      <c r="X258" s="377"/>
      <c r="Z258" s="77"/>
      <c r="AA258" s="377"/>
      <c r="AB258" s="377"/>
      <c r="AC258" s="377"/>
      <c r="AE258" s="77"/>
      <c r="AF258" s="377"/>
      <c r="AG258" s="377"/>
      <c r="AH258" s="377"/>
      <c r="AJ258" s="77"/>
      <c r="AK258" s="77"/>
      <c r="AL258" s="77"/>
      <c r="AM258" s="77"/>
      <c r="AN258" s="77"/>
    </row>
    <row r="259" spans="12:40">
      <c r="L259" s="377"/>
      <c r="M259" s="377"/>
      <c r="N259" s="377"/>
      <c r="P259" s="377"/>
      <c r="Q259" s="377"/>
      <c r="R259" s="377"/>
      <c r="S259" s="377"/>
      <c r="U259" s="377"/>
      <c r="V259" s="377"/>
      <c r="W259" s="377"/>
      <c r="X259" s="377"/>
      <c r="Z259" s="77"/>
      <c r="AA259" s="377"/>
      <c r="AB259" s="377"/>
      <c r="AC259" s="377"/>
      <c r="AE259" s="77"/>
      <c r="AF259" s="377"/>
      <c r="AG259" s="377"/>
      <c r="AH259" s="377"/>
      <c r="AJ259" s="77"/>
      <c r="AK259" s="77"/>
      <c r="AL259" s="77"/>
      <c r="AM259" s="77"/>
      <c r="AN259" s="77"/>
    </row>
    <row r="260" spans="12:40">
      <c r="L260" s="377"/>
      <c r="M260" s="377"/>
      <c r="N260" s="377"/>
      <c r="P260" s="377"/>
      <c r="Q260" s="377"/>
      <c r="R260" s="377"/>
      <c r="S260" s="377"/>
      <c r="U260" s="377"/>
      <c r="V260" s="377"/>
      <c r="W260" s="377"/>
      <c r="X260" s="377"/>
      <c r="Z260" s="77"/>
      <c r="AA260" s="377"/>
      <c r="AB260" s="377"/>
      <c r="AC260" s="377"/>
      <c r="AE260" s="77"/>
      <c r="AF260" s="377"/>
      <c r="AG260" s="377"/>
      <c r="AH260" s="377"/>
      <c r="AJ260" s="77"/>
      <c r="AK260" s="77"/>
      <c r="AL260" s="77"/>
      <c r="AM260" s="77"/>
      <c r="AN260" s="77"/>
    </row>
    <row r="261" spans="12:40">
      <c r="L261" s="377"/>
      <c r="M261" s="377"/>
      <c r="N261" s="377"/>
      <c r="P261" s="377"/>
      <c r="Q261" s="377"/>
      <c r="R261" s="377"/>
      <c r="S261" s="377"/>
      <c r="U261" s="377"/>
      <c r="V261" s="377"/>
      <c r="W261" s="377"/>
      <c r="X261" s="377"/>
      <c r="Z261" s="77"/>
      <c r="AA261" s="377"/>
      <c r="AB261" s="377"/>
      <c r="AC261" s="377"/>
      <c r="AE261" s="77"/>
      <c r="AF261" s="377"/>
      <c r="AG261" s="377"/>
      <c r="AH261" s="377"/>
      <c r="AJ261" s="77"/>
      <c r="AK261" s="77"/>
      <c r="AL261" s="77"/>
      <c r="AM261" s="77"/>
      <c r="AN261" s="77"/>
    </row>
    <row r="262" spans="12:40">
      <c r="L262" s="377"/>
      <c r="M262" s="377"/>
      <c r="N262" s="377"/>
      <c r="P262" s="377"/>
      <c r="Q262" s="377"/>
      <c r="R262" s="377"/>
      <c r="S262" s="377"/>
      <c r="U262" s="377"/>
      <c r="V262" s="377"/>
      <c r="W262" s="377"/>
      <c r="X262" s="377"/>
      <c r="Z262" s="77"/>
      <c r="AA262" s="377"/>
      <c r="AB262" s="377"/>
      <c r="AC262" s="377"/>
      <c r="AE262" s="77"/>
      <c r="AF262" s="377"/>
      <c r="AG262" s="377"/>
      <c r="AH262" s="377"/>
      <c r="AJ262" s="77"/>
      <c r="AK262" s="77"/>
      <c r="AL262" s="77"/>
      <c r="AM262" s="77"/>
      <c r="AN262" s="77"/>
    </row>
    <row r="263" spans="12:40">
      <c r="L263" s="377"/>
      <c r="M263" s="377"/>
      <c r="N263" s="377"/>
      <c r="P263" s="377"/>
      <c r="Q263" s="377"/>
      <c r="R263" s="377"/>
      <c r="S263" s="377"/>
      <c r="U263" s="377"/>
      <c r="V263" s="377"/>
      <c r="W263" s="377"/>
      <c r="X263" s="377"/>
      <c r="Z263" s="77"/>
      <c r="AA263" s="377"/>
      <c r="AB263" s="377"/>
      <c r="AC263" s="377"/>
      <c r="AE263" s="77"/>
      <c r="AF263" s="377"/>
      <c r="AG263" s="377"/>
      <c r="AH263" s="377"/>
      <c r="AJ263" s="77"/>
      <c r="AK263" s="77"/>
      <c r="AL263" s="77"/>
      <c r="AM263" s="77"/>
      <c r="AN263" s="77"/>
    </row>
    <row r="264" spans="12:40">
      <c r="L264" s="377"/>
      <c r="M264" s="377"/>
      <c r="N264" s="377"/>
      <c r="P264" s="377"/>
      <c r="Q264" s="377"/>
      <c r="R264" s="377"/>
      <c r="S264" s="377"/>
      <c r="U264" s="377"/>
      <c r="V264" s="377"/>
      <c r="W264" s="377"/>
      <c r="X264" s="377"/>
      <c r="Z264" s="77"/>
      <c r="AA264" s="377"/>
      <c r="AB264" s="377"/>
      <c r="AC264" s="377"/>
      <c r="AE264" s="77"/>
      <c r="AF264" s="377"/>
      <c r="AG264" s="377"/>
      <c r="AH264" s="377"/>
      <c r="AJ264" s="77"/>
      <c r="AK264" s="77"/>
      <c r="AL264" s="77"/>
      <c r="AM264" s="77"/>
      <c r="AN264" s="77"/>
    </row>
    <row r="265" spans="12:40">
      <c r="L265" s="377"/>
      <c r="M265" s="377"/>
      <c r="N265" s="377"/>
      <c r="P265" s="377"/>
      <c r="Q265" s="377"/>
      <c r="R265" s="377"/>
      <c r="S265" s="377"/>
      <c r="U265" s="377"/>
      <c r="V265" s="377"/>
      <c r="W265" s="377"/>
      <c r="X265" s="377"/>
      <c r="Z265" s="77"/>
      <c r="AA265" s="377"/>
      <c r="AB265" s="377"/>
      <c r="AC265" s="377"/>
      <c r="AE265" s="77"/>
      <c r="AF265" s="377"/>
      <c r="AG265" s="377"/>
      <c r="AH265" s="377"/>
      <c r="AJ265" s="77"/>
      <c r="AK265" s="77"/>
      <c r="AL265" s="77"/>
      <c r="AM265" s="77"/>
      <c r="AN265" s="77"/>
    </row>
    <row r="266" spans="12:40">
      <c r="L266" s="377"/>
      <c r="M266" s="377"/>
      <c r="N266" s="377"/>
      <c r="P266" s="377"/>
      <c r="Q266" s="377"/>
      <c r="R266" s="377"/>
      <c r="S266" s="377"/>
      <c r="U266" s="377"/>
      <c r="V266" s="377"/>
      <c r="W266" s="377"/>
      <c r="X266" s="377"/>
      <c r="Z266" s="77"/>
      <c r="AA266" s="377"/>
      <c r="AB266" s="377"/>
      <c r="AC266" s="377"/>
      <c r="AE266" s="77"/>
      <c r="AF266" s="377"/>
      <c r="AG266" s="377"/>
      <c r="AH266" s="377"/>
      <c r="AJ266" s="77"/>
      <c r="AK266" s="77"/>
      <c r="AL266" s="77"/>
      <c r="AM266" s="77"/>
      <c r="AN266" s="77"/>
    </row>
    <row r="267" spans="12:40">
      <c r="L267" s="377"/>
      <c r="M267" s="377"/>
      <c r="N267" s="377"/>
      <c r="P267" s="377"/>
      <c r="Q267" s="377"/>
      <c r="R267" s="377"/>
      <c r="S267" s="377"/>
      <c r="U267" s="377"/>
      <c r="V267" s="377"/>
      <c r="W267" s="377"/>
      <c r="X267" s="377"/>
      <c r="Z267" s="77"/>
      <c r="AA267" s="377"/>
      <c r="AB267" s="377"/>
      <c r="AC267" s="377"/>
      <c r="AE267" s="77"/>
      <c r="AF267" s="377"/>
      <c r="AG267" s="377"/>
      <c r="AH267" s="377"/>
      <c r="AJ267" s="77"/>
      <c r="AK267" s="77"/>
      <c r="AL267" s="77"/>
      <c r="AM267" s="77"/>
      <c r="AN267" s="77"/>
    </row>
    <row r="268" spans="12:40">
      <c r="L268" s="377"/>
      <c r="M268" s="377"/>
      <c r="N268" s="377"/>
      <c r="P268" s="377"/>
      <c r="Q268" s="377"/>
      <c r="R268" s="377"/>
      <c r="S268" s="377"/>
      <c r="U268" s="377"/>
      <c r="V268" s="377"/>
      <c r="W268" s="377"/>
      <c r="X268" s="377"/>
      <c r="Z268" s="77"/>
      <c r="AA268" s="377"/>
      <c r="AB268" s="377"/>
      <c r="AC268" s="377"/>
      <c r="AE268" s="77"/>
      <c r="AF268" s="377"/>
      <c r="AG268" s="377"/>
      <c r="AH268" s="377"/>
      <c r="AJ268" s="77"/>
      <c r="AK268" s="77"/>
      <c r="AL268" s="77"/>
      <c r="AM268" s="77"/>
      <c r="AN268" s="77"/>
    </row>
    <row r="269" spans="12:40">
      <c r="L269" s="377"/>
      <c r="M269" s="377"/>
      <c r="N269" s="377"/>
      <c r="P269" s="377"/>
      <c r="Q269" s="377"/>
      <c r="R269" s="377"/>
      <c r="S269" s="377"/>
      <c r="U269" s="377"/>
      <c r="V269" s="377"/>
      <c r="W269" s="377"/>
      <c r="X269" s="377"/>
      <c r="Z269" s="77"/>
      <c r="AA269" s="377"/>
      <c r="AB269" s="377"/>
      <c r="AC269" s="377"/>
      <c r="AE269" s="77"/>
      <c r="AF269" s="377"/>
      <c r="AG269" s="377"/>
      <c r="AH269" s="377"/>
      <c r="AJ269" s="77"/>
      <c r="AK269" s="77"/>
      <c r="AL269" s="77"/>
      <c r="AM269" s="77"/>
      <c r="AN269" s="77"/>
    </row>
    <row r="270" spans="12:40">
      <c r="L270" s="377"/>
      <c r="M270" s="377"/>
      <c r="N270" s="377"/>
      <c r="P270" s="377"/>
      <c r="Q270" s="377"/>
      <c r="R270" s="377"/>
      <c r="S270" s="377"/>
      <c r="U270" s="377"/>
      <c r="V270" s="377"/>
      <c r="W270" s="377"/>
      <c r="X270" s="377"/>
      <c r="Z270" s="77"/>
      <c r="AA270" s="377"/>
      <c r="AB270" s="377"/>
      <c r="AC270" s="377"/>
      <c r="AE270" s="77"/>
      <c r="AF270" s="377"/>
      <c r="AG270" s="377"/>
      <c r="AH270" s="377"/>
      <c r="AJ270" s="77"/>
      <c r="AK270" s="77"/>
      <c r="AL270" s="77"/>
      <c r="AM270" s="77"/>
      <c r="AN270" s="77"/>
    </row>
    <row r="271" spans="12:40">
      <c r="L271" s="377"/>
      <c r="M271" s="377"/>
      <c r="N271" s="377"/>
      <c r="P271" s="377"/>
      <c r="Q271" s="377"/>
      <c r="R271" s="377"/>
      <c r="S271" s="377"/>
      <c r="U271" s="377"/>
      <c r="V271" s="377"/>
      <c r="W271" s="377"/>
      <c r="X271" s="377"/>
      <c r="Z271" s="77"/>
      <c r="AA271" s="377"/>
      <c r="AB271" s="377"/>
      <c r="AC271" s="377"/>
      <c r="AE271" s="77"/>
      <c r="AF271" s="377"/>
      <c r="AG271" s="377"/>
      <c r="AH271" s="377"/>
      <c r="AJ271" s="77"/>
      <c r="AK271" s="77"/>
      <c r="AL271" s="77"/>
      <c r="AM271" s="77"/>
      <c r="AN271" s="77"/>
    </row>
    <row r="272" spans="12:40">
      <c r="L272" s="377"/>
      <c r="M272" s="377"/>
      <c r="N272" s="377"/>
      <c r="P272" s="377"/>
      <c r="Q272" s="377"/>
      <c r="R272" s="377"/>
      <c r="S272" s="377"/>
      <c r="U272" s="377"/>
      <c r="V272" s="377"/>
      <c r="W272" s="377"/>
      <c r="X272" s="377"/>
      <c r="Z272" s="77"/>
      <c r="AA272" s="377"/>
      <c r="AB272" s="377"/>
      <c r="AC272" s="377"/>
      <c r="AE272" s="77"/>
      <c r="AF272" s="377"/>
      <c r="AG272" s="377"/>
      <c r="AH272" s="377"/>
      <c r="AJ272" s="77"/>
      <c r="AK272" s="77"/>
      <c r="AL272" s="77"/>
      <c r="AM272" s="77"/>
      <c r="AN272" s="77"/>
    </row>
    <row r="273" spans="12:40">
      <c r="L273" s="377"/>
      <c r="M273" s="377"/>
      <c r="N273" s="377"/>
      <c r="P273" s="377"/>
      <c r="Q273" s="377"/>
      <c r="R273" s="377"/>
      <c r="S273" s="377"/>
      <c r="U273" s="377"/>
      <c r="V273" s="377"/>
      <c r="W273" s="377"/>
      <c r="X273" s="377"/>
      <c r="Z273" s="77"/>
      <c r="AA273" s="377"/>
      <c r="AB273" s="377"/>
      <c r="AC273" s="377"/>
      <c r="AE273" s="77"/>
      <c r="AF273" s="377"/>
      <c r="AG273" s="377"/>
      <c r="AH273" s="377"/>
      <c r="AJ273" s="77"/>
      <c r="AK273" s="77"/>
      <c r="AL273" s="77"/>
      <c r="AM273" s="77"/>
      <c r="AN273" s="77"/>
    </row>
    <row r="274" spans="12:40">
      <c r="L274" s="377"/>
      <c r="M274" s="377"/>
      <c r="N274" s="377"/>
      <c r="P274" s="377"/>
      <c r="Q274" s="377"/>
      <c r="R274" s="377"/>
      <c r="S274" s="377"/>
      <c r="U274" s="377"/>
      <c r="V274" s="377"/>
      <c r="W274" s="377"/>
      <c r="X274" s="377"/>
      <c r="Z274" s="77"/>
      <c r="AA274" s="377"/>
      <c r="AB274" s="377"/>
      <c r="AC274" s="377"/>
      <c r="AE274" s="77"/>
      <c r="AF274" s="377"/>
      <c r="AG274" s="377"/>
      <c r="AH274" s="377"/>
      <c r="AJ274" s="77"/>
      <c r="AK274" s="77"/>
      <c r="AL274" s="77"/>
      <c r="AM274" s="77"/>
      <c r="AN274" s="77"/>
    </row>
    <row r="275" spans="12:40">
      <c r="L275" s="377"/>
      <c r="M275" s="377"/>
      <c r="N275" s="377"/>
      <c r="P275" s="377"/>
      <c r="Q275" s="377"/>
      <c r="R275" s="377"/>
      <c r="S275" s="377"/>
      <c r="U275" s="377"/>
      <c r="V275" s="377"/>
      <c r="W275" s="377"/>
      <c r="X275" s="377"/>
      <c r="Z275" s="77"/>
      <c r="AA275" s="377"/>
      <c r="AB275" s="377"/>
      <c r="AC275" s="377"/>
      <c r="AE275" s="77"/>
      <c r="AF275" s="377"/>
      <c r="AG275" s="377"/>
      <c r="AH275" s="377"/>
      <c r="AJ275" s="77"/>
      <c r="AK275" s="77"/>
      <c r="AL275" s="77"/>
      <c r="AM275" s="77"/>
      <c r="AN275" s="77"/>
    </row>
    <row r="276" spans="12:40">
      <c r="L276" s="377"/>
      <c r="M276" s="377"/>
      <c r="N276" s="377"/>
      <c r="P276" s="377"/>
      <c r="Q276" s="377"/>
      <c r="R276" s="377"/>
      <c r="S276" s="377"/>
      <c r="U276" s="377"/>
      <c r="V276" s="377"/>
      <c r="W276" s="377"/>
      <c r="X276" s="377"/>
      <c r="Z276" s="77"/>
      <c r="AA276" s="377"/>
      <c r="AB276" s="377"/>
      <c r="AC276" s="377"/>
      <c r="AE276" s="77"/>
      <c r="AF276" s="377"/>
      <c r="AG276" s="377"/>
      <c r="AH276" s="377"/>
      <c r="AJ276" s="77"/>
      <c r="AK276" s="77"/>
      <c r="AL276" s="77"/>
      <c r="AM276" s="77"/>
      <c r="AN276" s="77"/>
    </row>
    <row r="277" spans="12:40">
      <c r="L277" s="377"/>
      <c r="M277" s="377"/>
      <c r="N277" s="377"/>
      <c r="P277" s="377"/>
      <c r="Q277" s="377"/>
      <c r="R277" s="377"/>
      <c r="S277" s="377"/>
      <c r="U277" s="377"/>
      <c r="V277" s="377"/>
      <c r="W277" s="377"/>
      <c r="X277" s="377"/>
      <c r="Z277" s="77"/>
      <c r="AA277" s="377"/>
      <c r="AB277" s="377"/>
      <c r="AC277" s="377"/>
      <c r="AE277" s="77"/>
      <c r="AF277" s="377"/>
      <c r="AG277" s="377"/>
      <c r="AH277" s="377"/>
      <c r="AJ277" s="77"/>
      <c r="AK277" s="77"/>
      <c r="AL277" s="77"/>
      <c r="AM277" s="77"/>
      <c r="AN277" s="77"/>
    </row>
    <row r="278" spans="12:40">
      <c r="L278" s="377"/>
      <c r="M278" s="377"/>
      <c r="N278" s="377"/>
      <c r="P278" s="377"/>
      <c r="Q278" s="377"/>
      <c r="R278" s="377"/>
      <c r="S278" s="377"/>
      <c r="U278" s="377"/>
      <c r="V278" s="377"/>
      <c r="W278" s="377"/>
      <c r="X278" s="377"/>
      <c r="Z278" s="77"/>
      <c r="AA278" s="377"/>
      <c r="AB278" s="377"/>
      <c r="AC278" s="377"/>
      <c r="AE278" s="77"/>
      <c r="AF278" s="377"/>
      <c r="AG278" s="377"/>
      <c r="AH278" s="377"/>
      <c r="AJ278" s="77"/>
      <c r="AK278" s="77"/>
      <c r="AL278" s="77"/>
      <c r="AM278" s="77"/>
      <c r="AN278" s="77"/>
    </row>
    <row r="279" spans="12:40">
      <c r="L279" s="377"/>
      <c r="M279" s="377"/>
      <c r="N279" s="377"/>
      <c r="P279" s="377"/>
      <c r="Q279" s="377"/>
      <c r="R279" s="377"/>
      <c r="S279" s="377"/>
      <c r="U279" s="377"/>
      <c r="V279" s="377"/>
      <c r="W279" s="377"/>
      <c r="X279" s="377"/>
      <c r="Z279" s="77"/>
      <c r="AA279" s="377"/>
      <c r="AB279" s="377"/>
      <c r="AC279" s="377"/>
      <c r="AE279" s="77"/>
      <c r="AF279" s="377"/>
      <c r="AG279" s="377"/>
      <c r="AH279" s="377"/>
      <c r="AJ279" s="77"/>
      <c r="AK279" s="77"/>
      <c r="AL279" s="77"/>
      <c r="AM279" s="77"/>
      <c r="AN279" s="77"/>
    </row>
    <row r="280" spans="12:40">
      <c r="L280" s="377"/>
      <c r="M280" s="377"/>
      <c r="N280" s="377"/>
      <c r="P280" s="377"/>
      <c r="Q280" s="377"/>
      <c r="R280" s="377"/>
      <c r="S280" s="377"/>
      <c r="U280" s="377"/>
      <c r="V280" s="377"/>
      <c r="W280" s="377"/>
      <c r="X280" s="377"/>
      <c r="Z280" s="77"/>
      <c r="AA280" s="377"/>
      <c r="AB280" s="377"/>
      <c r="AC280" s="377"/>
      <c r="AE280" s="77"/>
      <c r="AF280" s="377"/>
      <c r="AG280" s="377"/>
      <c r="AH280" s="377"/>
      <c r="AJ280" s="77"/>
      <c r="AK280" s="77"/>
      <c r="AL280" s="77"/>
      <c r="AM280" s="77"/>
      <c r="AN280" s="77"/>
    </row>
    <row r="281" spans="12:40">
      <c r="L281" s="377"/>
      <c r="M281" s="377"/>
      <c r="N281" s="377"/>
      <c r="P281" s="377"/>
      <c r="Q281" s="377"/>
      <c r="R281" s="377"/>
      <c r="S281" s="377"/>
      <c r="U281" s="377"/>
      <c r="V281" s="377"/>
      <c r="W281" s="377"/>
      <c r="X281" s="377"/>
      <c r="Z281" s="77"/>
      <c r="AA281" s="377"/>
      <c r="AB281" s="377"/>
      <c r="AC281" s="377"/>
      <c r="AE281" s="77"/>
      <c r="AF281" s="377"/>
      <c r="AG281" s="377"/>
      <c r="AH281" s="377"/>
      <c r="AJ281" s="77"/>
      <c r="AK281" s="77"/>
      <c r="AL281" s="77"/>
      <c r="AM281" s="77"/>
      <c r="AN281" s="77"/>
    </row>
    <row r="282" spans="12:40">
      <c r="L282" s="377"/>
      <c r="M282" s="377"/>
      <c r="N282" s="377"/>
      <c r="P282" s="377"/>
      <c r="Q282" s="377"/>
      <c r="R282" s="377"/>
      <c r="S282" s="377"/>
      <c r="U282" s="377"/>
      <c r="V282" s="377"/>
      <c r="W282" s="377"/>
      <c r="X282" s="377"/>
      <c r="Z282" s="77"/>
      <c r="AA282" s="377"/>
      <c r="AB282" s="377"/>
      <c r="AC282" s="377"/>
      <c r="AE282" s="77"/>
      <c r="AF282" s="377"/>
      <c r="AG282" s="377"/>
      <c r="AH282" s="377"/>
      <c r="AJ282" s="77"/>
      <c r="AK282" s="77"/>
      <c r="AL282" s="77"/>
      <c r="AM282" s="77"/>
      <c r="AN282" s="77"/>
    </row>
    <row r="283" spans="12:40">
      <c r="L283" s="377"/>
      <c r="M283" s="377"/>
      <c r="N283" s="377"/>
      <c r="P283" s="377"/>
      <c r="Q283" s="377"/>
      <c r="R283" s="377"/>
      <c r="S283" s="377"/>
      <c r="U283" s="377"/>
      <c r="V283" s="377"/>
      <c r="W283" s="377"/>
      <c r="X283" s="377"/>
      <c r="Z283" s="77"/>
      <c r="AA283" s="377"/>
      <c r="AB283" s="377"/>
      <c r="AC283" s="377"/>
      <c r="AE283" s="77"/>
      <c r="AF283" s="377"/>
      <c r="AG283" s="377"/>
      <c r="AH283" s="377"/>
      <c r="AJ283" s="77"/>
      <c r="AK283" s="77"/>
      <c r="AL283" s="77"/>
      <c r="AM283" s="77"/>
      <c r="AN283" s="77"/>
    </row>
    <row r="284" spans="12:40">
      <c r="L284" s="377"/>
      <c r="M284" s="377"/>
      <c r="N284" s="377"/>
      <c r="P284" s="377"/>
      <c r="Q284" s="377"/>
      <c r="R284" s="377"/>
      <c r="S284" s="377"/>
      <c r="U284" s="377"/>
      <c r="V284" s="377"/>
      <c r="W284" s="377"/>
      <c r="X284" s="377"/>
      <c r="Z284" s="77"/>
      <c r="AA284" s="377"/>
      <c r="AB284" s="377"/>
      <c r="AC284" s="377"/>
      <c r="AE284" s="77"/>
      <c r="AF284" s="377"/>
      <c r="AG284" s="377"/>
      <c r="AH284" s="377"/>
      <c r="AJ284" s="77"/>
      <c r="AK284" s="77"/>
      <c r="AL284" s="77"/>
      <c r="AM284" s="77"/>
      <c r="AN284" s="77"/>
    </row>
    <row r="285" spans="12:40">
      <c r="L285" s="377"/>
      <c r="M285" s="377"/>
      <c r="N285" s="377"/>
      <c r="P285" s="377"/>
      <c r="Q285" s="377"/>
      <c r="R285" s="377"/>
      <c r="S285" s="377"/>
      <c r="U285" s="377"/>
      <c r="V285" s="377"/>
      <c r="W285" s="377"/>
      <c r="X285" s="377"/>
      <c r="Z285" s="77"/>
      <c r="AA285" s="377"/>
      <c r="AB285" s="377"/>
      <c r="AC285" s="377"/>
      <c r="AE285" s="77"/>
      <c r="AF285" s="377"/>
      <c r="AG285" s="377"/>
      <c r="AH285" s="377"/>
      <c r="AJ285" s="77"/>
      <c r="AK285" s="77"/>
      <c r="AL285" s="77"/>
      <c r="AM285" s="77"/>
      <c r="AN285" s="77"/>
    </row>
    <row r="286" spans="12:40">
      <c r="L286" s="377"/>
      <c r="M286" s="377"/>
      <c r="N286" s="377"/>
      <c r="P286" s="377"/>
      <c r="Q286" s="377"/>
      <c r="R286" s="377"/>
      <c r="S286" s="377"/>
      <c r="U286" s="377"/>
      <c r="V286" s="377"/>
      <c r="W286" s="377"/>
      <c r="X286" s="377"/>
      <c r="Z286" s="77"/>
      <c r="AA286" s="377"/>
      <c r="AB286" s="377"/>
      <c r="AC286" s="377"/>
      <c r="AE286" s="77"/>
      <c r="AF286" s="377"/>
      <c r="AG286" s="377"/>
      <c r="AH286" s="377"/>
      <c r="AJ286" s="77"/>
      <c r="AK286" s="77"/>
      <c r="AL286" s="77"/>
      <c r="AM286" s="77"/>
      <c r="AN286" s="77"/>
    </row>
    <row r="287" spans="12:40">
      <c r="L287" s="377"/>
      <c r="M287" s="377"/>
      <c r="N287" s="377"/>
      <c r="P287" s="377"/>
      <c r="Q287" s="377"/>
      <c r="R287" s="377"/>
      <c r="S287" s="377"/>
      <c r="U287" s="377"/>
      <c r="V287" s="377"/>
      <c r="W287" s="377"/>
      <c r="X287" s="377"/>
      <c r="Z287" s="77"/>
      <c r="AA287" s="377"/>
      <c r="AB287" s="377"/>
      <c r="AC287" s="377"/>
      <c r="AE287" s="77"/>
      <c r="AF287" s="377"/>
      <c r="AG287" s="377"/>
      <c r="AH287" s="377"/>
      <c r="AJ287" s="77"/>
      <c r="AK287" s="77"/>
      <c r="AL287" s="77"/>
      <c r="AM287" s="77"/>
      <c r="AN287" s="77"/>
    </row>
    <row r="288" spans="12:40">
      <c r="L288" s="377"/>
      <c r="M288" s="377"/>
      <c r="N288" s="377"/>
      <c r="P288" s="377"/>
      <c r="Q288" s="377"/>
      <c r="R288" s="377"/>
      <c r="S288" s="377"/>
      <c r="U288" s="377"/>
      <c r="V288" s="377"/>
      <c r="W288" s="377"/>
      <c r="X288" s="377"/>
      <c r="Z288" s="77"/>
      <c r="AA288" s="377"/>
      <c r="AB288" s="377"/>
      <c r="AC288" s="377"/>
      <c r="AE288" s="77"/>
      <c r="AF288" s="377"/>
      <c r="AG288" s="377"/>
      <c r="AH288" s="377"/>
      <c r="AJ288" s="77"/>
      <c r="AK288" s="77"/>
      <c r="AL288" s="77"/>
      <c r="AM288" s="77"/>
      <c r="AN288" s="77"/>
    </row>
    <row r="289" spans="12:40">
      <c r="L289" s="377"/>
      <c r="M289" s="377"/>
      <c r="N289" s="377"/>
      <c r="P289" s="377"/>
      <c r="Q289" s="377"/>
      <c r="R289" s="377"/>
      <c r="S289" s="377"/>
      <c r="U289" s="377"/>
      <c r="V289" s="377"/>
      <c r="W289" s="377"/>
      <c r="X289" s="377"/>
      <c r="Z289" s="77"/>
      <c r="AA289" s="377"/>
      <c r="AB289" s="377"/>
      <c r="AC289" s="377"/>
      <c r="AE289" s="77"/>
      <c r="AF289" s="377"/>
      <c r="AG289" s="377"/>
      <c r="AH289" s="377"/>
      <c r="AJ289" s="77"/>
      <c r="AK289" s="77"/>
      <c r="AL289" s="77"/>
      <c r="AM289" s="77"/>
      <c r="AN289" s="77"/>
    </row>
    <row r="290" spans="12:40">
      <c r="L290" s="377"/>
      <c r="M290" s="377"/>
      <c r="N290" s="377"/>
      <c r="P290" s="377"/>
      <c r="Q290" s="377"/>
      <c r="R290" s="377"/>
      <c r="S290" s="377"/>
      <c r="U290" s="377"/>
      <c r="V290" s="377"/>
      <c r="W290" s="377"/>
      <c r="X290" s="377"/>
      <c r="Z290" s="77"/>
      <c r="AA290" s="377"/>
      <c r="AB290" s="377"/>
      <c r="AC290" s="377"/>
      <c r="AE290" s="77"/>
      <c r="AF290" s="377"/>
      <c r="AG290" s="377"/>
      <c r="AH290" s="377"/>
      <c r="AJ290" s="77"/>
      <c r="AK290" s="77"/>
      <c r="AL290" s="77"/>
      <c r="AM290" s="77"/>
      <c r="AN290" s="77"/>
    </row>
    <row r="291" spans="12:40">
      <c r="L291" s="377"/>
      <c r="M291" s="377"/>
      <c r="N291" s="377"/>
      <c r="P291" s="377"/>
      <c r="Q291" s="377"/>
      <c r="R291" s="377"/>
      <c r="S291" s="377"/>
      <c r="U291" s="377"/>
      <c r="V291" s="377"/>
      <c r="W291" s="377"/>
      <c r="X291" s="377"/>
      <c r="Z291" s="77"/>
      <c r="AA291" s="377"/>
      <c r="AB291" s="377"/>
      <c r="AC291" s="377"/>
      <c r="AE291" s="77"/>
      <c r="AF291" s="377"/>
      <c r="AG291" s="377"/>
      <c r="AH291" s="377"/>
      <c r="AJ291" s="77"/>
      <c r="AK291" s="77"/>
      <c r="AL291" s="77"/>
      <c r="AM291" s="77"/>
      <c r="AN291" s="77"/>
    </row>
    <row r="292" spans="12:40">
      <c r="L292" s="377"/>
      <c r="M292" s="377"/>
      <c r="N292" s="377"/>
      <c r="P292" s="377"/>
      <c r="Q292" s="377"/>
      <c r="R292" s="377"/>
      <c r="S292" s="377"/>
      <c r="U292" s="377"/>
      <c r="V292" s="377"/>
      <c r="W292" s="377"/>
      <c r="X292" s="377"/>
      <c r="Z292" s="77"/>
      <c r="AA292" s="377"/>
      <c r="AB292" s="377"/>
      <c r="AC292" s="377"/>
      <c r="AE292" s="77"/>
      <c r="AF292" s="377"/>
      <c r="AG292" s="377"/>
      <c r="AH292" s="377"/>
      <c r="AJ292" s="77"/>
      <c r="AK292" s="77"/>
      <c r="AL292" s="77"/>
      <c r="AM292" s="77"/>
      <c r="AN292" s="77"/>
    </row>
    <row r="293" spans="12:40">
      <c r="L293" s="377"/>
      <c r="M293" s="377"/>
      <c r="N293" s="377"/>
      <c r="P293" s="377"/>
      <c r="Q293" s="377"/>
      <c r="R293" s="377"/>
      <c r="S293" s="377"/>
      <c r="U293" s="377"/>
      <c r="V293" s="377"/>
      <c r="W293" s="377"/>
      <c r="X293" s="377"/>
      <c r="Z293" s="77"/>
      <c r="AA293" s="377"/>
      <c r="AB293" s="377"/>
      <c r="AC293" s="377"/>
      <c r="AE293" s="77"/>
      <c r="AF293" s="377"/>
      <c r="AG293" s="377"/>
      <c r="AH293" s="377"/>
      <c r="AJ293" s="77"/>
      <c r="AK293" s="77"/>
      <c r="AL293" s="77"/>
      <c r="AM293" s="77"/>
      <c r="AN293" s="77"/>
    </row>
    <row r="294" spans="12:40">
      <c r="L294" s="377"/>
      <c r="M294" s="377"/>
      <c r="N294" s="377"/>
      <c r="P294" s="377"/>
      <c r="Q294" s="377"/>
      <c r="R294" s="377"/>
      <c r="S294" s="377"/>
      <c r="U294" s="377"/>
      <c r="V294" s="377"/>
      <c r="W294" s="377"/>
      <c r="X294" s="377"/>
      <c r="Z294" s="77"/>
      <c r="AA294" s="377"/>
      <c r="AB294" s="377"/>
      <c r="AC294" s="377"/>
      <c r="AE294" s="77"/>
      <c r="AF294" s="377"/>
      <c r="AG294" s="377"/>
      <c r="AH294" s="377"/>
      <c r="AJ294" s="77"/>
      <c r="AK294" s="77"/>
      <c r="AL294" s="77"/>
      <c r="AM294" s="77"/>
      <c r="AN294" s="77"/>
    </row>
    <row r="295" spans="12:40">
      <c r="L295" s="377"/>
      <c r="M295" s="377"/>
      <c r="N295" s="377"/>
      <c r="P295" s="377"/>
      <c r="Q295" s="377"/>
      <c r="R295" s="377"/>
      <c r="S295" s="377"/>
      <c r="U295" s="377"/>
      <c r="V295" s="377"/>
      <c r="W295" s="377"/>
      <c r="X295" s="377"/>
      <c r="Z295" s="77"/>
      <c r="AA295" s="377"/>
      <c r="AB295" s="377"/>
      <c r="AC295" s="377"/>
      <c r="AE295" s="77"/>
      <c r="AF295" s="377"/>
      <c r="AG295" s="377"/>
      <c r="AH295" s="377"/>
      <c r="AJ295" s="77"/>
      <c r="AK295" s="77"/>
      <c r="AL295" s="77"/>
      <c r="AM295" s="77"/>
      <c r="AN295" s="77"/>
    </row>
    <row r="296" spans="12:40">
      <c r="L296" s="377"/>
      <c r="M296" s="377"/>
      <c r="N296" s="377"/>
      <c r="P296" s="377"/>
      <c r="Q296" s="377"/>
      <c r="R296" s="377"/>
      <c r="S296" s="377"/>
      <c r="U296" s="377"/>
      <c r="V296" s="377"/>
      <c r="W296" s="377"/>
      <c r="X296" s="377"/>
      <c r="Z296" s="77"/>
      <c r="AA296" s="377"/>
      <c r="AB296" s="377"/>
      <c r="AC296" s="377"/>
      <c r="AE296" s="77"/>
      <c r="AF296" s="377"/>
      <c r="AG296" s="377"/>
      <c r="AH296" s="377"/>
      <c r="AJ296" s="77"/>
      <c r="AK296" s="77"/>
      <c r="AL296" s="77"/>
      <c r="AM296" s="77"/>
      <c r="AN296" s="77"/>
    </row>
    <row r="297" spans="12:40">
      <c r="L297" s="377"/>
      <c r="M297" s="377"/>
      <c r="N297" s="377"/>
      <c r="P297" s="377"/>
      <c r="Q297" s="377"/>
      <c r="R297" s="377"/>
      <c r="S297" s="377"/>
      <c r="U297" s="377"/>
      <c r="V297" s="377"/>
      <c r="W297" s="377"/>
      <c r="X297" s="377"/>
      <c r="Z297" s="77"/>
      <c r="AA297" s="377"/>
      <c r="AB297" s="377"/>
      <c r="AC297" s="377"/>
      <c r="AE297" s="77"/>
      <c r="AF297" s="377"/>
      <c r="AG297" s="377"/>
      <c r="AH297" s="377"/>
      <c r="AJ297" s="77"/>
      <c r="AK297" s="77"/>
      <c r="AL297" s="77"/>
      <c r="AM297" s="77"/>
      <c r="AN297" s="77"/>
    </row>
    <row r="298" spans="12:40">
      <c r="L298" s="377"/>
      <c r="M298" s="377"/>
      <c r="N298" s="377"/>
      <c r="P298" s="377"/>
      <c r="Q298" s="377"/>
      <c r="R298" s="377"/>
      <c r="S298" s="377"/>
      <c r="U298" s="377"/>
      <c r="V298" s="377"/>
      <c r="W298" s="377"/>
      <c r="X298" s="377"/>
      <c r="Z298" s="77"/>
      <c r="AA298" s="377"/>
      <c r="AB298" s="377"/>
      <c r="AC298" s="377"/>
      <c r="AE298" s="77"/>
      <c r="AF298" s="377"/>
      <c r="AG298" s="377"/>
      <c r="AH298" s="377"/>
      <c r="AJ298" s="77"/>
      <c r="AK298" s="77"/>
      <c r="AL298" s="77"/>
      <c r="AM298" s="77"/>
      <c r="AN298" s="77"/>
    </row>
    <row r="299" spans="12:40">
      <c r="L299" s="377"/>
      <c r="M299" s="377"/>
      <c r="N299" s="377"/>
      <c r="P299" s="377"/>
      <c r="Q299" s="377"/>
      <c r="R299" s="377"/>
      <c r="S299" s="377"/>
      <c r="U299" s="377"/>
      <c r="V299" s="377"/>
      <c r="W299" s="377"/>
      <c r="X299" s="377"/>
      <c r="Z299" s="77"/>
      <c r="AA299" s="377"/>
      <c r="AB299" s="377"/>
      <c r="AC299" s="377"/>
      <c r="AE299" s="77"/>
      <c r="AF299" s="377"/>
      <c r="AG299" s="377"/>
      <c r="AH299" s="377"/>
      <c r="AJ299" s="77"/>
      <c r="AK299" s="77"/>
      <c r="AL299" s="77"/>
      <c r="AM299" s="77"/>
      <c r="AN299" s="77"/>
    </row>
    <row r="300" spans="12:40">
      <c r="L300" s="377"/>
      <c r="M300" s="377"/>
      <c r="N300" s="377"/>
      <c r="P300" s="377"/>
      <c r="Q300" s="377"/>
      <c r="R300" s="377"/>
      <c r="S300" s="377"/>
      <c r="U300" s="377"/>
      <c r="V300" s="377"/>
      <c r="W300" s="377"/>
      <c r="X300" s="377"/>
      <c r="Z300" s="77"/>
      <c r="AA300" s="377"/>
      <c r="AB300" s="377"/>
      <c r="AC300" s="377"/>
      <c r="AE300" s="77"/>
      <c r="AF300" s="377"/>
      <c r="AG300" s="377"/>
      <c r="AH300" s="377"/>
      <c r="AJ300" s="77"/>
      <c r="AK300" s="77"/>
      <c r="AL300" s="77"/>
      <c r="AM300" s="77"/>
      <c r="AN300" s="77"/>
    </row>
    <row r="301" spans="12:40">
      <c r="L301" s="377"/>
      <c r="M301" s="377"/>
      <c r="N301" s="377"/>
      <c r="P301" s="377"/>
      <c r="Q301" s="377"/>
      <c r="R301" s="377"/>
      <c r="S301" s="377"/>
      <c r="U301" s="377"/>
      <c r="V301" s="377"/>
      <c r="W301" s="377"/>
      <c r="X301" s="377"/>
      <c r="Z301" s="77"/>
      <c r="AA301" s="377"/>
      <c r="AB301" s="377"/>
      <c r="AC301" s="377"/>
      <c r="AE301" s="77"/>
      <c r="AF301" s="377"/>
      <c r="AG301" s="377"/>
      <c r="AH301" s="377"/>
      <c r="AJ301" s="77"/>
      <c r="AK301" s="77"/>
      <c r="AL301" s="77"/>
      <c r="AM301" s="77"/>
      <c r="AN301" s="77"/>
    </row>
    <row r="302" spans="12:40">
      <c r="L302" s="377"/>
      <c r="M302" s="377"/>
      <c r="N302" s="377"/>
      <c r="P302" s="377"/>
      <c r="Q302" s="377"/>
      <c r="R302" s="377"/>
      <c r="S302" s="377"/>
      <c r="U302" s="377"/>
      <c r="V302" s="377"/>
      <c r="W302" s="377"/>
      <c r="X302" s="377"/>
      <c r="Z302" s="77"/>
      <c r="AA302" s="377"/>
      <c r="AB302" s="377"/>
      <c r="AC302" s="377"/>
      <c r="AE302" s="77"/>
      <c r="AF302" s="377"/>
      <c r="AG302" s="377"/>
      <c r="AH302" s="377"/>
      <c r="AJ302" s="77"/>
      <c r="AK302" s="77"/>
      <c r="AL302" s="77"/>
      <c r="AM302" s="77"/>
      <c r="AN302" s="77"/>
    </row>
    <row r="303" spans="12:40">
      <c r="L303" s="377"/>
      <c r="M303" s="377"/>
      <c r="N303" s="377"/>
      <c r="P303" s="377"/>
      <c r="Q303" s="377"/>
      <c r="R303" s="377"/>
      <c r="S303" s="377"/>
      <c r="U303" s="377"/>
      <c r="V303" s="377"/>
      <c r="W303" s="377"/>
      <c r="X303" s="377"/>
      <c r="Z303" s="77"/>
      <c r="AA303" s="377"/>
      <c r="AB303" s="377"/>
      <c r="AC303" s="377"/>
      <c r="AE303" s="77"/>
      <c r="AF303" s="377"/>
      <c r="AG303" s="377"/>
      <c r="AH303" s="377"/>
      <c r="AJ303" s="77"/>
      <c r="AK303" s="77"/>
      <c r="AL303" s="77"/>
      <c r="AM303" s="77"/>
      <c r="AN303" s="77"/>
    </row>
    <row r="304" spans="12:40">
      <c r="L304" s="377"/>
      <c r="M304" s="377"/>
      <c r="N304" s="377"/>
      <c r="P304" s="377"/>
      <c r="Q304" s="377"/>
      <c r="R304" s="377"/>
      <c r="S304" s="377"/>
      <c r="U304" s="377"/>
      <c r="V304" s="377"/>
      <c r="W304" s="377"/>
      <c r="X304" s="377"/>
      <c r="Z304" s="77"/>
      <c r="AA304" s="377"/>
      <c r="AB304" s="377"/>
      <c r="AC304" s="377"/>
      <c r="AE304" s="77"/>
      <c r="AF304" s="377"/>
      <c r="AG304" s="377"/>
      <c r="AH304" s="377"/>
      <c r="AJ304" s="77"/>
      <c r="AK304" s="77"/>
      <c r="AL304" s="77"/>
      <c r="AM304" s="77"/>
      <c r="AN304" s="77"/>
    </row>
    <row r="305" spans="12:40">
      <c r="L305" s="377"/>
      <c r="M305" s="377"/>
      <c r="N305" s="377"/>
      <c r="P305" s="377"/>
      <c r="Q305" s="377"/>
      <c r="R305" s="377"/>
      <c r="S305" s="377"/>
      <c r="U305" s="377"/>
      <c r="V305" s="377"/>
      <c r="W305" s="377"/>
      <c r="X305" s="377"/>
      <c r="Z305" s="77"/>
      <c r="AA305" s="377"/>
      <c r="AB305" s="377"/>
      <c r="AC305" s="377"/>
      <c r="AE305" s="77"/>
      <c r="AF305" s="377"/>
      <c r="AG305" s="377"/>
      <c r="AH305" s="377"/>
      <c r="AJ305" s="77"/>
      <c r="AK305" s="77"/>
      <c r="AL305" s="77"/>
      <c r="AM305" s="77"/>
      <c r="AN305" s="77"/>
    </row>
    <row r="306" spans="12:40">
      <c r="L306" s="377"/>
      <c r="M306" s="377"/>
      <c r="N306" s="377"/>
      <c r="P306" s="377"/>
      <c r="Q306" s="377"/>
      <c r="R306" s="377"/>
      <c r="S306" s="377"/>
      <c r="U306" s="377"/>
      <c r="V306" s="377"/>
      <c r="W306" s="377"/>
      <c r="X306" s="377"/>
      <c r="Z306" s="77"/>
      <c r="AA306" s="377"/>
      <c r="AB306" s="377"/>
      <c r="AC306" s="377"/>
      <c r="AE306" s="77"/>
      <c r="AF306" s="377"/>
      <c r="AG306" s="377"/>
      <c r="AH306" s="377"/>
      <c r="AJ306" s="77"/>
      <c r="AK306" s="77"/>
      <c r="AL306" s="77"/>
      <c r="AM306" s="77"/>
      <c r="AN306" s="77"/>
    </row>
    <row r="307" spans="12:40">
      <c r="L307" s="377"/>
      <c r="M307" s="377"/>
      <c r="N307" s="377"/>
      <c r="P307" s="377"/>
      <c r="Q307" s="377"/>
      <c r="R307" s="377"/>
      <c r="S307" s="377"/>
      <c r="U307" s="377"/>
      <c r="V307" s="377"/>
      <c r="W307" s="377"/>
      <c r="X307" s="377"/>
      <c r="Z307" s="77"/>
      <c r="AA307" s="377"/>
      <c r="AB307" s="377"/>
      <c r="AC307" s="377"/>
      <c r="AE307" s="77"/>
      <c r="AF307" s="377"/>
      <c r="AG307" s="377"/>
      <c r="AH307" s="377"/>
      <c r="AJ307" s="77"/>
      <c r="AK307" s="77"/>
      <c r="AL307" s="77"/>
      <c r="AM307" s="77"/>
      <c r="AN307" s="77"/>
    </row>
    <row r="308" spans="12:40">
      <c r="L308" s="377"/>
      <c r="M308" s="377"/>
      <c r="N308" s="377"/>
      <c r="P308" s="377"/>
      <c r="Q308" s="377"/>
      <c r="R308" s="377"/>
      <c r="S308" s="377"/>
      <c r="U308" s="377"/>
      <c r="V308" s="377"/>
      <c r="W308" s="377"/>
      <c r="X308" s="377"/>
      <c r="Z308" s="77"/>
      <c r="AA308" s="377"/>
      <c r="AB308" s="377"/>
      <c r="AC308" s="377"/>
      <c r="AE308" s="77"/>
      <c r="AF308" s="377"/>
      <c r="AG308" s="377"/>
      <c r="AH308" s="377"/>
      <c r="AJ308" s="77"/>
      <c r="AK308" s="77"/>
      <c r="AL308" s="77"/>
      <c r="AM308" s="77"/>
      <c r="AN308" s="77"/>
    </row>
    <row r="309" spans="12:40">
      <c r="L309" s="377"/>
      <c r="M309" s="377"/>
      <c r="N309" s="377"/>
      <c r="P309" s="377"/>
      <c r="Q309" s="377"/>
      <c r="R309" s="377"/>
      <c r="S309" s="377"/>
      <c r="U309" s="377"/>
      <c r="V309" s="377"/>
      <c r="W309" s="377"/>
      <c r="X309" s="377"/>
      <c r="Z309" s="77"/>
      <c r="AA309" s="377"/>
      <c r="AB309" s="377"/>
      <c r="AC309" s="377"/>
      <c r="AE309" s="77"/>
      <c r="AF309" s="377"/>
      <c r="AG309" s="377"/>
      <c r="AH309" s="377"/>
      <c r="AJ309" s="77"/>
      <c r="AK309" s="77"/>
      <c r="AL309" s="77"/>
      <c r="AM309" s="77"/>
      <c r="AN309" s="77"/>
    </row>
    <row r="310" spans="12:40">
      <c r="L310" s="377"/>
      <c r="M310" s="377"/>
      <c r="N310" s="377"/>
      <c r="P310" s="377"/>
      <c r="Q310" s="377"/>
      <c r="R310" s="377"/>
      <c r="S310" s="377"/>
      <c r="U310" s="377"/>
      <c r="V310" s="377"/>
      <c r="W310" s="377"/>
      <c r="X310" s="377"/>
      <c r="Z310" s="77"/>
      <c r="AA310" s="377"/>
      <c r="AB310" s="377"/>
      <c r="AC310" s="377"/>
      <c r="AE310" s="77"/>
      <c r="AF310" s="377"/>
      <c r="AG310" s="377"/>
      <c r="AH310" s="377"/>
      <c r="AJ310" s="77"/>
      <c r="AK310" s="77"/>
      <c r="AL310" s="77"/>
      <c r="AM310" s="77"/>
      <c r="AN310" s="77"/>
    </row>
    <row r="311" spans="12:40">
      <c r="L311" s="377"/>
      <c r="M311" s="377"/>
      <c r="N311" s="377"/>
      <c r="P311" s="377"/>
      <c r="Q311" s="377"/>
      <c r="R311" s="377"/>
      <c r="S311" s="377"/>
      <c r="U311" s="377"/>
      <c r="V311" s="377"/>
      <c r="W311" s="377"/>
      <c r="X311" s="377"/>
      <c r="Z311" s="77"/>
      <c r="AA311" s="377"/>
      <c r="AB311" s="377"/>
      <c r="AC311" s="377"/>
      <c r="AE311" s="77"/>
      <c r="AF311" s="377"/>
      <c r="AG311" s="377"/>
      <c r="AH311" s="377"/>
      <c r="AJ311" s="77"/>
      <c r="AK311" s="77"/>
      <c r="AL311" s="77"/>
      <c r="AM311" s="77"/>
      <c r="AN311" s="77"/>
    </row>
    <row r="312" spans="12:40">
      <c r="L312" s="377"/>
      <c r="M312" s="377"/>
      <c r="N312" s="377"/>
      <c r="P312" s="377"/>
      <c r="Q312" s="377"/>
      <c r="R312" s="377"/>
      <c r="S312" s="377"/>
      <c r="U312" s="377"/>
      <c r="V312" s="377"/>
      <c r="W312" s="377"/>
      <c r="X312" s="377"/>
      <c r="Z312" s="77"/>
      <c r="AA312" s="377"/>
      <c r="AB312" s="377"/>
      <c r="AC312" s="377"/>
      <c r="AE312" s="77"/>
      <c r="AF312" s="377"/>
      <c r="AG312" s="377"/>
      <c r="AH312" s="377"/>
      <c r="AJ312" s="77"/>
      <c r="AK312" s="77"/>
      <c r="AL312" s="77"/>
      <c r="AM312" s="77"/>
      <c r="AN312" s="77"/>
    </row>
    <row r="313" spans="12:40">
      <c r="L313" s="377"/>
      <c r="M313" s="377"/>
      <c r="N313" s="377"/>
      <c r="P313" s="377"/>
      <c r="Q313" s="377"/>
      <c r="R313" s="377"/>
      <c r="S313" s="377"/>
      <c r="U313" s="377"/>
      <c r="V313" s="377"/>
      <c r="W313" s="377"/>
      <c r="X313" s="377"/>
      <c r="Z313" s="77"/>
      <c r="AA313" s="377"/>
      <c r="AB313" s="377"/>
      <c r="AC313" s="377"/>
      <c r="AE313" s="77"/>
      <c r="AF313" s="377"/>
      <c r="AG313" s="377"/>
      <c r="AH313" s="377"/>
      <c r="AJ313" s="77"/>
      <c r="AK313" s="77"/>
      <c r="AL313" s="77"/>
      <c r="AM313" s="77"/>
      <c r="AN313" s="77"/>
    </row>
    <row r="314" spans="12:40">
      <c r="L314" s="377"/>
      <c r="M314" s="377"/>
      <c r="N314" s="377"/>
      <c r="P314" s="377"/>
      <c r="Q314" s="377"/>
      <c r="R314" s="377"/>
      <c r="S314" s="377"/>
      <c r="U314" s="377"/>
      <c r="V314" s="377"/>
      <c r="W314" s="377"/>
      <c r="X314" s="377"/>
      <c r="Z314" s="77"/>
      <c r="AA314" s="377"/>
      <c r="AB314" s="377"/>
      <c r="AC314" s="377"/>
      <c r="AE314" s="77"/>
      <c r="AF314" s="377"/>
      <c r="AG314" s="377"/>
      <c r="AH314" s="377"/>
      <c r="AJ314" s="77"/>
      <c r="AK314" s="77"/>
      <c r="AL314" s="77"/>
      <c r="AM314" s="77"/>
      <c r="AN314" s="77"/>
    </row>
    <row r="315" spans="12:40">
      <c r="L315" s="377"/>
      <c r="M315" s="377"/>
      <c r="N315" s="377"/>
      <c r="P315" s="377"/>
      <c r="Q315" s="377"/>
      <c r="R315" s="377"/>
      <c r="S315" s="377"/>
      <c r="U315" s="377"/>
      <c r="V315" s="377"/>
      <c r="W315" s="377"/>
      <c r="X315" s="377"/>
      <c r="Z315" s="77"/>
      <c r="AA315" s="377"/>
      <c r="AB315" s="377"/>
      <c r="AC315" s="377"/>
      <c r="AE315" s="77"/>
      <c r="AF315" s="377"/>
      <c r="AG315" s="377"/>
      <c r="AH315" s="377"/>
      <c r="AJ315" s="77"/>
      <c r="AK315" s="77"/>
      <c r="AL315" s="77"/>
      <c r="AM315" s="77"/>
      <c r="AN315" s="77"/>
    </row>
    <row r="316" spans="12:40">
      <c r="L316" s="377"/>
      <c r="M316" s="377"/>
      <c r="N316" s="377"/>
      <c r="P316" s="377"/>
      <c r="Q316" s="377"/>
      <c r="R316" s="377"/>
      <c r="S316" s="377"/>
      <c r="U316" s="377"/>
      <c r="V316" s="377"/>
      <c r="W316" s="377"/>
      <c r="X316" s="377"/>
      <c r="Z316" s="77"/>
      <c r="AA316" s="377"/>
      <c r="AB316" s="377"/>
      <c r="AC316" s="377"/>
      <c r="AE316" s="77"/>
      <c r="AF316" s="377"/>
      <c r="AG316" s="377"/>
      <c r="AH316" s="377"/>
      <c r="AJ316" s="77"/>
      <c r="AK316" s="77"/>
      <c r="AL316" s="77"/>
      <c r="AM316" s="77"/>
      <c r="AN316" s="77"/>
    </row>
    <row r="317" spans="12:40">
      <c r="L317" s="377"/>
      <c r="M317" s="377"/>
      <c r="N317" s="377"/>
      <c r="P317" s="377"/>
      <c r="Q317" s="377"/>
      <c r="R317" s="377"/>
      <c r="S317" s="377"/>
      <c r="U317" s="377"/>
      <c r="V317" s="377"/>
      <c r="W317" s="377"/>
      <c r="X317" s="377"/>
      <c r="Z317" s="77"/>
      <c r="AA317" s="377"/>
      <c r="AB317" s="377"/>
      <c r="AC317" s="377"/>
      <c r="AE317" s="77"/>
      <c r="AF317" s="377"/>
      <c r="AG317" s="377"/>
      <c r="AH317" s="377"/>
      <c r="AJ317" s="77"/>
      <c r="AK317" s="77"/>
      <c r="AL317" s="77"/>
      <c r="AM317" s="77"/>
      <c r="AN317" s="77"/>
    </row>
    <row r="318" spans="12:40">
      <c r="L318" s="377"/>
      <c r="M318" s="377"/>
      <c r="N318" s="377"/>
      <c r="P318" s="377"/>
      <c r="Q318" s="377"/>
      <c r="R318" s="377"/>
      <c r="S318" s="377"/>
      <c r="U318" s="377"/>
      <c r="V318" s="377"/>
      <c r="W318" s="377"/>
      <c r="X318" s="377"/>
      <c r="Z318" s="77"/>
      <c r="AA318" s="377"/>
      <c r="AB318" s="377"/>
      <c r="AC318" s="377"/>
      <c r="AE318" s="77"/>
      <c r="AF318" s="377"/>
      <c r="AG318" s="377"/>
      <c r="AH318" s="377"/>
      <c r="AJ318" s="77"/>
      <c r="AK318" s="77"/>
      <c r="AL318" s="77"/>
      <c r="AM318" s="77"/>
      <c r="AN318" s="77"/>
    </row>
    <row r="319" spans="12:40">
      <c r="L319" s="377"/>
      <c r="M319" s="377"/>
      <c r="N319" s="377"/>
      <c r="P319" s="377"/>
      <c r="Q319" s="377"/>
      <c r="R319" s="377"/>
      <c r="S319" s="377"/>
      <c r="U319" s="377"/>
      <c r="V319" s="377"/>
      <c r="W319" s="377"/>
      <c r="X319" s="377"/>
      <c r="Z319" s="77"/>
      <c r="AA319" s="377"/>
      <c r="AB319" s="377"/>
      <c r="AC319" s="377"/>
      <c r="AE319" s="77"/>
      <c r="AF319" s="377"/>
      <c r="AG319" s="377"/>
      <c r="AH319" s="377"/>
      <c r="AJ319" s="77"/>
      <c r="AK319" s="77"/>
      <c r="AL319" s="77"/>
      <c r="AM319" s="77"/>
      <c r="AN319" s="77"/>
    </row>
    <row r="320" spans="12:40">
      <c r="L320" s="377"/>
      <c r="M320" s="377"/>
      <c r="N320" s="377"/>
      <c r="P320" s="377"/>
      <c r="Q320" s="377"/>
      <c r="R320" s="377"/>
      <c r="S320" s="377"/>
      <c r="U320" s="377"/>
      <c r="V320" s="377"/>
      <c r="W320" s="377"/>
      <c r="X320" s="377"/>
      <c r="Z320" s="77"/>
      <c r="AA320" s="377"/>
      <c r="AB320" s="377"/>
      <c r="AC320" s="377"/>
      <c r="AE320" s="77"/>
      <c r="AF320" s="377"/>
      <c r="AG320" s="377"/>
      <c r="AH320" s="377"/>
      <c r="AJ320" s="77"/>
      <c r="AK320" s="77"/>
      <c r="AL320" s="77"/>
      <c r="AM320" s="77"/>
      <c r="AN320" s="77"/>
    </row>
    <row r="321" spans="12:40">
      <c r="L321" s="377"/>
      <c r="M321" s="377"/>
      <c r="N321" s="377"/>
      <c r="P321" s="377"/>
      <c r="Q321" s="377"/>
      <c r="R321" s="377"/>
      <c r="S321" s="377"/>
      <c r="U321" s="377"/>
      <c r="V321" s="377"/>
      <c r="W321" s="377"/>
      <c r="X321" s="377"/>
      <c r="Z321" s="77"/>
      <c r="AA321" s="377"/>
      <c r="AB321" s="377"/>
      <c r="AC321" s="377"/>
      <c r="AE321" s="77"/>
      <c r="AF321" s="377"/>
      <c r="AG321" s="377"/>
      <c r="AH321" s="377"/>
      <c r="AJ321" s="77"/>
      <c r="AK321" s="77"/>
      <c r="AL321" s="77"/>
      <c r="AM321" s="77"/>
      <c r="AN321" s="77"/>
    </row>
    <row r="322" spans="12:40">
      <c r="L322" s="377"/>
      <c r="M322" s="377"/>
      <c r="N322" s="377"/>
      <c r="P322" s="377"/>
      <c r="Q322" s="377"/>
      <c r="R322" s="377"/>
      <c r="S322" s="377"/>
      <c r="U322" s="377"/>
      <c r="V322" s="377"/>
      <c r="W322" s="377"/>
      <c r="X322" s="377"/>
      <c r="Z322" s="77"/>
      <c r="AA322" s="377"/>
      <c r="AB322" s="377"/>
      <c r="AC322" s="377"/>
      <c r="AE322" s="77"/>
      <c r="AF322" s="377"/>
      <c r="AG322" s="377"/>
      <c r="AH322" s="377"/>
      <c r="AJ322" s="77"/>
      <c r="AK322" s="77"/>
      <c r="AL322" s="77"/>
      <c r="AM322" s="77"/>
      <c r="AN322" s="77"/>
    </row>
    <row r="323" spans="12:40">
      <c r="L323" s="377"/>
      <c r="M323" s="377"/>
      <c r="N323" s="377"/>
      <c r="P323" s="377"/>
      <c r="Q323" s="377"/>
      <c r="R323" s="377"/>
      <c r="S323" s="377"/>
      <c r="U323" s="377"/>
      <c r="V323" s="377"/>
      <c r="W323" s="377"/>
      <c r="X323" s="377"/>
      <c r="Z323" s="77"/>
      <c r="AA323" s="377"/>
      <c r="AB323" s="377"/>
      <c r="AC323" s="377"/>
      <c r="AE323" s="77"/>
      <c r="AF323" s="377"/>
      <c r="AG323" s="377"/>
      <c r="AH323" s="377"/>
      <c r="AJ323" s="77"/>
      <c r="AK323" s="77"/>
      <c r="AL323" s="77"/>
      <c r="AM323" s="77"/>
      <c r="AN323" s="77"/>
    </row>
    <row r="324" spans="12:40">
      <c r="L324" s="377"/>
      <c r="M324" s="377"/>
      <c r="N324" s="377"/>
      <c r="P324" s="377"/>
      <c r="Q324" s="377"/>
      <c r="R324" s="377"/>
      <c r="S324" s="377"/>
      <c r="U324" s="377"/>
      <c r="V324" s="377"/>
      <c r="W324" s="377"/>
      <c r="X324" s="377"/>
      <c r="Z324" s="77"/>
      <c r="AA324" s="377"/>
      <c r="AB324" s="377"/>
      <c r="AC324" s="377"/>
      <c r="AE324" s="77"/>
      <c r="AF324" s="377"/>
      <c r="AG324" s="377"/>
      <c r="AH324" s="377"/>
      <c r="AJ324" s="77"/>
      <c r="AK324" s="77"/>
      <c r="AL324" s="77"/>
      <c r="AM324" s="77"/>
      <c r="AN324" s="77"/>
    </row>
    <row r="325" spans="12:40">
      <c r="L325" s="377"/>
      <c r="M325" s="377"/>
      <c r="N325" s="377"/>
      <c r="P325" s="377"/>
      <c r="Q325" s="377"/>
      <c r="R325" s="377"/>
      <c r="S325" s="377"/>
      <c r="U325" s="377"/>
      <c r="V325" s="377"/>
      <c r="W325" s="377"/>
      <c r="X325" s="377"/>
      <c r="Z325" s="77"/>
      <c r="AA325" s="377"/>
      <c r="AB325" s="377"/>
      <c r="AC325" s="377"/>
      <c r="AE325" s="77"/>
      <c r="AF325" s="377"/>
      <c r="AG325" s="377"/>
      <c r="AH325" s="377"/>
      <c r="AJ325" s="77"/>
      <c r="AK325" s="77"/>
      <c r="AL325" s="77"/>
      <c r="AM325" s="77"/>
      <c r="AN325" s="77"/>
    </row>
    <row r="326" spans="12:40">
      <c r="L326" s="377"/>
      <c r="M326" s="377"/>
      <c r="N326" s="377"/>
      <c r="P326" s="377"/>
      <c r="Q326" s="377"/>
      <c r="R326" s="377"/>
      <c r="S326" s="377"/>
      <c r="U326" s="377"/>
      <c r="V326" s="377"/>
      <c r="W326" s="377"/>
      <c r="X326" s="377"/>
      <c r="Z326" s="77"/>
      <c r="AA326" s="377"/>
      <c r="AB326" s="377"/>
      <c r="AC326" s="377"/>
      <c r="AE326" s="77"/>
      <c r="AF326" s="377"/>
      <c r="AG326" s="377"/>
      <c r="AH326" s="377"/>
      <c r="AJ326" s="77"/>
      <c r="AK326" s="77"/>
      <c r="AL326" s="77"/>
      <c r="AM326" s="77"/>
      <c r="AN326" s="77"/>
    </row>
    <row r="327" spans="12:40">
      <c r="L327" s="377"/>
      <c r="M327" s="377"/>
      <c r="N327" s="377"/>
      <c r="P327" s="377"/>
      <c r="Q327" s="377"/>
      <c r="R327" s="377"/>
      <c r="S327" s="377"/>
      <c r="U327" s="377"/>
      <c r="V327" s="377"/>
      <c r="W327" s="377"/>
      <c r="X327" s="377"/>
      <c r="Z327" s="77"/>
      <c r="AA327" s="377"/>
      <c r="AB327" s="377"/>
      <c r="AC327" s="377"/>
      <c r="AE327" s="77"/>
      <c r="AF327" s="377"/>
      <c r="AG327" s="377"/>
      <c r="AH327" s="377"/>
      <c r="AJ327" s="77"/>
      <c r="AK327" s="77"/>
      <c r="AL327" s="77"/>
      <c r="AM327" s="77"/>
      <c r="AN327" s="77"/>
    </row>
    <row r="328" spans="12:40">
      <c r="L328" s="377"/>
      <c r="M328" s="377"/>
      <c r="N328" s="377"/>
      <c r="P328" s="377"/>
      <c r="Q328" s="377"/>
      <c r="R328" s="377"/>
      <c r="S328" s="377"/>
      <c r="U328" s="377"/>
      <c r="V328" s="377"/>
      <c r="W328" s="377"/>
      <c r="X328" s="377"/>
      <c r="Z328" s="77"/>
      <c r="AA328" s="377"/>
      <c r="AB328" s="377"/>
      <c r="AC328" s="377"/>
      <c r="AE328" s="77"/>
      <c r="AF328" s="377"/>
      <c r="AG328" s="377"/>
      <c r="AH328" s="377"/>
      <c r="AJ328" s="77"/>
      <c r="AK328" s="77"/>
      <c r="AL328" s="77"/>
      <c r="AM328" s="77"/>
      <c r="AN328" s="77"/>
    </row>
    <row r="329" spans="12:40">
      <c r="L329" s="377"/>
      <c r="M329" s="377"/>
      <c r="N329" s="377"/>
      <c r="P329" s="377"/>
      <c r="Q329" s="377"/>
      <c r="R329" s="377"/>
      <c r="S329" s="377"/>
      <c r="U329" s="377"/>
      <c r="V329" s="377"/>
      <c r="W329" s="377"/>
      <c r="X329" s="377"/>
      <c r="Z329" s="77"/>
      <c r="AA329" s="377"/>
      <c r="AB329" s="377"/>
      <c r="AC329" s="377"/>
      <c r="AE329" s="77"/>
      <c r="AF329" s="377"/>
      <c r="AG329" s="377"/>
      <c r="AH329" s="377"/>
      <c r="AJ329" s="77"/>
      <c r="AK329" s="77"/>
      <c r="AL329" s="77"/>
      <c r="AM329" s="77"/>
      <c r="AN329" s="77"/>
    </row>
    <row r="330" spans="12:40">
      <c r="L330" s="377"/>
      <c r="M330" s="377"/>
      <c r="N330" s="377"/>
      <c r="P330" s="377"/>
      <c r="Q330" s="377"/>
      <c r="R330" s="377"/>
      <c r="S330" s="377"/>
      <c r="U330" s="377"/>
      <c r="V330" s="377"/>
      <c r="W330" s="377"/>
      <c r="X330" s="377"/>
      <c r="Z330" s="77"/>
      <c r="AA330" s="377"/>
      <c r="AB330" s="377"/>
      <c r="AC330" s="377"/>
      <c r="AE330" s="77"/>
      <c r="AF330" s="377"/>
      <c r="AG330" s="377"/>
      <c r="AH330" s="377"/>
      <c r="AJ330" s="77"/>
      <c r="AK330" s="77"/>
      <c r="AL330" s="77"/>
      <c r="AM330" s="77"/>
      <c r="AN330" s="77"/>
    </row>
    <row r="331" spans="12:40">
      <c r="L331" s="377"/>
      <c r="M331" s="377"/>
      <c r="N331" s="377"/>
      <c r="P331" s="377"/>
      <c r="Q331" s="377"/>
      <c r="R331" s="377"/>
      <c r="S331" s="377"/>
      <c r="U331" s="377"/>
      <c r="V331" s="377"/>
      <c r="W331" s="377"/>
      <c r="X331" s="377"/>
      <c r="Z331" s="77"/>
      <c r="AA331" s="377"/>
      <c r="AB331" s="377"/>
      <c r="AC331" s="377"/>
      <c r="AE331" s="77"/>
      <c r="AF331" s="377"/>
      <c r="AG331" s="377"/>
      <c r="AH331" s="377"/>
      <c r="AJ331" s="77"/>
      <c r="AK331" s="77"/>
      <c r="AL331" s="77"/>
      <c r="AM331" s="77"/>
      <c r="AN331" s="77"/>
    </row>
    <row r="332" spans="12:40">
      <c r="L332" s="377"/>
      <c r="M332" s="377"/>
      <c r="N332" s="377"/>
      <c r="P332" s="377"/>
      <c r="Q332" s="377"/>
      <c r="R332" s="377"/>
      <c r="S332" s="377"/>
      <c r="U332" s="377"/>
      <c r="V332" s="377"/>
      <c r="W332" s="377"/>
      <c r="X332" s="377"/>
      <c r="Z332" s="77"/>
      <c r="AA332" s="377"/>
      <c r="AB332" s="377"/>
      <c r="AC332" s="377"/>
      <c r="AE332" s="77"/>
      <c r="AF332" s="377"/>
      <c r="AG332" s="377"/>
      <c r="AH332" s="377"/>
      <c r="AJ332" s="77"/>
      <c r="AK332" s="77"/>
      <c r="AL332" s="77"/>
      <c r="AM332" s="77"/>
      <c r="AN332" s="77"/>
    </row>
    <row r="333" spans="12:40">
      <c r="L333" s="377"/>
      <c r="M333" s="377"/>
      <c r="N333" s="377"/>
      <c r="P333" s="377"/>
      <c r="Q333" s="377"/>
      <c r="R333" s="377"/>
      <c r="S333" s="377"/>
      <c r="U333" s="377"/>
      <c r="V333" s="377"/>
      <c r="W333" s="377"/>
      <c r="X333" s="377"/>
      <c r="Z333" s="77"/>
      <c r="AA333" s="377"/>
      <c r="AB333" s="377"/>
      <c r="AC333" s="377"/>
      <c r="AE333" s="77"/>
      <c r="AF333" s="377"/>
      <c r="AG333" s="377"/>
      <c r="AH333" s="377"/>
      <c r="AJ333" s="77"/>
      <c r="AK333" s="77"/>
      <c r="AL333" s="77"/>
      <c r="AM333" s="77"/>
      <c r="AN333" s="77"/>
    </row>
    <row r="334" spans="12:40">
      <c r="L334" s="377"/>
      <c r="M334" s="377"/>
      <c r="N334" s="377"/>
      <c r="P334" s="377"/>
      <c r="Q334" s="377"/>
      <c r="R334" s="377"/>
      <c r="S334" s="377"/>
      <c r="U334" s="377"/>
      <c r="V334" s="377"/>
      <c r="W334" s="377"/>
      <c r="X334" s="377"/>
      <c r="Z334" s="77"/>
      <c r="AA334" s="377"/>
      <c r="AB334" s="377"/>
      <c r="AC334" s="377"/>
      <c r="AE334" s="77"/>
      <c r="AF334" s="377"/>
      <c r="AG334" s="377"/>
      <c r="AH334" s="377"/>
      <c r="AJ334" s="77"/>
      <c r="AK334" s="77"/>
      <c r="AL334" s="77"/>
      <c r="AM334" s="77"/>
      <c r="AN334" s="77"/>
    </row>
    <row r="335" spans="12:40">
      <c r="L335" s="377"/>
      <c r="M335" s="377"/>
      <c r="N335" s="377"/>
      <c r="P335" s="377"/>
      <c r="Q335" s="377"/>
      <c r="R335" s="377"/>
      <c r="S335" s="377"/>
      <c r="U335" s="377"/>
      <c r="V335" s="377"/>
      <c r="W335" s="377"/>
      <c r="X335" s="377"/>
      <c r="Z335" s="77"/>
      <c r="AA335" s="377"/>
      <c r="AB335" s="377"/>
      <c r="AC335" s="377"/>
      <c r="AE335" s="77"/>
      <c r="AF335" s="377"/>
      <c r="AG335" s="377"/>
      <c r="AH335" s="377"/>
      <c r="AJ335" s="77"/>
      <c r="AK335" s="77"/>
      <c r="AL335" s="77"/>
      <c r="AM335" s="77"/>
      <c r="AN335" s="77"/>
    </row>
    <row r="336" spans="12:40">
      <c r="L336" s="377"/>
      <c r="M336" s="377"/>
      <c r="N336" s="377"/>
      <c r="P336" s="377"/>
      <c r="Q336" s="377"/>
      <c r="R336" s="377"/>
      <c r="S336" s="377"/>
      <c r="U336" s="377"/>
      <c r="V336" s="377"/>
      <c r="W336" s="377"/>
      <c r="X336" s="377"/>
      <c r="Z336" s="77"/>
      <c r="AA336" s="377"/>
      <c r="AB336" s="377"/>
      <c r="AC336" s="377"/>
      <c r="AE336" s="77"/>
      <c r="AF336" s="377"/>
      <c r="AG336" s="377"/>
      <c r="AH336" s="377"/>
      <c r="AJ336" s="77"/>
      <c r="AK336" s="77"/>
      <c r="AL336" s="77"/>
      <c r="AM336" s="77"/>
      <c r="AN336" s="77"/>
    </row>
    <row r="337" spans="12:40">
      <c r="L337" s="377"/>
      <c r="M337" s="377"/>
      <c r="N337" s="377"/>
      <c r="P337" s="377"/>
      <c r="Q337" s="377"/>
      <c r="R337" s="377"/>
      <c r="S337" s="377"/>
      <c r="U337" s="377"/>
      <c r="V337" s="377"/>
      <c r="W337" s="377"/>
      <c r="X337" s="377"/>
      <c r="Z337" s="77"/>
      <c r="AA337" s="377"/>
      <c r="AB337" s="377"/>
      <c r="AC337" s="377"/>
      <c r="AE337" s="77"/>
      <c r="AF337" s="377"/>
      <c r="AG337" s="377"/>
      <c r="AH337" s="377"/>
      <c r="AJ337" s="77"/>
      <c r="AK337" s="77"/>
      <c r="AL337" s="77"/>
      <c r="AM337" s="77"/>
      <c r="AN337" s="77"/>
    </row>
    <row r="338" spans="12:40">
      <c r="L338" s="377"/>
      <c r="M338" s="377"/>
      <c r="N338" s="377"/>
      <c r="P338" s="377"/>
      <c r="Q338" s="377"/>
      <c r="R338" s="377"/>
      <c r="S338" s="377"/>
      <c r="U338" s="377"/>
      <c r="V338" s="377"/>
      <c r="W338" s="377"/>
      <c r="X338" s="377"/>
      <c r="Z338" s="77"/>
      <c r="AA338" s="377"/>
      <c r="AB338" s="377"/>
      <c r="AC338" s="377"/>
      <c r="AE338" s="77"/>
      <c r="AF338" s="377"/>
      <c r="AG338" s="377"/>
      <c r="AH338" s="377"/>
      <c r="AJ338" s="77"/>
      <c r="AK338" s="77"/>
      <c r="AL338" s="77"/>
      <c r="AM338" s="77"/>
      <c r="AN338" s="77"/>
    </row>
    <row r="339" spans="12:40">
      <c r="L339" s="377"/>
      <c r="M339" s="377"/>
      <c r="N339" s="377"/>
      <c r="P339" s="377"/>
      <c r="Q339" s="377"/>
      <c r="R339" s="377"/>
      <c r="S339" s="377"/>
      <c r="U339" s="377"/>
      <c r="V339" s="377"/>
      <c r="W339" s="377"/>
      <c r="X339" s="377"/>
      <c r="Z339" s="77"/>
      <c r="AA339" s="377"/>
      <c r="AB339" s="377"/>
      <c r="AC339" s="377"/>
      <c r="AE339" s="77"/>
      <c r="AF339" s="377"/>
      <c r="AG339" s="377"/>
      <c r="AH339" s="377"/>
      <c r="AJ339" s="77"/>
      <c r="AK339" s="77"/>
      <c r="AL339" s="77"/>
      <c r="AM339" s="77"/>
      <c r="AN339" s="77"/>
    </row>
    <row r="340" spans="12:40">
      <c r="L340" s="377"/>
      <c r="M340" s="377"/>
      <c r="N340" s="377"/>
      <c r="P340" s="377"/>
      <c r="Q340" s="377"/>
      <c r="R340" s="377"/>
      <c r="S340" s="377"/>
      <c r="U340" s="377"/>
      <c r="V340" s="377"/>
      <c r="W340" s="377"/>
      <c r="X340" s="377"/>
      <c r="Z340" s="77"/>
      <c r="AA340" s="377"/>
      <c r="AB340" s="377"/>
      <c r="AC340" s="377"/>
      <c r="AE340" s="77"/>
      <c r="AF340" s="377"/>
      <c r="AG340" s="377"/>
      <c r="AH340" s="377"/>
      <c r="AJ340" s="77"/>
      <c r="AK340" s="77"/>
      <c r="AL340" s="77"/>
      <c r="AM340" s="77"/>
      <c r="AN340" s="77"/>
    </row>
    <row r="341" spans="12:40">
      <c r="L341" s="377"/>
      <c r="M341" s="377"/>
      <c r="N341" s="377"/>
      <c r="P341" s="377"/>
      <c r="Q341" s="377"/>
      <c r="R341" s="377"/>
      <c r="S341" s="377"/>
      <c r="U341" s="377"/>
      <c r="V341" s="377"/>
      <c r="W341" s="377"/>
      <c r="X341" s="377"/>
      <c r="Z341" s="77"/>
      <c r="AA341" s="377"/>
      <c r="AB341" s="377"/>
      <c r="AC341" s="377"/>
      <c r="AE341" s="77"/>
      <c r="AF341" s="377"/>
      <c r="AG341" s="377"/>
      <c r="AH341" s="377"/>
      <c r="AJ341" s="77"/>
      <c r="AK341" s="77"/>
      <c r="AL341" s="77"/>
      <c r="AM341" s="77"/>
      <c r="AN341" s="77"/>
    </row>
    <row r="342" spans="12:40">
      <c r="L342" s="377"/>
      <c r="M342" s="377"/>
      <c r="N342" s="377"/>
      <c r="P342" s="377"/>
      <c r="Q342" s="377"/>
      <c r="R342" s="377"/>
      <c r="S342" s="377"/>
      <c r="U342" s="377"/>
      <c r="V342" s="377"/>
      <c r="W342" s="377"/>
      <c r="X342" s="377"/>
      <c r="Z342" s="77"/>
      <c r="AA342" s="377"/>
      <c r="AB342" s="377"/>
      <c r="AC342" s="377"/>
      <c r="AE342" s="77"/>
      <c r="AF342" s="377"/>
      <c r="AG342" s="377"/>
      <c r="AH342" s="377"/>
      <c r="AJ342" s="77"/>
      <c r="AK342" s="77"/>
      <c r="AL342" s="77"/>
      <c r="AM342" s="77"/>
      <c r="AN342" s="77"/>
    </row>
    <row r="343" spans="12:40">
      <c r="L343" s="377"/>
      <c r="M343" s="377"/>
      <c r="N343" s="377"/>
      <c r="P343" s="377"/>
      <c r="Q343" s="377"/>
      <c r="R343" s="377"/>
      <c r="S343" s="377"/>
      <c r="U343" s="377"/>
      <c r="V343" s="377"/>
      <c r="W343" s="377"/>
      <c r="X343" s="377"/>
      <c r="Z343" s="77"/>
      <c r="AA343" s="377"/>
      <c r="AB343" s="377"/>
      <c r="AC343" s="377"/>
      <c r="AE343" s="77"/>
      <c r="AF343" s="377"/>
      <c r="AG343" s="377"/>
      <c r="AH343" s="377"/>
      <c r="AJ343" s="77"/>
      <c r="AK343" s="77"/>
      <c r="AL343" s="77"/>
      <c r="AM343" s="77"/>
      <c r="AN343" s="77"/>
    </row>
    <row r="344" spans="12:40">
      <c r="L344" s="377"/>
      <c r="M344" s="377"/>
      <c r="N344" s="377"/>
      <c r="P344" s="377"/>
      <c r="Q344" s="377"/>
      <c r="R344" s="377"/>
      <c r="S344" s="377"/>
      <c r="U344" s="377"/>
      <c r="V344" s="377"/>
      <c r="W344" s="377"/>
      <c r="X344" s="377"/>
      <c r="Z344" s="77"/>
      <c r="AA344" s="377"/>
      <c r="AB344" s="377"/>
      <c r="AC344" s="377"/>
      <c r="AE344" s="77"/>
      <c r="AF344" s="377"/>
      <c r="AG344" s="377"/>
      <c r="AH344" s="377"/>
      <c r="AJ344" s="77"/>
      <c r="AK344" s="77"/>
      <c r="AL344" s="77"/>
      <c r="AM344" s="77"/>
      <c r="AN344" s="77"/>
    </row>
    <row r="345" spans="12:40">
      <c r="L345" s="377"/>
      <c r="M345" s="377"/>
      <c r="N345" s="377"/>
      <c r="P345" s="377"/>
      <c r="Q345" s="377"/>
      <c r="R345" s="377"/>
      <c r="S345" s="377"/>
      <c r="U345" s="377"/>
      <c r="V345" s="377"/>
      <c r="W345" s="377"/>
      <c r="X345" s="377"/>
      <c r="Z345" s="77"/>
      <c r="AA345" s="377"/>
      <c r="AB345" s="377"/>
      <c r="AC345" s="377"/>
      <c r="AE345" s="77"/>
      <c r="AF345" s="377"/>
      <c r="AG345" s="377"/>
      <c r="AH345" s="377"/>
      <c r="AJ345" s="77"/>
      <c r="AK345" s="77"/>
      <c r="AL345" s="77"/>
      <c r="AM345" s="77"/>
      <c r="AN345" s="77"/>
    </row>
    <row r="346" spans="12:40">
      <c r="L346" s="377"/>
      <c r="M346" s="377"/>
      <c r="N346" s="377"/>
      <c r="P346" s="377"/>
      <c r="Q346" s="377"/>
      <c r="R346" s="377"/>
      <c r="S346" s="377"/>
      <c r="U346" s="377"/>
      <c r="V346" s="377"/>
      <c r="W346" s="377"/>
      <c r="X346" s="377"/>
      <c r="Z346" s="77"/>
      <c r="AA346" s="377"/>
      <c r="AB346" s="377"/>
      <c r="AC346" s="377"/>
      <c r="AE346" s="77"/>
      <c r="AF346" s="377"/>
      <c r="AG346" s="377"/>
      <c r="AH346" s="377"/>
      <c r="AJ346" s="77"/>
      <c r="AK346" s="77"/>
      <c r="AL346" s="77"/>
      <c r="AM346" s="77"/>
      <c r="AN346" s="77"/>
    </row>
    <row r="347" spans="12:40">
      <c r="L347" s="377"/>
      <c r="M347" s="377"/>
      <c r="N347" s="377"/>
      <c r="P347" s="377"/>
      <c r="Q347" s="377"/>
      <c r="R347" s="377"/>
      <c r="S347" s="377"/>
      <c r="U347" s="377"/>
      <c r="V347" s="377"/>
      <c r="W347" s="377"/>
      <c r="X347" s="377"/>
      <c r="Z347" s="77"/>
      <c r="AA347" s="377"/>
      <c r="AB347" s="377"/>
      <c r="AC347" s="377"/>
      <c r="AE347" s="77"/>
      <c r="AF347" s="377"/>
      <c r="AG347" s="377"/>
      <c r="AH347" s="377"/>
      <c r="AJ347" s="77"/>
      <c r="AK347" s="77"/>
      <c r="AL347" s="77"/>
      <c r="AM347" s="77"/>
      <c r="AN347" s="77"/>
    </row>
    <row r="348" spans="12:40">
      <c r="L348" s="377"/>
      <c r="M348" s="377"/>
      <c r="N348" s="377"/>
      <c r="P348" s="377"/>
      <c r="Q348" s="377"/>
      <c r="R348" s="377"/>
      <c r="S348" s="377"/>
      <c r="U348" s="377"/>
      <c r="V348" s="377"/>
      <c r="W348" s="377"/>
      <c r="X348" s="377"/>
      <c r="Z348" s="77"/>
      <c r="AA348" s="377"/>
      <c r="AB348" s="377"/>
      <c r="AC348" s="377"/>
      <c r="AE348" s="77"/>
      <c r="AF348" s="377"/>
      <c r="AG348" s="377"/>
      <c r="AH348" s="377"/>
      <c r="AJ348" s="77"/>
      <c r="AK348" s="77"/>
      <c r="AL348" s="77"/>
      <c r="AM348" s="77"/>
      <c r="AN348" s="77"/>
    </row>
    <row r="349" spans="12:40">
      <c r="L349" s="377"/>
      <c r="M349" s="377"/>
      <c r="N349" s="377"/>
      <c r="P349" s="377"/>
      <c r="Q349" s="377"/>
      <c r="R349" s="377"/>
      <c r="S349" s="377"/>
      <c r="U349" s="377"/>
      <c r="V349" s="377"/>
      <c r="W349" s="377"/>
      <c r="X349" s="377"/>
      <c r="Z349" s="77"/>
      <c r="AA349" s="377"/>
      <c r="AB349" s="377"/>
      <c r="AC349" s="377"/>
      <c r="AE349" s="77"/>
      <c r="AF349" s="377"/>
      <c r="AG349" s="377"/>
      <c r="AH349" s="377"/>
      <c r="AJ349" s="77"/>
      <c r="AK349" s="77"/>
      <c r="AL349" s="77"/>
      <c r="AM349" s="77"/>
      <c r="AN349" s="77"/>
    </row>
    <row r="350" spans="12:40">
      <c r="L350" s="377"/>
      <c r="M350" s="377"/>
      <c r="N350" s="377"/>
      <c r="P350" s="377"/>
      <c r="Q350" s="377"/>
      <c r="R350" s="377"/>
      <c r="S350" s="377"/>
      <c r="U350" s="377"/>
      <c r="V350" s="377"/>
      <c r="W350" s="377"/>
      <c r="X350" s="377"/>
      <c r="Z350" s="77"/>
      <c r="AA350" s="377"/>
      <c r="AB350" s="377"/>
      <c r="AC350" s="377"/>
      <c r="AE350" s="77"/>
      <c r="AF350" s="377"/>
      <c r="AG350" s="377"/>
      <c r="AH350" s="377"/>
      <c r="AJ350" s="77"/>
      <c r="AK350" s="77"/>
      <c r="AL350" s="77"/>
      <c r="AM350" s="77"/>
      <c r="AN350" s="77"/>
    </row>
    <row r="351" spans="12:40">
      <c r="L351" s="377"/>
      <c r="M351" s="377"/>
      <c r="N351" s="377"/>
      <c r="P351" s="377"/>
      <c r="Q351" s="377"/>
      <c r="R351" s="377"/>
      <c r="S351" s="377"/>
      <c r="U351" s="377"/>
      <c r="V351" s="377"/>
      <c r="W351" s="377"/>
      <c r="X351" s="377"/>
      <c r="Z351" s="77"/>
      <c r="AA351" s="377"/>
      <c r="AB351" s="377"/>
      <c r="AC351" s="377"/>
      <c r="AE351" s="77"/>
      <c r="AF351" s="377"/>
      <c r="AG351" s="377"/>
      <c r="AH351" s="377"/>
      <c r="AJ351" s="77"/>
      <c r="AK351" s="77"/>
      <c r="AL351" s="77"/>
      <c r="AM351" s="77"/>
      <c r="AN351" s="77"/>
    </row>
    <row r="352" spans="12:40">
      <c r="L352" s="377"/>
      <c r="M352" s="377"/>
      <c r="N352" s="377"/>
      <c r="P352" s="377"/>
      <c r="Q352" s="377"/>
      <c r="R352" s="377"/>
      <c r="S352" s="377"/>
      <c r="U352" s="377"/>
      <c r="V352" s="377"/>
      <c r="W352" s="377"/>
      <c r="X352" s="377"/>
      <c r="Z352" s="77"/>
      <c r="AA352" s="377"/>
      <c r="AB352" s="377"/>
      <c r="AC352" s="377"/>
      <c r="AE352" s="77"/>
      <c r="AF352" s="377"/>
      <c r="AG352" s="377"/>
      <c r="AH352" s="377"/>
      <c r="AJ352" s="77"/>
      <c r="AK352" s="77"/>
      <c r="AL352" s="77"/>
      <c r="AM352" s="77"/>
      <c r="AN352" s="77"/>
    </row>
    <row r="353" spans="12:40">
      <c r="L353" s="377"/>
      <c r="M353" s="377"/>
      <c r="N353" s="377"/>
      <c r="P353" s="377"/>
      <c r="Q353" s="377"/>
      <c r="R353" s="377"/>
      <c r="S353" s="377"/>
      <c r="U353" s="377"/>
      <c r="V353" s="377"/>
      <c r="W353" s="377"/>
      <c r="X353" s="377"/>
      <c r="Z353" s="77"/>
      <c r="AA353" s="377"/>
      <c r="AB353" s="377"/>
      <c r="AC353" s="377"/>
      <c r="AE353" s="77"/>
      <c r="AF353" s="377"/>
      <c r="AG353" s="377"/>
      <c r="AH353" s="377"/>
      <c r="AJ353" s="77"/>
      <c r="AK353" s="77"/>
      <c r="AL353" s="77"/>
      <c r="AM353" s="77"/>
      <c r="AN353" s="77"/>
    </row>
    <row r="354" spans="12:40">
      <c r="L354" s="377"/>
      <c r="M354" s="377"/>
      <c r="N354" s="377"/>
      <c r="P354" s="377"/>
      <c r="Q354" s="377"/>
      <c r="R354" s="377"/>
      <c r="S354" s="377"/>
      <c r="U354" s="377"/>
      <c r="V354" s="377"/>
      <c r="W354" s="377"/>
      <c r="X354" s="377"/>
      <c r="Z354" s="77"/>
      <c r="AA354" s="377"/>
      <c r="AB354" s="377"/>
      <c r="AC354" s="377"/>
      <c r="AE354" s="77"/>
      <c r="AF354" s="377"/>
      <c r="AG354" s="377"/>
      <c r="AH354" s="377"/>
      <c r="AJ354" s="77"/>
      <c r="AK354" s="77"/>
      <c r="AL354" s="77"/>
      <c r="AM354" s="77"/>
      <c r="AN354" s="77"/>
    </row>
    <row r="355" spans="12:40">
      <c r="L355" s="377"/>
      <c r="M355" s="377"/>
      <c r="N355" s="377"/>
      <c r="P355" s="377"/>
      <c r="Q355" s="377"/>
      <c r="R355" s="377"/>
      <c r="S355" s="377"/>
      <c r="U355" s="377"/>
      <c r="V355" s="377"/>
      <c r="W355" s="377"/>
      <c r="X355" s="377"/>
      <c r="Z355" s="77"/>
      <c r="AA355" s="377"/>
      <c r="AB355" s="377"/>
      <c r="AC355" s="377"/>
      <c r="AE355" s="77"/>
      <c r="AF355" s="377"/>
      <c r="AG355" s="377"/>
      <c r="AH355" s="377"/>
      <c r="AJ355" s="77"/>
      <c r="AK355" s="77"/>
      <c r="AL355" s="77"/>
      <c r="AM355" s="77"/>
      <c r="AN355" s="77"/>
    </row>
    <row r="356" spans="12:40">
      <c r="L356" s="377"/>
      <c r="M356" s="377"/>
      <c r="N356" s="377"/>
      <c r="P356" s="377"/>
      <c r="Q356" s="377"/>
      <c r="R356" s="377"/>
      <c r="S356" s="377"/>
      <c r="U356" s="377"/>
      <c r="V356" s="377"/>
      <c r="W356" s="377"/>
      <c r="X356" s="377"/>
      <c r="Z356" s="77"/>
      <c r="AA356" s="377"/>
      <c r="AB356" s="377"/>
      <c r="AC356" s="377"/>
      <c r="AE356" s="77"/>
      <c r="AF356" s="377"/>
      <c r="AG356" s="377"/>
      <c r="AH356" s="377"/>
      <c r="AJ356" s="77"/>
      <c r="AK356" s="77"/>
      <c r="AL356" s="77"/>
      <c r="AM356" s="77"/>
      <c r="AN356" s="77"/>
    </row>
    <row r="357" spans="12:40">
      <c r="L357" s="377"/>
      <c r="M357" s="377"/>
      <c r="N357" s="377"/>
      <c r="P357" s="377"/>
      <c r="Q357" s="377"/>
      <c r="R357" s="377"/>
      <c r="S357" s="377"/>
      <c r="U357" s="377"/>
      <c r="V357" s="377"/>
      <c r="W357" s="377"/>
      <c r="X357" s="377"/>
      <c r="Z357" s="77"/>
      <c r="AA357" s="377"/>
      <c r="AB357" s="377"/>
      <c r="AC357" s="377"/>
      <c r="AE357" s="77"/>
      <c r="AF357" s="377"/>
      <c r="AG357" s="377"/>
      <c r="AH357" s="377"/>
      <c r="AJ357" s="77"/>
      <c r="AK357" s="77"/>
      <c r="AL357" s="77"/>
      <c r="AM357" s="77"/>
      <c r="AN357" s="77"/>
    </row>
    <row r="358" spans="12:40">
      <c r="L358" s="377"/>
      <c r="M358" s="377"/>
      <c r="N358" s="377"/>
      <c r="P358" s="377"/>
      <c r="Q358" s="377"/>
      <c r="R358" s="377"/>
      <c r="S358" s="377"/>
      <c r="U358" s="377"/>
      <c r="V358" s="377"/>
      <c r="W358" s="377"/>
      <c r="X358" s="377"/>
      <c r="Z358" s="77"/>
      <c r="AA358" s="377"/>
      <c r="AB358" s="377"/>
      <c r="AC358" s="377"/>
      <c r="AE358" s="77"/>
      <c r="AF358" s="377"/>
      <c r="AG358" s="377"/>
      <c r="AH358" s="377"/>
      <c r="AJ358" s="77"/>
      <c r="AK358" s="77"/>
      <c r="AL358" s="77"/>
      <c r="AM358" s="77"/>
      <c r="AN358" s="77"/>
    </row>
    <row r="359" spans="12:40">
      <c r="L359" s="377"/>
      <c r="M359" s="377"/>
      <c r="N359" s="377"/>
      <c r="P359" s="377"/>
      <c r="Q359" s="377"/>
      <c r="R359" s="377"/>
      <c r="S359" s="377"/>
      <c r="U359" s="377"/>
      <c r="V359" s="377"/>
      <c r="W359" s="377"/>
      <c r="X359" s="377"/>
      <c r="Z359" s="77"/>
      <c r="AA359" s="377"/>
      <c r="AB359" s="377"/>
      <c r="AC359" s="377"/>
      <c r="AE359" s="77"/>
      <c r="AF359" s="377"/>
      <c r="AG359" s="377"/>
      <c r="AH359" s="377"/>
      <c r="AJ359" s="77"/>
      <c r="AK359" s="77"/>
      <c r="AL359" s="77"/>
      <c r="AM359" s="77"/>
      <c r="AN359" s="77"/>
    </row>
    <row r="360" spans="12:40">
      <c r="L360" s="377"/>
      <c r="M360" s="377"/>
      <c r="N360" s="377"/>
      <c r="P360" s="377"/>
      <c r="Q360" s="377"/>
      <c r="R360" s="377"/>
      <c r="S360" s="377"/>
      <c r="U360" s="377"/>
      <c r="V360" s="377"/>
      <c r="W360" s="377"/>
      <c r="X360" s="377"/>
      <c r="Z360" s="77"/>
      <c r="AA360" s="377"/>
      <c r="AB360" s="377"/>
      <c r="AC360" s="377"/>
      <c r="AE360" s="77"/>
      <c r="AF360" s="377"/>
      <c r="AG360" s="377"/>
      <c r="AH360" s="377"/>
      <c r="AJ360" s="77"/>
      <c r="AK360" s="77"/>
      <c r="AL360" s="77"/>
      <c r="AM360" s="77"/>
      <c r="AN360" s="77"/>
    </row>
    <row r="361" spans="12:40">
      <c r="L361" s="377"/>
      <c r="M361" s="377"/>
      <c r="N361" s="377"/>
      <c r="P361" s="377"/>
      <c r="Q361" s="377"/>
      <c r="R361" s="377"/>
      <c r="S361" s="377"/>
      <c r="U361" s="377"/>
      <c r="V361" s="377"/>
      <c r="W361" s="377"/>
      <c r="X361" s="377"/>
      <c r="Z361" s="77"/>
      <c r="AA361" s="377"/>
      <c r="AB361" s="377"/>
      <c r="AC361" s="377"/>
      <c r="AE361" s="77"/>
      <c r="AF361" s="377"/>
      <c r="AG361" s="377"/>
      <c r="AH361" s="377"/>
      <c r="AJ361" s="77"/>
      <c r="AK361" s="77"/>
      <c r="AL361" s="77"/>
      <c r="AM361" s="77"/>
      <c r="AN361" s="77"/>
    </row>
    <row r="362" spans="12:40">
      <c r="L362" s="377"/>
      <c r="M362" s="377"/>
      <c r="N362" s="377"/>
      <c r="P362" s="377"/>
      <c r="Q362" s="377"/>
      <c r="R362" s="377"/>
      <c r="S362" s="377"/>
      <c r="U362" s="377"/>
      <c r="V362" s="377"/>
      <c r="W362" s="377"/>
      <c r="X362" s="377"/>
      <c r="Z362" s="77"/>
      <c r="AA362" s="377"/>
      <c r="AB362" s="377"/>
      <c r="AC362" s="377"/>
      <c r="AE362" s="77"/>
      <c r="AF362" s="377"/>
      <c r="AG362" s="377"/>
      <c r="AH362" s="377"/>
      <c r="AJ362" s="77"/>
      <c r="AK362" s="77"/>
      <c r="AL362" s="77"/>
      <c r="AM362" s="77"/>
      <c r="AN362" s="77"/>
    </row>
    <row r="363" spans="12:40">
      <c r="L363" s="377"/>
      <c r="M363" s="377"/>
      <c r="N363" s="377"/>
      <c r="P363" s="377"/>
      <c r="Q363" s="377"/>
      <c r="R363" s="377"/>
      <c r="S363" s="377"/>
      <c r="U363" s="377"/>
      <c r="V363" s="377"/>
      <c r="W363" s="377"/>
      <c r="X363" s="377"/>
      <c r="Z363" s="77"/>
      <c r="AA363" s="377"/>
      <c r="AB363" s="377"/>
      <c r="AC363" s="377"/>
      <c r="AE363" s="77"/>
      <c r="AF363" s="377"/>
      <c r="AG363" s="377"/>
      <c r="AH363" s="377"/>
      <c r="AJ363" s="77"/>
      <c r="AK363" s="77"/>
      <c r="AL363" s="77"/>
      <c r="AM363" s="77"/>
      <c r="AN363" s="77"/>
    </row>
    <row r="364" spans="12:40">
      <c r="L364" s="377"/>
      <c r="M364" s="377"/>
      <c r="N364" s="377"/>
      <c r="P364" s="377"/>
      <c r="Q364" s="377"/>
      <c r="R364" s="377"/>
      <c r="S364" s="377"/>
      <c r="U364" s="377"/>
      <c r="V364" s="377"/>
      <c r="W364" s="377"/>
      <c r="X364" s="377"/>
      <c r="Z364" s="77"/>
      <c r="AA364" s="377"/>
      <c r="AB364" s="377"/>
      <c r="AC364" s="377"/>
      <c r="AE364" s="77"/>
      <c r="AF364" s="377"/>
      <c r="AG364" s="377"/>
      <c r="AH364" s="377"/>
      <c r="AJ364" s="77"/>
      <c r="AK364" s="77"/>
      <c r="AL364" s="77"/>
      <c r="AM364" s="77"/>
      <c r="AN364" s="77"/>
    </row>
    <row r="365" spans="12:40">
      <c r="L365" s="377"/>
      <c r="M365" s="377"/>
      <c r="N365" s="377"/>
      <c r="P365" s="377"/>
      <c r="Q365" s="377"/>
      <c r="R365" s="377"/>
      <c r="S365" s="377"/>
      <c r="U365" s="377"/>
      <c r="V365" s="377"/>
      <c r="W365" s="377"/>
      <c r="X365" s="377"/>
      <c r="Z365" s="77"/>
      <c r="AA365" s="377"/>
      <c r="AB365" s="377"/>
      <c r="AC365" s="377"/>
      <c r="AE365" s="77"/>
      <c r="AF365" s="377"/>
      <c r="AG365" s="377"/>
      <c r="AH365" s="377"/>
      <c r="AJ365" s="77"/>
      <c r="AK365" s="77"/>
      <c r="AL365" s="77"/>
      <c r="AM365" s="77"/>
      <c r="AN365" s="77"/>
    </row>
    <row r="366" spans="12:40">
      <c r="L366" s="377"/>
      <c r="M366" s="377"/>
      <c r="N366" s="377"/>
      <c r="P366" s="377"/>
      <c r="Q366" s="377"/>
      <c r="R366" s="377"/>
      <c r="S366" s="377"/>
      <c r="U366" s="377"/>
      <c r="V366" s="377"/>
      <c r="W366" s="377"/>
      <c r="X366" s="377"/>
      <c r="Z366" s="77"/>
      <c r="AA366" s="377"/>
      <c r="AB366" s="377"/>
      <c r="AC366" s="377"/>
      <c r="AE366" s="77"/>
      <c r="AF366" s="377"/>
      <c r="AG366" s="377"/>
      <c r="AH366" s="377"/>
      <c r="AJ366" s="77"/>
      <c r="AK366" s="77"/>
      <c r="AL366" s="77"/>
      <c r="AM366" s="77"/>
      <c r="AN366" s="77"/>
    </row>
    <row r="367" spans="12:40">
      <c r="L367" s="377"/>
      <c r="M367" s="377"/>
      <c r="N367" s="377"/>
      <c r="P367" s="377"/>
      <c r="Q367" s="377"/>
      <c r="R367" s="377"/>
      <c r="S367" s="377"/>
      <c r="U367" s="377"/>
      <c r="V367" s="377"/>
      <c r="W367" s="377"/>
      <c r="X367" s="377"/>
      <c r="Z367" s="77"/>
      <c r="AA367" s="377"/>
      <c r="AB367" s="377"/>
      <c r="AC367" s="377"/>
      <c r="AE367" s="77"/>
      <c r="AF367" s="377"/>
      <c r="AG367" s="377"/>
      <c r="AH367" s="377"/>
      <c r="AJ367" s="77"/>
      <c r="AK367" s="77"/>
      <c r="AL367" s="77"/>
      <c r="AM367" s="77"/>
      <c r="AN367" s="77"/>
    </row>
    <row r="368" spans="12:40">
      <c r="L368" s="377"/>
      <c r="M368" s="377"/>
      <c r="N368" s="377"/>
      <c r="P368" s="377"/>
      <c r="Q368" s="377"/>
      <c r="R368" s="377"/>
      <c r="S368" s="377"/>
      <c r="U368" s="377"/>
      <c r="V368" s="377"/>
      <c r="W368" s="377"/>
      <c r="X368" s="377"/>
      <c r="Z368" s="77"/>
      <c r="AA368" s="377"/>
      <c r="AB368" s="377"/>
      <c r="AC368" s="377"/>
      <c r="AE368" s="77"/>
      <c r="AF368" s="377"/>
      <c r="AG368" s="377"/>
      <c r="AH368" s="377"/>
      <c r="AJ368" s="77"/>
      <c r="AK368" s="77"/>
      <c r="AL368" s="77"/>
      <c r="AM368" s="77"/>
      <c r="AN368" s="77"/>
    </row>
    <row r="369" spans="12:40">
      <c r="L369" s="377"/>
      <c r="M369" s="377"/>
      <c r="N369" s="377"/>
      <c r="P369" s="377"/>
      <c r="Q369" s="377"/>
      <c r="R369" s="377"/>
      <c r="S369" s="377"/>
      <c r="U369" s="377"/>
      <c r="V369" s="377"/>
      <c r="W369" s="377"/>
      <c r="X369" s="377"/>
      <c r="Z369" s="77"/>
      <c r="AA369" s="377"/>
      <c r="AB369" s="377"/>
      <c r="AC369" s="377"/>
      <c r="AE369" s="77"/>
      <c r="AF369" s="377"/>
      <c r="AG369" s="377"/>
      <c r="AH369" s="377"/>
      <c r="AJ369" s="77"/>
      <c r="AK369" s="77"/>
      <c r="AL369" s="77"/>
      <c r="AM369" s="77"/>
      <c r="AN369" s="77"/>
    </row>
    <row r="370" spans="12:40">
      <c r="L370" s="377"/>
      <c r="M370" s="377"/>
      <c r="N370" s="377"/>
      <c r="P370" s="377"/>
      <c r="Q370" s="377"/>
      <c r="R370" s="377"/>
      <c r="S370" s="377"/>
      <c r="U370" s="377"/>
      <c r="V370" s="377"/>
      <c r="W370" s="377"/>
      <c r="X370" s="377"/>
      <c r="Z370" s="77"/>
      <c r="AA370" s="377"/>
      <c r="AB370" s="377"/>
      <c r="AC370" s="377"/>
      <c r="AE370" s="77"/>
      <c r="AF370" s="377"/>
      <c r="AG370" s="377"/>
      <c r="AH370" s="377"/>
      <c r="AJ370" s="77"/>
      <c r="AK370" s="77"/>
      <c r="AL370" s="77"/>
      <c r="AM370" s="77"/>
      <c r="AN370" s="77"/>
    </row>
    <row r="371" spans="12:40">
      <c r="L371" s="377"/>
      <c r="M371" s="377"/>
      <c r="N371" s="377"/>
      <c r="P371" s="377"/>
      <c r="Q371" s="377"/>
      <c r="R371" s="377"/>
      <c r="S371" s="377"/>
      <c r="U371" s="377"/>
      <c r="V371" s="377"/>
      <c r="W371" s="377"/>
      <c r="X371" s="377"/>
      <c r="Z371" s="77"/>
      <c r="AA371" s="377"/>
      <c r="AB371" s="377"/>
      <c r="AC371" s="377"/>
      <c r="AE371" s="77"/>
      <c r="AF371" s="377"/>
      <c r="AG371" s="377"/>
      <c r="AH371" s="377"/>
      <c r="AJ371" s="77"/>
      <c r="AK371" s="77"/>
      <c r="AL371" s="77"/>
      <c r="AM371" s="77"/>
      <c r="AN371" s="77"/>
    </row>
    <row r="372" spans="12:40">
      <c r="L372" s="377"/>
      <c r="M372" s="377"/>
      <c r="N372" s="377"/>
      <c r="P372" s="377"/>
      <c r="Q372" s="377"/>
      <c r="R372" s="377"/>
      <c r="S372" s="377"/>
      <c r="U372" s="377"/>
      <c r="V372" s="377"/>
      <c r="W372" s="377"/>
      <c r="X372" s="377"/>
      <c r="Z372" s="77"/>
      <c r="AA372" s="377"/>
      <c r="AB372" s="377"/>
      <c r="AC372" s="377"/>
      <c r="AE372" s="77"/>
      <c r="AF372" s="377"/>
      <c r="AG372" s="377"/>
      <c r="AH372" s="377"/>
      <c r="AJ372" s="77"/>
      <c r="AK372" s="77"/>
      <c r="AL372" s="77"/>
      <c r="AM372" s="77"/>
      <c r="AN372" s="77"/>
    </row>
    <row r="373" spans="12:40">
      <c r="L373" s="377"/>
      <c r="M373" s="377"/>
      <c r="N373" s="377"/>
      <c r="P373" s="377"/>
      <c r="Q373" s="377"/>
      <c r="R373" s="377"/>
      <c r="S373" s="377"/>
      <c r="U373" s="377"/>
      <c r="V373" s="377"/>
      <c r="W373" s="377"/>
      <c r="X373" s="377"/>
      <c r="Z373" s="77"/>
      <c r="AA373" s="377"/>
      <c r="AB373" s="377"/>
      <c r="AC373" s="377"/>
      <c r="AE373" s="77"/>
      <c r="AF373" s="377"/>
      <c r="AG373" s="377"/>
      <c r="AH373" s="377"/>
      <c r="AJ373" s="77"/>
      <c r="AK373" s="77"/>
      <c r="AL373" s="77"/>
      <c r="AM373" s="77"/>
      <c r="AN373" s="77"/>
    </row>
    <row r="374" spans="12:40">
      <c r="L374" s="377"/>
      <c r="M374" s="377"/>
      <c r="N374" s="377"/>
      <c r="P374" s="377"/>
      <c r="Q374" s="377"/>
      <c r="R374" s="377"/>
      <c r="S374" s="377"/>
      <c r="U374" s="377"/>
      <c r="V374" s="377"/>
      <c r="W374" s="377"/>
      <c r="X374" s="377"/>
      <c r="Z374" s="77"/>
      <c r="AA374" s="377"/>
      <c r="AB374" s="377"/>
      <c r="AC374" s="377"/>
      <c r="AE374" s="77"/>
      <c r="AF374" s="377"/>
      <c r="AG374" s="377"/>
      <c r="AH374" s="377"/>
      <c r="AJ374" s="77"/>
      <c r="AK374" s="77"/>
      <c r="AL374" s="77"/>
      <c r="AM374" s="77"/>
      <c r="AN374" s="77"/>
    </row>
    <row r="375" spans="12:40">
      <c r="L375" s="377"/>
      <c r="M375" s="377"/>
      <c r="N375" s="377"/>
      <c r="P375" s="377"/>
      <c r="Q375" s="377"/>
      <c r="R375" s="377"/>
      <c r="S375" s="377"/>
      <c r="U375" s="377"/>
      <c r="V375" s="377"/>
      <c r="W375" s="377"/>
      <c r="X375" s="377"/>
      <c r="Z375" s="77"/>
      <c r="AA375" s="377"/>
      <c r="AB375" s="377"/>
      <c r="AC375" s="377"/>
      <c r="AE375" s="77"/>
      <c r="AF375" s="377"/>
      <c r="AG375" s="377"/>
      <c r="AH375" s="377"/>
      <c r="AJ375" s="77"/>
      <c r="AK375" s="77"/>
      <c r="AL375" s="77"/>
      <c r="AM375" s="77"/>
      <c r="AN375" s="77"/>
    </row>
    <row r="376" spans="12:40">
      <c r="L376" s="377"/>
      <c r="M376" s="377"/>
      <c r="N376" s="377"/>
      <c r="P376" s="377"/>
      <c r="Q376" s="377"/>
      <c r="R376" s="377"/>
      <c r="S376" s="377"/>
      <c r="U376" s="377"/>
      <c r="V376" s="377"/>
      <c r="W376" s="377"/>
      <c r="X376" s="377"/>
      <c r="Z376" s="77"/>
      <c r="AA376" s="377"/>
      <c r="AB376" s="377"/>
      <c r="AC376" s="377"/>
      <c r="AE376" s="77"/>
      <c r="AF376" s="377"/>
      <c r="AG376" s="377"/>
      <c r="AH376" s="377"/>
      <c r="AJ376" s="77"/>
      <c r="AK376" s="77"/>
      <c r="AL376" s="77"/>
      <c r="AM376" s="77"/>
      <c r="AN376" s="77"/>
    </row>
    <row r="377" spans="12:40">
      <c r="L377" s="377"/>
      <c r="M377" s="377"/>
      <c r="N377" s="377"/>
      <c r="P377" s="377"/>
      <c r="Q377" s="377"/>
      <c r="R377" s="377"/>
      <c r="S377" s="377"/>
      <c r="U377" s="377"/>
      <c r="V377" s="377"/>
      <c r="W377" s="377"/>
      <c r="X377" s="377"/>
      <c r="Z377" s="77"/>
      <c r="AA377" s="377"/>
      <c r="AB377" s="377"/>
      <c r="AC377" s="377"/>
      <c r="AE377" s="77"/>
      <c r="AF377" s="377"/>
      <c r="AG377" s="377"/>
      <c r="AH377" s="377"/>
      <c r="AJ377" s="77"/>
      <c r="AK377" s="77"/>
      <c r="AL377" s="77"/>
      <c r="AM377" s="77"/>
      <c r="AN377" s="77"/>
    </row>
    <row r="378" spans="12:40">
      <c r="L378" s="377"/>
      <c r="M378" s="377"/>
      <c r="N378" s="377"/>
      <c r="P378" s="377"/>
      <c r="Q378" s="377"/>
      <c r="R378" s="377"/>
      <c r="S378" s="377"/>
      <c r="U378" s="377"/>
      <c r="V378" s="377"/>
      <c r="W378" s="377"/>
      <c r="X378" s="377"/>
      <c r="Z378" s="77"/>
      <c r="AA378" s="377"/>
      <c r="AB378" s="377"/>
      <c r="AC378" s="377"/>
      <c r="AE378" s="77"/>
      <c r="AF378" s="377"/>
      <c r="AG378" s="377"/>
      <c r="AH378" s="377"/>
      <c r="AJ378" s="77"/>
      <c r="AK378" s="77"/>
      <c r="AL378" s="77"/>
      <c r="AM378" s="77"/>
      <c r="AN378" s="77"/>
    </row>
    <row r="379" spans="12:40">
      <c r="L379" s="377"/>
      <c r="M379" s="377"/>
      <c r="N379" s="377"/>
      <c r="P379" s="377"/>
      <c r="Q379" s="377"/>
      <c r="R379" s="377"/>
      <c r="S379" s="377"/>
      <c r="U379" s="377"/>
      <c r="V379" s="377"/>
      <c r="W379" s="377"/>
      <c r="X379" s="377"/>
      <c r="Z379" s="77"/>
      <c r="AA379" s="377"/>
      <c r="AB379" s="377"/>
      <c r="AC379" s="377"/>
      <c r="AE379" s="77"/>
      <c r="AF379" s="377"/>
      <c r="AG379" s="377"/>
      <c r="AH379" s="377"/>
      <c r="AJ379" s="77"/>
      <c r="AK379" s="77"/>
      <c r="AL379" s="77"/>
      <c r="AM379" s="77"/>
      <c r="AN379" s="77"/>
    </row>
    <row r="380" spans="12:40">
      <c r="L380" s="377"/>
      <c r="M380" s="377"/>
      <c r="N380" s="377"/>
      <c r="P380" s="377"/>
      <c r="Q380" s="377"/>
      <c r="R380" s="377"/>
      <c r="S380" s="377"/>
      <c r="U380" s="377"/>
      <c r="V380" s="377"/>
      <c r="W380" s="377"/>
      <c r="X380" s="377"/>
      <c r="Z380" s="77"/>
      <c r="AA380" s="377"/>
      <c r="AB380" s="377"/>
      <c r="AC380" s="377"/>
      <c r="AE380" s="77"/>
      <c r="AF380" s="377"/>
      <c r="AG380" s="377"/>
      <c r="AH380" s="377"/>
      <c r="AJ380" s="77"/>
      <c r="AK380" s="77"/>
      <c r="AL380" s="77"/>
      <c r="AM380" s="77"/>
      <c r="AN380" s="77"/>
    </row>
    <row r="381" spans="12:40">
      <c r="L381" s="377"/>
      <c r="M381" s="377"/>
      <c r="N381" s="377"/>
      <c r="P381" s="377"/>
      <c r="Q381" s="377"/>
      <c r="R381" s="377"/>
      <c r="S381" s="377"/>
      <c r="U381" s="377"/>
      <c r="V381" s="377"/>
      <c r="W381" s="377"/>
      <c r="X381" s="377"/>
      <c r="Z381" s="77"/>
      <c r="AA381" s="377"/>
      <c r="AB381" s="377"/>
      <c r="AC381" s="377"/>
      <c r="AE381" s="77"/>
      <c r="AF381" s="377"/>
      <c r="AG381" s="377"/>
      <c r="AH381" s="377"/>
      <c r="AJ381" s="77"/>
      <c r="AK381" s="77"/>
      <c r="AL381" s="77"/>
      <c r="AM381" s="77"/>
      <c r="AN381" s="77"/>
    </row>
    <row r="382" spans="12:40">
      <c r="L382" s="377"/>
      <c r="M382" s="377"/>
      <c r="N382" s="377"/>
      <c r="P382" s="377"/>
      <c r="Q382" s="377"/>
      <c r="R382" s="377"/>
      <c r="S382" s="377"/>
      <c r="U382" s="377"/>
      <c r="V382" s="377"/>
      <c r="W382" s="377"/>
      <c r="X382" s="377"/>
      <c r="Z382" s="77"/>
      <c r="AA382" s="377"/>
      <c r="AB382" s="377"/>
      <c r="AC382" s="377"/>
      <c r="AE382" s="77"/>
      <c r="AF382" s="377"/>
      <c r="AG382" s="377"/>
      <c r="AH382" s="377"/>
      <c r="AJ382" s="77"/>
      <c r="AK382" s="77"/>
      <c r="AL382" s="77"/>
      <c r="AM382" s="77"/>
      <c r="AN382" s="77"/>
    </row>
    <row r="383" spans="12:40">
      <c r="L383" s="377"/>
      <c r="M383" s="377"/>
      <c r="N383" s="377"/>
      <c r="P383" s="377"/>
      <c r="Q383" s="377"/>
      <c r="R383" s="377"/>
      <c r="S383" s="377"/>
      <c r="U383" s="377"/>
      <c r="V383" s="377"/>
      <c r="W383" s="377"/>
      <c r="X383" s="377"/>
      <c r="Z383" s="77"/>
      <c r="AA383" s="377"/>
      <c r="AB383" s="377"/>
      <c r="AC383" s="377"/>
      <c r="AE383" s="77"/>
      <c r="AF383" s="377"/>
      <c r="AG383" s="377"/>
      <c r="AH383" s="377"/>
      <c r="AJ383" s="77"/>
      <c r="AK383" s="77"/>
      <c r="AL383" s="77"/>
      <c r="AM383" s="77"/>
      <c r="AN383" s="77"/>
    </row>
    <row r="384" spans="12:40">
      <c r="L384" s="377"/>
      <c r="M384" s="377"/>
      <c r="N384" s="377"/>
      <c r="P384" s="377"/>
      <c r="Q384" s="377"/>
      <c r="R384" s="377"/>
      <c r="S384" s="377"/>
      <c r="U384" s="377"/>
      <c r="V384" s="377"/>
      <c r="W384" s="377"/>
      <c r="X384" s="377"/>
      <c r="Z384" s="77"/>
      <c r="AA384" s="377"/>
      <c r="AB384" s="377"/>
      <c r="AC384" s="377"/>
      <c r="AE384" s="77"/>
      <c r="AF384" s="377"/>
      <c r="AG384" s="377"/>
      <c r="AH384" s="377"/>
      <c r="AJ384" s="77"/>
      <c r="AK384" s="77"/>
      <c r="AL384" s="77"/>
      <c r="AM384" s="77"/>
      <c r="AN384" s="77"/>
    </row>
    <row r="385" spans="12:40">
      <c r="L385" s="377"/>
      <c r="M385" s="377"/>
      <c r="N385" s="377"/>
      <c r="P385" s="377"/>
      <c r="Q385" s="377"/>
      <c r="R385" s="377"/>
      <c r="S385" s="377"/>
      <c r="U385" s="377"/>
      <c r="V385" s="377"/>
      <c r="W385" s="377"/>
      <c r="X385" s="377"/>
      <c r="Z385" s="77"/>
      <c r="AA385" s="377"/>
      <c r="AB385" s="377"/>
      <c r="AC385" s="377"/>
      <c r="AE385" s="77"/>
      <c r="AF385" s="377"/>
      <c r="AG385" s="377"/>
      <c r="AH385" s="377"/>
      <c r="AJ385" s="77"/>
      <c r="AK385" s="77"/>
      <c r="AL385" s="77"/>
      <c r="AM385" s="77"/>
      <c r="AN385" s="77"/>
    </row>
    <row r="386" spans="12:40">
      <c r="L386" s="377"/>
      <c r="M386" s="377"/>
      <c r="N386" s="377"/>
      <c r="P386" s="377"/>
      <c r="Q386" s="377"/>
      <c r="R386" s="377"/>
      <c r="S386" s="377"/>
      <c r="U386" s="377"/>
      <c r="V386" s="377"/>
      <c r="W386" s="377"/>
      <c r="X386" s="377"/>
      <c r="Z386" s="77"/>
      <c r="AA386" s="377"/>
      <c r="AB386" s="377"/>
      <c r="AC386" s="377"/>
      <c r="AE386" s="77"/>
      <c r="AF386" s="377"/>
      <c r="AG386" s="377"/>
      <c r="AH386" s="377"/>
      <c r="AJ386" s="77"/>
      <c r="AK386" s="77"/>
      <c r="AL386" s="77"/>
      <c r="AM386" s="77"/>
      <c r="AN386" s="77"/>
    </row>
    <row r="387" spans="12:40">
      <c r="L387" s="377"/>
      <c r="M387" s="377"/>
      <c r="N387" s="377"/>
      <c r="P387" s="377"/>
      <c r="Q387" s="377"/>
      <c r="R387" s="377"/>
      <c r="S387" s="377"/>
      <c r="U387" s="377"/>
      <c r="V387" s="377"/>
      <c r="W387" s="377"/>
      <c r="X387" s="377"/>
      <c r="Z387" s="77"/>
      <c r="AA387" s="377"/>
      <c r="AB387" s="377"/>
      <c r="AC387" s="377"/>
      <c r="AE387" s="77"/>
      <c r="AF387" s="377"/>
      <c r="AG387" s="377"/>
      <c r="AH387" s="377"/>
      <c r="AJ387" s="77"/>
      <c r="AK387" s="77"/>
      <c r="AL387" s="77"/>
      <c r="AM387" s="77"/>
      <c r="AN387" s="77"/>
    </row>
    <row r="388" spans="12:40">
      <c r="L388" s="377"/>
      <c r="M388" s="377"/>
      <c r="N388" s="377"/>
      <c r="P388" s="377"/>
      <c r="Q388" s="377"/>
      <c r="R388" s="377"/>
      <c r="S388" s="377"/>
      <c r="U388" s="377"/>
      <c r="V388" s="377"/>
      <c r="W388" s="377"/>
      <c r="X388" s="377"/>
      <c r="Z388" s="77"/>
      <c r="AA388" s="377"/>
      <c r="AB388" s="377"/>
      <c r="AC388" s="377"/>
      <c r="AE388" s="77"/>
      <c r="AF388" s="377"/>
      <c r="AG388" s="377"/>
      <c r="AH388" s="377"/>
      <c r="AJ388" s="77"/>
      <c r="AK388" s="77"/>
      <c r="AL388" s="77"/>
      <c r="AM388" s="77"/>
      <c r="AN388" s="77"/>
    </row>
    <row r="389" spans="12:40">
      <c r="L389" s="377"/>
      <c r="M389" s="377"/>
      <c r="N389" s="377"/>
      <c r="P389" s="377"/>
      <c r="Q389" s="377"/>
      <c r="R389" s="377"/>
      <c r="S389" s="377"/>
      <c r="U389" s="377"/>
      <c r="V389" s="377"/>
      <c r="W389" s="377"/>
      <c r="X389" s="377"/>
      <c r="Z389" s="77"/>
      <c r="AA389" s="377"/>
      <c r="AB389" s="377"/>
      <c r="AC389" s="377"/>
      <c r="AE389" s="77"/>
      <c r="AF389" s="377"/>
      <c r="AG389" s="377"/>
      <c r="AH389" s="377"/>
      <c r="AJ389" s="77"/>
      <c r="AK389" s="77"/>
      <c r="AL389" s="77"/>
      <c r="AM389" s="77"/>
      <c r="AN389" s="77"/>
    </row>
    <row r="390" spans="12:40">
      <c r="L390" s="377"/>
      <c r="M390" s="377"/>
      <c r="N390" s="377"/>
      <c r="P390" s="377"/>
      <c r="Q390" s="377"/>
      <c r="R390" s="377"/>
      <c r="S390" s="377"/>
      <c r="U390" s="377"/>
      <c r="V390" s="377"/>
      <c r="W390" s="377"/>
      <c r="X390" s="377"/>
      <c r="Z390" s="77"/>
      <c r="AA390" s="377"/>
      <c r="AB390" s="377"/>
      <c r="AC390" s="377"/>
      <c r="AE390" s="77"/>
      <c r="AF390" s="377"/>
      <c r="AG390" s="377"/>
      <c r="AH390" s="377"/>
      <c r="AJ390" s="77"/>
      <c r="AK390" s="77"/>
      <c r="AL390" s="77"/>
      <c r="AM390" s="77"/>
      <c r="AN390" s="77"/>
    </row>
    <row r="391" spans="12:40">
      <c r="L391" s="377"/>
      <c r="M391" s="377"/>
      <c r="N391" s="377"/>
      <c r="P391" s="377"/>
      <c r="Q391" s="377"/>
      <c r="R391" s="377"/>
      <c r="S391" s="377"/>
      <c r="U391" s="377"/>
      <c r="V391" s="377"/>
      <c r="W391" s="377"/>
      <c r="X391" s="377"/>
      <c r="Z391" s="77"/>
      <c r="AA391" s="377"/>
      <c r="AB391" s="377"/>
      <c r="AC391" s="377"/>
      <c r="AE391" s="77"/>
      <c r="AF391" s="377"/>
      <c r="AG391" s="377"/>
      <c r="AH391" s="377"/>
      <c r="AJ391" s="77"/>
      <c r="AK391" s="77"/>
      <c r="AL391" s="77"/>
      <c r="AM391" s="77"/>
      <c r="AN391" s="77"/>
    </row>
    <row r="392" spans="12:40">
      <c r="L392" s="377"/>
      <c r="M392" s="377"/>
      <c r="N392" s="377"/>
      <c r="P392" s="377"/>
      <c r="Q392" s="377"/>
      <c r="R392" s="377"/>
      <c r="S392" s="377"/>
      <c r="U392" s="377"/>
      <c r="V392" s="377"/>
      <c r="W392" s="377"/>
      <c r="X392" s="377"/>
      <c r="Z392" s="77"/>
      <c r="AA392" s="377"/>
      <c r="AB392" s="377"/>
      <c r="AC392" s="377"/>
      <c r="AE392" s="77"/>
      <c r="AF392" s="377"/>
      <c r="AG392" s="377"/>
      <c r="AH392" s="377"/>
      <c r="AJ392" s="77"/>
      <c r="AK392" s="77"/>
      <c r="AL392" s="77"/>
      <c r="AM392" s="77"/>
      <c r="AN392" s="77"/>
    </row>
    <row r="393" spans="12:40">
      <c r="L393" s="377"/>
      <c r="M393" s="377"/>
      <c r="N393" s="377"/>
      <c r="P393" s="377"/>
      <c r="Q393" s="377"/>
      <c r="R393" s="377"/>
      <c r="S393" s="377"/>
      <c r="U393" s="377"/>
      <c r="V393" s="377"/>
      <c r="W393" s="377"/>
      <c r="X393" s="377"/>
      <c r="Z393" s="77"/>
      <c r="AA393" s="377"/>
      <c r="AB393" s="377"/>
      <c r="AC393" s="377"/>
      <c r="AE393" s="77"/>
      <c r="AF393" s="377"/>
      <c r="AG393" s="377"/>
      <c r="AH393" s="377"/>
      <c r="AJ393" s="77"/>
      <c r="AK393" s="77"/>
      <c r="AL393" s="77"/>
      <c r="AM393" s="77"/>
      <c r="AN393" s="77"/>
    </row>
    <row r="394" spans="12:40">
      <c r="L394" s="377"/>
      <c r="M394" s="377"/>
      <c r="N394" s="377"/>
      <c r="P394" s="377"/>
      <c r="Q394" s="377"/>
      <c r="R394" s="377"/>
      <c r="S394" s="377"/>
      <c r="U394" s="377"/>
      <c r="V394" s="377"/>
      <c r="W394" s="377"/>
      <c r="X394" s="377"/>
      <c r="Z394" s="77"/>
      <c r="AA394" s="377"/>
      <c r="AB394" s="377"/>
      <c r="AC394" s="377"/>
      <c r="AE394" s="77"/>
      <c r="AF394" s="377"/>
      <c r="AG394" s="377"/>
      <c r="AH394" s="377"/>
      <c r="AJ394" s="77"/>
      <c r="AK394" s="77"/>
      <c r="AL394" s="77"/>
      <c r="AM394" s="77"/>
      <c r="AN394" s="77"/>
    </row>
    <row r="395" spans="12:40">
      <c r="L395" s="377"/>
      <c r="M395" s="377"/>
      <c r="N395" s="377"/>
      <c r="P395" s="377"/>
      <c r="Q395" s="377"/>
      <c r="R395" s="377"/>
      <c r="S395" s="377"/>
      <c r="U395" s="377"/>
      <c r="V395" s="377"/>
      <c r="W395" s="377"/>
      <c r="X395" s="377"/>
      <c r="Z395" s="77"/>
      <c r="AA395" s="377"/>
      <c r="AB395" s="377"/>
      <c r="AC395" s="377"/>
      <c r="AE395" s="77"/>
      <c r="AF395" s="377"/>
      <c r="AG395" s="377"/>
      <c r="AH395" s="377"/>
      <c r="AJ395" s="77"/>
      <c r="AK395" s="77"/>
      <c r="AL395" s="77"/>
      <c r="AM395" s="77"/>
      <c r="AN395" s="77"/>
    </row>
    <row r="396" spans="12:40">
      <c r="L396" s="377"/>
      <c r="M396" s="377"/>
      <c r="N396" s="377"/>
      <c r="P396" s="377"/>
      <c r="Q396" s="377"/>
      <c r="R396" s="377"/>
      <c r="S396" s="377"/>
      <c r="U396" s="377"/>
      <c r="V396" s="377"/>
      <c r="W396" s="377"/>
      <c r="X396" s="377"/>
      <c r="Z396" s="77"/>
      <c r="AA396" s="377"/>
      <c r="AB396" s="377"/>
      <c r="AC396" s="377"/>
      <c r="AE396" s="77"/>
      <c r="AF396" s="377"/>
      <c r="AG396" s="377"/>
      <c r="AH396" s="377"/>
      <c r="AJ396" s="77"/>
      <c r="AK396" s="77"/>
      <c r="AL396" s="77"/>
      <c r="AM396" s="77"/>
      <c r="AN396" s="77"/>
    </row>
    <row r="397" spans="12:40">
      <c r="L397" s="377"/>
      <c r="M397" s="377"/>
      <c r="N397" s="377"/>
      <c r="P397" s="377"/>
      <c r="Q397" s="377"/>
      <c r="R397" s="377"/>
      <c r="S397" s="377"/>
      <c r="U397" s="377"/>
      <c r="V397" s="377"/>
      <c r="W397" s="377"/>
      <c r="X397" s="377"/>
      <c r="Z397" s="77"/>
      <c r="AA397" s="377"/>
      <c r="AB397" s="377"/>
      <c r="AC397" s="377"/>
      <c r="AE397" s="77"/>
      <c r="AF397" s="377"/>
      <c r="AG397" s="377"/>
      <c r="AH397" s="377"/>
      <c r="AJ397" s="77"/>
      <c r="AK397" s="77"/>
      <c r="AL397" s="77"/>
      <c r="AM397" s="77"/>
      <c r="AN397" s="77"/>
    </row>
    <row r="398" spans="12:40">
      <c r="L398" s="377"/>
      <c r="M398" s="377"/>
      <c r="N398" s="377"/>
      <c r="P398" s="377"/>
      <c r="Q398" s="377"/>
      <c r="R398" s="377"/>
      <c r="S398" s="377"/>
      <c r="U398" s="377"/>
      <c r="V398" s="377"/>
      <c r="W398" s="377"/>
      <c r="X398" s="377"/>
      <c r="Z398" s="77"/>
      <c r="AA398" s="377"/>
      <c r="AB398" s="377"/>
      <c r="AC398" s="377"/>
      <c r="AE398" s="77"/>
      <c r="AF398" s="377"/>
      <c r="AG398" s="377"/>
      <c r="AH398" s="377"/>
      <c r="AJ398" s="77"/>
      <c r="AK398" s="77"/>
      <c r="AL398" s="77"/>
      <c r="AM398" s="77"/>
      <c r="AN398" s="77"/>
    </row>
    <row r="399" spans="12:40">
      <c r="L399" s="377"/>
      <c r="M399" s="377"/>
      <c r="N399" s="377"/>
      <c r="P399" s="377"/>
      <c r="Q399" s="377"/>
      <c r="R399" s="377"/>
      <c r="S399" s="377"/>
      <c r="U399" s="377"/>
      <c r="V399" s="377"/>
      <c r="W399" s="377"/>
      <c r="X399" s="377"/>
      <c r="Z399" s="77"/>
      <c r="AA399" s="377"/>
      <c r="AB399" s="377"/>
      <c r="AC399" s="377"/>
      <c r="AE399" s="77"/>
      <c r="AF399" s="377"/>
      <c r="AG399" s="377"/>
      <c r="AH399" s="377"/>
      <c r="AJ399" s="77"/>
      <c r="AK399" s="77"/>
      <c r="AL399" s="77"/>
      <c r="AM399" s="77"/>
      <c r="AN399" s="77"/>
    </row>
    <row r="400" spans="12:40">
      <c r="L400" s="377"/>
      <c r="M400" s="377"/>
      <c r="N400" s="377"/>
      <c r="P400" s="377"/>
      <c r="Q400" s="377"/>
      <c r="R400" s="377"/>
      <c r="S400" s="377"/>
      <c r="U400" s="377"/>
      <c r="V400" s="377"/>
      <c r="W400" s="377"/>
      <c r="X400" s="377"/>
      <c r="Z400" s="77"/>
      <c r="AA400" s="377"/>
      <c r="AB400" s="377"/>
      <c r="AC400" s="377"/>
      <c r="AE400" s="77"/>
      <c r="AF400" s="377"/>
      <c r="AG400" s="377"/>
      <c r="AH400" s="377"/>
      <c r="AJ400" s="77"/>
      <c r="AK400" s="77"/>
      <c r="AL400" s="77"/>
      <c r="AM400" s="77"/>
      <c r="AN400" s="77"/>
    </row>
    <row r="401" spans="12:40">
      <c r="L401" s="377"/>
      <c r="M401" s="377"/>
      <c r="N401" s="377"/>
      <c r="P401" s="377"/>
      <c r="Q401" s="377"/>
      <c r="R401" s="377"/>
      <c r="S401" s="377"/>
      <c r="U401" s="377"/>
      <c r="V401" s="377"/>
      <c r="W401" s="377"/>
      <c r="X401" s="377"/>
      <c r="Z401" s="77"/>
      <c r="AA401" s="377"/>
      <c r="AB401" s="377"/>
      <c r="AC401" s="377"/>
      <c r="AE401" s="77"/>
      <c r="AF401" s="377"/>
      <c r="AG401" s="377"/>
      <c r="AH401" s="377"/>
      <c r="AJ401" s="77"/>
      <c r="AK401" s="77"/>
      <c r="AL401" s="77"/>
      <c r="AM401" s="77"/>
      <c r="AN401" s="77"/>
    </row>
    <row r="402" spans="12:40">
      <c r="L402" s="377"/>
      <c r="M402" s="377"/>
      <c r="N402" s="377"/>
      <c r="P402" s="377"/>
      <c r="Q402" s="377"/>
      <c r="R402" s="377"/>
      <c r="S402" s="377"/>
      <c r="U402" s="377"/>
      <c r="V402" s="377"/>
      <c r="W402" s="377"/>
      <c r="X402" s="377"/>
      <c r="Z402" s="77"/>
      <c r="AA402" s="377"/>
      <c r="AB402" s="377"/>
      <c r="AC402" s="377"/>
      <c r="AE402" s="77"/>
      <c r="AF402" s="377"/>
      <c r="AG402" s="377"/>
      <c r="AH402" s="377"/>
      <c r="AJ402" s="77"/>
      <c r="AK402" s="77"/>
      <c r="AL402" s="77"/>
      <c r="AM402" s="77"/>
      <c r="AN402" s="77"/>
    </row>
    <row r="403" spans="12:40">
      <c r="L403" s="377"/>
      <c r="M403" s="377"/>
      <c r="N403" s="377"/>
      <c r="P403" s="377"/>
      <c r="Q403" s="377"/>
      <c r="R403" s="377"/>
      <c r="S403" s="377"/>
      <c r="U403" s="377"/>
      <c r="V403" s="377"/>
      <c r="W403" s="377"/>
      <c r="X403" s="377"/>
      <c r="Z403" s="77"/>
      <c r="AA403" s="377"/>
      <c r="AB403" s="377"/>
      <c r="AC403" s="377"/>
      <c r="AE403" s="77"/>
      <c r="AF403" s="377"/>
      <c r="AG403" s="377"/>
      <c r="AH403" s="377"/>
      <c r="AJ403" s="77"/>
      <c r="AK403" s="77"/>
      <c r="AL403" s="77"/>
      <c r="AM403" s="77"/>
      <c r="AN403" s="77"/>
    </row>
    <row r="404" spans="12:40">
      <c r="L404" s="377"/>
      <c r="M404" s="377"/>
      <c r="N404" s="377"/>
      <c r="P404" s="377"/>
      <c r="Q404" s="377"/>
      <c r="R404" s="377"/>
      <c r="S404" s="377"/>
      <c r="U404" s="377"/>
      <c r="V404" s="377"/>
      <c r="W404" s="377"/>
      <c r="X404" s="377"/>
      <c r="Z404" s="77"/>
      <c r="AA404" s="377"/>
      <c r="AB404" s="377"/>
      <c r="AC404" s="377"/>
      <c r="AE404" s="77"/>
      <c r="AF404" s="377"/>
      <c r="AG404" s="377"/>
      <c r="AH404" s="377"/>
      <c r="AJ404" s="77"/>
      <c r="AK404" s="77"/>
      <c r="AL404" s="77"/>
      <c r="AM404" s="77"/>
      <c r="AN404" s="77"/>
    </row>
    <row r="405" spans="12:40">
      <c r="L405" s="377"/>
      <c r="M405" s="377"/>
      <c r="N405" s="377"/>
      <c r="P405" s="377"/>
      <c r="Q405" s="377"/>
      <c r="R405" s="377"/>
      <c r="S405" s="377"/>
      <c r="U405" s="377"/>
      <c r="V405" s="377"/>
      <c r="W405" s="377"/>
      <c r="X405" s="377"/>
      <c r="Z405" s="77"/>
      <c r="AA405" s="377"/>
      <c r="AB405" s="377"/>
      <c r="AC405" s="377"/>
      <c r="AE405" s="77"/>
      <c r="AF405" s="377"/>
      <c r="AG405" s="377"/>
      <c r="AH405" s="377"/>
      <c r="AJ405" s="77"/>
      <c r="AK405" s="77"/>
      <c r="AL405" s="77"/>
      <c r="AM405" s="77"/>
      <c r="AN405" s="77"/>
    </row>
    <row r="406" spans="12:40">
      <c r="L406" s="377"/>
      <c r="M406" s="377"/>
      <c r="N406" s="377"/>
      <c r="P406" s="377"/>
      <c r="Q406" s="377"/>
      <c r="R406" s="377"/>
      <c r="S406" s="377"/>
      <c r="U406" s="377"/>
      <c r="V406" s="377"/>
      <c r="W406" s="377"/>
      <c r="X406" s="377"/>
      <c r="Z406" s="77"/>
      <c r="AA406" s="377"/>
      <c r="AB406" s="377"/>
      <c r="AC406" s="377"/>
      <c r="AE406" s="77"/>
      <c r="AF406" s="377"/>
      <c r="AG406" s="377"/>
      <c r="AH406" s="377"/>
      <c r="AJ406" s="77"/>
      <c r="AK406" s="77"/>
      <c r="AL406" s="77"/>
      <c r="AM406" s="77"/>
      <c r="AN406" s="77"/>
    </row>
    <row r="407" spans="12:40">
      <c r="L407" s="377"/>
      <c r="M407" s="377"/>
      <c r="N407" s="377"/>
      <c r="P407" s="377"/>
      <c r="Q407" s="377"/>
      <c r="R407" s="377"/>
      <c r="S407" s="377"/>
      <c r="U407" s="377"/>
      <c r="V407" s="377"/>
      <c r="W407" s="377"/>
      <c r="X407" s="377"/>
      <c r="Z407" s="77"/>
      <c r="AA407" s="377"/>
      <c r="AB407" s="377"/>
      <c r="AC407" s="377"/>
      <c r="AE407" s="77"/>
      <c r="AF407" s="377"/>
      <c r="AG407" s="377"/>
      <c r="AH407" s="377"/>
      <c r="AJ407" s="77"/>
      <c r="AK407" s="77"/>
      <c r="AL407" s="77"/>
      <c r="AM407" s="77"/>
      <c r="AN407" s="77"/>
    </row>
    <row r="408" spans="12:40">
      <c r="L408" s="377"/>
      <c r="M408" s="377"/>
      <c r="N408" s="377"/>
      <c r="P408" s="377"/>
      <c r="Q408" s="377"/>
      <c r="R408" s="377"/>
      <c r="S408" s="377"/>
      <c r="U408" s="377"/>
      <c r="V408" s="377"/>
      <c r="W408" s="377"/>
      <c r="X408" s="377"/>
      <c r="Z408" s="77"/>
      <c r="AA408" s="377"/>
      <c r="AB408" s="377"/>
      <c r="AC408" s="377"/>
      <c r="AE408" s="77"/>
      <c r="AF408" s="377"/>
      <c r="AG408" s="377"/>
      <c r="AH408" s="377"/>
      <c r="AJ408" s="77"/>
      <c r="AK408" s="77"/>
      <c r="AL408" s="77"/>
      <c r="AM408" s="77"/>
      <c r="AN408" s="77"/>
    </row>
    <row r="409" spans="12:40">
      <c r="L409" s="377"/>
      <c r="M409" s="377"/>
      <c r="N409" s="377"/>
      <c r="P409" s="377"/>
      <c r="Q409" s="377"/>
      <c r="R409" s="377"/>
      <c r="S409" s="377"/>
      <c r="U409" s="377"/>
      <c r="V409" s="377"/>
      <c r="W409" s="377"/>
      <c r="X409" s="377"/>
      <c r="Z409" s="77"/>
      <c r="AA409" s="377"/>
      <c r="AB409" s="377"/>
      <c r="AC409" s="377"/>
      <c r="AE409" s="77"/>
      <c r="AF409" s="377"/>
      <c r="AG409" s="377"/>
      <c r="AH409" s="377"/>
      <c r="AJ409" s="77"/>
      <c r="AK409" s="77"/>
      <c r="AL409" s="77"/>
      <c r="AM409" s="77"/>
      <c r="AN409" s="77"/>
    </row>
    <row r="410" spans="12:40">
      <c r="L410" s="377"/>
      <c r="M410" s="377"/>
      <c r="N410" s="377"/>
      <c r="P410" s="377"/>
      <c r="Q410" s="377"/>
      <c r="R410" s="377"/>
      <c r="S410" s="377"/>
      <c r="U410" s="377"/>
      <c r="V410" s="377"/>
      <c r="W410" s="377"/>
      <c r="X410" s="377"/>
      <c r="Z410" s="77"/>
      <c r="AA410" s="377"/>
      <c r="AB410" s="377"/>
      <c r="AC410" s="377"/>
      <c r="AE410" s="77"/>
      <c r="AF410" s="377"/>
      <c r="AG410" s="377"/>
      <c r="AH410" s="377"/>
      <c r="AJ410" s="77"/>
      <c r="AK410" s="77"/>
      <c r="AL410" s="77"/>
      <c r="AM410" s="77"/>
      <c r="AN410" s="77"/>
    </row>
    <row r="411" spans="12:40">
      <c r="L411" s="377"/>
      <c r="M411" s="377"/>
      <c r="N411" s="377"/>
      <c r="P411" s="377"/>
      <c r="Q411" s="377"/>
      <c r="R411" s="377"/>
      <c r="S411" s="377"/>
      <c r="U411" s="377"/>
      <c r="V411" s="377"/>
      <c r="W411" s="377"/>
      <c r="X411" s="377"/>
      <c r="Z411" s="77"/>
      <c r="AA411" s="377"/>
      <c r="AB411" s="377"/>
      <c r="AC411" s="377"/>
      <c r="AE411" s="77"/>
      <c r="AF411" s="377"/>
      <c r="AG411" s="377"/>
      <c r="AH411" s="377"/>
      <c r="AJ411" s="77"/>
      <c r="AK411" s="77"/>
      <c r="AL411" s="77"/>
      <c r="AM411" s="77"/>
      <c r="AN411" s="77"/>
    </row>
    <row r="412" spans="12:40">
      <c r="L412" s="377"/>
      <c r="M412" s="377"/>
      <c r="N412" s="377"/>
      <c r="P412" s="377"/>
      <c r="Q412" s="377"/>
      <c r="R412" s="377"/>
      <c r="S412" s="377"/>
      <c r="U412" s="377"/>
      <c r="V412" s="377"/>
      <c r="W412" s="377"/>
      <c r="X412" s="377"/>
      <c r="Z412" s="77"/>
      <c r="AA412" s="377"/>
      <c r="AB412" s="377"/>
      <c r="AC412" s="377"/>
      <c r="AE412" s="77"/>
      <c r="AF412" s="377"/>
      <c r="AG412" s="377"/>
      <c r="AH412" s="377"/>
      <c r="AJ412" s="77"/>
      <c r="AK412" s="77"/>
      <c r="AL412" s="77"/>
      <c r="AM412" s="77"/>
      <c r="AN412" s="77"/>
    </row>
    <row r="413" spans="12:40">
      <c r="L413" s="377"/>
      <c r="M413" s="377"/>
      <c r="N413" s="377"/>
      <c r="P413" s="377"/>
      <c r="Q413" s="377"/>
      <c r="R413" s="377"/>
      <c r="S413" s="377"/>
      <c r="U413" s="377"/>
      <c r="V413" s="377"/>
      <c r="W413" s="377"/>
      <c r="X413" s="377"/>
      <c r="Z413" s="77"/>
      <c r="AA413" s="377"/>
      <c r="AB413" s="377"/>
      <c r="AC413" s="377"/>
      <c r="AE413" s="77"/>
      <c r="AF413" s="377"/>
      <c r="AG413" s="377"/>
      <c r="AH413" s="377"/>
      <c r="AJ413" s="77"/>
      <c r="AK413" s="77"/>
      <c r="AL413" s="77"/>
      <c r="AM413" s="77"/>
      <c r="AN413" s="77"/>
    </row>
    <row r="414" spans="12:40">
      <c r="L414" s="377"/>
      <c r="M414" s="377"/>
      <c r="N414" s="377"/>
      <c r="P414" s="377"/>
      <c r="Q414" s="377"/>
      <c r="R414" s="377"/>
      <c r="S414" s="377"/>
      <c r="U414" s="377"/>
      <c r="V414" s="377"/>
      <c r="W414" s="377"/>
      <c r="X414" s="377"/>
      <c r="Z414" s="77"/>
      <c r="AA414" s="377"/>
      <c r="AB414" s="377"/>
      <c r="AC414" s="377"/>
      <c r="AE414" s="77"/>
      <c r="AF414" s="377"/>
      <c r="AG414" s="377"/>
      <c r="AH414" s="377"/>
      <c r="AJ414" s="77"/>
      <c r="AK414" s="77"/>
      <c r="AL414" s="77"/>
      <c r="AM414" s="77"/>
      <c r="AN414" s="77"/>
    </row>
    <row r="415" spans="12:40">
      <c r="L415" s="377"/>
      <c r="M415" s="377"/>
      <c r="N415" s="377"/>
      <c r="P415" s="377"/>
      <c r="Q415" s="377"/>
      <c r="R415" s="377"/>
      <c r="S415" s="377"/>
      <c r="U415" s="377"/>
      <c r="V415" s="377"/>
      <c r="W415" s="377"/>
      <c r="X415" s="377"/>
      <c r="Z415" s="77"/>
      <c r="AA415" s="377"/>
      <c r="AB415" s="377"/>
      <c r="AC415" s="377"/>
      <c r="AE415" s="77"/>
      <c r="AF415" s="377"/>
      <c r="AG415" s="377"/>
      <c r="AH415" s="377"/>
      <c r="AJ415" s="77"/>
      <c r="AK415" s="77"/>
      <c r="AL415" s="77"/>
      <c r="AM415" s="77"/>
      <c r="AN415" s="77"/>
    </row>
    <row r="416" spans="12:40">
      <c r="L416" s="377"/>
      <c r="M416" s="377"/>
      <c r="N416" s="377"/>
      <c r="P416" s="377"/>
      <c r="Q416" s="377"/>
      <c r="R416" s="377"/>
      <c r="S416" s="377"/>
      <c r="U416" s="377"/>
      <c r="V416" s="377"/>
      <c r="W416" s="377"/>
      <c r="X416" s="377"/>
      <c r="Z416" s="77"/>
      <c r="AA416" s="377"/>
      <c r="AB416" s="377"/>
      <c r="AC416" s="377"/>
      <c r="AE416" s="77"/>
      <c r="AF416" s="377"/>
      <c r="AG416" s="377"/>
      <c r="AH416" s="377"/>
      <c r="AJ416" s="77"/>
      <c r="AK416" s="77"/>
      <c r="AL416" s="77"/>
      <c r="AM416" s="77"/>
      <c r="AN416" s="77"/>
    </row>
    <row r="417" spans="12:40">
      <c r="L417" s="377"/>
      <c r="M417" s="377"/>
      <c r="N417" s="377"/>
      <c r="P417" s="377"/>
      <c r="Q417" s="377"/>
      <c r="R417" s="377"/>
      <c r="S417" s="377"/>
      <c r="U417" s="377"/>
      <c r="V417" s="377"/>
      <c r="W417" s="377"/>
      <c r="X417" s="377"/>
      <c r="Z417" s="77"/>
      <c r="AA417" s="377"/>
      <c r="AB417" s="377"/>
      <c r="AC417" s="377"/>
      <c r="AE417" s="77"/>
      <c r="AF417" s="377"/>
      <c r="AG417" s="377"/>
      <c r="AH417" s="377"/>
      <c r="AJ417" s="77"/>
      <c r="AK417" s="77"/>
      <c r="AL417" s="77"/>
      <c r="AM417" s="77"/>
      <c r="AN417" s="77"/>
    </row>
    <row r="418" spans="12:40">
      <c r="L418" s="377"/>
      <c r="M418" s="377"/>
      <c r="N418" s="377"/>
      <c r="P418" s="377"/>
      <c r="Q418" s="377"/>
      <c r="R418" s="377"/>
      <c r="S418" s="377"/>
      <c r="U418" s="377"/>
      <c r="V418" s="377"/>
      <c r="W418" s="377"/>
      <c r="X418" s="377"/>
      <c r="Z418" s="77"/>
      <c r="AA418" s="377"/>
      <c r="AB418" s="377"/>
      <c r="AC418" s="377"/>
      <c r="AE418" s="77"/>
      <c r="AF418" s="377"/>
      <c r="AG418" s="377"/>
      <c r="AH418" s="377"/>
      <c r="AJ418" s="77"/>
      <c r="AK418" s="77"/>
      <c r="AL418" s="77"/>
      <c r="AM418" s="77"/>
      <c r="AN418" s="77"/>
    </row>
    <row r="419" spans="12:40">
      <c r="L419" s="377"/>
      <c r="M419" s="377"/>
      <c r="N419" s="377"/>
      <c r="P419" s="377"/>
      <c r="Q419" s="377"/>
      <c r="R419" s="377"/>
      <c r="S419" s="377"/>
      <c r="U419" s="377"/>
      <c r="V419" s="377"/>
      <c r="W419" s="377"/>
      <c r="X419" s="377"/>
      <c r="Z419" s="77"/>
      <c r="AA419" s="377"/>
      <c r="AB419" s="377"/>
      <c r="AC419" s="377"/>
      <c r="AE419" s="77"/>
      <c r="AF419" s="377"/>
      <c r="AG419" s="377"/>
      <c r="AH419" s="377"/>
      <c r="AJ419" s="77"/>
      <c r="AK419" s="77"/>
      <c r="AL419" s="77"/>
      <c r="AM419" s="77"/>
      <c r="AN419" s="77"/>
    </row>
    <row r="420" spans="12:40">
      <c r="L420" s="377"/>
      <c r="M420" s="377"/>
      <c r="N420" s="377"/>
      <c r="P420" s="377"/>
      <c r="Q420" s="377"/>
      <c r="R420" s="377"/>
      <c r="S420" s="377"/>
      <c r="U420" s="377"/>
      <c r="V420" s="377"/>
      <c r="W420" s="377"/>
      <c r="X420" s="377"/>
      <c r="Z420" s="77"/>
      <c r="AA420" s="377"/>
      <c r="AB420" s="377"/>
      <c r="AC420" s="377"/>
      <c r="AE420" s="77"/>
      <c r="AF420" s="377"/>
      <c r="AG420" s="377"/>
      <c r="AH420" s="377"/>
      <c r="AJ420" s="77"/>
      <c r="AK420" s="77"/>
      <c r="AL420" s="77"/>
      <c r="AM420" s="77"/>
      <c r="AN420" s="77"/>
    </row>
    <row r="421" spans="12:40">
      <c r="L421" s="377"/>
      <c r="M421" s="377"/>
      <c r="N421" s="377"/>
      <c r="P421" s="377"/>
      <c r="Q421" s="377"/>
      <c r="R421" s="377"/>
      <c r="S421" s="377"/>
      <c r="U421" s="377"/>
      <c r="V421" s="377"/>
      <c r="W421" s="377"/>
      <c r="X421" s="377"/>
      <c r="Z421" s="77"/>
      <c r="AA421" s="377"/>
      <c r="AB421" s="377"/>
      <c r="AC421" s="377"/>
      <c r="AE421" s="77"/>
      <c r="AF421" s="377"/>
      <c r="AG421" s="377"/>
      <c r="AH421" s="377"/>
      <c r="AJ421" s="77"/>
      <c r="AK421" s="77"/>
      <c r="AL421" s="77"/>
      <c r="AM421" s="77"/>
      <c r="AN421" s="77"/>
    </row>
    <row r="422" spans="12:40">
      <c r="L422" s="377"/>
      <c r="M422" s="377"/>
      <c r="N422" s="377"/>
      <c r="P422" s="377"/>
      <c r="Q422" s="377"/>
      <c r="R422" s="377"/>
      <c r="S422" s="377"/>
      <c r="U422" s="377"/>
      <c r="V422" s="377"/>
      <c r="W422" s="377"/>
      <c r="X422" s="377"/>
      <c r="Z422" s="77"/>
      <c r="AA422" s="377"/>
      <c r="AB422" s="377"/>
      <c r="AC422" s="377"/>
      <c r="AE422" s="77"/>
      <c r="AF422" s="377"/>
      <c r="AG422" s="377"/>
      <c r="AH422" s="377"/>
      <c r="AJ422" s="77"/>
      <c r="AK422" s="77"/>
      <c r="AL422" s="77"/>
      <c r="AM422" s="77"/>
      <c r="AN422" s="77"/>
    </row>
    <row r="423" spans="12:40">
      <c r="L423" s="377"/>
      <c r="M423" s="377"/>
      <c r="N423" s="377"/>
      <c r="P423" s="377"/>
      <c r="Q423" s="377"/>
      <c r="R423" s="377"/>
      <c r="S423" s="377"/>
      <c r="U423" s="377"/>
      <c r="V423" s="377"/>
      <c r="W423" s="377"/>
      <c r="X423" s="377"/>
      <c r="Z423" s="77"/>
      <c r="AA423" s="377"/>
      <c r="AB423" s="377"/>
      <c r="AC423" s="377"/>
      <c r="AE423" s="77"/>
      <c r="AF423" s="377"/>
      <c r="AG423" s="377"/>
      <c r="AH423" s="377"/>
      <c r="AJ423" s="77"/>
      <c r="AK423" s="77"/>
      <c r="AL423" s="77"/>
      <c r="AM423" s="77"/>
      <c r="AN423" s="77"/>
    </row>
    <row r="424" spans="12:40">
      <c r="L424" s="377"/>
      <c r="M424" s="377"/>
      <c r="N424" s="377"/>
      <c r="P424" s="377"/>
      <c r="Q424" s="377"/>
      <c r="R424" s="377"/>
      <c r="S424" s="377"/>
      <c r="U424" s="377"/>
      <c r="V424" s="377"/>
      <c r="W424" s="377"/>
      <c r="X424" s="377"/>
      <c r="Z424" s="77"/>
      <c r="AA424" s="377"/>
      <c r="AB424" s="377"/>
      <c r="AC424" s="377"/>
      <c r="AE424" s="77"/>
      <c r="AF424" s="377"/>
      <c r="AG424" s="377"/>
      <c r="AH424" s="377"/>
      <c r="AJ424" s="77"/>
      <c r="AK424" s="77"/>
      <c r="AL424" s="77"/>
      <c r="AM424" s="77"/>
      <c r="AN424" s="77"/>
    </row>
    <row r="425" spans="12:40">
      <c r="L425" s="377"/>
      <c r="M425" s="377"/>
      <c r="N425" s="377"/>
      <c r="P425" s="377"/>
      <c r="Q425" s="377"/>
      <c r="R425" s="377"/>
      <c r="S425" s="377"/>
      <c r="U425" s="377"/>
      <c r="V425" s="377"/>
      <c r="W425" s="377"/>
      <c r="X425" s="377"/>
      <c r="Z425" s="77"/>
      <c r="AA425" s="377"/>
      <c r="AB425" s="377"/>
      <c r="AC425" s="377"/>
      <c r="AE425" s="77"/>
      <c r="AF425" s="377"/>
      <c r="AG425" s="377"/>
      <c r="AH425" s="377"/>
      <c r="AJ425" s="77"/>
      <c r="AK425" s="77"/>
      <c r="AL425" s="77"/>
      <c r="AM425" s="77"/>
      <c r="AN425" s="77"/>
    </row>
    <row r="426" spans="12:40">
      <c r="L426" s="377"/>
      <c r="M426" s="377"/>
      <c r="N426" s="377"/>
      <c r="P426" s="377"/>
      <c r="Q426" s="377"/>
      <c r="R426" s="377"/>
      <c r="S426" s="377"/>
      <c r="U426" s="377"/>
      <c r="V426" s="377"/>
      <c r="W426" s="377"/>
      <c r="X426" s="377"/>
      <c r="Z426" s="77"/>
      <c r="AA426" s="377"/>
      <c r="AB426" s="377"/>
      <c r="AC426" s="377"/>
      <c r="AE426" s="77"/>
      <c r="AF426" s="377"/>
      <c r="AG426" s="377"/>
      <c r="AH426" s="377"/>
      <c r="AJ426" s="77"/>
      <c r="AK426" s="77"/>
      <c r="AL426" s="77"/>
      <c r="AM426" s="77"/>
      <c r="AN426" s="77"/>
    </row>
    <row r="427" spans="12:40">
      <c r="L427" s="377"/>
      <c r="M427" s="377"/>
      <c r="N427" s="377"/>
      <c r="P427" s="377"/>
      <c r="Q427" s="377"/>
      <c r="R427" s="377"/>
      <c r="S427" s="377"/>
      <c r="U427" s="377"/>
      <c r="V427" s="377"/>
      <c r="W427" s="377"/>
      <c r="X427" s="377"/>
      <c r="Z427" s="77"/>
      <c r="AA427" s="377"/>
      <c r="AB427" s="377"/>
      <c r="AC427" s="377"/>
      <c r="AE427" s="77"/>
      <c r="AF427" s="377"/>
      <c r="AG427" s="377"/>
      <c r="AH427" s="377"/>
      <c r="AJ427" s="77"/>
      <c r="AK427" s="77"/>
      <c r="AL427" s="77"/>
      <c r="AM427" s="77"/>
      <c r="AN427" s="77"/>
    </row>
    <row r="428" spans="12:40">
      <c r="L428" s="377"/>
      <c r="M428" s="377"/>
      <c r="N428" s="377"/>
      <c r="P428" s="377"/>
      <c r="Q428" s="377"/>
      <c r="R428" s="377"/>
      <c r="S428" s="377"/>
      <c r="U428" s="377"/>
      <c r="V428" s="377"/>
      <c r="W428" s="377"/>
      <c r="X428" s="377"/>
      <c r="Z428" s="77"/>
      <c r="AA428" s="377"/>
      <c r="AB428" s="377"/>
      <c r="AC428" s="377"/>
      <c r="AE428" s="77"/>
      <c r="AF428" s="377"/>
      <c r="AG428" s="377"/>
      <c r="AH428" s="377"/>
      <c r="AJ428" s="77"/>
      <c r="AK428" s="77"/>
      <c r="AL428" s="77"/>
      <c r="AM428" s="77"/>
      <c r="AN428" s="77"/>
    </row>
    <row r="429" spans="12:40">
      <c r="L429" s="377"/>
      <c r="M429" s="377"/>
      <c r="N429" s="377"/>
      <c r="P429" s="377"/>
      <c r="Q429" s="377"/>
      <c r="R429" s="377"/>
      <c r="S429" s="377"/>
      <c r="U429" s="377"/>
      <c r="V429" s="377"/>
      <c r="W429" s="377"/>
      <c r="X429" s="377"/>
      <c r="Z429" s="77"/>
      <c r="AA429" s="377"/>
      <c r="AB429" s="377"/>
      <c r="AC429" s="377"/>
      <c r="AE429" s="77"/>
      <c r="AF429" s="377"/>
      <c r="AG429" s="377"/>
      <c r="AH429" s="377"/>
      <c r="AJ429" s="77"/>
      <c r="AK429" s="77"/>
      <c r="AL429" s="77"/>
      <c r="AM429" s="77"/>
      <c r="AN429" s="77"/>
    </row>
    <row r="430" spans="12:40">
      <c r="L430" s="377"/>
      <c r="M430" s="377"/>
      <c r="N430" s="377"/>
      <c r="P430" s="377"/>
      <c r="Q430" s="377"/>
      <c r="R430" s="377"/>
      <c r="S430" s="377"/>
      <c r="U430" s="377"/>
      <c r="V430" s="377"/>
      <c r="W430" s="377"/>
      <c r="X430" s="377"/>
      <c r="Z430" s="77"/>
      <c r="AA430" s="377"/>
      <c r="AB430" s="377"/>
      <c r="AC430" s="377"/>
      <c r="AE430" s="77"/>
      <c r="AF430" s="377"/>
      <c r="AG430" s="377"/>
      <c r="AH430" s="377"/>
      <c r="AJ430" s="77"/>
      <c r="AK430" s="77"/>
      <c r="AL430" s="77"/>
      <c r="AM430" s="77"/>
      <c r="AN430" s="77"/>
    </row>
    <row r="431" spans="12:40">
      <c r="L431" s="377"/>
      <c r="M431" s="377"/>
      <c r="N431" s="377"/>
      <c r="P431" s="377"/>
      <c r="Q431" s="377"/>
      <c r="R431" s="377"/>
      <c r="S431" s="377"/>
      <c r="U431" s="377"/>
      <c r="V431" s="377"/>
      <c r="W431" s="377"/>
      <c r="X431" s="377"/>
      <c r="Z431" s="77"/>
      <c r="AA431" s="377"/>
      <c r="AB431" s="377"/>
      <c r="AC431" s="377"/>
      <c r="AE431" s="77"/>
      <c r="AF431" s="377"/>
      <c r="AG431" s="377"/>
      <c r="AH431" s="377"/>
      <c r="AJ431" s="77"/>
      <c r="AK431" s="77"/>
      <c r="AL431" s="77"/>
      <c r="AM431" s="77"/>
      <c r="AN431" s="77"/>
    </row>
    <row r="432" spans="12:40">
      <c r="L432" s="377"/>
      <c r="M432" s="377"/>
      <c r="N432" s="377"/>
      <c r="P432" s="377"/>
      <c r="Q432" s="377"/>
      <c r="R432" s="377"/>
      <c r="S432" s="377"/>
      <c r="U432" s="377"/>
      <c r="V432" s="377"/>
      <c r="W432" s="377"/>
      <c r="X432" s="377"/>
      <c r="Z432" s="77"/>
      <c r="AA432" s="377"/>
      <c r="AB432" s="377"/>
      <c r="AC432" s="377"/>
      <c r="AE432" s="77"/>
      <c r="AF432" s="377"/>
      <c r="AG432" s="377"/>
      <c r="AH432" s="377"/>
      <c r="AJ432" s="77"/>
      <c r="AK432" s="77"/>
      <c r="AL432" s="77"/>
      <c r="AM432" s="77"/>
      <c r="AN432" s="77"/>
    </row>
    <row r="433" spans="12:40">
      <c r="L433" s="377"/>
      <c r="M433" s="377"/>
      <c r="N433" s="377"/>
      <c r="P433" s="377"/>
      <c r="Q433" s="377"/>
      <c r="R433" s="377"/>
      <c r="S433" s="377"/>
      <c r="U433" s="377"/>
      <c r="V433" s="377"/>
      <c r="W433" s="377"/>
      <c r="X433" s="377"/>
      <c r="Z433" s="77"/>
      <c r="AA433" s="377"/>
      <c r="AB433" s="377"/>
      <c r="AC433" s="377"/>
      <c r="AE433" s="77"/>
      <c r="AF433" s="377"/>
      <c r="AG433" s="377"/>
      <c r="AH433" s="377"/>
      <c r="AJ433" s="77"/>
      <c r="AK433" s="77"/>
      <c r="AL433" s="77"/>
      <c r="AM433" s="77"/>
      <c r="AN433" s="77"/>
    </row>
    <row r="434" spans="12:40">
      <c r="L434" s="377"/>
      <c r="M434" s="377"/>
      <c r="N434" s="377"/>
      <c r="P434" s="377"/>
      <c r="Q434" s="377"/>
      <c r="R434" s="377"/>
      <c r="S434" s="377"/>
      <c r="U434" s="377"/>
      <c r="V434" s="377"/>
      <c r="W434" s="377"/>
      <c r="X434" s="377"/>
      <c r="Z434" s="77"/>
      <c r="AA434" s="377"/>
      <c r="AB434" s="377"/>
      <c r="AC434" s="377"/>
      <c r="AE434" s="77"/>
      <c r="AF434" s="377"/>
      <c r="AG434" s="377"/>
      <c r="AH434" s="377"/>
      <c r="AJ434" s="77"/>
      <c r="AK434" s="77"/>
      <c r="AL434" s="77"/>
      <c r="AM434" s="77"/>
      <c r="AN434" s="77"/>
    </row>
    <row r="435" spans="12:40">
      <c r="L435" s="377"/>
      <c r="M435" s="377"/>
      <c r="N435" s="377"/>
      <c r="P435" s="377"/>
      <c r="Q435" s="377"/>
      <c r="R435" s="377"/>
      <c r="S435" s="377"/>
      <c r="U435" s="377"/>
      <c r="V435" s="377"/>
      <c r="W435" s="377"/>
      <c r="X435" s="377"/>
      <c r="Z435" s="77"/>
      <c r="AA435" s="377"/>
      <c r="AB435" s="377"/>
      <c r="AC435" s="377"/>
      <c r="AE435" s="77"/>
      <c r="AF435" s="377"/>
      <c r="AG435" s="377"/>
      <c r="AH435" s="377"/>
      <c r="AJ435" s="77"/>
      <c r="AK435" s="77"/>
      <c r="AL435" s="77"/>
      <c r="AM435" s="77"/>
      <c r="AN435" s="77"/>
    </row>
    <row r="436" spans="12:40">
      <c r="L436" s="377"/>
      <c r="M436" s="377"/>
      <c r="N436" s="377"/>
      <c r="P436" s="377"/>
      <c r="Q436" s="377"/>
      <c r="R436" s="377"/>
      <c r="S436" s="377"/>
      <c r="U436" s="377"/>
      <c r="V436" s="377"/>
      <c r="W436" s="377"/>
      <c r="X436" s="377"/>
      <c r="Z436" s="77"/>
      <c r="AA436" s="377"/>
      <c r="AB436" s="377"/>
      <c r="AC436" s="377"/>
      <c r="AE436" s="77"/>
      <c r="AF436" s="377"/>
      <c r="AG436" s="377"/>
      <c r="AH436" s="377"/>
      <c r="AJ436" s="77"/>
      <c r="AK436" s="77"/>
      <c r="AL436" s="77"/>
      <c r="AM436" s="77"/>
      <c r="AN436" s="77"/>
    </row>
    <row r="437" spans="12:40">
      <c r="L437" s="377"/>
      <c r="M437" s="377"/>
      <c r="N437" s="377"/>
      <c r="P437" s="377"/>
      <c r="Q437" s="377"/>
      <c r="R437" s="377"/>
      <c r="S437" s="377"/>
      <c r="U437" s="377"/>
      <c r="V437" s="377"/>
      <c r="W437" s="377"/>
      <c r="X437" s="377"/>
      <c r="Z437" s="77"/>
      <c r="AA437" s="377"/>
      <c r="AB437" s="377"/>
      <c r="AC437" s="377"/>
      <c r="AE437" s="77"/>
      <c r="AF437" s="377"/>
      <c r="AG437" s="377"/>
      <c r="AH437" s="377"/>
      <c r="AJ437" s="77"/>
      <c r="AK437" s="77"/>
      <c r="AL437" s="77"/>
      <c r="AM437" s="77"/>
      <c r="AN437" s="77"/>
    </row>
    <row r="438" spans="12:40">
      <c r="L438" s="377"/>
      <c r="M438" s="377"/>
      <c r="N438" s="377"/>
      <c r="P438" s="377"/>
      <c r="Q438" s="377"/>
      <c r="R438" s="377"/>
      <c r="S438" s="377"/>
      <c r="U438" s="377"/>
      <c r="V438" s="377"/>
      <c r="W438" s="377"/>
      <c r="X438" s="377"/>
      <c r="Z438" s="77"/>
      <c r="AA438" s="377"/>
      <c r="AB438" s="377"/>
      <c r="AC438" s="377"/>
      <c r="AE438" s="77"/>
      <c r="AF438" s="377"/>
      <c r="AG438" s="377"/>
      <c r="AH438" s="377"/>
      <c r="AJ438" s="77"/>
      <c r="AK438" s="77"/>
      <c r="AL438" s="77"/>
      <c r="AM438" s="77"/>
      <c r="AN438" s="77"/>
    </row>
    <row r="439" spans="12:40">
      <c r="L439" s="377"/>
      <c r="M439" s="377"/>
      <c r="N439" s="377"/>
      <c r="P439" s="377"/>
      <c r="Q439" s="377"/>
      <c r="R439" s="377"/>
      <c r="S439" s="377"/>
      <c r="U439" s="377"/>
      <c r="V439" s="377"/>
      <c r="W439" s="377"/>
      <c r="X439" s="377"/>
      <c r="Z439" s="77"/>
      <c r="AA439" s="377"/>
      <c r="AB439" s="377"/>
      <c r="AC439" s="377"/>
      <c r="AE439" s="77"/>
      <c r="AF439" s="377"/>
      <c r="AG439" s="377"/>
      <c r="AH439" s="377"/>
      <c r="AJ439" s="77"/>
      <c r="AK439" s="77"/>
      <c r="AL439" s="77"/>
      <c r="AM439" s="77"/>
      <c r="AN439" s="77"/>
    </row>
    <row r="440" spans="12:40">
      <c r="L440" s="377"/>
      <c r="M440" s="377"/>
      <c r="N440" s="377"/>
      <c r="P440" s="377"/>
      <c r="Q440" s="377"/>
      <c r="R440" s="377"/>
      <c r="S440" s="377"/>
      <c r="U440" s="377"/>
      <c r="V440" s="377"/>
      <c r="W440" s="377"/>
      <c r="X440" s="377"/>
      <c r="Z440" s="77"/>
      <c r="AA440" s="377"/>
      <c r="AB440" s="377"/>
      <c r="AC440" s="377"/>
      <c r="AE440" s="77"/>
      <c r="AF440" s="377"/>
      <c r="AG440" s="377"/>
      <c r="AH440" s="377"/>
      <c r="AJ440" s="77"/>
      <c r="AK440" s="77"/>
      <c r="AL440" s="77"/>
      <c r="AM440" s="77"/>
      <c r="AN440" s="77"/>
    </row>
    <row r="441" spans="12:40">
      <c r="L441" s="377"/>
      <c r="M441" s="377"/>
      <c r="N441" s="377"/>
      <c r="P441" s="377"/>
      <c r="Q441" s="377"/>
      <c r="R441" s="377"/>
      <c r="S441" s="377"/>
      <c r="U441" s="377"/>
      <c r="V441" s="377"/>
      <c r="W441" s="377"/>
      <c r="X441" s="377"/>
      <c r="Z441" s="77"/>
      <c r="AA441" s="377"/>
      <c r="AB441" s="377"/>
      <c r="AC441" s="377"/>
      <c r="AE441" s="77"/>
      <c r="AF441" s="377"/>
      <c r="AG441" s="377"/>
      <c r="AH441" s="377"/>
      <c r="AJ441" s="77"/>
      <c r="AK441" s="77"/>
      <c r="AL441" s="77"/>
      <c r="AM441" s="77"/>
      <c r="AN441" s="77"/>
    </row>
    <row r="442" spans="12:40">
      <c r="L442" s="377"/>
      <c r="M442" s="377"/>
      <c r="N442" s="377"/>
      <c r="P442" s="377"/>
      <c r="Q442" s="377"/>
      <c r="R442" s="377"/>
      <c r="S442" s="377"/>
      <c r="U442" s="377"/>
      <c r="V442" s="377"/>
      <c r="W442" s="377"/>
      <c r="X442" s="377"/>
      <c r="Z442" s="77"/>
      <c r="AA442" s="377"/>
      <c r="AB442" s="377"/>
      <c r="AC442" s="377"/>
      <c r="AE442" s="77"/>
      <c r="AF442" s="377"/>
      <c r="AG442" s="377"/>
      <c r="AH442" s="377"/>
      <c r="AJ442" s="77"/>
      <c r="AK442" s="77"/>
      <c r="AL442" s="77"/>
      <c r="AM442" s="77"/>
      <c r="AN442" s="77"/>
    </row>
    <row r="443" spans="12:40">
      <c r="L443" s="377"/>
      <c r="M443" s="377"/>
      <c r="N443" s="377"/>
      <c r="P443" s="377"/>
      <c r="Q443" s="377"/>
      <c r="R443" s="377"/>
      <c r="S443" s="377"/>
      <c r="U443" s="377"/>
      <c r="V443" s="377"/>
      <c r="W443" s="377"/>
      <c r="X443" s="377"/>
      <c r="Z443" s="77"/>
      <c r="AA443" s="377"/>
      <c r="AB443" s="377"/>
      <c r="AC443" s="377"/>
      <c r="AE443" s="77"/>
      <c r="AF443" s="377"/>
      <c r="AG443" s="377"/>
      <c r="AH443" s="377"/>
      <c r="AJ443" s="77"/>
      <c r="AK443" s="77"/>
      <c r="AL443" s="77"/>
      <c r="AM443" s="77"/>
      <c r="AN443" s="77"/>
    </row>
    <row r="444" spans="12:40">
      <c r="L444" s="377"/>
      <c r="M444" s="377"/>
      <c r="N444" s="377"/>
      <c r="P444" s="377"/>
      <c r="Q444" s="377"/>
      <c r="R444" s="377"/>
      <c r="S444" s="377"/>
      <c r="U444" s="377"/>
      <c r="V444" s="377"/>
      <c r="W444" s="377"/>
      <c r="X444" s="377"/>
      <c r="Z444" s="77"/>
      <c r="AA444" s="377"/>
      <c r="AB444" s="377"/>
      <c r="AC444" s="377"/>
      <c r="AE444" s="77"/>
      <c r="AF444" s="377"/>
      <c r="AG444" s="377"/>
      <c r="AH444" s="377"/>
      <c r="AJ444" s="77"/>
      <c r="AK444" s="77"/>
      <c r="AL444" s="77"/>
      <c r="AM444" s="77"/>
      <c r="AN444" s="77"/>
    </row>
    <row r="445" spans="12:40">
      <c r="L445" s="377"/>
      <c r="M445" s="377"/>
      <c r="N445" s="377"/>
      <c r="P445" s="377"/>
      <c r="Q445" s="377"/>
      <c r="R445" s="377"/>
      <c r="S445" s="377"/>
      <c r="U445" s="377"/>
      <c r="V445" s="377"/>
      <c r="W445" s="377"/>
      <c r="X445" s="377"/>
      <c r="Z445" s="77"/>
      <c r="AA445" s="377"/>
      <c r="AB445" s="377"/>
      <c r="AC445" s="377"/>
      <c r="AE445" s="77"/>
      <c r="AF445" s="377"/>
      <c r="AG445" s="377"/>
      <c r="AH445" s="377"/>
      <c r="AJ445" s="77"/>
      <c r="AK445" s="77"/>
      <c r="AL445" s="77"/>
      <c r="AM445" s="77"/>
      <c r="AN445" s="77"/>
    </row>
    <row r="446" spans="12:40">
      <c r="L446" s="377"/>
      <c r="M446" s="377"/>
      <c r="N446" s="377"/>
      <c r="P446" s="377"/>
      <c r="Q446" s="377"/>
      <c r="R446" s="377"/>
      <c r="S446" s="377"/>
      <c r="U446" s="377"/>
      <c r="V446" s="377"/>
      <c r="W446" s="377"/>
      <c r="X446" s="377"/>
      <c r="Z446" s="77"/>
      <c r="AA446" s="377"/>
      <c r="AB446" s="377"/>
      <c r="AC446" s="377"/>
      <c r="AE446" s="77"/>
      <c r="AF446" s="377"/>
      <c r="AG446" s="377"/>
      <c r="AH446" s="377"/>
      <c r="AJ446" s="77"/>
      <c r="AK446" s="77"/>
      <c r="AL446" s="77"/>
      <c r="AM446" s="77"/>
      <c r="AN446" s="77"/>
    </row>
    <row r="447" spans="12:40">
      <c r="L447" s="377"/>
      <c r="M447" s="377"/>
      <c r="N447" s="377"/>
      <c r="P447" s="377"/>
      <c r="Q447" s="377"/>
      <c r="R447" s="377"/>
      <c r="S447" s="377"/>
      <c r="U447" s="377"/>
      <c r="V447" s="377"/>
      <c r="W447" s="377"/>
      <c r="X447" s="377"/>
      <c r="Z447" s="77"/>
      <c r="AA447" s="377"/>
      <c r="AB447" s="377"/>
      <c r="AC447" s="377"/>
      <c r="AE447" s="77"/>
      <c r="AF447" s="377"/>
      <c r="AG447" s="377"/>
      <c r="AH447" s="377"/>
      <c r="AJ447" s="77"/>
      <c r="AK447" s="77"/>
      <c r="AL447" s="77"/>
      <c r="AM447" s="77"/>
      <c r="AN447" s="77"/>
    </row>
    <row r="448" spans="12:40">
      <c r="L448" s="377"/>
      <c r="M448" s="377"/>
      <c r="N448" s="377"/>
      <c r="P448" s="377"/>
      <c r="Q448" s="377"/>
      <c r="R448" s="377"/>
      <c r="S448" s="377"/>
      <c r="U448" s="377"/>
      <c r="V448" s="377"/>
      <c r="W448" s="377"/>
      <c r="X448" s="377"/>
      <c r="Z448" s="77"/>
      <c r="AA448" s="377"/>
      <c r="AB448" s="377"/>
      <c r="AC448" s="377"/>
      <c r="AE448" s="77"/>
      <c r="AF448" s="377"/>
      <c r="AG448" s="377"/>
      <c r="AH448" s="377"/>
      <c r="AJ448" s="77"/>
      <c r="AK448" s="77"/>
      <c r="AL448" s="77"/>
      <c r="AM448" s="77"/>
      <c r="AN448" s="77"/>
    </row>
    <row r="449" spans="12:40">
      <c r="L449" s="377"/>
      <c r="M449" s="377"/>
      <c r="N449" s="377"/>
      <c r="P449" s="377"/>
      <c r="Q449" s="377"/>
      <c r="R449" s="377"/>
      <c r="S449" s="377"/>
      <c r="U449" s="377"/>
      <c r="V449" s="377"/>
      <c r="W449" s="377"/>
      <c r="X449" s="377"/>
      <c r="Z449" s="77"/>
      <c r="AA449" s="377"/>
      <c r="AB449" s="377"/>
      <c r="AC449" s="377"/>
      <c r="AE449" s="77"/>
      <c r="AF449" s="377"/>
      <c r="AG449" s="377"/>
      <c r="AH449" s="377"/>
      <c r="AJ449" s="77"/>
      <c r="AK449" s="77"/>
      <c r="AL449" s="77"/>
      <c r="AM449" s="77"/>
      <c r="AN449" s="77"/>
    </row>
    <row r="450" spans="12:40">
      <c r="L450" s="377"/>
      <c r="M450" s="377"/>
      <c r="N450" s="377"/>
      <c r="P450" s="377"/>
      <c r="Q450" s="377"/>
      <c r="R450" s="377"/>
      <c r="S450" s="377"/>
      <c r="U450" s="377"/>
      <c r="V450" s="377"/>
      <c r="W450" s="377"/>
      <c r="X450" s="377"/>
      <c r="Z450" s="77"/>
      <c r="AA450" s="377"/>
      <c r="AB450" s="377"/>
      <c r="AC450" s="377"/>
      <c r="AE450" s="77"/>
      <c r="AF450" s="377"/>
      <c r="AG450" s="377"/>
      <c r="AH450" s="377"/>
      <c r="AJ450" s="77"/>
      <c r="AK450" s="77"/>
      <c r="AL450" s="77"/>
      <c r="AM450" s="77"/>
      <c r="AN450" s="77"/>
    </row>
    <row r="451" spans="12:40">
      <c r="L451" s="377"/>
      <c r="M451" s="377"/>
      <c r="N451" s="377"/>
      <c r="P451" s="377"/>
      <c r="Q451" s="377"/>
      <c r="R451" s="377"/>
      <c r="S451" s="377"/>
      <c r="U451" s="377"/>
      <c r="V451" s="377"/>
      <c r="W451" s="377"/>
      <c r="X451" s="377"/>
      <c r="Z451" s="77"/>
      <c r="AA451" s="377"/>
      <c r="AB451" s="377"/>
      <c r="AC451" s="377"/>
      <c r="AE451" s="77"/>
      <c r="AF451" s="377"/>
      <c r="AG451" s="377"/>
      <c r="AH451" s="377"/>
      <c r="AJ451" s="77"/>
      <c r="AK451" s="77"/>
      <c r="AL451" s="77"/>
      <c r="AM451" s="77"/>
      <c r="AN451" s="77"/>
    </row>
    <row r="452" spans="12:40">
      <c r="L452" s="377"/>
      <c r="M452" s="377"/>
      <c r="N452" s="377"/>
      <c r="P452" s="377"/>
      <c r="Q452" s="377"/>
      <c r="R452" s="377"/>
      <c r="S452" s="377"/>
      <c r="U452" s="377"/>
      <c r="V452" s="377"/>
      <c r="W452" s="377"/>
      <c r="X452" s="377"/>
      <c r="Z452" s="77"/>
      <c r="AA452" s="377"/>
      <c r="AB452" s="377"/>
      <c r="AC452" s="377"/>
      <c r="AE452" s="77"/>
      <c r="AF452" s="377"/>
      <c r="AG452" s="377"/>
      <c r="AH452" s="377"/>
      <c r="AJ452" s="77"/>
      <c r="AK452" s="77"/>
      <c r="AL452" s="77"/>
      <c r="AM452" s="77"/>
      <c r="AN452" s="77"/>
    </row>
    <row r="453" spans="12:40">
      <c r="L453" s="377"/>
      <c r="M453" s="377"/>
      <c r="N453" s="377"/>
      <c r="P453" s="377"/>
      <c r="Q453" s="377"/>
      <c r="R453" s="377"/>
      <c r="S453" s="377"/>
      <c r="U453" s="377"/>
      <c r="V453" s="377"/>
      <c r="W453" s="377"/>
      <c r="X453" s="377"/>
      <c r="Z453" s="77"/>
      <c r="AA453" s="377"/>
      <c r="AB453" s="377"/>
      <c r="AC453" s="377"/>
      <c r="AE453" s="77"/>
      <c r="AF453" s="377"/>
      <c r="AG453" s="377"/>
      <c r="AH453" s="377"/>
      <c r="AJ453" s="77"/>
      <c r="AK453" s="77"/>
      <c r="AL453" s="77"/>
      <c r="AM453" s="77"/>
      <c r="AN453" s="77"/>
    </row>
    <row r="454" spans="12:40">
      <c r="L454" s="377"/>
      <c r="M454" s="377"/>
      <c r="N454" s="377"/>
      <c r="P454" s="377"/>
      <c r="Q454" s="377"/>
      <c r="R454" s="377"/>
      <c r="S454" s="377"/>
      <c r="U454" s="377"/>
      <c r="V454" s="377"/>
      <c r="W454" s="377"/>
      <c r="X454" s="377"/>
      <c r="Z454" s="77"/>
      <c r="AA454" s="377"/>
      <c r="AB454" s="377"/>
      <c r="AC454" s="377"/>
      <c r="AE454" s="77"/>
      <c r="AF454" s="377"/>
      <c r="AG454" s="377"/>
      <c r="AH454" s="377"/>
      <c r="AJ454" s="77"/>
      <c r="AK454" s="77"/>
      <c r="AL454" s="77"/>
      <c r="AM454" s="77"/>
      <c r="AN454" s="77"/>
    </row>
    <row r="455" spans="12:40">
      <c r="L455" s="377"/>
      <c r="M455" s="377"/>
      <c r="N455" s="377"/>
      <c r="P455" s="377"/>
      <c r="Q455" s="377"/>
      <c r="R455" s="377"/>
      <c r="S455" s="377"/>
      <c r="U455" s="377"/>
      <c r="V455" s="377"/>
      <c r="W455" s="377"/>
      <c r="X455" s="377"/>
      <c r="Z455" s="77"/>
      <c r="AA455" s="377"/>
      <c r="AB455" s="377"/>
      <c r="AC455" s="377"/>
      <c r="AE455" s="77"/>
      <c r="AF455" s="377"/>
      <c r="AG455" s="377"/>
      <c r="AH455" s="377"/>
      <c r="AJ455" s="77"/>
      <c r="AK455" s="77"/>
      <c r="AL455" s="77"/>
      <c r="AM455" s="77"/>
      <c r="AN455" s="77"/>
    </row>
    <row r="456" spans="12:40">
      <c r="L456" s="377"/>
      <c r="M456" s="377"/>
      <c r="N456" s="377"/>
      <c r="P456" s="377"/>
      <c r="Q456" s="377"/>
      <c r="R456" s="377"/>
      <c r="S456" s="377"/>
      <c r="U456" s="377"/>
      <c r="V456" s="377"/>
      <c r="W456" s="377"/>
      <c r="X456" s="377"/>
      <c r="Z456" s="77"/>
      <c r="AA456" s="377"/>
      <c r="AB456" s="377"/>
      <c r="AC456" s="377"/>
      <c r="AE456" s="77"/>
      <c r="AF456" s="377"/>
      <c r="AG456" s="377"/>
      <c r="AH456" s="377"/>
      <c r="AJ456" s="77"/>
      <c r="AK456" s="77"/>
      <c r="AL456" s="77"/>
      <c r="AM456" s="77"/>
      <c r="AN456" s="77"/>
    </row>
    <row r="457" spans="12:40">
      <c r="L457" s="377"/>
      <c r="M457" s="377"/>
      <c r="N457" s="377"/>
      <c r="P457" s="377"/>
      <c r="Q457" s="377"/>
      <c r="R457" s="377"/>
      <c r="S457" s="377"/>
      <c r="U457" s="377"/>
      <c r="V457" s="377"/>
      <c r="W457" s="377"/>
      <c r="X457" s="377"/>
      <c r="Z457" s="77"/>
      <c r="AA457" s="377"/>
      <c r="AB457" s="377"/>
      <c r="AC457" s="377"/>
      <c r="AE457" s="77"/>
      <c r="AF457" s="377"/>
      <c r="AG457" s="377"/>
      <c r="AH457" s="377"/>
      <c r="AJ457" s="77"/>
      <c r="AK457" s="77"/>
      <c r="AL457" s="77"/>
      <c r="AM457" s="77"/>
      <c r="AN457" s="77"/>
    </row>
    <row r="458" spans="12:40">
      <c r="L458" s="377"/>
      <c r="M458" s="377"/>
      <c r="N458" s="377"/>
      <c r="P458" s="377"/>
      <c r="Q458" s="377"/>
      <c r="R458" s="377"/>
      <c r="S458" s="377"/>
      <c r="U458" s="377"/>
      <c r="V458" s="377"/>
      <c r="W458" s="377"/>
      <c r="X458" s="377"/>
      <c r="Z458" s="77"/>
      <c r="AA458" s="377"/>
      <c r="AB458" s="377"/>
      <c r="AC458" s="377"/>
      <c r="AE458" s="77"/>
      <c r="AF458" s="377"/>
      <c r="AG458" s="377"/>
      <c r="AH458" s="377"/>
      <c r="AJ458" s="77"/>
      <c r="AK458" s="77"/>
      <c r="AL458" s="77"/>
      <c r="AM458" s="77"/>
      <c r="AN458" s="77"/>
    </row>
    <row r="459" spans="12:40">
      <c r="L459" s="377"/>
      <c r="M459" s="377"/>
      <c r="N459" s="377"/>
      <c r="P459" s="377"/>
      <c r="Q459" s="377"/>
      <c r="R459" s="377"/>
      <c r="S459" s="377"/>
      <c r="U459" s="377"/>
      <c r="V459" s="377"/>
      <c r="W459" s="377"/>
      <c r="X459" s="377"/>
      <c r="Z459" s="77"/>
      <c r="AA459" s="377"/>
      <c r="AB459" s="377"/>
      <c r="AC459" s="377"/>
      <c r="AE459" s="77"/>
      <c r="AF459" s="377"/>
      <c r="AG459" s="377"/>
      <c r="AH459" s="377"/>
      <c r="AJ459" s="77"/>
      <c r="AK459" s="77"/>
      <c r="AL459" s="77"/>
      <c r="AM459" s="77"/>
      <c r="AN459" s="77"/>
    </row>
    <row r="460" spans="12:40">
      <c r="L460" s="377"/>
      <c r="M460" s="377"/>
      <c r="N460" s="377"/>
      <c r="P460" s="377"/>
      <c r="Q460" s="377"/>
      <c r="R460" s="377"/>
      <c r="S460" s="377"/>
      <c r="U460" s="377"/>
      <c r="V460" s="377"/>
      <c r="W460" s="377"/>
      <c r="X460" s="377"/>
      <c r="Z460" s="77"/>
      <c r="AA460" s="377"/>
      <c r="AB460" s="377"/>
      <c r="AC460" s="377"/>
      <c r="AE460" s="77"/>
      <c r="AF460" s="377"/>
      <c r="AG460" s="377"/>
      <c r="AH460" s="377"/>
      <c r="AJ460" s="77"/>
      <c r="AK460" s="77"/>
      <c r="AL460" s="77"/>
      <c r="AM460" s="77"/>
      <c r="AN460" s="77"/>
    </row>
    <row r="461" spans="12:40">
      <c r="L461" s="377"/>
      <c r="M461" s="377"/>
      <c r="N461" s="377"/>
      <c r="P461" s="377"/>
      <c r="Q461" s="377"/>
      <c r="R461" s="377"/>
      <c r="S461" s="377"/>
      <c r="U461" s="377"/>
      <c r="V461" s="377"/>
      <c r="W461" s="377"/>
      <c r="X461" s="377"/>
      <c r="Z461" s="77"/>
      <c r="AA461" s="377"/>
      <c r="AB461" s="377"/>
      <c r="AC461" s="377"/>
      <c r="AE461" s="77"/>
      <c r="AF461" s="377"/>
      <c r="AG461" s="377"/>
      <c r="AH461" s="377"/>
      <c r="AJ461" s="77"/>
      <c r="AK461" s="77"/>
      <c r="AL461" s="77"/>
      <c r="AM461" s="77"/>
      <c r="AN461" s="77"/>
    </row>
    <row r="462" spans="12:40">
      <c r="L462" s="377"/>
      <c r="M462" s="377"/>
      <c r="N462" s="377"/>
      <c r="P462" s="377"/>
      <c r="Q462" s="377"/>
      <c r="R462" s="377"/>
      <c r="S462" s="377"/>
      <c r="U462" s="377"/>
      <c r="V462" s="377"/>
      <c r="W462" s="377"/>
      <c r="X462" s="377"/>
      <c r="Z462" s="77"/>
      <c r="AA462" s="377"/>
      <c r="AB462" s="377"/>
      <c r="AC462" s="377"/>
      <c r="AE462" s="77"/>
      <c r="AF462" s="377"/>
      <c r="AG462" s="377"/>
      <c r="AH462" s="377"/>
      <c r="AJ462" s="77"/>
      <c r="AK462" s="77"/>
      <c r="AL462" s="77"/>
      <c r="AM462" s="77"/>
      <c r="AN462" s="77"/>
    </row>
    <row r="463" spans="12:40">
      <c r="L463" s="377"/>
      <c r="M463" s="377"/>
      <c r="N463" s="377"/>
      <c r="P463" s="377"/>
      <c r="Q463" s="377"/>
      <c r="R463" s="377"/>
      <c r="S463" s="377"/>
      <c r="U463" s="377"/>
      <c r="V463" s="377"/>
      <c r="W463" s="377"/>
      <c r="X463" s="377"/>
      <c r="Z463" s="77"/>
      <c r="AA463" s="377"/>
      <c r="AB463" s="377"/>
      <c r="AC463" s="377"/>
      <c r="AE463" s="77"/>
      <c r="AF463" s="377"/>
      <c r="AG463" s="377"/>
      <c r="AH463" s="377"/>
      <c r="AJ463" s="77"/>
      <c r="AK463" s="77"/>
      <c r="AL463" s="77"/>
      <c r="AM463" s="77"/>
      <c r="AN463" s="77"/>
    </row>
    <row r="464" spans="12:40">
      <c r="L464" s="377"/>
      <c r="M464" s="377"/>
      <c r="N464" s="377"/>
      <c r="P464" s="377"/>
      <c r="Q464" s="377"/>
      <c r="R464" s="377"/>
      <c r="S464" s="377"/>
      <c r="U464" s="377"/>
      <c r="V464" s="377"/>
      <c r="W464" s="377"/>
      <c r="X464" s="377"/>
      <c r="Z464" s="77"/>
      <c r="AA464" s="377"/>
      <c r="AB464" s="377"/>
      <c r="AC464" s="377"/>
      <c r="AE464" s="77"/>
      <c r="AF464" s="377"/>
      <c r="AG464" s="377"/>
      <c r="AH464" s="377"/>
      <c r="AJ464" s="77"/>
      <c r="AK464" s="77"/>
      <c r="AL464" s="77"/>
      <c r="AM464" s="77"/>
      <c r="AN464" s="77"/>
    </row>
    <row r="465" spans="12:40">
      <c r="L465" s="377"/>
      <c r="M465" s="377"/>
      <c r="N465" s="377"/>
      <c r="P465" s="377"/>
      <c r="Q465" s="377"/>
      <c r="R465" s="377"/>
      <c r="S465" s="377"/>
      <c r="U465" s="377"/>
      <c r="V465" s="377"/>
      <c r="W465" s="377"/>
      <c r="X465" s="377"/>
      <c r="Z465" s="77"/>
      <c r="AA465" s="377"/>
      <c r="AB465" s="377"/>
      <c r="AC465" s="377"/>
      <c r="AE465" s="77"/>
      <c r="AF465" s="377"/>
      <c r="AG465" s="377"/>
      <c r="AH465" s="377"/>
      <c r="AJ465" s="77"/>
      <c r="AK465" s="77"/>
      <c r="AL465" s="77"/>
      <c r="AM465" s="77"/>
      <c r="AN465" s="77"/>
    </row>
    <row r="466" spans="12:40">
      <c r="L466" s="377"/>
      <c r="M466" s="377"/>
      <c r="N466" s="377"/>
      <c r="P466" s="377"/>
      <c r="Q466" s="377"/>
      <c r="R466" s="377"/>
      <c r="S466" s="377"/>
      <c r="U466" s="377"/>
      <c r="V466" s="377"/>
      <c r="W466" s="377"/>
      <c r="X466" s="377"/>
      <c r="Z466" s="77"/>
      <c r="AA466" s="377"/>
      <c r="AB466" s="377"/>
      <c r="AC466" s="377"/>
      <c r="AE466" s="77"/>
      <c r="AF466" s="377"/>
      <c r="AG466" s="377"/>
      <c r="AH466" s="377"/>
      <c r="AJ466" s="77"/>
      <c r="AK466" s="77"/>
      <c r="AL466" s="77"/>
      <c r="AM466" s="77"/>
      <c r="AN466" s="77"/>
    </row>
    <row r="467" spans="12:40">
      <c r="L467" s="377"/>
      <c r="M467" s="377"/>
      <c r="N467" s="377"/>
      <c r="P467" s="377"/>
      <c r="Q467" s="377"/>
      <c r="R467" s="377"/>
      <c r="S467" s="377"/>
      <c r="U467" s="377"/>
      <c r="V467" s="377"/>
      <c r="W467" s="377"/>
      <c r="X467" s="377"/>
      <c r="Z467" s="77"/>
      <c r="AA467" s="377"/>
      <c r="AB467" s="377"/>
      <c r="AC467" s="377"/>
      <c r="AE467" s="77"/>
      <c r="AF467" s="377"/>
      <c r="AG467" s="377"/>
      <c r="AH467" s="377"/>
      <c r="AJ467" s="77"/>
      <c r="AK467" s="77"/>
      <c r="AL467" s="77"/>
      <c r="AM467" s="77"/>
      <c r="AN467" s="77"/>
    </row>
    <row r="468" spans="12:40">
      <c r="L468" s="377"/>
      <c r="M468" s="377"/>
      <c r="N468" s="377"/>
      <c r="P468" s="377"/>
      <c r="Q468" s="377"/>
      <c r="R468" s="377"/>
      <c r="S468" s="377"/>
      <c r="U468" s="377"/>
      <c r="V468" s="377"/>
      <c r="W468" s="377"/>
      <c r="X468" s="377"/>
      <c r="Z468" s="77"/>
      <c r="AA468" s="377"/>
      <c r="AB468" s="377"/>
      <c r="AC468" s="377"/>
      <c r="AE468" s="77"/>
      <c r="AF468" s="377"/>
      <c r="AG468" s="377"/>
      <c r="AH468" s="377"/>
      <c r="AJ468" s="77"/>
      <c r="AK468" s="77"/>
      <c r="AL468" s="77"/>
      <c r="AM468" s="77"/>
      <c r="AN468" s="77"/>
    </row>
    <row r="469" spans="12:40">
      <c r="L469" s="377"/>
      <c r="M469" s="377"/>
      <c r="N469" s="377"/>
      <c r="P469" s="377"/>
      <c r="Q469" s="377"/>
      <c r="R469" s="377"/>
      <c r="S469" s="377"/>
      <c r="U469" s="377"/>
      <c r="V469" s="377"/>
      <c r="W469" s="377"/>
      <c r="X469" s="377"/>
      <c r="Z469" s="77"/>
      <c r="AA469" s="377"/>
      <c r="AB469" s="377"/>
      <c r="AC469" s="377"/>
      <c r="AE469" s="77"/>
      <c r="AF469" s="377"/>
      <c r="AG469" s="377"/>
      <c r="AH469" s="377"/>
      <c r="AJ469" s="77"/>
      <c r="AK469" s="77"/>
      <c r="AL469" s="77"/>
      <c r="AM469" s="77"/>
      <c r="AN469" s="77"/>
    </row>
    <row r="470" spans="12:40">
      <c r="L470" s="377"/>
      <c r="M470" s="377"/>
      <c r="N470" s="377"/>
      <c r="P470" s="377"/>
      <c r="Q470" s="377"/>
      <c r="R470" s="377"/>
      <c r="S470" s="377"/>
      <c r="U470" s="377"/>
      <c r="V470" s="377"/>
      <c r="W470" s="377"/>
      <c r="X470" s="377"/>
      <c r="Z470" s="77"/>
      <c r="AA470" s="377"/>
      <c r="AB470" s="377"/>
      <c r="AC470" s="377"/>
      <c r="AE470" s="77"/>
      <c r="AF470" s="377"/>
      <c r="AG470" s="377"/>
      <c r="AH470" s="377"/>
      <c r="AJ470" s="77"/>
      <c r="AK470" s="77"/>
      <c r="AL470" s="77"/>
      <c r="AM470" s="77"/>
      <c r="AN470" s="77"/>
    </row>
    <row r="471" spans="12:40">
      <c r="L471" s="377"/>
      <c r="M471" s="377"/>
      <c r="N471" s="377"/>
      <c r="P471" s="377"/>
      <c r="Q471" s="377"/>
      <c r="R471" s="377"/>
      <c r="S471" s="377"/>
      <c r="U471" s="377"/>
      <c r="V471" s="377"/>
      <c r="W471" s="377"/>
      <c r="X471" s="377"/>
      <c r="Z471" s="77"/>
      <c r="AA471" s="377"/>
      <c r="AB471" s="377"/>
      <c r="AC471" s="377"/>
      <c r="AE471" s="77"/>
      <c r="AF471" s="377"/>
      <c r="AG471" s="377"/>
      <c r="AH471" s="377"/>
      <c r="AJ471" s="77"/>
      <c r="AK471" s="77"/>
      <c r="AL471" s="77"/>
      <c r="AM471" s="77"/>
      <c r="AN471" s="77"/>
    </row>
    <row r="472" spans="12:40">
      <c r="L472" s="377"/>
      <c r="M472" s="377"/>
      <c r="N472" s="377"/>
      <c r="P472" s="377"/>
      <c r="Q472" s="377"/>
      <c r="R472" s="377"/>
      <c r="S472" s="377"/>
      <c r="U472" s="377"/>
      <c r="V472" s="377"/>
      <c r="W472" s="377"/>
      <c r="X472" s="377"/>
      <c r="Z472" s="77"/>
      <c r="AA472" s="377"/>
      <c r="AB472" s="377"/>
      <c r="AC472" s="377"/>
      <c r="AE472" s="77"/>
      <c r="AF472" s="377"/>
      <c r="AG472" s="377"/>
      <c r="AH472" s="377"/>
      <c r="AJ472" s="77"/>
      <c r="AK472" s="77"/>
      <c r="AL472" s="77"/>
      <c r="AM472" s="77"/>
      <c r="AN472" s="77"/>
    </row>
    <row r="473" spans="12:40">
      <c r="L473" s="377"/>
      <c r="M473" s="377"/>
      <c r="N473" s="377"/>
      <c r="P473" s="377"/>
      <c r="Q473" s="377"/>
      <c r="R473" s="377"/>
      <c r="S473" s="377"/>
      <c r="U473" s="377"/>
      <c r="V473" s="377"/>
      <c r="W473" s="377"/>
      <c r="X473" s="377"/>
      <c r="Z473" s="77"/>
      <c r="AA473" s="377"/>
      <c r="AB473" s="377"/>
      <c r="AC473" s="377"/>
      <c r="AE473" s="77"/>
      <c r="AF473" s="377"/>
      <c r="AG473" s="377"/>
      <c r="AH473" s="377"/>
      <c r="AJ473" s="77"/>
      <c r="AK473" s="77"/>
      <c r="AL473" s="77"/>
      <c r="AM473" s="77"/>
      <c r="AN473" s="77"/>
    </row>
    <row r="474" spans="12:40">
      <c r="L474" s="377"/>
      <c r="M474" s="377"/>
      <c r="N474" s="377"/>
      <c r="P474" s="377"/>
      <c r="Q474" s="377"/>
      <c r="R474" s="377"/>
      <c r="S474" s="377"/>
      <c r="U474" s="377"/>
      <c r="V474" s="377"/>
      <c r="W474" s="377"/>
      <c r="X474" s="377"/>
      <c r="Z474" s="77"/>
      <c r="AA474" s="377"/>
      <c r="AB474" s="377"/>
      <c r="AC474" s="377"/>
      <c r="AE474" s="77"/>
      <c r="AF474" s="377"/>
      <c r="AG474" s="377"/>
      <c r="AH474" s="377"/>
      <c r="AJ474" s="77"/>
      <c r="AK474" s="77"/>
      <c r="AL474" s="77"/>
      <c r="AM474" s="77"/>
      <c r="AN474" s="77"/>
    </row>
    <row r="475" spans="12:40">
      <c r="L475" s="377"/>
      <c r="M475" s="377"/>
      <c r="N475" s="377"/>
      <c r="P475" s="377"/>
      <c r="Q475" s="377"/>
      <c r="R475" s="377"/>
      <c r="S475" s="377"/>
      <c r="U475" s="377"/>
      <c r="V475" s="377"/>
      <c r="W475" s="377"/>
      <c r="X475" s="377"/>
      <c r="Z475" s="77"/>
      <c r="AA475" s="377"/>
      <c r="AB475" s="377"/>
      <c r="AC475" s="377"/>
      <c r="AE475" s="77"/>
      <c r="AF475" s="377"/>
      <c r="AG475" s="377"/>
      <c r="AH475" s="377"/>
      <c r="AJ475" s="77"/>
      <c r="AK475" s="77"/>
      <c r="AL475" s="77"/>
      <c r="AM475" s="77"/>
      <c r="AN475" s="77"/>
    </row>
    <row r="476" spans="12:40">
      <c r="L476" s="377"/>
      <c r="M476" s="377"/>
      <c r="N476" s="377"/>
      <c r="P476" s="377"/>
      <c r="Q476" s="377"/>
      <c r="R476" s="377"/>
      <c r="S476" s="377"/>
      <c r="U476" s="377"/>
      <c r="V476" s="377"/>
      <c r="W476" s="377"/>
      <c r="X476" s="377"/>
      <c r="Z476" s="77"/>
      <c r="AA476" s="377"/>
      <c r="AB476" s="377"/>
      <c r="AC476" s="377"/>
      <c r="AE476" s="77"/>
      <c r="AF476" s="377"/>
      <c r="AG476" s="377"/>
      <c r="AH476" s="377"/>
      <c r="AJ476" s="77"/>
      <c r="AK476" s="77"/>
      <c r="AL476" s="77"/>
      <c r="AM476" s="77"/>
      <c r="AN476" s="77"/>
    </row>
    <row r="477" spans="12:40">
      <c r="L477" s="377"/>
      <c r="M477" s="377"/>
      <c r="N477" s="377"/>
      <c r="P477" s="377"/>
      <c r="Q477" s="377"/>
      <c r="R477" s="377"/>
      <c r="S477" s="377"/>
      <c r="U477" s="377"/>
      <c r="V477" s="377"/>
      <c r="W477" s="377"/>
      <c r="X477" s="377"/>
      <c r="Z477" s="77"/>
      <c r="AA477" s="377"/>
      <c r="AB477" s="377"/>
      <c r="AC477" s="377"/>
      <c r="AE477" s="77"/>
      <c r="AF477" s="377"/>
      <c r="AG477" s="377"/>
      <c r="AH477" s="377"/>
      <c r="AJ477" s="77"/>
      <c r="AK477" s="77"/>
      <c r="AL477" s="77"/>
      <c r="AM477" s="77"/>
      <c r="AN477" s="77"/>
    </row>
    <row r="478" spans="12:40">
      <c r="L478" s="377"/>
      <c r="M478" s="377"/>
      <c r="N478" s="377"/>
      <c r="P478" s="377"/>
      <c r="Q478" s="377"/>
      <c r="R478" s="377"/>
      <c r="S478" s="377"/>
      <c r="U478" s="377"/>
      <c r="V478" s="377"/>
      <c r="W478" s="377"/>
      <c r="X478" s="377"/>
      <c r="Z478" s="77"/>
      <c r="AA478" s="377"/>
      <c r="AB478" s="377"/>
      <c r="AC478" s="377"/>
      <c r="AE478" s="77"/>
      <c r="AF478" s="377"/>
      <c r="AG478" s="377"/>
      <c r="AH478" s="377"/>
      <c r="AJ478" s="77"/>
      <c r="AK478" s="77"/>
      <c r="AL478" s="77"/>
      <c r="AM478" s="77"/>
      <c r="AN478" s="77"/>
    </row>
    <row r="479" spans="12:40">
      <c r="L479" s="377"/>
      <c r="M479" s="377"/>
      <c r="N479" s="377"/>
      <c r="P479" s="377"/>
      <c r="Q479" s="377"/>
      <c r="R479" s="377"/>
      <c r="S479" s="377"/>
      <c r="U479" s="377"/>
      <c r="V479" s="377"/>
      <c r="W479" s="377"/>
      <c r="X479" s="377"/>
      <c r="Z479" s="77"/>
      <c r="AA479" s="377"/>
      <c r="AB479" s="377"/>
      <c r="AC479" s="377"/>
      <c r="AE479" s="77"/>
      <c r="AF479" s="377"/>
      <c r="AG479" s="377"/>
      <c r="AH479" s="377"/>
      <c r="AJ479" s="77"/>
      <c r="AK479" s="77"/>
      <c r="AL479" s="77"/>
      <c r="AM479" s="77"/>
      <c r="AN479" s="77"/>
    </row>
    <row r="480" spans="12:40">
      <c r="L480" s="377"/>
      <c r="M480" s="377"/>
      <c r="N480" s="377"/>
      <c r="P480" s="377"/>
      <c r="Q480" s="377"/>
      <c r="R480" s="377"/>
      <c r="S480" s="377"/>
      <c r="U480" s="377"/>
      <c r="V480" s="377"/>
      <c r="W480" s="377"/>
      <c r="X480" s="377"/>
      <c r="Z480" s="77"/>
      <c r="AA480" s="377"/>
      <c r="AB480" s="377"/>
      <c r="AC480" s="377"/>
      <c r="AE480" s="77"/>
      <c r="AF480" s="377"/>
      <c r="AG480" s="377"/>
      <c r="AH480" s="377"/>
      <c r="AJ480" s="77"/>
      <c r="AK480" s="77"/>
      <c r="AL480" s="77"/>
      <c r="AM480" s="77"/>
      <c r="AN480" s="77"/>
    </row>
    <row r="481" spans="12:40">
      <c r="L481" s="377"/>
      <c r="M481" s="377"/>
      <c r="N481" s="377"/>
      <c r="P481" s="377"/>
      <c r="Q481" s="377"/>
      <c r="R481" s="377"/>
      <c r="S481" s="377"/>
      <c r="U481" s="377"/>
      <c r="V481" s="377"/>
      <c r="W481" s="377"/>
      <c r="X481" s="377"/>
      <c r="Z481" s="77"/>
      <c r="AA481" s="377"/>
      <c r="AB481" s="377"/>
      <c r="AC481" s="377"/>
      <c r="AE481" s="77"/>
      <c r="AF481" s="377"/>
      <c r="AG481" s="377"/>
      <c r="AH481" s="377"/>
      <c r="AJ481" s="77"/>
      <c r="AK481" s="77"/>
      <c r="AL481" s="77"/>
      <c r="AM481" s="77"/>
      <c r="AN481" s="77"/>
    </row>
    <row r="482" spans="12:40">
      <c r="L482" s="377"/>
      <c r="M482" s="377"/>
      <c r="N482" s="377"/>
      <c r="P482" s="377"/>
      <c r="Q482" s="377"/>
      <c r="R482" s="377"/>
      <c r="S482" s="377"/>
      <c r="U482" s="377"/>
      <c r="V482" s="377"/>
      <c r="W482" s="377"/>
      <c r="X482" s="377"/>
      <c r="Z482" s="77"/>
      <c r="AA482" s="377"/>
      <c r="AB482" s="377"/>
      <c r="AC482" s="377"/>
      <c r="AE482" s="77"/>
      <c r="AF482" s="377"/>
      <c r="AG482" s="377"/>
      <c r="AH482" s="377"/>
      <c r="AJ482" s="77"/>
      <c r="AK482" s="77"/>
      <c r="AL482" s="77"/>
      <c r="AM482" s="77"/>
      <c r="AN482" s="77"/>
    </row>
    <row r="483" spans="12:40">
      <c r="L483" s="377"/>
      <c r="M483" s="377"/>
      <c r="N483" s="377"/>
      <c r="P483" s="377"/>
      <c r="Q483" s="377"/>
      <c r="R483" s="377"/>
      <c r="S483" s="377"/>
      <c r="U483" s="377"/>
      <c r="V483" s="377"/>
      <c r="W483" s="377"/>
      <c r="X483" s="377"/>
      <c r="Z483" s="77"/>
      <c r="AA483" s="377"/>
      <c r="AB483" s="377"/>
      <c r="AC483" s="377"/>
      <c r="AE483" s="77"/>
      <c r="AF483" s="377"/>
      <c r="AG483" s="377"/>
      <c r="AH483" s="377"/>
      <c r="AJ483" s="77"/>
      <c r="AK483" s="77"/>
      <c r="AL483" s="77"/>
      <c r="AM483" s="77"/>
      <c r="AN483" s="77"/>
    </row>
    <row r="484" spans="12:40">
      <c r="L484" s="377"/>
      <c r="M484" s="377"/>
      <c r="N484" s="377"/>
      <c r="P484" s="377"/>
      <c r="Q484" s="377"/>
      <c r="R484" s="377"/>
      <c r="S484" s="377"/>
      <c r="U484" s="377"/>
      <c r="V484" s="377"/>
      <c r="W484" s="377"/>
      <c r="X484" s="377"/>
      <c r="Z484" s="77"/>
      <c r="AA484" s="377"/>
      <c r="AB484" s="377"/>
      <c r="AC484" s="377"/>
      <c r="AE484" s="77"/>
      <c r="AF484" s="377"/>
      <c r="AG484" s="377"/>
      <c r="AH484" s="377"/>
      <c r="AJ484" s="77"/>
      <c r="AK484" s="77"/>
      <c r="AL484" s="77"/>
      <c r="AM484" s="77"/>
      <c r="AN484" s="77"/>
    </row>
    <row r="485" spans="12:40">
      <c r="L485" s="377"/>
      <c r="M485" s="377"/>
      <c r="N485" s="377"/>
      <c r="P485" s="377"/>
      <c r="Q485" s="377"/>
      <c r="R485" s="377"/>
      <c r="S485" s="377"/>
      <c r="U485" s="377"/>
      <c r="V485" s="377"/>
      <c r="W485" s="377"/>
      <c r="X485" s="377"/>
      <c r="Z485" s="77"/>
      <c r="AA485" s="377"/>
      <c r="AB485" s="377"/>
      <c r="AC485" s="377"/>
      <c r="AE485" s="77"/>
      <c r="AF485" s="377"/>
      <c r="AG485" s="377"/>
      <c r="AH485" s="377"/>
      <c r="AJ485" s="77"/>
      <c r="AK485" s="77"/>
      <c r="AL485" s="77"/>
      <c r="AM485" s="77"/>
      <c r="AN485" s="77"/>
    </row>
    <row r="486" spans="12:40">
      <c r="L486" s="377"/>
      <c r="M486" s="377"/>
      <c r="N486" s="377"/>
      <c r="P486" s="377"/>
      <c r="Q486" s="377"/>
      <c r="R486" s="377"/>
      <c r="S486" s="377"/>
      <c r="U486" s="377"/>
      <c r="V486" s="377"/>
      <c r="W486" s="377"/>
      <c r="X486" s="377"/>
      <c r="Z486" s="77"/>
      <c r="AA486" s="377"/>
      <c r="AB486" s="377"/>
      <c r="AC486" s="377"/>
      <c r="AE486" s="77"/>
      <c r="AF486" s="377"/>
      <c r="AG486" s="377"/>
      <c r="AH486" s="377"/>
      <c r="AJ486" s="77"/>
      <c r="AK486" s="77"/>
      <c r="AL486" s="77"/>
      <c r="AM486" s="77"/>
      <c r="AN486" s="77"/>
    </row>
    <row r="487" spans="12:40">
      <c r="L487" s="377"/>
      <c r="M487" s="377"/>
      <c r="N487" s="377"/>
      <c r="P487" s="377"/>
      <c r="Q487" s="377"/>
      <c r="R487" s="377"/>
      <c r="S487" s="377"/>
      <c r="U487" s="377"/>
      <c r="V487" s="377"/>
      <c r="W487" s="377"/>
      <c r="X487" s="377"/>
      <c r="Z487" s="77"/>
      <c r="AA487" s="377"/>
      <c r="AB487" s="377"/>
      <c r="AC487" s="377"/>
      <c r="AE487" s="77"/>
      <c r="AF487" s="377"/>
      <c r="AG487" s="377"/>
      <c r="AH487" s="377"/>
      <c r="AJ487" s="77"/>
      <c r="AK487" s="77"/>
      <c r="AL487" s="77"/>
      <c r="AM487" s="77"/>
      <c r="AN487" s="77"/>
    </row>
    <row r="488" spans="12:40">
      <c r="L488" s="377"/>
      <c r="M488" s="377"/>
      <c r="N488" s="377"/>
      <c r="P488" s="377"/>
      <c r="Q488" s="377"/>
      <c r="R488" s="377"/>
      <c r="S488" s="377"/>
      <c r="U488" s="377"/>
      <c r="V488" s="377"/>
      <c r="W488" s="377"/>
      <c r="X488" s="377"/>
      <c r="Z488" s="77"/>
      <c r="AA488" s="377"/>
      <c r="AB488" s="377"/>
      <c r="AC488" s="377"/>
      <c r="AE488" s="77"/>
      <c r="AF488" s="377"/>
      <c r="AG488" s="377"/>
      <c r="AH488" s="377"/>
      <c r="AJ488" s="77"/>
      <c r="AK488" s="77"/>
      <c r="AL488" s="77"/>
      <c r="AM488" s="77"/>
      <c r="AN488" s="77"/>
    </row>
    <row r="489" spans="12:40">
      <c r="L489" s="377"/>
      <c r="M489" s="377"/>
      <c r="N489" s="377"/>
      <c r="P489" s="377"/>
      <c r="Q489" s="377"/>
      <c r="R489" s="377"/>
      <c r="S489" s="377"/>
      <c r="U489" s="377"/>
      <c r="V489" s="377"/>
      <c r="W489" s="377"/>
      <c r="X489" s="377"/>
      <c r="Z489" s="77"/>
      <c r="AA489" s="377"/>
      <c r="AB489" s="377"/>
      <c r="AC489" s="377"/>
      <c r="AE489" s="77"/>
      <c r="AF489" s="377"/>
      <c r="AG489" s="377"/>
      <c r="AH489" s="377"/>
      <c r="AJ489" s="77"/>
      <c r="AK489" s="77"/>
      <c r="AL489" s="77"/>
      <c r="AM489" s="77"/>
      <c r="AN489" s="77"/>
    </row>
    <row r="490" spans="12:40">
      <c r="L490" s="377"/>
      <c r="M490" s="377"/>
      <c r="N490" s="377"/>
      <c r="P490" s="377"/>
      <c r="Q490" s="377"/>
      <c r="R490" s="377"/>
      <c r="S490" s="377"/>
      <c r="U490" s="377"/>
      <c r="V490" s="377"/>
      <c r="W490" s="377"/>
      <c r="X490" s="377"/>
      <c r="Z490" s="77"/>
      <c r="AA490" s="377"/>
      <c r="AB490" s="377"/>
      <c r="AC490" s="377"/>
      <c r="AE490" s="77"/>
      <c r="AF490" s="377"/>
      <c r="AG490" s="377"/>
      <c r="AH490" s="377"/>
      <c r="AJ490" s="77"/>
      <c r="AK490" s="77"/>
      <c r="AL490" s="77"/>
      <c r="AM490" s="77"/>
      <c r="AN490" s="77"/>
    </row>
    <row r="491" spans="12:40">
      <c r="L491" s="377"/>
      <c r="M491" s="377"/>
      <c r="N491" s="377"/>
      <c r="P491" s="377"/>
      <c r="Q491" s="377"/>
      <c r="R491" s="377"/>
      <c r="S491" s="377"/>
      <c r="U491" s="377"/>
      <c r="V491" s="377"/>
      <c r="W491" s="377"/>
      <c r="X491" s="377"/>
      <c r="Z491" s="77"/>
      <c r="AA491" s="377"/>
      <c r="AB491" s="377"/>
      <c r="AC491" s="377"/>
      <c r="AE491" s="77"/>
      <c r="AF491" s="377"/>
      <c r="AG491" s="377"/>
      <c r="AH491" s="377"/>
      <c r="AJ491" s="77"/>
      <c r="AK491" s="77"/>
      <c r="AL491" s="77"/>
      <c r="AM491" s="77"/>
      <c r="AN491" s="77"/>
    </row>
    <row r="492" spans="12:40">
      <c r="L492" s="377"/>
      <c r="M492" s="377"/>
      <c r="N492" s="377"/>
      <c r="P492" s="377"/>
      <c r="Q492" s="377"/>
      <c r="R492" s="377"/>
      <c r="S492" s="377"/>
      <c r="U492" s="377"/>
      <c r="V492" s="377"/>
      <c r="W492" s="377"/>
      <c r="X492" s="377"/>
      <c r="Z492" s="77"/>
      <c r="AA492" s="377"/>
      <c r="AB492" s="377"/>
      <c r="AC492" s="377"/>
      <c r="AE492" s="77"/>
      <c r="AF492" s="377"/>
      <c r="AG492" s="377"/>
      <c r="AH492" s="377"/>
      <c r="AJ492" s="77"/>
      <c r="AK492" s="77"/>
      <c r="AL492" s="77"/>
      <c r="AM492" s="77"/>
      <c r="AN492" s="77"/>
    </row>
    <row r="493" spans="12:40">
      <c r="L493" s="377"/>
      <c r="M493" s="377"/>
      <c r="N493" s="377"/>
      <c r="P493" s="377"/>
      <c r="Q493" s="377"/>
      <c r="R493" s="377"/>
      <c r="S493" s="377"/>
      <c r="U493" s="377"/>
      <c r="V493" s="377"/>
      <c r="W493" s="377"/>
      <c r="X493" s="377"/>
      <c r="Z493" s="77"/>
      <c r="AA493" s="377"/>
      <c r="AB493" s="377"/>
      <c r="AC493" s="377"/>
      <c r="AE493" s="77"/>
      <c r="AF493" s="377"/>
      <c r="AG493" s="377"/>
      <c r="AH493" s="377"/>
      <c r="AJ493" s="77"/>
      <c r="AK493" s="77"/>
      <c r="AL493" s="77"/>
      <c r="AM493" s="77"/>
      <c r="AN493" s="77"/>
    </row>
    <row r="494" spans="12:40">
      <c r="L494" s="377"/>
      <c r="M494" s="377"/>
      <c r="N494" s="377"/>
      <c r="P494" s="377"/>
      <c r="Q494" s="377"/>
      <c r="R494" s="377"/>
      <c r="S494" s="377"/>
      <c r="U494" s="377"/>
      <c r="V494" s="377"/>
      <c r="W494" s="377"/>
      <c r="X494" s="377"/>
      <c r="Z494" s="77"/>
      <c r="AA494" s="377"/>
      <c r="AB494" s="377"/>
      <c r="AC494" s="377"/>
      <c r="AE494" s="77"/>
      <c r="AF494" s="377"/>
      <c r="AG494" s="377"/>
      <c r="AH494" s="377"/>
      <c r="AJ494" s="77"/>
      <c r="AK494" s="77"/>
      <c r="AL494" s="77"/>
      <c r="AM494" s="77"/>
      <c r="AN494" s="77"/>
    </row>
    <row r="495" spans="12:40">
      <c r="L495" s="377"/>
      <c r="M495" s="377"/>
      <c r="N495" s="377"/>
      <c r="P495" s="377"/>
      <c r="Q495" s="377"/>
      <c r="R495" s="377"/>
      <c r="S495" s="377"/>
      <c r="U495" s="377"/>
      <c r="V495" s="377"/>
      <c r="W495" s="377"/>
      <c r="X495" s="377"/>
      <c r="Z495" s="77"/>
      <c r="AA495" s="377"/>
      <c r="AB495" s="377"/>
      <c r="AC495" s="377"/>
      <c r="AE495" s="77"/>
      <c r="AF495" s="377"/>
      <c r="AG495" s="377"/>
      <c r="AH495" s="377"/>
      <c r="AJ495" s="77"/>
      <c r="AK495" s="77"/>
      <c r="AL495" s="77"/>
      <c r="AM495" s="77"/>
      <c r="AN495" s="77"/>
    </row>
    <row r="496" spans="12:40">
      <c r="L496" s="377"/>
      <c r="M496" s="377"/>
      <c r="N496" s="377"/>
      <c r="P496" s="377"/>
      <c r="Q496" s="377"/>
      <c r="R496" s="377"/>
      <c r="S496" s="377"/>
      <c r="U496" s="377"/>
      <c r="V496" s="377"/>
      <c r="W496" s="377"/>
      <c r="X496" s="377"/>
      <c r="Z496" s="77"/>
      <c r="AA496" s="377"/>
      <c r="AB496" s="377"/>
      <c r="AC496" s="377"/>
      <c r="AE496" s="77"/>
      <c r="AF496" s="377"/>
      <c r="AG496" s="377"/>
      <c r="AH496" s="377"/>
      <c r="AJ496" s="77"/>
      <c r="AK496" s="77"/>
      <c r="AL496" s="77"/>
      <c r="AM496" s="77"/>
      <c r="AN496" s="77"/>
    </row>
    <row r="497" spans="12:40">
      <c r="L497" s="377"/>
      <c r="M497" s="377"/>
      <c r="N497" s="377"/>
      <c r="P497" s="377"/>
      <c r="Q497" s="377"/>
      <c r="R497" s="377"/>
      <c r="S497" s="377"/>
      <c r="U497" s="377"/>
      <c r="V497" s="377"/>
      <c r="W497" s="377"/>
      <c r="X497" s="377"/>
      <c r="Z497" s="77"/>
      <c r="AA497" s="377"/>
      <c r="AB497" s="377"/>
      <c r="AC497" s="377"/>
      <c r="AE497" s="77"/>
      <c r="AF497" s="377"/>
      <c r="AG497" s="377"/>
      <c r="AH497" s="377"/>
      <c r="AJ497" s="77"/>
      <c r="AK497" s="77"/>
      <c r="AL497" s="77"/>
      <c r="AM497" s="77"/>
      <c r="AN497" s="77"/>
    </row>
    <row r="498" spans="12:40">
      <c r="L498" s="377"/>
      <c r="M498" s="377"/>
      <c r="N498" s="377"/>
      <c r="P498" s="377"/>
      <c r="Q498" s="377"/>
      <c r="R498" s="377"/>
      <c r="S498" s="377"/>
      <c r="U498" s="377"/>
      <c r="V498" s="377"/>
      <c r="W498" s="377"/>
      <c r="X498" s="377"/>
      <c r="Z498" s="77"/>
      <c r="AA498" s="377"/>
      <c r="AB498" s="377"/>
      <c r="AC498" s="377"/>
      <c r="AE498" s="77"/>
      <c r="AF498" s="377"/>
      <c r="AG498" s="377"/>
      <c r="AH498" s="377"/>
      <c r="AJ498" s="77"/>
      <c r="AK498" s="77"/>
      <c r="AL498" s="77"/>
      <c r="AM498" s="77"/>
      <c r="AN498" s="77"/>
    </row>
    <row r="499" spans="12:40">
      <c r="L499" s="377"/>
      <c r="M499" s="377"/>
      <c r="N499" s="377"/>
      <c r="P499" s="377"/>
      <c r="Q499" s="377"/>
      <c r="R499" s="377"/>
      <c r="S499" s="377"/>
      <c r="U499" s="377"/>
      <c r="V499" s="377"/>
      <c r="W499" s="377"/>
      <c r="X499" s="377"/>
      <c r="Z499" s="77"/>
      <c r="AA499" s="377"/>
      <c r="AB499" s="377"/>
      <c r="AC499" s="377"/>
      <c r="AE499" s="77"/>
      <c r="AF499" s="377"/>
      <c r="AG499" s="377"/>
      <c r="AH499" s="377"/>
      <c r="AJ499" s="77"/>
      <c r="AK499" s="77"/>
      <c r="AL499" s="77"/>
      <c r="AM499" s="77"/>
      <c r="AN499" s="77"/>
    </row>
    <row r="500" spans="12:40">
      <c r="L500" s="377"/>
      <c r="M500" s="377"/>
      <c r="N500" s="377"/>
      <c r="P500" s="377"/>
      <c r="Q500" s="377"/>
      <c r="R500" s="377"/>
      <c r="S500" s="377"/>
      <c r="U500" s="377"/>
      <c r="V500" s="377"/>
      <c r="W500" s="377"/>
      <c r="X500" s="377"/>
      <c r="Z500" s="77"/>
      <c r="AA500" s="377"/>
      <c r="AB500" s="377"/>
      <c r="AC500" s="377"/>
      <c r="AE500" s="77"/>
      <c r="AF500" s="377"/>
      <c r="AG500" s="377"/>
      <c r="AH500" s="377"/>
      <c r="AJ500" s="77"/>
      <c r="AK500" s="77"/>
      <c r="AL500" s="77"/>
      <c r="AM500" s="77"/>
      <c r="AN500" s="77"/>
    </row>
    <row r="501" spans="12:40">
      <c r="L501" s="377"/>
      <c r="M501" s="377"/>
      <c r="N501" s="377"/>
      <c r="P501" s="377"/>
      <c r="Q501" s="377"/>
      <c r="R501" s="377"/>
      <c r="S501" s="377"/>
      <c r="U501" s="377"/>
      <c r="V501" s="377"/>
      <c r="W501" s="377"/>
      <c r="X501" s="377"/>
      <c r="Z501" s="77"/>
      <c r="AA501" s="377"/>
      <c r="AB501" s="377"/>
      <c r="AC501" s="377"/>
      <c r="AE501" s="77"/>
      <c r="AF501" s="377"/>
      <c r="AG501" s="377"/>
      <c r="AH501" s="377"/>
      <c r="AJ501" s="77"/>
      <c r="AK501" s="77"/>
      <c r="AL501" s="77"/>
      <c r="AM501" s="77"/>
      <c r="AN501" s="77"/>
    </row>
    <row r="502" spans="12:40">
      <c r="L502" s="377"/>
      <c r="M502" s="377"/>
      <c r="N502" s="377"/>
      <c r="P502" s="377"/>
      <c r="Q502" s="377"/>
      <c r="R502" s="377"/>
      <c r="S502" s="377"/>
      <c r="U502" s="377"/>
      <c r="V502" s="377"/>
      <c r="W502" s="377"/>
      <c r="X502" s="377"/>
      <c r="Z502" s="77"/>
      <c r="AA502" s="377"/>
      <c r="AB502" s="377"/>
      <c r="AC502" s="377"/>
      <c r="AE502" s="77"/>
      <c r="AF502" s="377"/>
      <c r="AG502" s="377"/>
      <c r="AH502" s="377"/>
      <c r="AJ502" s="77"/>
      <c r="AK502" s="77"/>
      <c r="AL502" s="77"/>
      <c r="AM502" s="77"/>
      <c r="AN502" s="77"/>
    </row>
    <row r="503" spans="12:40">
      <c r="L503" s="377"/>
      <c r="M503" s="377"/>
      <c r="N503" s="377"/>
      <c r="P503" s="377"/>
      <c r="Q503" s="377"/>
      <c r="R503" s="377"/>
      <c r="S503" s="377"/>
      <c r="U503" s="377"/>
      <c r="V503" s="377"/>
      <c r="W503" s="377"/>
      <c r="X503" s="377"/>
      <c r="Z503" s="77"/>
      <c r="AA503" s="377"/>
      <c r="AB503" s="377"/>
      <c r="AC503" s="377"/>
      <c r="AE503" s="77"/>
      <c r="AF503" s="377"/>
      <c r="AG503" s="377"/>
      <c r="AH503" s="377"/>
      <c r="AJ503" s="77"/>
      <c r="AK503" s="77"/>
      <c r="AL503" s="77"/>
      <c r="AM503" s="77"/>
      <c r="AN503" s="77"/>
    </row>
    <row r="504" spans="12:40">
      <c r="L504" s="377"/>
      <c r="M504" s="377"/>
      <c r="N504" s="377"/>
      <c r="P504" s="377"/>
      <c r="Q504" s="377"/>
      <c r="R504" s="377"/>
      <c r="S504" s="377"/>
      <c r="U504" s="377"/>
      <c r="V504" s="377"/>
      <c r="W504" s="377"/>
      <c r="X504" s="377"/>
      <c r="Z504" s="77"/>
      <c r="AA504" s="377"/>
      <c r="AB504" s="377"/>
      <c r="AC504" s="377"/>
      <c r="AE504" s="77"/>
      <c r="AF504" s="377"/>
      <c r="AG504" s="377"/>
      <c r="AH504" s="377"/>
      <c r="AJ504" s="77"/>
      <c r="AK504" s="77"/>
      <c r="AL504" s="77"/>
      <c r="AM504" s="77"/>
      <c r="AN504" s="77"/>
    </row>
    <row r="505" spans="12:40">
      <c r="L505" s="377"/>
      <c r="M505" s="377"/>
      <c r="N505" s="377"/>
      <c r="P505" s="377"/>
      <c r="Q505" s="377"/>
      <c r="R505" s="377"/>
      <c r="S505" s="377"/>
      <c r="U505" s="377"/>
      <c r="V505" s="377"/>
      <c r="W505" s="377"/>
      <c r="X505" s="377"/>
      <c r="Z505" s="77"/>
      <c r="AA505" s="377"/>
      <c r="AB505" s="377"/>
      <c r="AC505" s="377"/>
      <c r="AE505" s="77"/>
      <c r="AF505" s="377"/>
      <c r="AG505" s="377"/>
      <c r="AH505" s="377"/>
      <c r="AJ505" s="77"/>
      <c r="AK505" s="77"/>
      <c r="AL505" s="77"/>
      <c r="AM505" s="77"/>
      <c r="AN505" s="77"/>
    </row>
    <row r="506" spans="12:40">
      <c r="L506" s="377"/>
      <c r="M506" s="377"/>
      <c r="N506" s="377"/>
      <c r="P506" s="377"/>
      <c r="Q506" s="377"/>
      <c r="R506" s="377"/>
      <c r="S506" s="377"/>
      <c r="U506" s="377"/>
      <c r="V506" s="377"/>
      <c r="W506" s="377"/>
      <c r="X506" s="377"/>
      <c r="Z506" s="77"/>
      <c r="AA506" s="377"/>
      <c r="AB506" s="377"/>
      <c r="AC506" s="377"/>
      <c r="AE506" s="77"/>
      <c r="AF506" s="377"/>
      <c r="AG506" s="377"/>
      <c r="AH506" s="377"/>
      <c r="AJ506" s="77"/>
      <c r="AK506" s="77"/>
      <c r="AL506" s="77"/>
      <c r="AM506" s="77"/>
      <c r="AN506" s="77"/>
    </row>
    <row r="507" spans="12:40">
      <c r="L507" s="377"/>
      <c r="M507" s="377"/>
      <c r="N507" s="377"/>
      <c r="P507" s="377"/>
      <c r="Q507" s="377"/>
      <c r="R507" s="377"/>
      <c r="S507" s="377"/>
      <c r="U507" s="377"/>
      <c r="V507" s="377"/>
      <c r="W507" s="377"/>
      <c r="X507" s="377"/>
      <c r="Z507" s="77"/>
      <c r="AA507" s="377"/>
      <c r="AB507" s="377"/>
      <c r="AC507" s="377"/>
      <c r="AE507" s="77"/>
      <c r="AF507" s="377"/>
      <c r="AG507" s="377"/>
      <c r="AH507" s="377"/>
      <c r="AJ507" s="77"/>
      <c r="AK507" s="77"/>
      <c r="AL507" s="77"/>
      <c r="AM507" s="77"/>
      <c r="AN507" s="77"/>
    </row>
    <row r="508" spans="12:40">
      <c r="L508" s="377"/>
      <c r="M508" s="377"/>
      <c r="N508" s="377"/>
      <c r="P508" s="377"/>
      <c r="Q508" s="377"/>
      <c r="R508" s="377"/>
      <c r="S508" s="377"/>
      <c r="U508" s="377"/>
      <c r="V508" s="377"/>
      <c r="W508" s="377"/>
      <c r="X508" s="377"/>
      <c r="Z508" s="77"/>
      <c r="AA508" s="377"/>
      <c r="AB508" s="377"/>
      <c r="AC508" s="377"/>
      <c r="AE508" s="77"/>
      <c r="AF508" s="377"/>
      <c r="AG508" s="377"/>
      <c r="AH508" s="377"/>
      <c r="AJ508" s="77"/>
      <c r="AK508" s="77"/>
      <c r="AL508" s="77"/>
      <c r="AM508" s="77"/>
      <c r="AN508" s="77"/>
    </row>
    <row r="509" spans="12:40">
      <c r="L509" s="377"/>
      <c r="M509" s="377"/>
      <c r="N509" s="377"/>
      <c r="P509" s="377"/>
      <c r="Q509" s="377"/>
      <c r="R509" s="377"/>
      <c r="S509" s="377"/>
      <c r="U509" s="377"/>
      <c r="V509" s="377"/>
      <c r="W509" s="377"/>
      <c r="X509" s="377"/>
      <c r="Z509" s="77"/>
      <c r="AA509" s="377"/>
      <c r="AB509" s="377"/>
      <c r="AC509" s="377"/>
      <c r="AE509" s="77"/>
      <c r="AF509" s="377"/>
      <c r="AG509" s="377"/>
      <c r="AH509" s="377"/>
      <c r="AJ509" s="77"/>
      <c r="AK509" s="77"/>
      <c r="AL509" s="77"/>
      <c r="AM509" s="77"/>
      <c r="AN509" s="77"/>
    </row>
    <row r="510" spans="12:40">
      <c r="L510" s="377"/>
      <c r="M510" s="377"/>
      <c r="N510" s="377"/>
      <c r="P510" s="377"/>
      <c r="Q510" s="377"/>
      <c r="R510" s="377"/>
      <c r="S510" s="377"/>
      <c r="U510" s="377"/>
      <c r="V510" s="377"/>
      <c r="W510" s="377"/>
      <c r="X510" s="377"/>
      <c r="Z510" s="77"/>
      <c r="AA510" s="377"/>
      <c r="AB510" s="377"/>
      <c r="AC510" s="377"/>
      <c r="AE510" s="77"/>
      <c r="AF510" s="377"/>
      <c r="AG510" s="377"/>
      <c r="AH510" s="377"/>
      <c r="AJ510" s="77"/>
      <c r="AK510" s="77"/>
      <c r="AL510" s="77"/>
      <c r="AM510" s="77"/>
      <c r="AN510" s="77"/>
    </row>
    <row r="511" spans="12:40">
      <c r="L511" s="377"/>
      <c r="M511" s="377"/>
      <c r="N511" s="377"/>
      <c r="P511" s="377"/>
      <c r="Q511" s="377"/>
      <c r="R511" s="377"/>
      <c r="S511" s="377"/>
      <c r="U511" s="377"/>
      <c r="V511" s="377"/>
      <c r="W511" s="377"/>
      <c r="X511" s="377"/>
      <c r="Z511" s="77"/>
      <c r="AA511" s="377"/>
      <c r="AB511" s="377"/>
      <c r="AC511" s="377"/>
      <c r="AE511" s="77"/>
      <c r="AF511" s="377"/>
      <c r="AG511" s="377"/>
      <c r="AH511" s="377"/>
      <c r="AJ511" s="77"/>
      <c r="AK511" s="77"/>
      <c r="AL511" s="77"/>
      <c r="AM511" s="77"/>
      <c r="AN511" s="77"/>
    </row>
    <row r="512" spans="12:40">
      <c r="L512" s="377"/>
      <c r="M512" s="377"/>
      <c r="N512" s="377"/>
      <c r="P512" s="377"/>
      <c r="Q512" s="377"/>
      <c r="R512" s="377"/>
      <c r="S512" s="377"/>
      <c r="U512" s="377"/>
      <c r="V512" s="377"/>
      <c r="W512" s="377"/>
      <c r="X512" s="377"/>
      <c r="Z512" s="77"/>
      <c r="AA512" s="377"/>
      <c r="AB512" s="377"/>
      <c r="AC512" s="377"/>
      <c r="AE512" s="77"/>
      <c r="AF512" s="377"/>
      <c r="AG512" s="377"/>
      <c r="AH512" s="377"/>
      <c r="AJ512" s="77"/>
      <c r="AK512" s="77"/>
      <c r="AL512" s="77"/>
      <c r="AM512" s="77"/>
      <c r="AN512" s="77"/>
    </row>
    <row r="513" spans="12:40">
      <c r="L513" s="377"/>
      <c r="M513" s="377"/>
      <c r="N513" s="377"/>
      <c r="P513" s="377"/>
      <c r="Q513" s="377"/>
      <c r="R513" s="377"/>
      <c r="S513" s="377"/>
      <c r="U513" s="377"/>
      <c r="V513" s="377"/>
      <c r="W513" s="377"/>
      <c r="X513" s="377"/>
      <c r="Z513" s="77"/>
      <c r="AA513" s="377"/>
      <c r="AB513" s="377"/>
      <c r="AC513" s="377"/>
      <c r="AE513" s="77"/>
      <c r="AF513" s="377"/>
      <c r="AG513" s="377"/>
      <c r="AH513" s="377"/>
      <c r="AJ513" s="77"/>
      <c r="AK513" s="77"/>
      <c r="AL513" s="77"/>
      <c r="AM513" s="77"/>
      <c r="AN513" s="77"/>
    </row>
    <row r="514" spans="12:40">
      <c r="L514" s="377"/>
      <c r="M514" s="377"/>
      <c r="N514" s="377"/>
      <c r="P514" s="377"/>
      <c r="Q514" s="377"/>
      <c r="R514" s="377"/>
      <c r="S514" s="377"/>
      <c r="U514" s="377"/>
      <c r="V514" s="377"/>
      <c r="W514" s="377"/>
      <c r="X514" s="377"/>
      <c r="Z514" s="77"/>
      <c r="AA514" s="377"/>
      <c r="AB514" s="377"/>
      <c r="AC514" s="377"/>
      <c r="AE514" s="77"/>
      <c r="AF514" s="377"/>
      <c r="AG514" s="377"/>
      <c r="AH514" s="377"/>
      <c r="AJ514" s="77"/>
      <c r="AK514" s="77"/>
      <c r="AL514" s="77"/>
      <c r="AM514" s="77"/>
      <c r="AN514" s="77"/>
    </row>
    <row r="515" spans="12:40">
      <c r="L515" s="377"/>
      <c r="M515" s="377"/>
      <c r="N515" s="377"/>
      <c r="P515" s="377"/>
      <c r="Q515" s="377"/>
      <c r="R515" s="377"/>
      <c r="S515" s="377"/>
      <c r="U515" s="377"/>
      <c r="V515" s="377"/>
      <c r="W515" s="377"/>
      <c r="X515" s="377"/>
      <c r="Z515" s="77"/>
      <c r="AA515" s="377"/>
      <c r="AB515" s="377"/>
      <c r="AC515" s="377"/>
      <c r="AE515" s="77"/>
      <c r="AF515" s="377"/>
      <c r="AG515" s="377"/>
      <c r="AH515" s="377"/>
      <c r="AJ515" s="77"/>
      <c r="AK515" s="77"/>
      <c r="AL515" s="77"/>
      <c r="AM515" s="77"/>
      <c r="AN515" s="77"/>
    </row>
    <row r="516" spans="12:40">
      <c r="L516" s="377"/>
      <c r="M516" s="377"/>
      <c r="N516" s="377"/>
      <c r="P516" s="377"/>
      <c r="Q516" s="377"/>
      <c r="R516" s="377"/>
      <c r="S516" s="377"/>
      <c r="U516" s="377"/>
      <c r="V516" s="377"/>
      <c r="W516" s="377"/>
      <c r="X516" s="377"/>
      <c r="Z516" s="77"/>
      <c r="AA516" s="377"/>
      <c r="AB516" s="377"/>
      <c r="AC516" s="377"/>
      <c r="AE516" s="77"/>
      <c r="AF516" s="377"/>
      <c r="AG516" s="377"/>
      <c r="AH516" s="377"/>
      <c r="AJ516" s="77"/>
      <c r="AK516" s="77"/>
      <c r="AL516" s="77"/>
      <c r="AM516" s="77"/>
      <c r="AN516" s="77"/>
    </row>
    <row r="517" spans="12:40">
      <c r="L517" s="377"/>
      <c r="M517" s="377"/>
      <c r="N517" s="377"/>
      <c r="P517" s="377"/>
      <c r="Q517" s="377"/>
      <c r="R517" s="377"/>
      <c r="S517" s="377"/>
      <c r="U517" s="377"/>
      <c r="V517" s="377"/>
      <c r="W517" s="377"/>
      <c r="X517" s="377"/>
      <c r="Z517" s="77"/>
      <c r="AA517" s="377"/>
      <c r="AB517" s="377"/>
      <c r="AC517" s="377"/>
      <c r="AE517" s="77"/>
      <c r="AF517" s="377"/>
      <c r="AG517" s="377"/>
      <c r="AH517" s="377"/>
      <c r="AJ517" s="77"/>
      <c r="AK517" s="77"/>
      <c r="AL517" s="77"/>
      <c r="AM517" s="77"/>
      <c r="AN517" s="77"/>
    </row>
    <row r="518" spans="12:40">
      <c r="L518" s="377"/>
      <c r="M518" s="377"/>
      <c r="N518" s="377"/>
      <c r="P518" s="377"/>
      <c r="Q518" s="377"/>
      <c r="R518" s="377"/>
      <c r="S518" s="377"/>
      <c r="U518" s="377"/>
      <c r="V518" s="377"/>
      <c r="W518" s="377"/>
      <c r="X518" s="377"/>
      <c r="Z518" s="77"/>
      <c r="AA518" s="377"/>
      <c r="AB518" s="377"/>
      <c r="AC518" s="377"/>
      <c r="AE518" s="77"/>
      <c r="AF518" s="377"/>
      <c r="AG518" s="377"/>
      <c r="AH518" s="377"/>
      <c r="AJ518" s="77"/>
      <c r="AK518" s="77"/>
      <c r="AL518" s="77"/>
      <c r="AM518" s="77"/>
      <c r="AN518" s="77"/>
    </row>
    <row r="519" spans="12:40">
      <c r="L519" s="377"/>
      <c r="M519" s="377"/>
      <c r="N519" s="377"/>
      <c r="P519" s="377"/>
      <c r="Q519" s="377"/>
      <c r="R519" s="377"/>
      <c r="S519" s="377"/>
      <c r="U519" s="377"/>
      <c r="V519" s="377"/>
      <c r="W519" s="377"/>
      <c r="X519" s="377"/>
      <c r="Z519" s="77"/>
      <c r="AA519" s="377"/>
      <c r="AB519" s="377"/>
      <c r="AC519" s="377"/>
      <c r="AE519" s="77"/>
      <c r="AF519" s="377"/>
      <c r="AG519" s="377"/>
      <c r="AH519" s="377"/>
      <c r="AJ519" s="77"/>
      <c r="AK519" s="77"/>
      <c r="AL519" s="77"/>
      <c r="AM519" s="77"/>
      <c r="AN519" s="77"/>
    </row>
    <row r="520" spans="12:40">
      <c r="L520" s="377"/>
      <c r="M520" s="377"/>
      <c r="N520" s="377"/>
      <c r="P520" s="377"/>
      <c r="Q520" s="377"/>
      <c r="R520" s="377"/>
      <c r="S520" s="377"/>
      <c r="U520" s="377"/>
      <c r="V520" s="377"/>
      <c r="W520" s="377"/>
      <c r="X520" s="377"/>
      <c r="Z520" s="77"/>
      <c r="AA520" s="377"/>
      <c r="AB520" s="377"/>
      <c r="AC520" s="377"/>
      <c r="AE520" s="77"/>
      <c r="AF520" s="377"/>
      <c r="AG520" s="377"/>
      <c r="AH520" s="377"/>
      <c r="AJ520" s="77"/>
      <c r="AK520" s="77"/>
      <c r="AL520" s="77"/>
      <c r="AM520" s="77"/>
      <c r="AN520" s="77"/>
    </row>
    <row r="521" spans="12:40">
      <c r="L521" s="377"/>
      <c r="M521" s="377"/>
      <c r="N521" s="377"/>
      <c r="P521" s="377"/>
      <c r="Q521" s="377"/>
      <c r="R521" s="377"/>
      <c r="S521" s="377"/>
      <c r="U521" s="377"/>
      <c r="V521" s="377"/>
      <c r="W521" s="377"/>
      <c r="X521" s="377"/>
      <c r="Z521" s="77"/>
      <c r="AA521" s="377"/>
      <c r="AB521" s="377"/>
      <c r="AC521" s="377"/>
      <c r="AE521" s="77"/>
      <c r="AF521" s="377"/>
      <c r="AG521" s="377"/>
      <c r="AH521" s="377"/>
      <c r="AJ521" s="77"/>
      <c r="AK521" s="77"/>
      <c r="AL521" s="77"/>
      <c r="AM521" s="77"/>
      <c r="AN521" s="77"/>
    </row>
    <row r="522" spans="12:40">
      <c r="L522" s="377"/>
      <c r="M522" s="377"/>
      <c r="N522" s="377"/>
      <c r="P522" s="377"/>
      <c r="Q522" s="377"/>
      <c r="R522" s="377"/>
      <c r="S522" s="377"/>
      <c r="U522" s="377"/>
      <c r="V522" s="377"/>
      <c r="W522" s="377"/>
      <c r="X522" s="377"/>
      <c r="Z522" s="77"/>
      <c r="AA522" s="377"/>
      <c r="AB522" s="377"/>
      <c r="AC522" s="377"/>
      <c r="AE522" s="77"/>
      <c r="AF522" s="377"/>
      <c r="AG522" s="377"/>
      <c r="AH522" s="377"/>
      <c r="AJ522" s="77"/>
      <c r="AK522" s="77"/>
      <c r="AL522" s="77"/>
      <c r="AM522" s="77"/>
      <c r="AN522" s="77"/>
    </row>
    <row r="523" spans="12:40">
      <c r="L523" s="377"/>
      <c r="M523" s="377"/>
      <c r="N523" s="377"/>
      <c r="P523" s="377"/>
      <c r="Q523" s="377"/>
      <c r="R523" s="377"/>
      <c r="S523" s="377"/>
      <c r="U523" s="377"/>
      <c r="V523" s="377"/>
      <c r="W523" s="377"/>
      <c r="X523" s="377"/>
      <c r="Z523" s="77"/>
      <c r="AA523" s="377"/>
      <c r="AB523" s="377"/>
      <c r="AC523" s="377"/>
      <c r="AE523" s="77"/>
      <c r="AF523" s="377"/>
      <c r="AG523" s="377"/>
      <c r="AH523" s="377"/>
      <c r="AJ523" s="77"/>
      <c r="AK523" s="77"/>
      <c r="AL523" s="77"/>
      <c r="AM523" s="77"/>
      <c r="AN523" s="77"/>
    </row>
    <row r="524" spans="12:40">
      <c r="L524" s="377"/>
      <c r="M524" s="377"/>
      <c r="N524" s="377"/>
      <c r="P524" s="377"/>
      <c r="Q524" s="377"/>
      <c r="R524" s="377"/>
      <c r="S524" s="377"/>
      <c r="U524" s="377"/>
      <c r="V524" s="377"/>
      <c r="W524" s="377"/>
      <c r="X524" s="377"/>
      <c r="Z524" s="77"/>
      <c r="AA524" s="377"/>
      <c r="AB524" s="377"/>
      <c r="AC524" s="377"/>
      <c r="AE524" s="77"/>
      <c r="AF524" s="377"/>
      <c r="AG524" s="377"/>
      <c r="AH524" s="377"/>
      <c r="AJ524" s="77"/>
      <c r="AK524" s="77"/>
      <c r="AL524" s="77"/>
      <c r="AM524" s="77"/>
      <c r="AN524" s="77"/>
    </row>
    <row r="525" spans="12:40">
      <c r="L525" s="377"/>
      <c r="M525" s="377"/>
      <c r="N525" s="377"/>
      <c r="P525" s="377"/>
      <c r="Q525" s="377"/>
      <c r="R525" s="377"/>
      <c r="S525" s="377"/>
      <c r="U525" s="377"/>
      <c r="V525" s="377"/>
      <c r="W525" s="377"/>
      <c r="X525" s="377"/>
      <c r="Z525" s="77"/>
      <c r="AA525" s="377"/>
      <c r="AB525" s="377"/>
      <c r="AC525" s="377"/>
      <c r="AE525" s="77"/>
      <c r="AF525" s="377"/>
      <c r="AG525" s="377"/>
      <c r="AH525" s="377"/>
      <c r="AJ525" s="77"/>
      <c r="AK525" s="77"/>
      <c r="AL525" s="77"/>
      <c r="AM525" s="77"/>
      <c r="AN525" s="77"/>
    </row>
    <row r="526" spans="12:40">
      <c r="L526" s="377"/>
      <c r="M526" s="377"/>
      <c r="N526" s="377"/>
      <c r="P526" s="377"/>
      <c r="Q526" s="377"/>
      <c r="R526" s="377"/>
      <c r="S526" s="377"/>
      <c r="U526" s="377"/>
      <c r="V526" s="377"/>
      <c r="W526" s="377"/>
      <c r="X526" s="377"/>
      <c r="Z526" s="77"/>
      <c r="AA526" s="377"/>
      <c r="AB526" s="377"/>
      <c r="AC526" s="377"/>
      <c r="AE526" s="77"/>
      <c r="AF526" s="377"/>
      <c r="AG526" s="377"/>
      <c r="AH526" s="377"/>
      <c r="AJ526" s="77"/>
      <c r="AK526" s="77"/>
      <c r="AL526" s="77"/>
      <c r="AM526" s="77"/>
      <c r="AN526" s="77"/>
    </row>
    <row r="527" spans="12:40">
      <c r="L527" s="377"/>
      <c r="M527" s="377"/>
      <c r="N527" s="377"/>
      <c r="P527" s="377"/>
      <c r="Q527" s="377"/>
      <c r="R527" s="377"/>
      <c r="S527" s="377"/>
      <c r="U527" s="377"/>
      <c r="V527" s="377"/>
      <c r="W527" s="377"/>
      <c r="X527" s="377"/>
      <c r="Z527" s="77"/>
      <c r="AA527" s="377"/>
      <c r="AB527" s="377"/>
      <c r="AC527" s="377"/>
      <c r="AE527" s="77"/>
      <c r="AF527" s="377"/>
      <c r="AG527" s="377"/>
      <c r="AH527" s="377"/>
      <c r="AJ527" s="77"/>
      <c r="AK527" s="77"/>
      <c r="AL527" s="77"/>
      <c r="AM527" s="77"/>
      <c r="AN527" s="77"/>
    </row>
    <row r="528" spans="12:40">
      <c r="L528" s="377"/>
      <c r="M528" s="377"/>
      <c r="N528" s="377"/>
      <c r="P528" s="377"/>
      <c r="Q528" s="377"/>
      <c r="R528" s="377"/>
      <c r="S528" s="377"/>
      <c r="U528" s="377"/>
      <c r="V528" s="377"/>
      <c r="W528" s="377"/>
      <c r="X528" s="377"/>
      <c r="Z528" s="77"/>
      <c r="AA528" s="377"/>
      <c r="AB528" s="377"/>
      <c r="AC528" s="377"/>
      <c r="AE528" s="77"/>
      <c r="AF528" s="377"/>
      <c r="AG528" s="377"/>
      <c r="AH528" s="377"/>
      <c r="AJ528" s="77"/>
      <c r="AK528" s="77"/>
      <c r="AL528" s="77"/>
      <c r="AM528" s="77"/>
      <c r="AN528" s="77"/>
    </row>
    <row r="529" spans="12:40">
      <c r="L529" s="377"/>
      <c r="M529" s="377"/>
      <c r="N529" s="377"/>
      <c r="P529" s="377"/>
      <c r="Q529" s="377"/>
      <c r="R529" s="377"/>
      <c r="S529" s="377"/>
      <c r="U529" s="377"/>
      <c r="V529" s="377"/>
      <c r="W529" s="377"/>
      <c r="X529" s="377"/>
      <c r="Z529" s="77"/>
      <c r="AA529" s="377"/>
      <c r="AB529" s="377"/>
      <c r="AC529" s="377"/>
      <c r="AE529" s="77"/>
      <c r="AF529" s="377"/>
      <c r="AG529" s="377"/>
      <c r="AH529" s="377"/>
      <c r="AJ529" s="77"/>
      <c r="AK529" s="77"/>
      <c r="AL529" s="77"/>
      <c r="AM529" s="77"/>
      <c r="AN529" s="77"/>
    </row>
    <row r="530" spans="12:40">
      <c r="L530" s="377"/>
      <c r="M530" s="377"/>
      <c r="N530" s="377"/>
      <c r="P530" s="377"/>
      <c r="Q530" s="377"/>
      <c r="R530" s="377"/>
      <c r="S530" s="377"/>
      <c r="U530" s="377"/>
      <c r="V530" s="377"/>
      <c r="W530" s="377"/>
      <c r="X530" s="377"/>
      <c r="Z530" s="77"/>
      <c r="AA530" s="377"/>
      <c r="AB530" s="377"/>
      <c r="AC530" s="377"/>
      <c r="AE530" s="77"/>
      <c r="AF530" s="377"/>
      <c r="AG530" s="377"/>
      <c r="AH530" s="377"/>
      <c r="AJ530" s="77"/>
      <c r="AK530" s="77"/>
      <c r="AL530" s="77"/>
      <c r="AM530" s="77"/>
      <c r="AN530" s="77"/>
    </row>
    <row r="531" spans="12:40">
      <c r="L531" s="377"/>
      <c r="M531" s="377"/>
      <c r="N531" s="377"/>
      <c r="P531" s="377"/>
      <c r="Q531" s="377"/>
      <c r="R531" s="377"/>
      <c r="S531" s="377"/>
      <c r="U531" s="377"/>
      <c r="V531" s="377"/>
      <c r="W531" s="377"/>
      <c r="X531" s="377"/>
      <c r="Z531" s="77"/>
      <c r="AA531" s="377"/>
      <c r="AB531" s="377"/>
      <c r="AC531" s="377"/>
      <c r="AE531" s="77"/>
      <c r="AF531" s="377"/>
      <c r="AG531" s="377"/>
      <c r="AH531" s="377"/>
      <c r="AJ531" s="77"/>
      <c r="AK531" s="77"/>
      <c r="AL531" s="77"/>
      <c r="AM531" s="77"/>
      <c r="AN531" s="77"/>
    </row>
    <row r="532" spans="12:40">
      <c r="L532" s="377"/>
      <c r="M532" s="377"/>
      <c r="N532" s="377"/>
      <c r="P532" s="377"/>
      <c r="Q532" s="377"/>
      <c r="R532" s="377"/>
      <c r="S532" s="377"/>
      <c r="U532" s="377"/>
      <c r="V532" s="377"/>
      <c r="W532" s="377"/>
      <c r="X532" s="377"/>
      <c r="Z532" s="77"/>
      <c r="AA532" s="377"/>
      <c r="AB532" s="377"/>
      <c r="AC532" s="377"/>
      <c r="AE532" s="77"/>
      <c r="AF532" s="377"/>
      <c r="AG532" s="377"/>
      <c r="AH532" s="377"/>
      <c r="AJ532" s="77"/>
      <c r="AK532" s="77"/>
      <c r="AL532" s="77"/>
      <c r="AM532" s="77"/>
      <c r="AN532" s="77"/>
    </row>
    <row r="533" spans="12:40">
      <c r="L533" s="377"/>
      <c r="M533" s="377"/>
      <c r="N533" s="377"/>
      <c r="P533" s="377"/>
      <c r="Q533" s="377"/>
      <c r="R533" s="377"/>
      <c r="S533" s="377"/>
      <c r="U533" s="377"/>
      <c r="V533" s="377"/>
      <c r="W533" s="377"/>
      <c r="X533" s="377"/>
      <c r="Z533" s="77"/>
      <c r="AA533" s="377"/>
      <c r="AB533" s="377"/>
      <c r="AC533" s="377"/>
      <c r="AE533" s="77"/>
      <c r="AF533" s="377"/>
      <c r="AG533" s="377"/>
      <c r="AH533" s="377"/>
      <c r="AJ533" s="77"/>
      <c r="AK533" s="77"/>
      <c r="AL533" s="77"/>
      <c r="AM533" s="77"/>
      <c r="AN533" s="77"/>
    </row>
    <row r="534" spans="12:40">
      <c r="L534" s="377"/>
      <c r="M534" s="377"/>
      <c r="N534" s="377"/>
      <c r="P534" s="377"/>
      <c r="Q534" s="377"/>
      <c r="R534" s="377"/>
      <c r="S534" s="377"/>
      <c r="U534" s="377"/>
      <c r="V534" s="377"/>
      <c r="W534" s="377"/>
      <c r="X534" s="377"/>
      <c r="Z534" s="77"/>
      <c r="AA534" s="377"/>
      <c r="AB534" s="377"/>
      <c r="AC534" s="377"/>
      <c r="AE534" s="77"/>
      <c r="AF534" s="377"/>
      <c r="AG534" s="377"/>
      <c r="AH534" s="377"/>
      <c r="AJ534" s="77"/>
      <c r="AK534" s="77"/>
      <c r="AL534" s="77"/>
      <c r="AM534" s="77"/>
      <c r="AN534" s="77"/>
    </row>
    <row r="535" spans="12:40">
      <c r="L535" s="377"/>
      <c r="M535" s="377"/>
      <c r="N535" s="377"/>
      <c r="P535" s="377"/>
      <c r="Q535" s="377"/>
      <c r="R535" s="377"/>
      <c r="S535" s="377"/>
      <c r="U535" s="377"/>
      <c r="V535" s="377"/>
      <c r="W535" s="377"/>
      <c r="X535" s="377"/>
      <c r="Z535" s="77"/>
      <c r="AA535" s="377"/>
      <c r="AB535" s="377"/>
      <c r="AC535" s="377"/>
      <c r="AE535" s="77"/>
      <c r="AF535" s="377"/>
      <c r="AG535" s="377"/>
      <c r="AH535" s="377"/>
      <c r="AJ535" s="77"/>
      <c r="AK535" s="77"/>
      <c r="AL535" s="77"/>
      <c r="AM535" s="77"/>
      <c r="AN535" s="77"/>
    </row>
    <row r="536" spans="12:40">
      <c r="L536" s="377"/>
      <c r="M536" s="377"/>
      <c r="N536" s="377"/>
      <c r="P536" s="377"/>
      <c r="Q536" s="377"/>
      <c r="R536" s="377"/>
      <c r="S536" s="377"/>
      <c r="U536" s="377"/>
      <c r="V536" s="377"/>
      <c r="W536" s="377"/>
      <c r="X536" s="377"/>
      <c r="Z536" s="77"/>
      <c r="AA536" s="377"/>
      <c r="AB536" s="377"/>
      <c r="AC536" s="377"/>
      <c r="AE536" s="77"/>
      <c r="AF536" s="377"/>
      <c r="AG536" s="377"/>
      <c r="AH536" s="377"/>
      <c r="AJ536" s="77"/>
      <c r="AK536" s="77"/>
      <c r="AL536" s="77"/>
      <c r="AM536" s="77"/>
      <c r="AN536" s="77"/>
    </row>
    <row r="537" spans="12:40">
      <c r="L537" s="377"/>
      <c r="M537" s="377"/>
      <c r="N537" s="377"/>
      <c r="P537" s="377"/>
      <c r="Q537" s="377"/>
      <c r="R537" s="377"/>
      <c r="S537" s="377"/>
      <c r="U537" s="377"/>
      <c r="V537" s="377"/>
      <c r="W537" s="377"/>
      <c r="X537" s="377"/>
      <c r="Z537" s="77"/>
      <c r="AA537" s="377"/>
      <c r="AB537" s="377"/>
      <c r="AC537" s="377"/>
      <c r="AE537" s="77"/>
      <c r="AF537" s="377"/>
      <c r="AG537" s="377"/>
      <c r="AH537" s="377"/>
      <c r="AJ537" s="77"/>
      <c r="AK537" s="77"/>
      <c r="AL537" s="77"/>
      <c r="AM537" s="77"/>
      <c r="AN537" s="77"/>
    </row>
    <row r="538" spans="12:40">
      <c r="L538" s="377"/>
      <c r="M538" s="377"/>
      <c r="N538" s="377"/>
      <c r="P538" s="377"/>
      <c r="Q538" s="377"/>
      <c r="R538" s="377"/>
      <c r="S538" s="377"/>
      <c r="U538" s="377"/>
      <c r="V538" s="377"/>
      <c r="W538" s="377"/>
      <c r="X538" s="377"/>
      <c r="Z538" s="77"/>
      <c r="AA538" s="377"/>
      <c r="AB538" s="377"/>
      <c r="AC538" s="377"/>
      <c r="AE538" s="77"/>
      <c r="AF538" s="377"/>
      <c r="AG538" s="377"/>
      <c r="AH538" s="377"/>
      <c r="AJ538" s="77"/>
      <c r="AK538" s="77"/>
      <c r="AL538" s="77"/>
      <c r="AM538" s="77"/>
      <c r="AN538" s="77"/>
    </row>
    <row r="539" spans="12:40">
      <c r="L539" s="377"/>
      <c r="M539" s="377"/>
      <c r="N539" s="377"/>
      <c r="P539" s="377"/>
      <c r="Q539" s="377"/>
      <c r="R539" s="377"/>
      <c r="S539" s="377"/>
      <c r="U539" s="377"/>
      <c r="V539" s="377"/>
      <c r="W539" s="377"/>
      <c r="X539" s="377"/>
      <c r="Z539" s="77"/>
      <c r="AA539" s="377"/>
      <c r="AB539" s="377"/>
      <c r="AC539" s="377"/>
      <c r="AE539" s="77"/>
      <c r="AF539" s="377"/>
      <c r="AG539" s="377"/>
      <c r="AH539" s="377"/>
      <c r="AJ539" s="77"/>
      <c r="AK539" s="77"/>
      <c r="AL539" s="77"/>
      <c r="AM539" s="77"/>
      <c r="AN539" s="77"/>
    </row>
    <row r="540" spans="12:40">
      <c r="L540" s="377"/>
      <c r="M540" s="377"/>
      <c r="N540" s="377"/>
      <c r="P540" s="377"/>
      <c r="Q540" s="377"/>
      <c r="R540" s="377"/>
      <c r="S540" s="377"/>
      <c r="U540" s="377"/>
      <c r="V540" s="377"/>
      <c r="W540" s="377"/>
      <c r="X540" s="377"/>
      <c r="Z540" s="77"/>
      <c r="AA540" s="377"/>
      <c r="AB540" s="377"/>
      <c r="AC540" s="377"/>
      <c r="AE540" s="77"/>
      <c r="AF540" s="377"/>
      <c r="AG540" s="377"/>
      <c r="AH540" s="377"/>
      <c r="AJ540" s="77"/>
      <c r="AK540" s="77"/>
      <c r="AL540" s="77"/>
      <c r="AM540" s="77"/>
      <c r="AN540" s="77"/>
    </row>
    <row r="541" spans="12:40">
      <c r="L541" s="377"/>
      <c r="M541" s="377"/>
      <c r="N541" s="377"/>
      <c r="P541" s="377"/>
      <c r="Q541" s="377"/>
      <c r="R541" s="377"/>
      <c r="S541" s="377"/>
      <c r="U541" s="377"/>
      <c r="V541" s="377"/>
      <c r="W541" s="377"/>
      <c r="X541" s="377"/>
      <c r="Z541" s="77"/>
      <c r="AA541" s="377"/>
      <c r="AB541" s="377"/>
      <c r="AC541" s="377"/>
      <c r="AE541" s="77"/>
      <c r="AF541" s="377"/>
      <c r="AG541" s="377"/>
      <c r="AH541" s="377"/>
      <c r="AJ541" s="77"/>
      <c r="AK541" s="77"/>
      <c r="AL541" s="77"/>
      <c r="AM541" s="77"/>
      <c r="AN541" s="77"/>
    </row>
    <row r="542" spans="12:40">
      <c r="L542" s="377"/>
      <c r="M542" s="377"/>
      <c r="N542" s="377"/>
      <c r="P542" s="377"/>
      <c r="Q542" s="377"/>
      <c r="R542" s="377"/>
      <c r="S542" s="377"/>
      <c r="U542" s="377"/>
      <c r="V542" s="377"/>
      <c r="W542" s="377"/>
      <c r="X542" s="377"/>
      <c r="Z542" s="77"/>
      <c r="AA542" s="377"/>
      <c r="AB542" s="377"/>
      <c r="AC542" s="377"/>
      <c r="AE542" s="77"/>
      <c r="AF542" s="377"/>
      <c r="AG542" s="377"/>
      <c r="AH542" s="377"/>
      <c r="AJ542" s="77"/>
      <c r="AK542" s="77"/>
      <c r="AL542" s="77"/>
      <c r="AM542" s="77"/>
      <c r="AN542" s="77"/>
    </row>
    <row r="543" spans="12:40">
      <c r="L543" s="377"/>
      <c r="M543" s="377"/>
      <c r="N543" s="377"/>
      <c r="P543" s="377"/>
      <c r="Q543" s="377"/>
      <c r="R543" s="377"/>
      <c r="S543" s="377"/>
      <c r="U543" s="377"/>
      <c r="V543" s="377"/>
      <c r="W543" s="377"/>
      <c r="X543" s="377"/>
      <c r="Z543" s="77"/>
      <c r="AA543" s="377"/>
      <c r="AB543" s="377"/>
      <c r="AC543" s="377"/>
      <c r="AE543" s="77"/>
      <c r="AF543" s="377"/>
      <c r="AG543" s="377"/>
      <c r="AH543" s="377"/>
      <c r="AJ543" s="77"/>
      <c r="AK543" s="77"/>
      <c r="AL543" s="77"/>
      <c r="AM543" s="77"/>
      <c r="AN543" s="77"/>
    </row>
    <row r="544" spans="12:40">
      <c r="L544" s="377"/>
      <c r="M544" s="377"/>
      <c r="N544" s="377"/>
      <c r="P544" s="377"/>
      <c r="Q544" s="377"/>
      <c r="R544" s="377"/>
      <c r="S544" s="377"/>
      <c r="U544" s="377"/>
      <c r="V544" s="377"/>
      <c r="W544" s="377"/>
      <c r="X544" s="377"/>
      <c r="Z544" s="77"/>
      <c r="AA544" s="377"/>
      <c r="AB544" s="377"/>
      <c r="AC544" s="377"/>
      <c r="AE544" s="77"/>
      <c r="AF544" s="377"/>
      <c r="AG544" s="377"/>
      <c r="AH544" s="377"/>
      <c r="AJ544" s="77"/>
      <c r="AK544" s="77"/>
      <c r="AL544" s="77"/>
      <c r="AM544" s="77"/>
      <c r="AN544" s="77"/>
    </row>
    <row r="545" spans="12:40">
      <c r="L545" s="377"/>
      <c r="M545" s="377"/>
      <c r="N545" s="377"/>
      <c r="P545" s="377"/>
      <c r="Q545" s="377"/>
      <c r="R545" s="377"/>
      <c r="S545" s="377"/>
      <c r="U545" s="377"/>
      <c r="V545" s="377"/>
      <c r="W545" s="377"/>
      <c r="X545" s="377"/>
      <c r="Z545" s="77"/>
      <c r="AA545" s="377"/>
      <c r="AB545" s="377"/>
      <c r="AC545" s="377"/>
      <c r="AE545" s="77"/>
      <c r="AF545" s="377"/>
      <c r="AG545" s="377"/>
      <c r="AH545" s="377"/>
      <c r="AJ545" s="77"/>
      <c r="AK545" s="77"/>
      <c r="AL545" s="77"/>
      <c r="AM545" s="77"/>
      <c r="AN545" s="77"/>
    </row>
    <row r="546" spans="12:40">
      <c r="L546" s="377"/>
      <c r="M546" s="377"/>
      <c r="N546" s="377"/>
      <c r="P546" s="377"/>
      <c r="Q546" s="377"/>
      <c r="R546" s="377"/>
      <c r="S546" s="377"/>
      <c r="U546" s="377"/>
      <c r="V546" s="377"/>
      <c r="W546" s="377"/>
      <c r="X546" s="377"/>
      <c r="Z546" s="77"/>
      <c r="AA546" s="377"/>
      <c r="AB546" s="377"/>
      <c r="AC546" s="377"/>
      <c r="AE546" s="77"/>
      <c r="AF546" s="377"/>
      <c r="AG546" s="377"/>
      <c r="AH546" s="377"/>
      <c r="AJ546" s="77"/>
      <c r="AK546" s="77"/>
      <c r="AL546" s="77"/>
      <c r="AM546" s="77"/>
      <c r="AN546" s="77"/>
    </row>
    <row r="547" spans="12:40">
      <c r="L547" s="377"/>
      <c r="M547" s="377"/>
      <c r="N547" s="377"/>
      <c r="P547" s="377"/>
      <c r="Q547" s="377"/>
      <c r="R547" s="377"/>
      <c r="S547" s="377"/>
      <c r="U547" s="377"/>
      <c r="V547" s="377"/>
      <c r="W547" s="377"/>
      <c r="X547" s="377"/>
      <c r="Z547" s="77"/>
      <c r="AA547" s="377"/>
      <c r="AB547" s="377"/>
      <c r="AC547" s="377"/>
      <c r="AE547" s="77"/>
      <c r="AF547" s="377"/>
      <c r="AG547" s="377"/>
      <c r="AH547" s="377"/>
      <c r="AJ547" s="77"/>
      <c r="AK547" s="77"/>
      <c r="AL547" s="77"/>
      <c r="AM547" s="77"/>
      <c r="AN547" s="77"/>
    </row>
    <row r="548" spans="12:40">
      <c r="L548" s="377"/>
      <c r="M548" s="377"/>
      <c r="N548" s="377"/>
      <c r="P548" s="377"/>
      <c r="Q548" s="377"/>
      <c r="R548" s="377"/>
      <c r="S548" s="377"/>
      <c r="U548" s="377"/>
      <c r="V548" s="377"/>
      <c r="W548" s="377"/>
      <c r="X548" s="377"/>
      <c r="Z548" s="77"/>
      <c r="AA548" s="377"/>
      <c r="AB548" s="377"/>
      <c r="AC548" s="377"/>
      <c r="AE548" s="77"/>
      <c r="AF548" s="377"/>
      <c r="AG548" s="377"/>
      <c r="AH548" s="377"/>
      <c r="AJ548" s="77"/>
      <c r="AK548" s="77"/>
      <c r="AL548" s="77"/>
      <c r="AM548" s="77"/>
      <c r="AN548" s="77"/>
    </row>
    <row r="549" spans="12:40">
      <c r="L549" s="377"/>
      <c r="M549" s="377"/>
      <c r="N549" s="377"/>
      <c r="P549" s="377"/>
      <c r="Q549" s="377"/>
      <c r="R549" s="377"/>
      <c r="S549" s="377"/>
      <c r="U549" s="377"/>
      <c r="V549" s="377"/>
      <c r="W549" s="377"/>
      <c r="X549" s="377"/>
      <c r="Z549" s="77"/>
      <c r="AA549" s="377"/>
      <c r="AB549" s="377"/>
      <c r="AC549" s="377"/>
      <c r="AE549" s="77"/>
      <c r="AF549" s="377"/>
      <c r="AG549" s="377"/>
      <c r="AH549" s="377"/>
      <c r="AJ549" s="77"/>
      <c r="AK549" s="77"/>
      <c r="AL549" s="77"/>
      <c r="AM549" s="77"/>
      <c r="AN549" s="77"/>
    </row>
    <row r="550" spans="12:40">
      <c r="L550" s="377"/>
      <c r="M550" s="377"/>
      <c r="N550" s="377"/>
      <c r="P550" s="377"/>
      <c r="Q550" s="377"/>
      <c r="R550" s="377"/>
      <c r="S550" s="377"/>
      <c r="U550" s="377"/>
      <c r="V550" s="377"/>
      <c r="W550" s="377"/>
      <c r="X550" s="377"/>
      <c r="Z550" s="77"/>
      <c r="AA550" s="377"/>
      <c r="AB550" s="377"/>
      <c r="AC550" s="377"/>
      <c r="AE550" s="77"/>
      <c r="AF550" s="377"/>
      <c r="AG550" s="377"/>
      <c r="AH550" s="377"/>
      <c r="AJ550" s="77"/>
      <c r="AK550" s="77"/>
      <c r="AL550" s="77"/>
      <c r="AM550" s="77"/>
      <c r="AN550" s="77"/>
    </row>
    <row r="551" spans="12:40">
      <c r="L551" s="377"/>
      <c r="M551" s="377"/>
      <c r="N551" s="377"/>
      <c r="P551" s="377"/>
      <c r="Q551" s="377"/>
      <c r="R551" s="377"/>
      <c r="S551" s="377"/>
      <c r="U551" s="377"/>
      <c r="V551" s="377"/>
      <c r="W551" s="377"/>
      <c r="X551" s="377"/>
      <c r="Z551" s="77"/>
      <c r="AA551" s="377"/>
      <c r="AB551" s="377"/>
      <c r="AC551" s="377"/>
      <c r="AE551" s="77"/>
      <c r="AF551" s="377"/>
      <c r="AG551" s="377"/>
      <c r="AH551" s="377"/>
      <c r="AJ551" s="77"/>
      <c r="AK551" s="77"/>
      <c r="AL551" s="77"/>
      <c r="AM551" s="77"/>
      <c r="AN551" s="77"/>
    </row>
    <row r="552" spans="12:40">
      <c r="L552" s="377"/>
      <c r="M552" s="377"/>
      <c r="N552" s="377"/>
      <c r="P552" s="377"/>
      <c r="Q552" s="377"/>
      <c r="R552" s="377"/>
      <c r="S552" s="377"/>
      <c r="U552" s="377"/>
      <c r="V552" s="377"/>
      <c r="W552" s="377"/>
      <c r="X552" s="377"/>
      <c r="Z552" s="77"/>
      <c r="AA552" s="377"/>
      <c r="AB552" s="377"/>
      <c r="AC552" s="377"/>
      <c r="AE552" s="77"/>
      <c r="AF552" s="377"/>
      <c r="AG552" s="377"/>
      <c r="AH552" s="377"/>
      <c r="AJ552" s="77"/>
      <c r="AK552" s="77"/>
      <c r="AL552" s="77"/>
      <c r="AM552" s="77"/>
      <c r="AN552" s="77"/>
    </row>
    <row r="553" spans="12:40">
      <c r="L553" s="377"/>
      <c r="M553" s="377"/>
      <c r="N553" s="377"/>
      <c r="P553" s="377"/>
      <c r="Q553" s="377"/>
      <c r="R553" s="377"/>
      <c r="S553" s="377"/>
      <c r="U553" s="377"/>
      <c r="V553" s="377"/>
      <c r="W553" s="377"/>
      <c r="X553" s="377"/>
      <c r="Z553" s="77"/>
      <c r="AA553" s="377"/>
      <c r="AB553" s="377"/>
      <c r="AC553" s="377"/>
      <c r="AE553" s="77"/>
      <c r="AF553" s="377"/>
      <c r="AG553" s="377"/>
      <c r="AH553" s="377"/>
      <c r="AJ553" s="77"/>
      <c r="AK553" s="77"/>
      <c r="AL553" s="77"/>
      <c r="AM553" s="77"/>
      <c r="AN553" s="77"/>
    </row>
    <row r="554" spans="12:40">
      <c r="L554" s="377"/>
      <c r="M554" s="377"/>
      <c r="N554" s="377"/>
      <c r="P554" s="377"/>
      <c r="Q554" s="377"/>
      <c r="R554" s="377"/>
      <c r="S554" s="377"/>
      <c r="U554" s="377"/>
      <c r="V554" s="377"/>
      <c r="W554" s="377"/>
      <c r="X554" s="377"/>
      <c r="Z554" s="77"/>
      <c r="AA554" s="377"/>
      <c r="AB554" s="377"/>
      <c r="AC554" s="377"/>
      <c r="AE554" s="77"/>
      <c r="AF554" s="377"/>
      <c r="AG554" s="377"/>
      <c r="AH554" s="377"/>
      <c r="AJ554" s="77"/>
      <c r="AK554" s="77"/>
      <c r="AL554" s="77"/>
      <c r="AM554" s="77"/>
      <c r="AN554" s="77"/>
    </row>
    <row r="555" spans="12:40">
      <c r="L555" s="377"/>
      <c r="M555" s="377"/>
      <c r="N555" s="377"/>
      <c r="P555" s="377"/>
      <c r="Q555" s="377"/>
      <c r="R555" s="377"/>
      <c r="S555" s="377"/>
      <c r="U555" s="377"/>
      <c r="V555" s="377"/>
      <c r="W555" s="377"/>
      <c r="X555" s="377"/>
      <c r="Z555" s="77"/>
      <c r="AA555" s="377"/>
      <c r="AB555" s="377"/>
      <c r="AC555" s="377"/>
      <c r="AE555" s="77"/>
      <c r="AF555" s="377"/>
      <c r="AG555" s="377"/>
      <c r="AH555" s="377"/>
      <c r="AJ555" s="77"/>
      <c r="AK555" s="77"/>
      <c r="AL555" s="77"/>
      <c r="AM555" s="77"/>
      <c r="AN555" s="77"/>
    </row>
    <row r="556" spans="12:40">
      <c r="L556" s="377"/>
      <c r="M556" s="377"/>
      <c r="N556" s="377"/>
      <c r="P556" s="377"/>
      <c r="Q556" s="377"/>
      <c r="R556" s="377"/>
      <c r="S556" s="377"/>
      <c r="U556" s="377"/>
      <c r="V556" s="377"/>
      <c r="W556" s="377"/>
      <c r="X556" s="377"/>
      <c r="Z556" s="77"/>
      <c r="AA556" s="377"/>
      <c r="AB556" s="377"/>
      <c r="AC556" s="377"/>
      <c r="AE556" s="77"/>
      <c r="AF556" s="377"/>
      <c r="AG556" s="377"/>
      <c r="AH556" s="377"/>
      <c r="AJ556" s="77"/>
      <c r="AK556" s="77"/>
      <c r="AL556" s="77"/>
      <c r="AM556" s="77"/>
      <c r="AN556" s="77"/>
    </row>
    <row r="557" spans="12:40">
      <c r="L557" s="377"/>
      <c r="M557" s="377"/>
      <c r="N557" s="377"/>
      <c r="P557" s="377"/>
      <c r="Q557" s="377"/>
      <c r="R557" s="377"/>
      <c r="S557" s="377"/>
      <c r="U557" s="377"/>
      <c r="V557" s="377"/>
      <c r="W557" s="377"/>
      <c r="X557" s="377"/>
      <c r="Z557" s="77"/>
      <c r="AA557" s="377"/>
      <c r="AB557" s="377"/>
      <c r="AC557" s="377"/>
      <c r="AE557" s="77"/>
      <c r="AF557" s="377"/>
      <c r="AG557" s="377"/>
      <c r="AH557" s="377"/>
      <c r="AJ557" s="77"/>
      <c r="AK557" s="77"/>
      <c r="AL557" s="77"/>
      <c r="AM557" s="77"/>
      <c r="AN557" s="77"/>
    </row>
    <row r="558" spans="12:40">
      <c r="L558" s="377"/>
      <c r="M558" s="377"/>
      <c r="N558" s="377"/>
      <c r="P558" s="377"/>
      <c r="Q558" s="377"/>
      <c r="R558" s="377"/>
      <c r="S558" s="377"/>
      <c r="U558" s="377"/>
      <c r="V558" s="377"/>
      <c r="W558" s="377"/>
      <c r="X558" s="377"/>
      <c r="Z558" s="77"/>
      <c r="AA558" s="377"/>
      <c r="AB558" s="377"/>
      <c r="AC558" s="377"/>
      <c r="AE558" s="77"/>
      <c r="AF558" s="377"/>
      <c r="AG558" s="377"/>
      <c r="AH558" s="377"/>
      <c r="AJ558" s="77"/>
      <c r="AK558" s="77"/>
      <c r="AL558" s="77"/>
      <c r="AM558" s="77"/>
      <c r="AN558" s="77"/>
    </row>
    <row r="559" spans="12:40">
      <c r="L559" s="377"/>
      <c r="M559" s="377"/>
      <c r="N559" s="377"/>
      <c r="P559" s="377"/>
      <c r="Q559" s="377"/>
      <c r="R559" s="377"/>
      <c r="S559" s="377"/>
      <c r="U559" s="377"/>
      <c r="V559" s="377"/>
      <c r="W559" s="377"/>
      <c r="X559" s="377"/>
      <c r="Z559" s="77"/>
      <c r="AA559" s="377"/>
      <c r="AB559" s="377"/>
      <c r="AC559" s="377"/>
      <c r="AE559" s="77"/>
      <c r="AF559" s="377"/>
      <c r="AG559" s="377"/>
      <c r="AH559" s="377"/>
      <c r="AJ559" s="77"/>
      <c r="AK559" s="77"/>
      <c r="AL559" s="77"/>
      <c r="AM559" s="77"/>
      <c r="AN559" s="77"/>
    </row>
    <row r="560" spans="12:40">
      <c r="L560" s="377"/>
      <c r="M560" s="377"/>
      <c r="N560" s="377"/>
      <c r="P560" s="377"/>
      <c r="Q560" s="377"/>
      <c r="R560" s="377"/>
      <c r="S560" s="377"/>
      <c r="U560" s="377"/>
      <c r="V560" s="377"/>
      <c r="W560" s="377"/>
      <c r="X560" s="377"/>
      <c r="Z560" s="77"/>
      <c r="AA560" s="377"/>
      <c r="AB560" s="377"/>
      <c r="AC560" s="377"/>
      <c r="AE560" s="77"/>
      <c r="AF560" s="377"/>
      <c r="AG560" s="377"/>
      <c r="AH560" s="377"/>
      <c r="AJ560" s="77"/>
      <c r="AK560" s="77"/>
      <c r="AL560" s="77"/>
      <c r="AM560" s="77"/>
      <c r="AN560" s="77"/>
    </row>
    <row r="561" spans="12:40">
      <c r="L561" s="377"/>
      <c r="M561" s="377"/>
      <c r="N561" s="377"/>
      <c r="P561" s="377"/>
      <c r="Q561" s="377"/>
      <c r="R561" s="377"/>
      <c r="S561" s="377"/>
      <c r="U561" s="377"/>
      <c r="V561" s="377"/>
      <c r="W561" s="377"/>
      <c r="X561" s="377"/>
      <c r="Z561" s="77"/>
      <c r="AA561" s="377"/>
      <c r="AB561" s="377"/>
      <c r="AC561" s="377"/>
      <c r="AE561" s="77"/>
      <c r="AF561" s="377"/>
      <c r="AG561" s="377"/>
      <c r="AH561" s="377"/>
      <c r="AJ561" s="77"/>
      <c r="AK561" s="77"/>
      <c r="AL561" s="77"/>
      <c r="AM561" s="77"/>
      <c r="AN561" s="77"/>
    </row>
    <row r="562" spans="12:40">
      <c r="L562" s="377"/>
      <c r="M562" s="377"/>
      <c r="N562" s="377"/>
      <c r="P562" s="377"/>
      <c r="Q562" s="377"/>
      <c r="R562" s="377"/>
      <c r="S562" s="377"/>
      <c r="U562" s="377"/>
      <c r="V562" s="377"/>
      <c r="W562" s="377"/>
      <c r="X562" s="377"/>
      <c r="Z562" s="77"/>
      <c r="AA562" s="377"/>
      <c r="AB562" s="377"/>
      <c r="AC562" s="377"/>
      <c r="AE562" s="77"/>
      <c r="AF562" s="377"/>
      <c r="AG562" s="377"/>
      <c r="AH562" s="377"/>
      <c r="AJ562" s="77"/>
      <c r="AK562" s="77"/>
      <c r="AL562" s="77"/>
      <c r="AM562" s="77"/>
      <c r="AN562" s="77"/>
    </row>
    <row r="563" spans="12:40">
      <c r="L563" s="377"/>
      <c r="M563" s="377"/>
      <c r="N563" s="377"/>
      <c r="P563" s="377"/>
      <c r="Q563" s="377"/>
      <c r="R563" s="377"/>
      <c r="S563" s="377"/>
      <c r="U563" s="377"/>
      <c r="V563" s="377"/>
      <c r="W563" s="377"/>
      <c r="X563" s="377"/>
      <c r="Z563" s="77"/>
      <c r="AA563" s="377"/>
      <c r="AB563" s="377"/>
      <c r="AC563" s="377"/>
      <c r="AE563" s="77"/>
      <c r="AF563" s="377"/>
      <c r="AG563" s="377"/>
      <c r="AH563" s="377"/>
      <c r="AJ563" s="77"/>
      <c r="AK563" s="77"/>
      <c r="AL563" s="77"/>
      <c r="AM563" s="77"/>
      <c r="AN563" s="77"/>
    </row>
    <row r="564" spans="12:40">
      <c r="L564" s="377"/>
      <c r="M564" s="377"/>
      <c r="N564" s="377"/>
      <c r="P564" s="377"/>
      <c r="Q564" s="377"/>
      <c r="R564" s="377"/>
      <c r="S564" s="377"/>
      <c r="U564" s="377"/>
      <c r="V564" s="377"/>
      <c r="W564" s="377"/>
      <c r="X564" s="377"/>
      <c r="Z564" s="77"/>
      <c r="AA564" s="377"/>
      <c r="AB564" s="377"/>
      <c r="AC564" s="377"/>
      <c r="AE564" s="77"/>
      <c r="AF564" s="377"/>
      <c r="AG564" s="377"/>
      <c r="AH564" s="377"/>
      <c r="AJ564" s="77"/>
      <c r="AK564" s="77"/>
      <c r="AL564" s="77"/>
      <c r="AM564" s="77"/>
      <c r="AN564" s="77"/>
    </row>
    <row r="565" spans="12:40">
      <c r="L565" s="377"/>
      <c r="M565" s="377"/>
      <c r="N565" s="377"/>
      <c r="P565" s="377"/>
      <c r="Q565" s="377"/>
      <c r="R565" s="377"/>
      <c r="S565" s="377"/>
      <c r="U565" s="377"/>
      <c r="V565" s="377"/>
      <c r="W565" s="377"/>
      <c r="X565" s="377"/>
      <c r="Z565" s="77"/>
      <c r="AA565" s="377"/>
      <c r="AB565" s="377"/>
      <c r="AC565" s="377"/>
      <c r="AE565" s="77"/>
      <c r="AF565" s="377"/>
      <c r="AG565" s="377"/>
      <c r="AH565" s="377"/>
      <c r="AJ565" s="77"/>
      <c r="AK565" s="77"/>
      <c r="AL565" s="77"/>
      <c r="AM565" s="77"/>
      <c r="AN565" s="77"/>
    </row>
    <row r="566" spans="12:40">
      <c r="L566" s="377"/>
      <c r="M566" s="377"/>
      <c r="N566" s="377"/>
      <c r="P566" s="377"/>
      <c r="Q566" s="377"/>
      <c r="R566" s="377"/>
      <c r="S566" s="377"/>
      <c r="U566" s="377"/>
      <c r="V566" s="377"/>
      <c r="W566" s="377"/>
      <c r="X566" s="377"/>
      <c r="Z566" s="77"/>
      <c r="AA566" s="377"/>
      <c r="AB566" s="377"/>
      <c r="AC566" s="377"/>
      <c r="AE566" s="77"/>
      <c r="AF566" s="377"/>
      <c r="AG566" s="377"/>
      <c r="AH566" s="377"/>
      <c r="AJ566" s="77"/>
      <c r="AK566" s="77"/>
      <c r="AL566" s="77"/>
      <c r="AM566" s="77"/>
      <c r="AN566" s="77"/>
    </row>
    <row r="567" spans="12:40">
      <c r="L567" s="377"/>
      <c r="M567" s="377"/>
      <c r="N567" s="377"/>
      <c r="P567" s="377"/>
      <c r="Q567" s="377"/>
      <c r="R567" s="377"/>
      <c r="S567" s="377"/>
      <c r="U567" s="377"/>
      <c r="V567" s="377"/>
      <c r="W567" s="377"/>
      <c r="X567" s="377"/>
      <c r="Z567" s="77"/>
      <c r="AA567" s="377"/>
      <c r="AB567" s="377"/>
      <c r="AC567" s="377"/>
      <c r="AE567" s="77"/>
      <c r="AF567" s="377"/>
      <c r="AG567" s="377"/>
      <c r="AH567" s="377"/>
      <c r="AJ567" s="77"/>
      <c r="AK567" s="77"/>
      <c r="AL567" s="77"/>
      <c r="AM567" s="77"/>
      <c r="AN567" s="77"/>
    </row>
    <row r="568" spans="12:40">
      <c r="L568" s="377"/>
      <c r="M568" s="377"/>
      <c r="N568" s="377"/>
      <c r="P568" s="377"/>
      <c r="Q568" s="377"/>
      <c r="R568" s="377"/>
      <c r="S568" s="377"/>
      <c r="U568" s="377"/>
      <c r="V568" s="377"/>
      <c r="W568" s="377"/>
      <c r="X568" s="377"/>
      <c r="Z568" s="77"/>
      <c r="AA568" s="377"/>
      <c r="AB568" s="377"/>
      <c r="AC568" s="377"/>
      <c r="AE568" s="77"/>
      <c r="AF568" s="377"/>
      <c r="AG568" s="377"/>
      <c r="AH568" s="377"/>
      <c r="AJ568" s="77"/>
      <c r="AK568" s="77"/>
      <c r="AL568" s="77"/>
      <c r="AM568" s="77"/>
      <c r="AN568" s="77"/>
    </row>
    <row r="569" spans="12:40">
      <c r="L569" s="377"/>
      <c r="M569" s="377"/>
      <c r="N569" s="377"/>
      <c r="P569" s="377"/>
      <c r="Q569" s="377"/>
      <c r="R569" s="377"/>
      <c r="S569" s="377"/>
      <c r="U569" s="377"/>
      <c r="V569" s="377"/>
      <c r="W569" s="377"/>
      <c r="X569" s="377"/>
      <c r="Z569" s="77"/>
      <c r="AA569" s="377"/>
      <c r="AB569" s="377"/>
      <c r="AC569" s="377"/>
      <c r="AE569" s="77"/>
      <c r="AF569" s="377"/>
      <c r="AG569" s="377"/>
      <c r="AH569" s="377"/>
      <c r="AJ569" s="77"/>
      <c r="AK569" s="77"/>
      <c r="AL569" s="77"/>
      <c r="AM569" s="77"/>
      <c r="AN569" s="77"/>
    </row>
    <row r="570" spans="12:40">
      <c r="L570" s="377"/>
      <c r="M570" s="377"/>
      <c r="N570" s="377"/>
      <c r="P570" s="377"/>
      <c r="Q570" s="377"/>
      <c r="R570" s="377"/>
      <c r="S570" s="377"/>
      <c r="U570" s="377"/>
      <c r="V570" s="377"/>
      <c r="W570" s="377"/>
      <c r="X570" s="377"/>
      <c r="Z570" s="77"/>
      <c r="AA570" s="377"/>
      <c r="AB570" s="377"/>
      <c r="AC570" s="377"/>
      <c r="AE570" s="77"/>
      <c r="AF570" s="377"/>
      <c r="AG570" s="377"/>
      <c r="AH570" s="377"/>
      <c r="AJ570" s="77"/>
      <c r="AK570" s="77"/>
      <c r="AL570" s="77"/>
      <c r="AM570" s="77"/>
      <c r="AN570" s="77"/>
    </row>
    <row r="571" spans="12:40">
      <c r="L571" s="377"/>
      <c r="M571" s="377"/>
      <c r="N571" s="377"/>
      <c r="P571" s="377"/>
      <c r="Q571" s="377"/>
      <c r="R571" s="377"/>
      <c r="S571" s="377"/>
      <c r="U571" s="377"/>
      <c r="V571" s="377"/>
      <c r="W571" s="377"/>
      <c r="X571" s="377"/>
      <c r="Z571" s="77"/>
      <c r="AA571" s="377"/>
      <c r="AB571" s="377"/>
      <c r="AC571" s="377"/>
      <c r="AE571" s="77"/>
      <c r="AF571" s="377"/>
      <c r="AG571" s="377"/>
      <c r="AH571" s="377"/>
      <c r="AJ571" s="77"/>
      <c r="AK571" s="77"/>
      <c r="AL571" s="77"/>
      <c r="AM571" s="77"/>
      <c r="AN571" s="77"/>
    </row>
    <row r="572" spans="12:40">
      <c r="L572" s="377"/>
      <c r="M572" s="377"/>
      <c r="N572" s="377"/>
      <c r="P572" s="377"/>
      <c r="Q572" s="377"/>
      <c r="R572" s="377"/>
      <c r="S572" s="377"/>
      <c r="U572" s="377"/>
      <c r="V572" s="377"/>
      <c r="W572" s="377"/>
      <c r="X572" s="377"/>
      <c r="Z572" s="77"/>
      <c r="AA572" s="377"/>
      <c r="AB572" s="377"/>
      <c r="AC572" s="377"/>
      <c r="AE572" s="77"/>
      <c r="AF572" s="377"/>
      <c r="AG572" s="377"/>
      <c r="AH572" s="377"/>
      <c r="AJ572" s="77"/>
      <c r="AK572" s="77"/>
      <c r="AL572" s="77"/>
      <c r="AM572" s="77"/>
      <c r="AN572" s="77"/>
    </row>
    <row r="573" spans="12:40">
      <c r="L573" s="377"/>
      <c r="M573" s="377"/>
      <c r="N573" s="377"/>
      <c r="P573" s="377"/>
      <c r="Q573" s="377"/>
      <c r="R573" s="377"/>
      <c r="S573" s="377"/>
      <c r="U573" s="377"/>
      <c r="V573" s="377"/>
      <c r="W573" s="377"/>
      <c r="X573" s="377"/>
      <c r="Z573" s="77"/>
      <c r="AA573" s="377"/>
      <c r="AB573" s="377"/>
      <c r="AC573" s="377"/>
      <c r="AE573" s="77"/>
      <c r="AF573" s="377"/>
      <c r="AG573" s="377"/>
      <c r="AH573" s="377"/>
      <c r="AJ573" s="77"/>
      <c r="AK573" s="77"/>
      <c r="AL573" s="77"/>
      <c r="AM573" s="77"/>
      <c r="AN573" s="77"/>
    </row>
    <row r="574" spans="12:40">
      <c r="L574" s="377"/>
      <c r="M574" s="377"/>
      <c r="N574" s="377"/>
      <c r="P574" s="377"/>
      <c r="Q574" s="377"/>
      <c r="R574" s="377"/>
      <c r="S574" s="377"/>
      <c r="U574" s="377"/>
      <c r="V574" s="377"/>
      <c r="W574" s="377"/>
      <c r="X574" s="377"/>
      <c r="Z574" s="77"/>
      <c r="AA574" s="377"/>
      <c r="AB574" s="377"/>
      <c r="AC574" s="377"/>
      <c r="AE574" s="77"/>
      <c r="AF574" s="377"/>
      <c r="AG574" s="377"/>
      <c r="AH574" s="377"/>
      <c r="AJ574" s="77"/>
      <c r="AK574" s="77"/>
      <c r="AL574" s="77"/>
      <c r="AM574" s="77"/>
      <c r="AN574" s="77"/>
    </row>
    <row r="575" spans="12:40">
      <c r="L575" s="377"/>
      <c r="M575" s="377"/>
      <c r="N575" s="377"/>
      <c r="P575" s="377"/>
      <c r="Q575" s="377"/>
      <c r="R575" s="377"/>
      <c r="S575" s="377"/>
      <c r="U575" s="377"/>
      <c r="V575" s="377"/>
      <c r="W575" s="377"/>
      <c r="X575" s="377"/>
      <c r="Z575" s="77"/>
      <c r="AA575" s="377"/>
      <c r="AB575" s="377"/>
      <c r="AC575" s="377"/>
      <c r="AE575" s="77"/>
      <c r="AF575" s="377"/>
      <c r="AG575" s="377"/>
      <c r="AH575" s="377"/>
      <c r="AJ575" s="77"/>
      <c r="AK575" s="77"/>
      <c r="AL575" s="77"/>
      <c r="AM575" s="77"/>
      <c r="AN575" s="77"/>
    </row>
    <row r="576" spans="12:40">
      <c r="L576" s="377"/>
      <c r="M576" s="377"/>
      <c r="N576" s="377"/>
      <c r="P576" s="377"/>
      <c r="Q576" s="377"/>
      <c r="R576" s="377"/>
      <c r="S576" s="377"/>
      <c r="U576" s="377"/>
      <c r="V576" s="377"/>
      <c r="W576" s="377"/>
      <c r="X576" s="377"/>
      <c r="Z576" s="77"/>
      <c r="AA576" s="377"/>
      <c r="AB576" s="377"/>
      <c r="AC576" s="377"/>
      <c r="AE576" s="77"/>
      <c r="AF576" s="377"/>
      <c r="AG576" s="377"/>
      <c r="AH576" s="377"/>
      <c r="AJ576" s="77"/>
      <c r="AK576" s="77"/>
      <c r="AL576" s="77"/>
      <c r="AM576" s="77"/>
      <c r="AN576" s="77"/>
    </row>
    <row r="577" spans="12:40">
      <c r="L577" s="377"/>
      <c r="M577" s="377"/>
      <c r="N577" s="377"/>
      <c r="P577" s="377"/>
      <c r="Q577" s="377"/>
      <c r="R577" s="377"/>
      <c r="S577" s="377"/>
      <c r="U577" s="377"/>
      <c r="V577" s="377"/>
      <c r="W577" s="377"/>
      <c r="X577" s="377"/>
      <c r="Z577" s="77"/>
      <c r="AA577" s="377"/>
      <c r="AB577" s="377"/>
      <c r="AC577" s="377"/>
      <c r="AE577" s="77"/>
      <c r="AF577" s="377"/>
      <c r="AG577" s="377"/>
      <c r="AH577" s="377"/>
      <c r="AJ577" s="77"/>
      <c r="AK577" s="77"/>
      <c r="AL577" s="77"/>
      <c r="AM577" s="77"/>
      <c r="AN577" s="77"/>
    </row>
    <row r="578" spans="12:40">
      <c r="L578" s="377"/>
      <c r="M578" s="377"/>
      <c r="N578" s="377"/>
      <c r="P578" s="377"/>
      <c r="Q578" s="377"/>
      <c r="R578" s="377"/>
      <c r="S578" s="377"/>
      <c r="U578" s="377"/>
      <c r="V578" s="377"/>
      <c r="W578" s="377"/>
      <c r="X578" s="377"/>
      <c r="Z578" s="77"/>
      <c r="AA578" s="377"/>
      <c r="AB578" s="377"/>
      <c r="AC578" s="377"/>
      <c r="AE578" s="77"/>
      <c r="AF578" s="377"/>
      <c r="AG578" s="377"/>
      <c r="AH578" s="377"/>
      <c r="AJ578" s="77"/>
      <c r="AK578" s="77"/>
      <c r="AL578" s="77"/>
      <c r="AM578" s="77"/>
      <c r="AN578" s="77"/>
    </row>
    <row r="579" spans="12:40">
      <c r="L579" s="377"/>
      <c r="M579" s="377"/>
      <c r="N579" s="377"/>
      <c r="P579" s="377"/>
      <c r="Q579" s="377"/>
      <c r="R579" s="377"/>
      <c r="S579" s="377"/>
      <c r="U579" s="377"/>
      <c r="V579" s="377"/>
      <c r="W579" s="377"/>
      <c r="X579" s="377"/>
      <c r="Z579" s="77"/>
      <c r="AA579" s="377"/>
      <c r="AB579" s="377"/>
      <c r="AC579" s="377"/>
      <c r="AE579" s="77"/>
      <c r="AF579" s="377"/>
      <c r="AG579" s="377"/>
      <c r="AH579" s="377"/>
      <c r="AJ579" s="77"/>
      <c r="AK579" s="77"/>
      <c r="AL579" s="77"/>
      <c r="AM579" s="77"/>
      <c r="AN579" s="77"/>
    </row>
    <row r="580" spans="12:40">
      <c r="L580" s="377"/>
      <c r="M580" s="377"/>
      <c r="N580" s="377"/>
      <c r="P580" s="377"/>
      <c r="Q580" s="377"/>
      <c r="R580" s="377"/>
      <c r="S580" s="377"/>
      <c r="U580" s="377"/>
      <c r="V580" s="377"/>
      <c r="W580" s="377"/>
      <c r="X580" s="377"/>
      <c r="Z580" s="77"/>
      <c r="AA580" s="377"/>
      <c r="AB580" s="377"/>
      <c r="AC580" s="377"/>
      <c r="AE580" s="77"/>
      <c r="AF580" s="377"/>
      <c r="AG580" s="377"/>
      <c r="AH580" s="377"/>
      <c r="AJ580" s="77"/>
      <c r="AK580" s="77"/>
      <c r="AL580" s="77"/>
      <c r="AM580" s="77"/>
      <c r="AN580" s="77"/>
    </row>
    <row r="581" spans="12:40">
      <c r="L581" s="377"/>
      <c r="M581" s="377"/>
      <c r="N581" s="377"/>
      <c r="P581" s="377"/>
      <c r="Q581" s="377"/>
      <c r="R581" s="377"/>
      <c r="S581" s="377"/>
      <c r="U581" s="377"/>
      <c r="V581" s="377"/>
      <c r="W581" s="377"/>
      <c r="X581" s="377"/>
      <c r="Z581" s="77"/>
      <c r="AA581" s="377"/>
      <c r="AB581" s="377"/>
      <c r="AC581" s="377"/>
      <c r="AE581" s="77"/>
      <c r="AF581" s="377"/>
      <c r="AG581" s="377"/>
      <c r="AH581" s="377"/>
      <c r="AJ581" s="77"/>
      <c r="AK581" s="77"/>
      <c r="AL581" s="77"/>
      <c r="AM581" s="77"/>
      <c r="AN581" s="77"/>
    </row>
    <row r="582" spans="12:40">
      <c r="L582" s="377"/>
      <c r="M582" s="377"/>
      <c r="N582" s="377"/>
      <c r="P582" s="377"/>
      <c r="Q582" s="377"/>
      <c r="R582" s="377"/>
      <c r="S582" s="377"/>
      <c r="U582" s="377"/>
      <c r="V582" s="377"/>
      <c r="W582" s="377"/>
      <c r="X582" s="377"/>
      <c r="Z582" s="77"/>
      <c r="AA582" s="377"/>
      <c r="AB582" s="377"/>
      <c r="AC582" s="377"/>
      <c r="AE582" s="77"/>
      <c r="AF582" s="377"/>
      <c r="AG582" s="377"/>
      <c r="AH582" s="377"/>
      <c r="AJ582" s="77"/>
      <c r="AK582" s="77"/>
      <c r="AL582" s="77"/>
      <c r="AM582" s="77"/>
      <c r="AN582" s="77"/>
    </row>
    <row r="583" spans="12:40">
      <c r="L583" s="377"/>
      <c r="M583" s="377"/>
      <c r="N583" s="377"/>
      <c r="P583" s="377"/>
      <c r="Q583" s="377"/>
      <c r="R583" s="377"/>
      <c r="S583" s="377"/>
      <c r="U583" s="377"/>
      <c r="V583" s="377"/>
      <c r="W583" s="377"/>
      <c r="X583" s="377"/>
      <c r="Z583" s="77"/>
      <c r="AA583" s="377"/>
      <c r="AB583" s="377"/>
      <c r="AC583" s="377"/>
      <c r="AE583" s="77"/>
      <c r="AF583" s="377"/>
      <c r="AG583" s="377"/>
      <c r="AH583" s="377"/>
      <c r="AJ583" s="77"/>
      <c r="AK583" s="77"/>
      <c r="AL583" s="77"/>
      <c r="AM583" s="77"/>
      <c r="AN583" s="77"/>
    </row>
    <row r="584" spans="12:40">
      <c r="L584" s="377"/>
      <c r="M584" s="377"/>
      <c r="N584" s="377"/>
      <c r="P584" s="377"/>
      <c r="Q584" s="377"/>
      <c r="R584" s="377"/>
      <c r="S584" s="377"/>
      <c r="U584" s="377"/>
      <c r="V584" s="377"/>
      <c r="W584" s="377"/>
      <c r="X584" s="377"/>
      <c r="Z584" s="77"/>
      <c r="AA584" s="377"/>
      <c r="AB584" s="377"/>
      <c r="AC584" s="377"/>
      <c r="AE584" s="77"/>
      <c r="AF584" s="377"/>
      <c r="AG584" s="377"/>
      <c r="AH584" s="377"/>
      <c r="AJ584" s="77"/>
      <c r="AK584" s="77"/>
      <c r="AL584" s="77"/>
      <c r="AM584" s="77"/>
      <c r="AN584" s="77"/>
    </row>
    <row r="585" spans="12:40">
      <c r="L585" s="377"/>
      <c r="M585" s="377"/>
      <c r="N585" s="377"/>
      <c r="P585" s="377"/>
      <c r="Q585" s="377"/>
      <c r="R585" s="377"/>
      <c r="S585" s="377"/>
      <c r="U585" s="377"/>
      <c r="V585" s="377"/>
      <c r="W585" s="377"/>
      <c r="X585" s="377"/>
      <c r="Z585" s="77"/>
      <c r="AA585" s="377"/>
      <c r="AB585" s="377"/>
      <c r="AC585" s="377"/>
      <c r="AE585" s="77"/>
      <c r="AF585" s="377"/>
      <c r="AG585" s="377"/>
      <c r="AH585" s="377"/>
      <c r="AJ585" s="77"/>
      <c r="AK585" s="77"/>
      <c r="AL585" s="77"/>
      <c r="AM585" s="77"/>
      <c r="AN585" s="77"/>
    </row>
    <row r="586" spans="12:40">
      <c r="L586" s="377"/>
      <c r="M586" s="377"/>
      <c r="N586" s="377"/>
      <c r="P586" s="377"/>
      <c r="Q586" s="377"/>
      <c r="R586" s="377"/>
      <c r="S586" s="377"/>
      <c r="U586" s="377"/>
      <c r="V586" s="377"/>
      <c r="W586" s="377"/>
      <c r="X586" s="377"/>
      <c r="Z586" s="77"/>
      <c r="AA586" s="377"/>
      <c r="AB586" s="377"/>
      <c r="AC586" s="377"/>
      <c r="AE586" s="77"/>
      <c r="AF586" s="377"/>
      <c r="AG586" s="377"/>
      <c r="AH586" s="377"/>
      <c r="AJ586" s="77"/>
      <c r="AK586" s="77"/>
      <c r="AL586" s="77"/>
      <c r="AM586" s="77"/>
      <c r="AN586" s="77"/>
    </row>
    <row r="587" spans="12:40">
      <c r="L587" s="377"/>
      <c r="M587" s="377"/>
      <c r="N587" s="377"/>
      <c r="P587" s="377"/>
      <c r="Q587" s="377"/>
      <c r="R587" s="377"/>
      <c r="S587" s="377"/>
      <c r="U587" s="377"/>
      <c r="V587" s="377"/>
      <c r="W587" s="377"/>
      <c r="X587" s="377"/>
      <c r="Z587" s="77"/>
      <c r="AA587" s="377"/>
      <c r="AB587" s="377"/>
      <c r="AC587" s="377"/>
      <c r="AE587" s="77"/>
      <c r="AF587" s="377"/>
      <c r="AG587" s="377"/>
      <c r="AH587" s="377"/>
      <c r="AJ587" s="77"/>
      <c r="AK587" s="77"/>
      <c r="AL587" s="77"/>
      <c r="AM587" s="77"/>
      <c r="AN587" s="77"/>
    </row>
    <row r="588" spans="12:40">
      <c r="L588" s="377"/>
      <c r="M588" s="377"/>
      <c r="N588" s="377"/>
      <c r="P588" s="377"/>
      <c r="Q588" s="377"/>
      <c r="R588" s="377"/>
      <c r="S588" s="377"/>
      <c r="U588" s="377"/>
      <c r="V588" s="377"/>
      <c r="W588" s="377"/>
      <c r="X588" s="377"/>
      <c r="Z588" s="77"/>
      <c r="AA588" s="377"/>
      <c r="AB588" s="377"/>
      <c r="AC588" s="377"/>
      <c r="AE588" s="77"/>
      <c r="AF588" s="377"/>
      <c r="AG588" s="377"/>
      <c r="AH588" s="377"/>
      <c r="AJ588" s="77"/>
      <c r="AK588" s="77"/>
      <c r="AL588" s="77"/>
      <c r="AM588" s="77"/>
      <c r="AN588" s="77"/>
    </row>
    <row r="589" spans="12:40">
      <c r="L589" s="377"/>
      <c r="M589" s="377"/>
      <c r="N589" s="377"/>
      <c r="P589" s="377"/>
      <c r="Q589" s="377"/>
      <c r="R589" s="377"/>
      <c r="S589" s="377"/>
      <c r="U589" s="377"/>
      <c r="V589" s="377"/>
      <c r="W589" s="377"/>
      <c r="X589" s="377"/>
      <c r="Z589" s="77"/>
      <c r="AA589" s="377"/>
      <c r="AB589" s="377"/>
      <c r="AC589" s="377"/>
      <c r="AE589" s="77"/>
      <c r="AF589" s="377"/>
      <c r="AG589" s="377"/>
      <c r="AH589" s="377"/>
      <c r="AJ589" s="77"/>
      <c r="AK589" s="77"/>
      <c r="AL589" s="77"/>
      <c r="AM589" s="77"/>
      <c r="AN589" s="77"/>
    </row>
    <row r="590" spans="12:40">
      <c r="L590" s="377"/>
      <c r="M590" s="377"/>
      <c r="N590" s="377"/>
      <c r="P590" s="377"/>
      <c r="Q590" s="377"/>
      <c r="R590" s="377"/>
      <c r="S590" s="377"/>
      <c r="U590" s="377"/>
      <c r="V590" s="377"/>
      <c r="W590" s="377"/>
      <c r="X590" s="377"/>
      <c r="Z590" s="77"/>
      <c r="AA590" s="377"/>
      <c r="AB590" s="377"/>
      <c r="AC590" s="377"/>
      <c r="AE590" s="77"/>
      <c r="AF590" s="377"/>
      <c r="AG590" s="377"/>
      <c r="AH590" s="377"/>
      <c r="AJ590" s="77"/>
      <c r="AK590" s="77"/>
      <c r="AL590" s="77"/>
      <c r="AM590" s="77"/>
      <c r="AN590" s="77"/>
    </row>
    <row r="591" spans="12:40">
      <c r="L591" s="377"/>
      <c r="M591" s="377"/>
      <c r="N591" s="377"/>
      <c r="P591" s="377"/>
      <c r="Q591" s="377"/>
      <c r="R591" s="377"/>
      <c r="S591" s="377"/>
      <c r="U591" s="377"/>
      <c r="V591" s="377"/>
      <c r="W591" s="377"/>
      <c r="X591" s="377"/>
      <c r="Z591" s="77"/>
      <c r="AA591" s="377"/>
      <c r="AB591" s="377"/>
      <c r="AC591" s="377"/>
      <c r="AE591" s="77"/>
      <c r="AF591" s="377"/>
      <c r="AG591" s="377"/>
      <c r="AH591" s="377"/>
      <c r="AJ591" s="77"/>
      <c r="AK591" s="77"/>
      <c r="AL591" s="77"/>
      <c r="AM591" s="77"/>
      <c r="AN591" s="77"/>
    </row>
    <row r="592" spans="12:40">
      <c r="L592" s="377"/>
      <c r="M592" s="377"/>
      <c r="N592" s="377"/>
      <c r="P592" s="377"/>
      <c r="Q592" s="377"/>
      <c r="R592" s="377"/>
      <c r="S592" s="377"/>
      <c r="U592" s="377"/>
      <c r="V592" s="377"/>
      <c r="W592" s="377"/>
      <c r="X592" s="377"/>
      <c r="Z592" s="77"/>
      <c r="AA592" s="377"/>
      <c r="AB592" s="377"/>
      <c r="AC592" s="377"/>
      <c r="AE592" s="77"/>
      <c r="AF592" s="377"/>
      <c r="AG592" s="377"/>
      <c r="AH592" s="377"/>
      <c r="AJ592" s="77"/>
      <c r="AK592" s="77"/>
      <c r="AL592" s="77"/>
      <c r="AM592" s="77"/>
      <c r="AN592" s="77"/>
    </row>
    <row r="593" spans="12:40">
      <c r="L593" s="377"/>
      <c r="M593" s="377"/>
      <c r="N593" s="377"/>
      <c r="P593" s="377"/>
      <c r="Q593" s="377"/>
      <c r="R593" s="377"/>
      <c r="S593" s="377"/>
      <c r="U593" s="377"/>
      <c r="V593" s="377"/>
      <c r="W593" s="377"/>
      <c r="X593" s="377"/>
      <c r="Z593" s="77"/>
      <c r="AA593" s="377"/>
      <c r="AB593" s="377"/>
      <c r="AC593" s="377"/>
      <c r="AE593" s="77"/>
      <c r="AF593" s="377"/>
      <c r="AG593" s="377"/>
      <c r="AH593" s="377"/>
      <c r="AJ593" s="77"/>
      <c r="AK593" s="77"/>
      <c r="AL593" s="77"/>
      <c r="AM593" s="77"/>
      <c r="AN593" s="77"/>
    </row>
    <row r="594" spans="12:40">
      <c r="L594" s="377"/>
      <c r="M594" s="377"/>
      <c r="N594" s="377"/>
      <c r="P594" s="377"/>
      <c r="Q594" s="377"/>
      <c r="R594" s="377"/>
      <c r="S594" s="377"/>
      <c r="U594" s="377"/>
      <c r="V594" s="377"/>
      <c r="W594" s="377"/>
      <c r="X594" s="377"/>
      <c r="Z594" s="77"/>
      <c r="AA594" s="377"/>
      <c r="AB594" s="377"/>
      <c r="AC594" s="377"/>
      <c r="AE594" s="77"/>
      <c r="AF594" s="377"/>
      <c r="AG594" s="377"/>
      <c r="AH594" s="377"/>
      <c r="AJ594" s="77"/>
      <c r="AK594" s="77"/>
      <c r="AL594" s="77"/>
      <c r="AM594" s="77"/>
      <c r="AN594" s="77"/>
    </row>
    <row r="595" spans="12:40">
      <c r="L595" s="377"/>
      <c r="M595" s="377"/>
      <c r="N595" s="377"/>
      <c r="P595" s="377"/>
      <c r="Q595" s="377"/>
      <c r="R595" s="377"/>
      <c r="S595" s="377"/>
      <c r="U595" s="377"/>
      <c r="V595" s="377"/>
      <c r="W595" s="377"/>
      <c r="X595" s="377"/>
      <c r="Z595" s="77"/>
      <c r="AA595" s="377"/>
      <c r="AB595" s="377"/>
      <c r="AC595" s="377"/>
      <c r="AE595" s="77"/>
      <c r="AF595" s="377"/>
      <c r="AG595" s="377"/>
      <c r="AH595" s="377"/>
      <c r="AJ595" s="77"/>
      <c r="AK595" s="77"/>
      <c r="AL595" s="77"/>
      <c r="AM595" s="77"/>
      <c r="AN595" s="77"/>
    </row>
    <row r="596" spans="12:40">
      <c r="L596" s="377"/>
      <c r="M596" s="377"/>
      <c r="N596" s="377"/>
      <c r="P596" s="377"/>
      <c r="Q596" s="377"/>
      <c r="R596" s="377"/>
      <c r="S596" s="377"/>
      <c r="U596" s="377"/>
      <c r="V596" s="377"/>
      <c r="W596" s="377"/>
      <c r="X596" s="377"/>
      <c r="Z596" s="77"/>
      <c r="AA596" s="377"/>
      <c r="AB596" s="377"/>
      <c r="AC596" s="377"/>
      <c r="AE596" s="77"/>
      <c r="AF596" s="377"/>
      <c r="AG596" s="377"/>
      <c r="AH596" s="377"/>
      <c r="AJ596" s="77"/>
      <c r="AK596" s="77"/>
      <c r="AL596" s="77"/>
      <c r="AM596" s="77"/>
      <c r="AN596" s="77"/>
    </row>
    <row r="597" spans="12:40">
      <c r="L597" s="377"/>
      <c r="M597" s="377"/>
      <c r="N597" s="377"/>
      <c r="P597" s="377"/>
      <c r="Q597" s="377"/>
      <c r="R597" s="377"/>
      <c r="S597" s="377"/>
      <c r="U597" s="377"/>
      <c r="V597" s="377"/>
      <c r="W597" s="377"/>
      <c r="X597" s="377"/>
      <c r="Z597" s="77"/>
      <c r="AA597" s="377"/>
      <c r="AB597" s="377"/>
      <c r="AC597" s="377"/>
      <c r="AE597" s="77"/>
      <c r="AF597" s="377"/>
      <c r="AG597" s="377"/>
      <c r="AH597" s="377"/>
      <c r="AJ597" s="77"/>
      <c r="AK597" s="77"/>
      <c r="AL597" s="77"/>
      <c r="AM597" s="77"/>
      <c r="AN597" s="77"/>
    </row>
    <row r="598" spans="12:40">
      <c r="L598" s="377"/>
      <c r="M598" s="377"/>
      <c r="N598" s="377"/>
      <c r="P598" s="377"/>
      <c r="Q598" s="377"/>
      <c r="R598" s="377"/>
      <c r="S598" s="377"/>
      <c r="U598" s="377"/>
      <c r="V598" s="377"/>
      <c r="W598" s="377"/>
      <c r="X598" s="377"/>
      <c r="Z598" s="77"/>
      <c r="AA598" s="377"/>
      <c r="AB598" s="377"/>
      <c r="AC598" s="377"/>
      <c r="AE598" s="77"/>
      <c r="AF598" s="377"/>
      <c r="AG598" s="377"/>
      <c r="AH598" s="377"/>
      <c r="AJ598" s="77"/>
      <c r="AK598" s="77"/>
      <c r="AL598" s="77"/>
      <c r="AM598" s="77"/>
      <c r="AN598" s="77"/>
    </row>
    <row r="599" spans="12:40">
      <c r="L599" s="377"/>
      <c r="M599" s="377"/>
      <c r="N599" s="377"/>
      <c r="P599" s="377"/>
      <c r="Q599" s="377"/>
      <c r="R599" s="377"/>
      <c r="S599" s="377"/>
      <c r="U599" s="377"/>
      <c r="V599" s="377"/>
      <c r="W599" s="377"/>
      <c r="X599" s="377"/>
      <c r="Z599" s="77"/>
      <c r="AA599" s="377"/>
      <c r="AB599" s="377"/>
      <c r="AC599" s="377"/>
      <c r="AE599" s="77"/>
      <c r="AF599" s="377"/>
      <c r="AG599" s="377"/>
      <c r="AH599" s="377"/>
      <c r="AJ599" s="77"/>
      <c r="AK599" s="77"/>
      <c r="AL599" s="77"/>
      <c r="AM599" s="77"/>
      <c r="AN599" s="77"/>
    </row>
    <row r="600" spans="12:40">
      <c r="L600" s="377"/>
      <c r="M600" s="377"/>
      <c r="N600" s="377"/>
      <c r="P600" s="377"/>
      <c r="Q600" s="377"/>
      <c r="R600" s="377"/>
      <c r="S600" s="377"/>
      <c r="U600" s="377"/>
      <c r="V600" s="377"/>
      <c r="W600" s="377"/>
      <c r="X600" s="377"/>
      <c r="Z600" s="77"/>
      <c r="AA600" s="377"/>
      <c r="AB600" s="377"/>
      <c r="AC600" s="377"/>
      <c r="AE600" s="77"/>
      <c r="AF600" s="377"/>
      <c r="AG600" s="377"/>
      <c r="AH600" s="377"/>
      <c r="AJ600" s="77"/>
      <c r="AK600" s="77"/>
      <c r="AL600" s="77"/>
      <c r="AM600" s="77"/>
      <c r="AN600" s="77"/>
    </row>
    <row r="601" spans="12:40">
      <c r="L601" s="377"/>
      <c r="M601" s="377"/>
      <c r="N601" s="377"/>
      <c r="P601" s="377"/>
      <c r="Q601" s="377"/>
      <c r="R601" s="377"/>
      <c r="S601" s="377"/>
      <c r="U601" s="377"/>
      <c r="V601" s="377"/>
      <c r="W601" s="377"/>
      <c r="X601" s="377"/>
      <c r="Z601" s="77"/>
      <c r="AA601" s="377"/>
      <c r="AB601" s="377"/>
      <c r="AC601" s="377"/>
      <c r="AE601" s="77"/>
      <c r="AF601" s="377"/>
      <c r="AG601" s="377"/>
      <c r="AH601" s="377"/>
      <c r="AJ601" s="77"/>
      <c r="AK601" s="77"/>
      <c r="AL601" s="77"/>
      <c r="AM601" s="77"/>
      <c r="AN601" s="77"/>
    </row>
    <row r="602" spans="12:40">
      <c r="L602" s="377"/>
      <c r="M602" s="377"/>
      <c r="N602" s="377"/>
      <c r="P602" s="377"/>
      <c r="Q602" s="377"/>
      <c r="R602" s="377"/>
      <c r="S602" s="377"/>
      <c r="U602" s="377"/>
      <c r="V602" s="377"/>
      <c r="W602" s="377"/>
      <c r="X602" s="377"/>
      <c r="Z602" s="77"/>
      <c r="AA602" s="377"/>
      <c r="AB602" s="377"/>
      <c r="AC602" s="377"/>
      <c r="AE602" s="77"/>
      <c r="AF602" s="377"/>
      <c r="AG602" s="377"/>
      <c r="AH602" s="377"/>
      <c r="AJ602" s="77"/>
      <c r="AK602" s="77"/>
      <c r="AL602" s="77"/>
      <c r="AM602" s="77"/>
      <c r="AN602" s="77"/>
    </row>
    <row r="603" spans="12:40">
      <c r="L603" s="377"/>
      <c r="M603" s="377"/>
      <c r="N603" s="377"/>
      <c r="P603" s="377"/>
      <c r="Q603" s="377"/>
      <c r="R603" s="377"/>
      <c r="S603" s="377"/>
      <c r="U603" s="377"/>
      <c r="V603" s="377"/>
      <c r="W603" s="377"/>
      <c r="X603" s="377"/>
      <c r="Z603" s="77"/>
      <c r="AA603" s="377"/>
      <c r="AB603" s="377"/>
      <c r="AC603" s="377"/>
      <c r="AE603" s="77"/>
      <c r="AF603" s="377"/>
      <c r="AG603" s="377"/>
      <c r="AH603" s="377"/>
      <c r="AJ603" s="77"/>
      <c r="AK603" s="77"/>
      <c r="AL603" s="77"/>
      <c r="AM603" s="77"/>
      <c r="AN603" s="77"/>
    </row>
    <row r="604" spans="12:40">
      <c r="L604" s="377"/>
      <c r="M604" s="377"/>
      <c r="N604" s="377"/>
      <c r="P604" s="377"/>
      <c r="Q604" s="377"/>
      <c r="R604" s="377"/>
      <c r="S604" s="377"/>
      <c r="U604" s="377"/>
      <c r="V604" s="377"/>
      <c r="W604" s="377"/>
      <c r="X604" s="377"/>
      <c r="Z604" s="77"/>
      <c r="AA604" s="377"/>
      <c r="AB604" s="377"/>
      <c r="AC604" s="377"/>
      <c r="AE604" s="77"/>
      <c r="AF604" s="377"/>
      <c r="AG604" s="377"/>
      <c r="AH604" s="377"/>
      <c r="AJ604" s="77"/>
      <c r="AK604" s="77"/>
      <c r="AL604" s="77"/>
      <c r="AM604" s="77"/>
      <c r="AN604" s="77"/>
    </row>
    <row r="605" spans="12:40">
      <c r="L605" s="377"/>
      <c r="M605" s="377"/>
      <c r="N605" s="377"/>
      <c r="P605" s="377"/>
      <c r="Q605" s="377"/>
      <c r="R605" s="377"/>
      <c r="S605" s="377"/>
      <c r="U605" s="377"/>
      <c r="V605" s="377"/>
      <c r="W605" s="377"/>
      <c r="X605" s="377"/>
      <c r="Z605" s="77"/>
      <c r="AA605" s="377"/>
      <c r="AB605" s="377"/>
      <c r="AC605" s="377"/>
      <c r="AE605" s="77"/>
      <c r="AF605" s="377"/>
      <c r="AG605" s="377"/>
      <c r="AH605" s="377"/>
      <c r="AJ605" s="77"/>
      <c r="AK605" s="77"/>
      <c r="AL605" s="77"/>
      <c r="AM605" s="77"/>
      <c r="AN605" s="77"/>
    </row>
    <row r="606" spans="12:40">
      <c r="L606" s="377"/>
      <c r="M606" s="377"/>
      <c r="N606" s="377"/>
      <c r="P606" s="377"/>
      <c r="Q606" s="377"/>
      <c r="R606" s="377"/>
      <c r="S606" s="377"/>
      <c r="U606" s="377"/>
      <c r="V606" s="377"/>
      <c r="W606" s="377"/>
      <c r="X606" s="377"/>
      <c r="Z606" s="77"/>
      <c r="AA606" s="377"/>
      <c r="AB606" s="377"/>
      <c r="AC606" s="377"/>
      <c r="AE606" s="77"/>
      <c r="AF606" s="377"/>
      <c r="AG606" s="377"/>
      <c r="AH606" s="377"/>
      <c r="AJ606" s="77"/>
      <c r="AK606" s="77"/>
      <c r="AL606" s="77"/>
      <c r="AM606" s="77"/>
      <c r="AN606" s="77"/>
    </row>
    <row r="607" spans="12:40">
      <c r="L607" s="377"/>
      <c r="M607" s="377"/>
      <c r="N607" s="377"/>
      <c r="P607" s="377"/>
      <c r="Q607" s="377"/>
      <c r="R607" s="377"/>
      <c r="S607" s="377"/>
      <c r="U607" s="377"/>
      <c r="V607" s="377"/>
      <c r="W607" s="377"/>
      <c r="X607" s="377"/>
      <c r="Z607" s="77"/>
      <c r="AA607" s="377"/>
      <c r="AB607" s="377"/>
      <c r="AC607" s="377"/>
      <c r="AE607" s="77"/>
      <c r="AF607" s="377"/>
      <c r="AG607" s="377"/>
      <c r="AH607" s="377"/>
      <c r="AJ607" s="77"/>
      <c r="AK607" s="77"/>
      <c r="AL607" s="77"/>
      <c r="AM607" s="77"/>
      <c r="AN607" s="77"/>
    </row>
    <row r="608" spans="12:40">
      <c r="L608" s="377"/>
      <c r="M608" s="377"/>
      <c r="N608" s="377"/>
      <c r="P608" s="377"/>
      <c r="Q608" s="377"/>
      <c r="R608" s="377"/>
      <c r="S608" s="377"/>
      <c r="U608" s="377"/>
      <c r="V608" s="377"/>
      <c r="W608" s="377"/>
      <c r="X608" s="377"/>
      <c r="Z608" s="77"/>
      <c r="AA608" s="377"/>
      <c r="AB608" s="377"/>
      <c r="AC608" s="377"/>
      <c r="AE608" s="77"/>
      <c r="AF608" s="377"/>
      <c r="AG608" s="377"/>
      <c r="AH608" s="377"/>
      <c r="AJ608" s="77"/>
      <c r="AK608" s="77"/>
      <c r="AL608" s="77"/>
      <c r="AM608" s="77"/>
      <c r="AN608" s="77"/>
    </row>
    <row r="609" spans="12:40">
      <c r="L609" s="377"/>
      <c r="M609" s="377"/>
      <c r="N609" s="377"/>
      <c r="P609" s="377"/>
      <c r="Q609" s="377"/>
      <c r="R609" s="377"/>
      <c r="S609" s="377"/>
      <c r="U609" s="377"/>
      <c r="V609" s="377"/>
      <c r="W609" s="377"/>
      <c r="X609" s="377"/>
      <c r="Z609" s="77"/>
      <c r="AA609" s="377"/>
      <c r="AB609" s="377"/>
      <c r="AC609" s="377"/>
      <c r="AE609" s="77"/>
      <c r="AF609" s="377"/>
      <c r="AG609" s="377"/>
      <c r="AH609" s="377"/>
      <c r="AJ609" s="77"/>
      <c r="AK609" s="77"/>
      <c r="AL609" s="77"/>
      <c r="AM609" s="77"/>
      <c r="AN609" s="77"/>
    </row>
    <row r="610" spans="12:40">
      <c r="L610" s="377"/>
      <c r="M610" s="377"/>
      <c r="N610" s="377"/>
      <c r="P610" s="377"/>
      <c r="Q610" s="377"/>
      <c r="R610" s="377"/>
      <c r="S610" s="377"/>
      <c r="U610" s="377"/>
      <c r="V610" s="377"/>
      <c r="W610" s="377"/>
      <c r="X610" s="377"/>
      <c r="Z610" s="77"/>
      <c r="AA610" s="377"/>
      <c r="AB610" s="377"/>
      <c r="AC610" s="377"/>
      <c r="AE610" s="77"/>
      <c r="AF610" s="377"/>
      <c r="AG610" s="377"/>
      <c r="AH610" s="377"/>
      <c r="AJ610" s="77"/>
      <c r="AK610" s="77"/>
      <c r="AL610" s="77"/>
      <c r="AM610" s="77"/>
      <c r="AN610" s="77"/>
    </row>
    <row r="611" spans="12:40">
      <c r="L611" s="377"/>
      <c r="M611" s="377"/>
      <c r="N611" s="377"/>
      <c r="P611" s="377"/>
      <c r="Q611" s="377"/>
      <c r="R611" s="377"/>
      <c r="S611" s="377"/>
      <c r="U611" s="377"/>
      <c r="V611" s="377"/>
      <c r="W611" s="377"/>
      <c r="X611" s="377"/>
      <c r="Z611" s="77"/>
      <c r="AA611" s="377"/>
      <c r="AB611" s="377"/>
      <c r="AC611" s="377"/>
      <c r="AE611" s="77"/>
      <c r="AF611" s="377"/>
      <c r="AG611" s="377"/>
      <c r="AH611" s="377"/>
      <c r="AJ611" s="77"/>
      <c r="AK611" s="77"/>
      <c r="AL611" s="77"/>
      <c r="AM611" s="77"/>
      <c r="AN611" s="77"/>
    </row>
    <row r="612" spans="12:40">
      <c r="L612" s="377"/>
      <c r="M612" s="377"/>
      <c r="N612" s="377"/>
      <c r="P612" s="377"/>
      <c r="Q612" s="377"/>
      <c r="R612" s="377"/>
      <c r="S612" s="377"/>
      <c r="U612" s="377"/>
      <c r="V612" s="377"/>
      <c r="W612" s="377"/>
      <c r="X612" s="377"/>
      <c r="Z612" s="77"/>
      <c r="AA612" s="377"/>
      <c r="AB612" s="377"/>
      <c r="AC612" s="377"/>
      <c r="AE612" s="77"/>
      <c r="AF612" s="377"/>
      <c r="AG612" s="377"/>
      <c r="AH612" s="377"/>
      <c r="AJ612" s="77"/>
      <c r="AK612" s="77"/>
      <c r="AL612" s="77"/>
      <c r="AM612" s="77"/>
      <c r="AN612" s="77"/>
    </row>
    <row r="613" spans="12:40">
      <c r="L613" s="377"/>
      <c r="M613" s="377"/>
      <c r="N613" s="377"/>
      <c r="P613" s="377"/>
      <c r="Q613" s="377"/>
      <c r="R613" s="377"/>
      <c r="S613" s="377"/>
      <c r="U613" s="377"/>
      <c r="V613" s="377"/>
      <c r="W613" s="377"/>
      <c r="X613" s="377"/>
      <c r="Z613" s="77"/>
      <c r="AA613" s="377"/>
      <c r="AB613" s="377"/>
      <c r="AC613" s="377"/>
      <c r="AE613" s="77"/>
      <c r="AF613" s="377"/>
      <c r="AG613" s="377"/>
      <c r="AH613" s="377"/>
      <c r="AJ613" s="77"/>
      <c r="AK613" s="77"/>
      <c r="AL613" s="77"/>
      <c r="AM613" s="77"/>
      <c r="AN613" s="77"/>
    </row>
    <row r="614" spans="12:40">
      <c r="L614" s="377"/>
      <c r="M614" s="377"/>
      <c r="N614" s="377"/>
      <c r="P614" s="377"/>
      <c r="Q614" s="377"/>
      <c r="R614" s="377"/>
      <c r="S614" s="377"/>
      <c r="U614" s="377"/>
      <c r="V614" s="377"/>
      <c r="W614" s="377"/>
      <c r="X614" s="377"/>
      <c r="Z614" s="77"/>
      <c r="AA614" s="377"/>
      <c r="AB614" s="377"/>
      <c r="AC614" s="377"/>
      <c r="AE614" s="77"/>
      <c r="AF614" s="377"/>
      <c r="AG614" s="377"/>
      <c r="AH614" s="377"/>
      <c r="AJ614" s="77"/>
      <c r="AK614" s="77"/>
      <c r="AL614" s="77"/>
      <c r="AM614" s="77"/>
      <c r="AN614" s="77"/>
    </row>
    <row r="615" spans="12:40">
      <c r="L615" s="377"/>
      <c r="M615" s="377"/>
      <c r="N615" s="377"/>
      <c r="P615" s="377"/>
      <c r="Q615" s="377"/>
      <c r="R615" s="377"/>
      <c r="S615" s="377"/>
      <c r="U615" s="377"/>
      <c r="V615" s="377"/>
      <c r="W615" s="377"/>
      <c r="X615" s="377"/>
      <c r="Z615" s="77"/>
      <c r="AA615" s="377"/>
      <c r="AB615" s="377"/>
      <c r="AC615" s="377"/>
      <c r="AE615" s="77"/>
      <c r="AF615" s="377"/>
      <c r="AG615" s="377"/>
      <c r="AH615" s="377"/>
      <c r="AJ615" s="77"/>
      <c r="AK615" s="77"/>
      <c r="AL615" s="77"/>
      <c r="AM615" s="77"/>
      <c r="AN615" s="77"/>
    </row>
    <row r="616" spans="12:40">
      <c r="L616" s="377"/>
      <c r="M616" s="377"/>
      <c r="N616" s="377"/>
      <c r="P616" s="377"/>
      <c r="Q616" s="377"/>
      <c r="R616" s="377"/>
      <c r="S616" s="377"/>
      <c r="U616" s="377"/>
      <c r="V616" s="377"/>
      <c r="W616" s="377"/>
      <c r="X616" s="377"/>
      <c r="Z616" s="77"/>
      <c r="AA616" s="377"/>
      <c r="AB616" s="377"/>
      <c r="AC616" s="377"/>
      <c r="AE616" s="77"/>
      <c r="AF616" s="377"/>
      <c r="AG616" s="377"/>
      <c r="AH616" s="377"/>
      <c r="AJ616" s="77"/>
      <c r="AK616" s="77"/>
      <c r="AL616" s="77"/>
      <c r="AM616" s="77"/>
      <c r="AN616" s="77"/>
    </row>
    <row r="617" spans="12:40">
      <c r="L617" s="377"/>
      <c r="M617" s="377"/>
      <c r="N617" s="377"/>
      <c r="P617" s="377"/>
      <c r="Q617" s="377"/>
      <c r="R617" s="377"/>
      <c r="S617" s="377"/>
      <c r="U617" s="377"/>
      <c r="V617" s="377"/>
      <c r="W617" s="377"/>
      <c r="X617" s="377"/>
      <c r="Z617" s="77"/>
      <c r="AA617" s="377"/>
      <c r="AB617" s="377"/>
      <c r="AC617" s="377"/>
      <c r="AE617" s="77"/>
      <c r="AF617" s="377"/>
      <c r="AG617" s="377"/>
      <c r="AH617" s="377"/>
      <c r="AJ617" s="77"/>
      <c r="AK617" s="77"/>
      <c r="AL617" s="77"/>
      <c r="AM617" s="77"/>
      <c r="AN617" s="77"/>
    </row>
    <row r="618" spans="12:40">
      <c r="L618" s="377"/>
      <c r="M618" s="377"/>
      <c r="N618" s="377"/>
      <c r="P618" s="377"/>
      <c r="Q618" s="377"/>
      <c r="R618" s="377"/>
      <c r="S618" s="377"/>
      <c r="U618" s="377"/>
      <c r="V618" s="377"/>
      <c r="W618" s="377"/>
      <c r="X618" s="377"/>
      <c r="Z618" s="77"/>
      <c r="AA618" s="377"/>
      <c r="AB618" s="377"/>
      <c r="AC618" s="377"/>
      <c r="AE618" s="77"/>
      <c r="AF618" s="377"/>
      <c r="AG618" s="377"/>
      <c r="AH618" s="377"/>
      <c r="AJ618" s="77"/>
      <c r="AK618" s="77"/>
      <c r="AL618" s="77"/>
      <c r="AM618" s="77"/>
      <c r="AN618" s="77"/>
    </row>
    <row r="619" spans="12:40">
      <c r="L619" s="377"/>
      <c r="M619" s="377"/>
      <c r="N619" s="377"/>
      <c r="P619" s="377"/>
      <c r="Q619" s="377"/>
      <c r="R619" s="377"/>
      <c r="S619" s="377"/>
      <c r="U619" s="377"/>
      <c r="V619" s="377"/>
      <c r="W619" s="377"/>
      <c r="X619" s="377"/>
      <c r="Z619" s="77"/>
      <c r="AA619" s="377"/>
      <c r="AB619" s="377"/>
      <c r="AC619" s="377"/>
      <c r="AE619" s="77"/>
      <c r="AF619" s="377"/>
      <c r="AG619" s="377"/>
      <c r="AH619" s="377"/>
      <c r="AJ619" s="77"/>
      <c r="AK619" s="77"/>
      <c r="AL619" s="77"/>
      <c r="AM619" s="77"/>
      <c r="AN619" s="77"/>
    </row>
    <row r="620" spans="12:40">
      <c r="L620" s="377"/>
      <c r="M620" s="377"/>
      <c r="N620" s="377"/>
      <c r="P620" s="377"/>
      <c r="Q620" s="377"/>
      <c r="R620" s="377"/>
      <c r="S620" s="377"/>
      <c r="U620" s="377"/>
      <c r="V620" s="377"/>
      <c r="W620" s="377"/>
      <c r="X620" s="377"/>
      <c r="Z620" s="77"/>
      <c r="AA620" s="377"/>
      <c r="AB620" s="377"/>
      <c r="AC620" s="377"/>
      <c r="AE620" s="77"/>
      <c r="AF620" s="377"/>
      <c r="AG620" s="377"/>
      <c r="AH620" s="377"/>
      <c r="AJ620" s="77"/>
      <c r="AK620" s="77"/>
      <c r="AL620" s="77"/>
      <c r="AM620" s="77"/>
      <c r="AN620" s="77"/>
    </row>
    <row r="621" spans="12:40">
      <c r="L621" s="377"/>
      <c r="M621" s="377"/>
      <c r="N621" s="377"/>
      <c r="P621" s="377"/>
      <c r="Q621" s="377"/>
      <c r="R621" s="377"/>
      <c r="S621" s="377"/>
      <c r="U621" s="377"/>
      <c r="V621" s="377"/>
      <c r="W621" s="377"/>
      <c r="X621" s="377"/>
      <c r="Z621" s="77"/>
      <c r="AA621" s="377"/>
      <c r="AB621" s="377"/>
      <c r="AC621" s="377"/>
      <c r="AE621" s="77"/>
      <c r="AF621" s="377"/>
      <c r="AG621" s="377"/>
      <c r="AH621" s="377"/>
      <c r="AJ621" s="77"/>
      <c r="AK621" s="77"/>
      <c r="AL621" s="77"/>
      <c r="AM621" s="77"/>
      <c r="AN621" s="77"/>
    </row>
    <row r="622" spans="12:40">
      <c r="L622" s="377"/>
      <c r="M622" s="377"/>
      <c r="N622" s="377"/>
      <c r="P622" s="377"/>
      <c r="Q622" s="377"/>
      <c r="R622" s="377"/>
      <c r="S622" s="377"/>
      <c r="U622" s="377"/>
      <c r="V622" s="377"/>
      <c r="W622" s="377"/>
      <c r="X622" s="377"/>
      <c r="Z622" s="77"/>
      <c r="AA622" s="377"/>
      <c r="AB622" s="377"/>
      <c r="AC622" s="377"/>
      <c r="AE622" s="77"/>
      <c r="AF622" s="377"/>
      <c r="AG622" s="377"/>
      <c r="AH622" s="377"/>
      <c r="AJ622" s="77"/>
      <c r="AK622" s="77"/>
      <c r="AL622" s="77"/>
      <c r="AM622" s="77"/>
      <c r="AN622" s="77"/>
    </row>
    <row r="623" spans="12:40">
      <c r="L623" s="377"/>
      <c r="M623" s="377"/>
      <c r="N623" s="377"/>
      <c r="P623" s="377"/>
      <c r="Q623" s="377"/>
      <c r="R623" s="377"/>
      <c r="S623" s="377"/>
      <c r="U623" s="377"/>
      <c r="V623" s="377"/>
      <c r="W623" s="377"/>
      <c r="X623" s="377"/>
      <c r="Z623" s="77"/>
      <c r="AA623" s="377"/>
      <c r="AB623" s="377"/>
      <c r="AC623" s="377"/>
      <c r="AE623" s="77"/>
      <c r="AF623" s="377"/>
      <c r="AG623" s="377"/>
      <c r="AH623" s="377"/>
      <c r="AJ623" s="77"/>
      <c r="AK623" s="77"/>
      <c r="AL623" s="77"/>
      <c r="AM623" s="77"/>
      <c r="AN623" s="77"/>
    </row>
    <row r="624" spans="12:40">
      <c r="L624" s="377"/>
      <c r="M624" s="377"/>
      <c r="N624" s="377"/>
      <c r="P624" s="377"/>
      <c r="Q624" s="377"/>
      <c r="R624" s="377"/>
      <c r="S624" s="377"/>
      <c r="U624" s="377"/>
      <c r="V624" s="377"/>
      <c r="W624" s="377"/>
      <c r="X624" s="377"/>
      <c r="Z624" s="77"/>
      <c r="AA624" s="377"/>
      <c r="AB624" s="377"/>
      <c r="AC624" s="377"/>
      <c r="AE624" s="77"/>
      <c r="AF624" s="377"/>
      <c r="AG624" s="377"/>
      <c r="AH624" s="377"/>
      <c r="AJ624" s="77"/>
      <c r="AK624" s="77"/>
      <c r="AL624" s="77"/>
      <c r="AM624" s="77"/>
      <c r="AN624" s="77"/>
    </row>
    <row r="625" spans="12:40">
      <c r="L625" s="377"/>
      <c r="M625" s="377"/>
      <c r="N625" s="377"/>
      <c r="P625" s="377"/>
      <c r="Q625" s="377"/>
      <c r="R625" s="377"/>
      <c r="S625" s="377"/>
      <c r="U625" s="377"/>
      <c r="V625" s="377"/>
      <c r="W625" s="377"/>
      <c r="X625" s="377"/>
      <c r="Z625" s="77"/>
      <c r="AA625" s="377"/>
      <c r="AB625" s="377"/>
      <c r="AC625" s="377"/>
      <c r="AE625" s="77"/>
      <c r="AF625" s="377"/>
      <c r="AG625" s="377"/>
      <c r="AH625" s="377"/>
      <c r="AJ625" s="77"/>
      <c r="AK625" s="77"/>
      <c r="AL625" s="77"/>
      <c r="AM625" s="77"/>
      <c r="AN625" s="77"/>
    </row>
    <row r="626" spans="12:40">
      <c r="L626" s="377"/>
      <c r="M626" s="377"/>
      <c r="N626" s="377"/>
      <c r="P626" s="377"/>
      <c r="Q626" s="377"/>
      <c r="R626" s="377"/>
      <c r="S626" s="377"/>
      <c r="U626" s="377"/>
      <c r="V626" s="377"/>
      <c r="W626" s="377"/>
      <c r="X626" s="377"/>
      <c r="Z626" s="77"/>
      <c r="AA626" s="377"/>
      <c r="AB626" s="377"/>
      <c r="AC626" s="377"/>
      <c r="AE626" s="77"/>
      <c r="AF626" s="377"/>
      <c r="AG626" s="377"/>
      <c r="AH626" s="377"/>
      <c r="AJ626" s="77"/>
      <c r="AK626" s="77"/>
      <c r="AL626" s="77"/>
      <c r="AM626" s="77"/>
      <c r="AN626" s="77"/>
    </row>
    <row r="627" spans="12:40">
      <c r="L627" s="377"/>
      <c r="M627" s="377"/>
      <c r="N627" s="377"/>
      <c r="P627" s="377"/>
      <c r="Q627" s="377"/>
      <c r="R627" s="377"/>
      <c r="S627" s="377"/>
      <c r="U627" s="377"/>
      <c r="V627" s="377"/>
      <c r="W627" s="377"/>
      <c r="X627" s="377"/>
      <c r="Z627" s="77"/>
      <c r="AA627" s="377"/>
      <c r="AB627" s="377"/>
      <c r="AC627" s="377"/>
      <c r="AE627" s="77"/>
      <c r="AF627" s="377"/>
      <c r="AG627" s="377"/>
      <c r="AH627" s="377"/>
      <c r="AJ627" s="77"/>
      <c r="AK627" s="77"/>
      <c r="AL627" s="77"/>
      <c r="AM627" s="77"/>
      <c r="AN627" s="77"/>
    </row>
    <row r="628" spans="12:40">
      <c r="L628" s="377"/>
      <c r="M628" s="377"/>
      <c r="N628" s="377"/>
      <c r="P628" s="377"/>
      <c r="Q628" s="377"/>
      <c r="R628" s="377"/>
      <c r="S628" s="377"/>
      <c r="U628" s="377"/>
      <c r="V628" s="377"/>
      <c r="W628" s="377"/>
      <c r="X628" s="377"/>
      <c r="Z628" s="77"/>
      <c r="AA628" s="377"/>
      <c r="AB628" s="377"/>
      <c r="AC628" s="377"/>
      <c r="AE628" s="77"/>
      <c r="AF628" s="377"/>
      <c r="AG628" s="377"/>
      <c r="AH628" s="377"/>
      <c r="AJ628" s="77"/>
      <c r="AK628" s="77"/>
      <c r="AL628" s="77"/>
      <c r="AM628" s="77"/>
      <c r="AN628" s="77"/>
    </row>
    <row r="629" spans="12:40">
      <c r="L629" s="377"/>
      <c r="M629" s="377"/>
      <c r="N629" s="377"/>
      <c r="P629" s="377"/>
      <c r="Q629" s="377"/>
      <c r="R629" s="377"/>
      <c r="S629" s="377"/>
      <c r="U629" s="377"/>
      <c r="V629" s="377"/>
      <c r="W629" s="377"/>
      <c r="X629" s="377"/>
      <c r="Z629" s="77"/>
      <c r="AA629" s="377"/>
      <c r="AB629" s="377"/>
      <c r="AC629" s="377"/>
      <c r="AE629" s="77"/>
      <c r="AF629" s="377"/>
      <c r="AG629" s="377"/>
      <c r="AH629" s="377"/>
      <c r="AJ629" s="77"/>
      <c r="AK629" s="77"/>
      <c r="AL629" s="77"/>
      <c r="AM629" s="77"/>
      <c r="AN629" s="77"/>
    </row>
    <row r="630" spans="12:40">
      <c r="L630" s="377"/>
      <c r="M630" s="377"/>
      <c r="N630" s="377"/>
      <c r="P630" s="377"/>
      <c r="Q630" s="377"/>
      <c r="R630" s="377"/>
      <c r="S630" s="377"/>
      <c r="U630" s="377"/>
      <c r="V630" s="377"/>
      <c r="W630" s="377"/>
      <c r="X630" s="377"/>
      <c r="Z630" s="77"/>
      <c r="AA630" s="377"/>
      <c r="AB630" s="377"/>
      <c r="AC630" s="377"/>
      <c r="AE630" s="77"/>
      <c r="AF630" s="377"/>
      <c r="AG630" s="377"/>
      <c r="AH630" s="377"/>
      <c r="AJ630" s="77"/>
      <c r="AK630" s="77"/>
      <c r="AL630" s="77"/>
      <c r="AM630" s="77"/>
      <c r="AN630" s="77"/>
    </row>
    <row r="631" spans="12:40">
      <c r="L631" s="377"/>
      <c r="M631" s="377"/>
      <c r="N631" s="377"/>
      <c r="P631" s="377"/>
      <c r="Q631" s="377"/>
      <c r="R631" s="377"/>
      <c r="S631" s="377"/>
      <c r="U631" s="377"/>
      <c r="V631" s="377"/>
      <c r="W631" s="377"/>
      <c r="X631" s="377"/>
      <c r="Z631" s="77"/>
      <c r="AA631" s="377"/>
      <c r="AB631" s="377"/>
      <c r="AC631" s="377"/>
      <c r="AE631" s="77"/>
      <c r="AF631" s="377"/>
      <c r="AG631" s="377"/>
      <c r="AH631" s="377"/>
      <c r="AJ631" s="77"/>
      <c r="AK631" s="77"/>
      <c r="AL631" s="77"/>
      <c r="AM631" s="77"/>
      <c r="AN631" s="77"/>
    </row>
    <row r="632" spans="12:40">
      <c r="L632" s="377"/>
      <c r="M632" s="377"/>
      <c r="N632" s="377"/>
      <c r="P632" s="377"/>
      <c r="Q632" s="377"/>
      <c r="R632" s="377"/>
      <c r="S632" s="377"/>
      <c r="U632" s="377"/>
      <c r="V632" s="377"/>
      <c r="W632" s="377"/>
      <c r="X632" s="377"/>
      <c r="Z632" s="77"/>
      <c r="AA632" s="377"/>
      <c r="AB632" s="377"/>
      <c r="AC632" s="377"/>
      <c r="AE632" s="77"/>
      <c r="AF632" s="377"/>
      <c r="AG632" s="377"/>
      <c r="AH632" s="377"/>
      <c r="AJ632" s="77"/>
      <c r="AK632" s="77"/>
      <c r="AL632" s="77"/>
      <c r="AM632" s="77"/>
      <c r="AN632" s="77"/>
    </row>
    <row r="633" spans="12:40">
      <c r="L633" s="377"/>
      <c r="M633" s="377"/>
      <c r="N633" s="377"/>
      <c r="P633" s="377"/>
      <c r="Q633" s="377"/>
      <c r="R633" s="377"/>
      <c r="S633" s="377"/>
      <c r="U633" s="377"/>
      <c r="V633" s="377"/>
      <c r="W633" s="377"/>
      <c r="X633" s="377"/>
      <c r="Z633" s="77"/>
      <c r="AA633" s="377"/>
      <c r="AB633" s="377"/>
      <c r="AC633" s="377"/>
      <c r="AE633" s="77"/>
      <c r="AF633" s="377"/>
      <c r="AG633" s="377"/>
      <c r="AH633" s="377"/>
      <c r="AJ633" s="77"/>
      <c r="AK633" s="77"/>
      <c r="AL633" s="77"/>
      <c r="AM633" s="77"/>
      <c r="AN633" s="77"/>
    </row>
    <row r="634" spans="12:40">
      <c r="L634" s="377"/>
      <c r="M634" s="377"/>
      <c r="N634" s="377"/>
      <c r="P634" s="377"/>
      <c r="Q634" s="377"/>
      <c r="R634" s="377"/>
      <c r="S634" s="377"/>
      <c r="U634" s="377"/>
      <c r="V634" s="377"/>
      <c r="W634" s="377"/>
      <c r="X634" s="377"/>
      <c r="Z634" s="77"/>
      <c r="AA634" s="377"/>
      <c r="AB634" s="377"/>
      <c r="AC634" s="377"/>
      <c r="AE634" s="77"/>
      <c r="AF634" s="377"/>
      <c r="AG634" s="377"/>
      <c r="AH634" s="377"/>
      <c r="AJ634" s="77"/>
      <c r="AK634" s="77"/>
      <c r="AL634" s="77"/>
      <c r="AM634" s="77"/>
      <c r="AN634" s="77"/>
    </row>
    <row r="635" spans="12:40">
      <c r="L635" s="377"/>
      <c r="M635" s="377"/>
      <c r="N635" s="377"/>
      <c r="P635" s="377"/>
      <c r="Q635" s="377"/>
      <c r="R635" s="377"/>
      <c r="S635" s="377"/>
      <c r="U635" s="377"/>
      <c r="V635" s="377"/>
      <c r="W635" s="377"/>
      <c r="X635" s="377"/>
      <c r="Z635" s="77"/>
      <c r="AA635" s="377"/>
      <c r="AB635" s="377"/>
      <c r="AC635" s="377"/>
      <c r="AE635" s="77"/>
      <c r="AF635" s="377"/>
      <c r="AG635" s="377"/>
      <c r="AH635" s="377"/>
      <c r="AJ635" s="77"/>
      <c r="AK635" s="77"/>
      <c r="AL635" s="77"/>
      <c r="AM635" s="77"/>
      <c r="AN635" s="77"/>
    </row>
    <row r="636" spans="12:40">
      <c r="L636" s="377"/>
      <c r="M636" s="377"/>
      <c r="N636" s="377"/>
      <c r="P636" s="377"/>
      <c r="Q636" s="377"/>
      <c r="R636" s="377"/>
      <c r="S636" s="377"/>
      <c r="U636" s="377"/>
      <c r="V636" s="377"/>
      <c r="W636" s="377"/>
      <c r="X636" s="377"/>
      <c r="Z636" s="77"/>
      <c r="AA636" s="377"/>
      <c r="AB636" s="377"/>
      <c r="AC636" s="377"/>
      <c r="AE636" s="77"/>
      <c r="AF636" s="377"/>
      <c r="AG636" s="377"/>
      <c r="AH636" s="377"/>
      <c r="AJ636" s="77"/>
      <c r="AK636" s="77"/>
      <c r="AL636" s="77"/>
      <c r="AM636" s="77"/>
      <c r="AN636" s="77"/>
    </row>
    <row r="637" spans="12:40">
      <c r="L637" s="377"/>
      <c r="M637" s="377"/>
      <c r="N637" s="377"/>
      <c r="P637" s="377"/>
      <c r="Q637" s="377"/>
      <c r="R637" s="377"/>
      <c r="S637" s="377"/>
      <c r="U637" s="377"/>
      <c r="V637" s="377"/>
      <c r="W637" s="377"/>
      <c r="X637" s="377"/>
      <c r="Z637" s="77"/>
      <c r="AA637" s="377"/>
      <c r="AB637" s="377"/>
      <c r="AC637" s="377"/>
      <c r="AE637" s="77"/>
      <c r="AF637" s="377"/>
      <c r="AG637" s="377"/>
      <c r="AH637" s="377"/>
      <c r="AJ637" s="77"/>
      <c r="AK637" s="77"/>
      <c r="AL637" s="77"/>
      <c r="AM637" s="77"/>
      <c r="AN637" s="77"/>
    </row>
    <row r="638" spans="12:40">
      <c r="L638" s="377"/>
      <c r="M638" s="377"/>
      <c r="N638" s="377"/>
      <c r="P638" s="377"/>
      <c r="Q638" s="377"/>
      <c r="R638" s="377"/>
      <c r="S638" s="377"/>
      <c r="U638" s="377"/>
      <c r="V638" s="377"/>
      <c r="W638" s="377"/>
      <c r="X638" s="377"/>
      <c r="Z638" s="77"/>
      <c r="AA638" s="377"/>
      <c r="AB638" s="377"/>
      <c r="AC638" s="377"/>
      <c r="AE638" s="77"/>
      <c r="AF638" s="377"/>
      <c r="AG638" s="377"/>
      <c r="AH638" s="377"/>
      <c r="AJ638" s="77"/>
      <c r="AK638" s="77"/>
      <c r="AL638" s="77"/>
      <c r="AM638" s="77"/>
      <c r="AN638" s="77"/>
    </row>
    <row r="639" spans="12:40">
      <c r="L639" s="377"/>
      <c r="M639" s="377"/>
      <c r="N639" s="377"/>
      <c r="P639" s="377"/>
      <c r="Q639" s="377"/>
      <c r="R639" s="377"/>
      <c r="S639" s="377"/>
      <c r="U639" s="377"/>
      <c r="V639" s="377"/>
      <c r="W639" s="377"/>
      <c r="X639" s="377"/>
      <c r="Z639" s="77"/>
      <c r="AA639" s="377"/>
      <c r="AB639" s="377"/>
      <c r="AC639" s="377"/>
      <c r="AE639" s="77"/>
      <c r="AF639" s="377"/>
      <c r="AG639" s="377"/>
      <c r="AH639" s="377"/>
      <c r="AJ639" s="77"/>
      <c r="AK639" s="77"/>
      <c r="AL639" s="77"/>
      <c r="AM639" s="77"/>
      <c r="AN639" s="77"/>
    </row>
    <row r="640" spans="12:40">
      <c r="L640" s="377"/>
      <c r="M640" s="377"/>
      <c r="N640" s="377"/>
      <c r="P640" s="377"/>
      <c r="Q640" s="377"/>
      <c r="R640" s="377"/>
      <c r="S640" s="377"/>
      <c r="U640" s="377"/>
      <c r="V640" s="377"/>
      <c r="W640" s="377"/>
      <c r="X640" s="377"/>
      <c r="Z640" s="77"/>
      <c r="AA640" s="377"/>
      <c r="AB640" s="377"/>
      <c r="AC640" s="377"/>
      <c r="AE640" s="77"/>
      <c r="AF640" s="377"/>
      <c r="AG640" s="377"/>
      <c r="AH640" s="377"/>
      <c r="AJ640" s="77"/>
      <c r="AK640" s="77"/>
      <c r="AL640" s="77"/>
      <c r="AM640" s="77"/>
      <c r="AN640" s="77"/>
    </row>
    <row r="641" spans="12:40">
      <c r="L641" s="377"/>
      <c r="M641" s="377"/>
      <c r="N641" s="377"/>
      <c r="P641" s="377"/>
      <c r="Q641" s="377"/>
      <c r="R641" s="377"/>
      <c r="S641" s="377"/>
      <c r="U641" s="377"/>
      <c r="V641" s="377"/>
      <c r="W641" s="377"/>
      <c r="X641" s="377"/>
      <c r="Z641" s="77"/>
      <c r="AA641" s="377"/>
      <c r="AB641" s="377"/>
      <c r="AC641" s="377"/>
      <c r="AE641" s="77"/>
      <c r="AF641" s="377"/>
      <c r="AG641" s="377"/>
      <c r="AH641" s="377"/>
      <c r="AJ641" s="77"/>
      <c r="AK641" s="77"/>
      <c r="AL641" s="77"/>
      <c r="AM641" s="77"/>
      <c r="AN641" s="77"/>
    </row>
    <row r="642" spans="12:40">
      <c r="L642" s="377"/>
      <c r="M642" s="377"/>
      <c r="N642" s="377"/>
      <c r="P642" s="377"/>
      <c r="Q642" s="377"/>
      <c r="R642" s="377"/>
      <c r="S642" s="377"/>
      <c r="U642" s="377"/>
      <c r="V642" s="377"/>
      <c r="W642" s="377"/>
      <c r="X642" s="377"/>
      <c r="Z642" s="77"/>
      <c r="AA642" s="377"/>
      <c r="AB642" s="377"/>
      <c r="AC642" s="377"/>
      <c r="AE642" s="77"/>
      <c r="AF642" s="377"/>
      <c r="AG642" s="377"/>
      <c r="AH642" s="377"/>
      <c r="AJ642" s="77"/>
      <c r="AK642" s="77"/>
      <c r="AL642" s="77"/>
      <c r="AM642" s="77"/>
      <c r="AN642" s="77"/>
    </row>
    <row r="643" spans="12:40">
      <c r="L643" s="377"/>
      <c r="M643" s="377"/>
      <c r="N643" s="377"/>
      <c r="P643" s="377"/>
      <c r="Q643" s="377"/>
      <c r="R643" s="377"/>
      <c r="S643" s="377"/>
      <c r="U643" s="377"/>
      <c r="V643" s="377"/>
      <c r="W643" s="377"/>
      <c r="X643" s="377"/>
      <c r="Z643" s="77"/>
      <c r="AA643" s="377"/>
      <c r="AB643" s="377"/>
      <c r="AC643" s="377"/>
      <c r="AE643" s="77"/>
      <c r="AF643" s="377"/>
      <c r="AG643" s="377"/>
      <c r="AH643" s="377"/>
      <c r="AJ643" s="77"/>
      <c r="AK643" s="77"/>
      <c r="AL643" s="77"/>
      <c r="AM643" s="77"/>
      <c r="AN643" s="77"/>
    </row>
    <row r="644" spans="12:40">
      <c r="L644" s="377"/>
      <c r="M644" s="377"/>
      <c r="N644" s="377"/>
      <c r="P644" s="377"/>
      <c r="Q644" s="377"/>
      <c r="R644" s="377"/>
      <c r="S644" s="377"/>
      <c r="U644" s="377"/>
      <c r="V644" s="377"/>
      <c r="W644" s="377"/>
      <c r="X644" s="377"/>
      <c r="Z644" s="77"/>
      <c r="AA644" s="377"/>
      <c r="AB644" s="377"/>
      <c r="AC644" s="377"/>
      <c r="AE644" s="77"/>
      <c r="AF644" s="377"/>
      <c r="AG644" s="377"/>
      <c r="AH644" s="377"/>
      <c r="AJ644" s="77"/>
      <c r="AK644" s="77"/>
      <c r="AL644" s="77"/>
      <c r="AM644" s="77"/>
      <c r="AN644" s="77"/>
    </row>
    <row r="645" spans="12:40">
      <c r="L645" s="377"/>
      <c r="M645" s="377"/>
      <c r="N645" s="377"/>
      <c r="P645" s="377"/>
      <c r="Q645" s="377"/>
      <c r="R645" s="377"/>
      <c r="S645" s="377"/>
      <c r="U645" s="377"/>
      <c r="V645" s="377"/>
      <c r="W645" s="377"/>
      <c r="X645" s="377"/>
      <c r="Z645" s="77"/>
      <c r="AA645" s="377"/>
      <c r="AB645" s="377"/>
      <c r="AC645" s="377"/>
      <c r="AE645" s="77"/>
      <c r="AF645" s="377"/>
      <c r="AG645" s="377"/>
      <c r="AH645" s="377"/>
      <c r="AJ645" s="77"/>
      <c r="AK645" s="77"/>
      <c r="AL645" s="77"/>
      <c r="AM645" s="77"/>
      <c r="AN645" s="77"/>
    </row>
    <row r="646" spans="12:40">
      <c r="L646" s="377"/>
      <c r="M646" s="377"/>
      <c r="N646" s="377"/>
      <c r="P646" s="377"/>
      <c r="Q646" s="377"/>
      <c r="R646" s="377"/>
      <c r="S646" s="377"/>
      <c r="U646" s="377"/>
      <c r="V646" s="377"/>
      <c r="W646" s="377"/>
      <c r="X646" s="377"/>
      <c r="Z646" s="77"/>
      <c r="AA646" s="377"/>
      <c r="AB646" s="377"/>
      <c r="AC646" s="377"/>
      <c r="AE646" s="77"/>
      <c r="AF646" s="377"/>
      <c r="AG646" s="377"/>
      <c r="AH646" s="377"/>
      <c r="AJ646" s="77"/>
      <c r="AK646" s="77"/>
      <c r="AL646" s="77"/>
      <c r="AM646" s="77"/>
      <c r="AN646" s="77"/>
    </row>
    <row r="647" spans="12:40">
      <c r="L647" s="377"/>
      <c r="M647" s="377"/>
      <c r="N647" s="377"/>
      <c r="P647" s="377"/>
      <c r="Q647" s="377"/>
      <c r="R647" s="377"/>
      <c r="S647" s="377"/>
      <c r="U647" s="377"/>
      <c r="V647" s="377"/>
      <c r="W647" s="377"/>
      <c r="X647" s="377"/>
      <c r="Z647" s="77"/>
      <c r="AA647" s="377"/>
      <c r="AB647" s="377"/>
      <c r="AC647" s="377"/>
      <c r="AE647" s="77"/>
      <c r="AF647" s="377"/>
      <c r="AG647" s="377"/>
      <c r="AH647" s="377"/>
      <c r="AJ647" s="77"/>
      <c r="AK647" s="77"/>
      <c r="AL647" s="77"/>
      <c r="AM647" s="77"/>
      <c r="AN647" s="77"/>
    </row>
    <row r="648" spans="12:40">
      <c r="L648" s="377"/>
      <c r="M648" s="377"/>
      <c r="N648" s="377"/>
      <c r="P648" s="377"/>
      <c r="Q648" s="377"/>
      <c r="R648" s="377"/>
      <c r="S648" s="377"/>
      <c r="U648" s="377"/>
      <c r="V648" s="377"/>
      <c r="W648" s="377"/>
      <c r="X648" s="377"/>
      <c r="Z648" s="77"/>
      <c r="AA648" s="377"/>
      <c r="AB648" s="377"/>
      <c r="AC648" s="377"/>
      <c r="AE648" s="77"/>
      <c r="AF648" s="377"/>
      <c r="AG648" s="377"/>
      <c r="AH648" s="377"/>
      <c r="AJ648" s="77"/>
      <c r="AK648" s="77"/>
      <c r="AL648" s="77"/>
      <c r="AM648" s="77"/>
      <c r="AN648" s="77"/>
    </row>
    <row r="649" spans="12:40">
      <c r="L649" s="377"/>
      <c r="M649" s="377"/>
      <c r="N649" s="377"/>
      <c r="P649" s="377"/>
      <c r="Q649" s="377"/>
      <c r="R649" s="377"/>
      <c r="S649" s="377"/>
      <c r="U649" s="377"/>
      <c r="V649" s="377"/>
      <c r="W649" s="377"/>
      <c r="X649" s="377"/>
      <c r="Z649" s="77"/>
      <c r="AA649" s="377"/>
      <c r="AB649" s="377"/>
      <c r="AC649" s="377"/>
      <c r="AE649" s="77"/>
      <c r="AF649" s="377"/>
      <c r="AG649" s="377"/>
      <c r="AH649" s="377"/>
      <c r="AJ649" s="77"/>
      <c r="AK649" s="77"/>
      <c r="AL649" s="77"/>
      <c r="AM649" s="77"/>
      <c r="AN649" s="77"/>
    </row>
    <row r="650" spans="12:40">
      <c r="L650" s="377"/>
      <c r="M650" s="377"/>
      <c r="N650" s="377"/>
      <c r="P650" s="377"/>
      <c r="Q650" s="377"/>
      <c r="R650" s="377"/>
      <c r="S650" s="377"/>
      <c r="U650" s="377"/>
      <c r="V650" s="377"/>
      <c r="W650" s="377"/>
      <c r="X650" s="377"/>
      <c r="Z650" s="77"/>
      <c r="AA650" s="377"/>
      <c r="AB650" s="377"/>
      <c r="AC650" s="377"/>
      <c r="AE650" s="77"/>
      <c r="AF650" s="377"/>
      <c r="AG650" s="377"/>
      <c r="AH650" s="377"/>
      <c r="AJ650" s="77"/>
      <c r="AK650" s="77"/>
      <c r="AL650" s="77"/>
      <c r="AM650" s="77"/>
      <c r="AN650" s="77"/>
    </row>
    <row r="651" spans="12:40">
      <c r="L651" s="377"/>
      <c r="M651" s="377"/>
      <c r="N651" s="377"/>
      <c r="P651" s="377"/>
      <c r="Q651" s="377"/>
      <c r="R651" s="377"/>
      <c r="S651" s="377"/>
      <c r="U651" s="377"/>
      <c r="V651" s="377"/>
      <c r="W651" s="377"/>
      <c r="X651" s="377"/>
      <c r="Z651" s="77"/>
      <c r="AA651" s="377"/>
      <c r="AB651" s="377"/>
      <c r="AC651" s="377"/>
      <c r="AE651" s="77"/>
      <c r="AF651" s="377"/>
      <c r="AG651" s="377"/>
      <c r="AH651" s="377"/>
      <c r="AJ651" s="77"/>
      <c r="AK651" s="77"/>
      <c r="AL651" s="77"/>
      <c r="AM651" s="77"/>
      <c r="AN651" s="77"/>
    </row>
    <row r="652" spans="12:40">
      <c r="L652" s="377"/>
      <c r="M652" s="377"/>
      <c r="N652" s="377"/>
      <c r="P652" s="377"/>
      <c r="Q652" s="377"/>
      <c r="R652" s="377"/>
      <c r="S652" s="377"/>
      <c r="U652" s="377"/>
      <c r="V652" s="377"/>
      <c r="W652" s="377"/>
      <c r="X652" s="377"/>
      <c r="Z652" s="77"/>
      <c r="AA652" s="377"/>
      <c r="AB652" s="377"/>
      <c r="AC652" s="377"/>
      <c r="AE652" s="77"/>
      <c r="AF652" s="377"/>
      <c r="AG652" s="377"/>
      <c r="AH652" s="377"/>
      <c r="AJ652" s="77"/>
      <c r="AK652" s="77"/>
      <c r="AL652" s="77"/>
      <c r="AM652" s="77"/>
      <c r="AN652" s="77"/>
    </row>
    <row r="653" spans="12:40">
      <c r="L653" s="377"/>
      <c r="M653" s="377"/>
      <c r="N653" s="377"/>
      <c r="P653" s="377"/>
      <c r="Q653" s="377"/>
      <c r="R653" s="377"/>
      <c r="S653" s="377"/>
      <c r="U653" s="377"/>
      <c r="V653" s="377"/>
      <c r="W653" s="377"/>
      <c r="X653" s="377"/>
      <c r="Z653" s="77"/>
      <c r="AA653" s="377"/>
      <c r="AB653" s="377"/>
      <c r="AC653" s="377"/>
      <c r="AE653" s="77"/>
      <c r="AF653" s="377"/>
      <c r="AG653" s="377"/>
      <c r="AH653" s="377"/>
      <c r="AJ653" s="77"/>
      <c r="AK653" s="77"/>
      <c r="AL653" s="77"/>
      <c r="AM653" s="77"/>
      <c r="AN653" s="77"/>
    </row>
    <row r="654" spans="12:40">
      <c r="L654" s="377"/>
      <c r="M654" s="377"/>
      <c r="N654" s="377"/>
      <c r="P654" s="377"/>
      <c r="Q654" s="377"/>
      <c r="R654" s="377"/>
      <c r="S654" s="377"/>
      <c r="U654" s="377"/>
      <c r="V654" s="377"/>
      <c r="W654" s="377"/>
      <c r="X654" s="377"/>
      <c r="Z654" s="77"/>
      <c r="AA654" s="377"/>
      <c r="AB654" s="377"/>
      <c r="AC654" s="377"/>
      <c r="AE654" s="77"/>
      <c r="AF654" s="377"/>
      <c r="AG654" s="377"/>
      <c r="AH654" s="377"/>
      <c r="AJ654" s="77"/>
      <c r="AK654" s="77"/>
      <c r="AL654" s="77"/>
      <c r="AM654" s="77"/>
      <c r="AN654" s="77"/>
    </row>
    <row r="655" spans="12:40">
      <c r="L655" s="377"/>
      <c r="M655" s="377"/>
      <c r="N655" s="377"/>
      <c r="P655" s="377"/>
      <c r="Q655" s="377"/>
      <c r="R655" s="377"/>
      <c r="S655" s="377"/>
      <c r="U655" s="377"/>
      <c r="V655" s="377"/>
      <c r="W655" s="377"/>
      <c r="X655" s="377"/>
      <c r="Z655" s="77"/>
      <c r="AA655" s="377"/>
      <c r="AB655" s="377"/>
      <c r="AC655" s="377"/>
      <c r="AE655" s="77"/>
      <c r="AF655" s="377"/>
      <c r="AG655" s="377"/>
      <c r="AH655" s="377"/>
      <c r="AJ655" s="77"/>
      <c r="AK655" s="77"/>
      <c r="AL655" s="77"/>
      <c r="AM655" s="77"/>
      <c r="AN655" s="77"/>
    </row>
    <row r="656" spans="12:40">
      <c r="L656" s="377"/>
      <c r="M656" s="377"/>
      <c r="N656" s="377"/>
      <c r="P656" s="377"/>
      <c r="Q656" s="377"/>
      <c r="R656" s="377"/>
      <c r="S656" s="377"/>
      <c r="U656" s="377"/>
      <c r="V656" s="377"/>
      <c r="W656" s="377"/>
      <c r="X656" s="377"/>
      <c r="Z656" s="77"/>
      <c r="AA656" s="377"/>
      <c r="AB656" s="377"/>
      <c r="AC656" s="377"/>
      <c r="AE656" s="77"/>
      <c r="AF656" s="377"/>
      <c r="AG656" s="377"/>
      <c r="AH656" s="377"/>
      <c r="AJ656" s="77"/>
      <c r="AK656" s="77"/>
      <c r="AL656" s="77"/>
      <c r="AM656" s="77"/>
      <c r="AN656" s="77"/>
    </row>
    <row r="657" spans="12:40">
      <c r="L657" s="377"/>
      <c r="M657" s="377"/>
      <c r="N657" s="377"/>
      <c r="P657" s="377"/>
      <c r="Q657" s="377"/>
      <c r="R657" s="377"/>
      <c r="S657" s="377"/>
      <c r="U657" s="377"/>
      <c r="V657" s="377"/>
      <c r="W657" s="377"/>
      <c r="X657" s="377"/>
      <c r="Z657" s="77"/>
      <c r="AA657" s="377"/>
      <c r="AB657" s="377"/>
      <c r="AC657" s="377"/>
      <c r="AE657" s="77"/>
      <c r="AF657" s="377"/>
      <c r="AG657" s="377"/>
      <c r="AH657" s="377"/>
      <c r="AJ657" s="77"/>
      <c r="AK657" s="77"/>
      <c r="AL657" s="77"/>
      <c r="AM657" s="77"/>
      <c r="AN657" s="77"/>
    </row>
    <row r="658" spans="12:40">
      <c r="L658" s="377"/>
      <c r="M658" s="377"/>
      <c r="N658" s="377"/>
      <c r="P658" s="377"/>
      <c r="Q658" s="377"/>
      <c r="R658" s="377"/>
      <c r="S658" s="377"/>
      <c r="U658" s="377"/>
      <c r="V658" s="377"/>
      <c r="W658" s="377"/>
      <c r="X658" s="377"/>
      <c r="Z658" s="77"/>
      <c r="AA658" s="377"/>
      <c r="AB658" s="377"/>
      <c r="AC658" s="377"/>
      <c r="AE658" s="77"/>
      <c r="AF658" s="377"/>
      <c r="AG658" s="377"/>
      <c r="AH658" s="377"/>
      <c r="AJ658" s="77"/>
      <c r="AK658" s="77"/>
      <c r="AL658" s="77"/>
      <c r="AM658" s="77"/>
      <c r="AN658" s="77"/>
    </row>
    <row r="659" spans="12:40">
      <c r="L659" s="377"/>
      <c r="M659" s="377"/>
      <c r="N659" s="377"/>
      <c r="P659" s="377"/>
      <c r="Q659" s="377"/>
      <c r="R659" s="377"/>
      <c r="S659" s="377"/>
      <c r="U659" s="377"/>
      <c r="V659" s="377"/>
      <c r="W659" s="377"/>
      <c r="X659" s="377"/>
      <c r="Z659" s="77"/>
      <c r="AA659" s="377"/>
      <c r="AB659" s="377"/>
      <c r="AC659" s="377"/>
      <c r="AE659" s="77"/>
      <c r="AF659" s="377"/>
      <c r="AG659" s="377"/>
      <c r="AH659" s="377"/>
      <c r="AJ659" s="77"/>
      <c r="AK659" s="77"/>
      <c r="AL659" s="77"/>
      <c r="AM659" s="77"/>
      <c r="AN659" s="77"/>
    </row>
    <row r="660" spans="12:40">
      <c r="L660" s="377"/>
      <c r="M660" s="377"/>
      <c r="N660" s="377"/>
      <c r="P660" s="377"/>
      <c r="Q660" s="377"/>
      <c r="R660" s="377"/>
      <c r="S660" s="377"/>
      <c r="U660" s="377"/>
      <c r="V660" s="377"/>
      <c r="W660" s="377"/>
      <c r="X660" s="377"/>
      <c r="Z660" s="77"/>
      <c r="AA660" s="377"/>
      <c r="AB660" s="377"/>
      <c r="AC660" s="377"/>
      <c r="AE660" s="77"/>
      <c r="AF660" s="377"/>
      <c r="AG660" s="377"/>
      <c r="AH660" s="377"/>
      <c r="AJ660" s="77"/>
      <c r="AK660" s="77"/>
      <c r="AL660" s="77"/>
      <c r="AM660" s="77"/>
      <c r="AN660" s="77"/>
    </row>
    <row r="661" spans="12:40">
      <c r="L661" s="377"/>
      <c r="M661" s="377"/>
      <c r="N661" s="377"/>
      <c r="P661" s="377"/>
      <c r="Q661" s="377"/>
      <c r="R661" s="377"/>
      <c r="S661" s="377"/>
      <c r="U661" s="377"/>
      <c r="V661" s="377"/>
      <c r="W661" s="377"/>
      <c r="X661" s="377"/>
      <c r="Z661" s="77"/>
      <c r="AA661" s="377"/>
      <c r="AB661" s="377"/>
      <c r="AC661" s="377"/>
      <c r="AE661" s="77"/>
      <c r="AF661" s="377"/>
      <c r="AG661" s="377"/>
      <c r="AH661" s="377"/>
      <c r="AJ661" s="77"/>
      <c r="AK661" s="77"/>
      <c r="AL661" s="77"/>
      <c r="AM661" s="77"/>
      <c r="AN661" s="77"/>
    </row>
    <row r="662" spans="12:40">
      <c r="L662" s="377"/>
      <c r="M662" s="377"/>
      <c r="N662" s="377"/>
      <c r="P662" s="377"/>
      <c r="Q662" s="377"/>
      <c r="R662" s="377"/>
      <c r="S662" s="377"/>
      <c r="U662" s="377"/>
      <c r="V662" s="377"/>
      <c r="W662" s="377"/>
      <c r="X662" s="377"/>
      <c r="Z662" s="77"/>
      <c r="AA662" s="377"/>
      <c r="AB662" s="377"/>
      <c r="AC662" s="377"/>
      <c r="AE662" s="77"/>
      <c r="AF662" s="377"/>
      <c r="AG662" s="377"/>
      <c r="AH662" s="377"/>
      <c r="AJ662" s="77"/>
      <c r="AK662" s="77"/>
      <c r="AL662" s="77"/>
      <c r="AM662" s="77"/>
      <c r="AN662" s="77"/>
    </row>
    <row r="663" spans="12:40">
      <c r="L663" s="377"/>
      <c r="M663" s="377"/>
      <c r="N663" s="377"/>
      <c r="P663" s="377"/>
      <c r="Q663" s="377"/>
      <c r="R663" s="377"/>
      <c r="S663" s="377"/>
      <c r="U663" s="377"/>
      <c r="V663" s="377"/>
      <c r="W663" s="377"/>
      <c r="X663" s="377"/>
      <c r="Z663" s="77"/>
      <c r="AA663" s="377"/>
      <c r="AB663" s="377"/>
      <c r="AC663" s="377"/>
      <c r="AE663" s="77"/>
      <c r="AF663" s="377"/>
      <c r="AG663" s="377"/>
      <c r="AH663" s="377"/>
      <c r="AJ663" s="77"/>
      <c r="AK663" s="77"/>
      <c r="AL663" s="77"/>
      <c r="AM663" s="77"/>
      <c r="AN663" s="77"/>
    </row>
    <row r="664" spans="12:40">
      <c r="L664" s="377"/>
      <c r="M664" s="377"/>
      <c r="N664" s="377"/>
      <c r="P664" s="377"/>
      <c r="Q664" s="377"/>
      <c r="R664" s="377"/>
      <c r="S664" s="377"/>
      <c r="U664" s="377"/>
      <c r="V664" s="377"/>
      <c r="W664" s="377"/>
      <c r="X664" s="377"/>
      <c r="Z664" s="77"/>
      <c r="AA664" s="377"/>
      <c r="AB664" s="377"/>
      <c r="AC664" s="377"/>
      <c r="AE664" s="77"/>
      <c r="AF664" s="377"/>
      <c r="AG664" s="377"/>
      <c r="AH664" s="377"/>
      <c r="AJ664" s="77"/>
      <c r="AK664" s="77"/>
      <c r="AL664" s="77"/>
      <c r="AM664" s="77"/>
      <c r="AN664" s="77"/>
    </row>
    <row r="665" spans="12:40">
      <c r="L665" s="377"/>
      <c r="M665" s="377"/>
      <c r="N665" s="377"/>
      <c r="P665" s="377"/>
      <c r="Q665" s="377"/>
      <c r="R665" s="377"/>
      <c r="S665" s="377"/>
      <c r="U665" s="377"/>
      <c r="V665" s="377"/>
      <c r="W665" s="377"/>
      <c r="X665" s="377"/>
      <c r="Z665" s="77"/>
      <c r="AA665" s="377"/>
      <c r="AB665" s="377"/>
      <c r="AC665" s="377"/>
      <c r="AE665" s="77"/>
      <c r="AF665" s="377"/>
      <c r="AG665" s="377"/>
      <c r="AH665" s="377"/>
      <c r="AJ665" s="77"/>
      <c r="AK665" s="77"/>
      <c r="AL665" s="77"/>
      <c r="AM665" s="77"/>
      <c r="AN665" s="77"/>
    </row>
    <row r="666" spans="12:40">
      <c r="L666" s="377"/>
      <c r="M666" s="377"/>
      <c r="N666" s="377"/>
      <c r="P666" s="377"/>
      <c r="Q666" s="377"/>
      <c r="R666" s="377"/>
      <c r="S666" s="377"/>
      <c r="U666" s="377"/>
      <c r="V666" s="377"/>
      <c r="W666" s="377"/>
      <c r="X666" s="377"/>
      <c r="Z666" s="77"/>
      <c r="AA666" s="377"/>
      <c r="AB666" s="377"/>
      <c r="AC666" s="377"/>
      <c r="AE666" s="77"/>
      <c r="AF666" s="377"/>
      <c r="AG666" s="377"/>
      <c r="AH666" s="377"/>
      <c r="AJ666" s="77"/>
      <c r="AK666" s="77"/>
      <c r="AL666" s="77"/>
      <c r="AM666" s="77"/>
      <c r="AN666" s="77"/>
    </row>
    <row r="667" spans="12:40">
      <c r="L667" s="377"/>
      <c r="M667" s="377"/>
      <c r="N667" s="377"/>
      <c r="P667" s="377"/>
      <c r="Q667" s="377"/>
      <c r="R667" s="377"/>
      <c r="S667" s="377"/>
      <c r="U667" s="377"/>
      <c r="V667" s="377"/>
      <c r="W667" s="377"/>
      <c r="X667" s="377"/>
      <c r="Z667" s="77"/>
      <c r="AA667" s="377"/>
      <c r="AB667" s="377"/>
      <c r="AC667" s="377"/>
      <c r="AE667" s="77"/>
      <c r="AF667" s="377"/>
      <c r="AG667" s="377"/>
      <c r="AH667" s="377"/>
      <c r="AJ667" s="77"/>
      <c r="AK667" s="77"/>
      <c r="AL667" s="77"/>
      <c r="AM667" s="77"/>
      <c r="AN667" s="77"/>
    </row>
    <row r="668" spans="12:40">
      <c r="L668" s="377"/>
      <c r="M668" s="377"/>
      <c r="N668" s="377"/>
      <c r="P668" s="377"/>
      <c r="Q668" s="377"/>
      <c r="R668" s="377"/>
      <c r="S668" s="377"/>
      <c r="U668" s="377"/>
      <c r="V668" s="377"/>
      <c r="W668" s="377"/>
      <c r="X668" s="377"/>
      <c r="Z668" s="77"/>
      <c r="AA668" s="377"/>
      <c r="AB668" s="377"/>
      <c r="AC668" s="377"/>
      <c r="AE668" s="77"/>
      <c r="AF668" s="377"/>
      <c r="AG668" s="377"/>
      <c r="AH668" s="377"/>
      <c r="AJ668" s="77"/>
      <c r="AK668" s="77"/>
      <c r="AL668" s="77"/>
      <c r="AM668" s="77"/>
      <c r="AN668" s="77"/>
    </row>
    <row r="669" spans="12:40">
      <c r="L669" s="377"/>
      <c r="M669" s="377"/>
      <c r="N669" s="377"/>
      <c r="P669" s="377"/>
      <c r="Q669" s="377"/>
      <c r="R669" s="377"/>
      <c r="S669" s="377"/>
      <c r="U669" s="377"/>
      <c r="V669" s="377"/>
      <c r="W669" s="377"/>
      <c r="X669" s="377"/>
      <c r="Z669" s="77"/>
      <c r="AA669" s="377"/>
      <c r="AB669" s="377"/>
      <c r="AC669" s="377"/>
      <c r="AE669" s="77"/>
      <c r="AF669" s="377"/>
      <c r="AG669" s="377"/>
      <c r="AH669" s="377"/>
      <c r="AJ669" s="77"/>
      <c r="AK669" s="77"/>
      <c r="AL669" s="77"/>
      <c r="AM669" s="77"/>
      <c r="AN669" s="77"/>
    </row>
    <row r="670" spans="12:40">
      <c r="L670" s="377"/>
      <c r="M670" s="377"/>
      <c r="N670" s="377"/>
      <c r="P670" s="377"/>
      <c r="Q670" s="377"/>
      <c r="R670" s="377"/>
      <c r="S670" s="377"/>
      <c r="U670" s="377"/>
      <c r="V670" s="377"/>
      <c r="W670" s="377"/>
      <c r="X670" s="377"/>
      <c r="Z670" s="77"/>
      <c r="AA670" s="377"/>
      <c r="AB670" s="377"/>
      <c r="AC670" s="377"/>
      <c r="AE670" s="77"/>
      <c r="AF670" s="377"/>
      <c r="AG670" s="377"/>
      <c r="AH670" s="377"/>
      <c r="AJ670" s="77"/>
      <c r="AK670" s="77"/>
      <c r="AL670" s="77"/>
      <c r="AM670" s="77"/>
      <c r="AN670" s="77"/>
    </row>
    <row r="671" spans="12:40">
      <c r="L671" s="377"/>
      <c r="M671" s="377"/>
      <c r="N671" s="377"/>
      <c r="P671" s="377"/>
      <c r="Q671" s="377"/>
      <c r="R671" s="377"/>
      <c r="S671" s="377"/>
      <c r="U671" s="377"/>
      <c r="V671" s="377"/>
      <c r="W671" s="377"/>
      <c r="X671" s="377"/>
      <c r="Z671" s="77"/>
      <c r="AA671" s="377"/>
      <c r="AB671" s="377"/>
      <c r="AC671" s="377"/>
      <c r="AE671" s="77"/>
      <c r="AF671" s="377"/>
      <c r="AG671" s="377"/>
      <c r="AH671" s="377"/>
      <c r="AJ671" s="77"/>
      <c r="AK671" s="77"/>
      <c r="AL671" s="77"/>
      <c r="AM671" s="77"/>
      <c r="AN671" s="77"/>
    </row>
    <row r="672" spans="12:40">
      <c r="L672" s="377"/>
      <c r="M672" s="377"/>
      <c r="N672" s="377"/>
      <c r="P672" s="377"/>
      <c r="Q672" s="377"/>
      <c r="R672" s="377"/>
      <c r="S672" s="377"/>
      <c r="U672" s="377"/>
      <c r="V672" s="377"/>
      <c r="W672" s="377"/>
      <c r="X672" s="377"/>
      <c r="Z672" s="77"/>
      <c r="AA672" s="377"/>
      <c r="AB672" s="377"/>
      <c r="AC672" s="377"/>
      <c r="AE672" s="77"/>
      <c r="AF672" s="377"/>
      <c r="AG672" s="377"/>
      <c r="AH672" s="377"/>
      <c r="AJ672" s="77"/>
      <c r="AK672" s="77"/>
      <c r="AL672" s="77"/>
      <c r="AM672" s="77"/>
      <c r="AN672" s="77"/>
    </row>
    <row r="673" spans="12:40">
      <c r="L673" s="377"/>
      <c r="M673" s="377"/>
      <c r="N673" s="377"/>
      <c r="P673" s="377"/>
      <c r="Q673" s="377"/>
      <c r="R673" s="377"/>
      <c r="S673" s="377"/>
      <c r="U673" s="377"/>
      <c r="V673" s="377"/>
      <c r="W673" s="377"/>
      <c r="X673" s="377"/>
      <c r="Z673" s="77"/>
      <c r="AA673" s="377"/>
      <c r="AB673" s="377"/>
      <c r="AC673" s="377"/>
      <c r="AE673" s="77"/>
      <c r="AF673" s="377"/>
      <c r="AG673" s="377"/>
      <c r="AH673" s="377"/>
      <c r="AJ673" s="77"/>
      <c r="AK673" s="77"/>
      <c r="AL673" s="77"/>
      <c r="AM673" s="77"/>
      <c r="AN673" s="77"/>
    </row>
    <row r="674" spans="12:40">
      <c r="L674" s="377"/>
      <c r="M674" s="377"/>
      <c r="N674" s="377"/>
      <c r="P674" s="377"/>
      <c r="Q674" s="377"/>
      <c r="R674" s="377"/>
      <c r="S674" s="377"/>
      <c r="U674" s="377"/>
      <c r="V674" s="377"/>
      <c r="W674" s="377"/>
      <c r="X674" s="377"/>
      <c r="Z674" s="77"/>
      <c r="AA674" s="377"/>
      <c r="AB674" s="377"/>
      <c r="AC674" s="377"/>
      <c r="AE674" s="77"/>
      <c r="AF674" s="377"/>
      <c r="AG674" s="377"/>
      <c r="AH674" s="377"/>
      <c r="AJ674" s="77"/>
      <c r="AK674" s="77"/>
      <c r="AL674" s="77"/>
      <c r="AM674" s="77"/>
      <c r="AN674" s="77"/>
    </row>
    <row r="675" spans="12:40">
      <c r="L675" s="377"/>
      <c r="M675" s="377"/>
      <c r="N675" s="377"/>
      <c r="P675" s="377"/>
      <c r="Q675" s="377"/>
      <c r="R675" s="377"/>
      <c r="S675" s="377"/>
      <c r="U675" s="377"/>
      <c r="V675" s="377"/>
      <c r="W675" s="377"/>
      <c r="X675" s="377"/>
      <c r="Z675" s="77"/>
      <c r="AA675" s="377"/>
      <c r="AB675" s="377"/>
      <c r="AC675" s="377"/>
      <c r="AE675" s="77"/>
      <c r="AF675" s="377"/>
      <c r="AG675" s="377"/>
      <c r="AH675" s="377"/>
      <c r="AJ675" s="77"/>
      <c r="AK675" s="77"/>
      <c r="AL675" s="77"/>
      <c r="AM675" s="77"/>
      <c r="AN675" s="77"/>
    </row>
    <row r="676" spans="12:40">
      <c r="L676" s="377"/>
      <c r="M676" s="377"/>
      <c r="N676" s="377"/>
      <c r="P676" s="377"/>
      <c r="Q676" s="377"/>
      <c r="R676" s="377"/>
      <c r="S676" s="377"/>
      <c r="U676" s="377"/>
      <c r="V676" s="377"/>
      <c r="W676" s="377"/>
      <c r="X676" s="377"/>
      <c r="Z676" s="77"/>
      <c r="AA676" s="377"/>
      <c r="AB676" s="377"/>
      <c r="AC676" s="377"/>
      <c r="AE676" s="77"/>
      <c r="AF676" s="377"/>
      <c r="AG676" s="377"/>
      <c r="AH676" s="377"/>
      <c r="AJ676" s="77"/>
      <c r="AK676" s="77"/>
      <c r="AL676" s="77"/>
      <c r="AM676" s="77"/>
      <c r="AN676" s="77"/>
    </row>
    <row r="677" spans="12:40">
      <c r="L677" s="377"/>
      <c r="M677" s="377"/>
      <c r="N677" s="377"/>
      <c r="P677" s="377"/>
      <c r="Q677" s="377"/>
      <c r="R677" s="377"/>
      <c r="S677" s="377"/>
      <c r="U677" s="377"/>
      <c r="V677" s="377"/>
      <c r="W677" s="377"/>
      <c r="X677" s="377"/>
      <c r="Z677" s="77"/>
      <c r="AA677" s="377"/>
      <c r="AB677" s="377"/>
      <c r="AC677" s="377"/>
      <c r="AE677" s="77"/>
      <c r="AF677" s="377"/>
      <c r="AG677" s="377"/>
      <c r="AH677" s="377"/>
      <c r="AJ677" s="77"/>
      <c r="AK677" s="77"/>
      <c r="AL677" s="77"/>
      <c r="AM677" s="77"/>
      <c r="AN677" s="77"/>
    </row>
    <row r="678" spans="12:40">
      <c r="L678" s="377"/>
      <c r="M678" s="377"/>
      <c r="N678" s="377"/>
      <c r="P678" s="377"/>
      <c r="Q678" s="377"/>
      <c r="R678" s="377"/>
      <c r="S678" s="377"/>
      <c r="U678" s="377"/>
      <c r="V678" s="377"/>
      <c r="W678" s="377"/>
      <c r="X678" s="377"/>
      <c r="Z678" s="77"/>
      <c r="AA678" s="377"/>
      <c r="AB678" s="377"/>
      <c r="AC678" s="377"/>
      <c r="AE678" s="77"/>
      <c r="AF678" s="377"/>
      <c r="AG678" s="377"/>
      <c r="AH678" s="377"/>
      <c r="AJ678" s="77"/>
      <c r="AK678" s="77"/>
      <c r="AL678" s="77"/>
      <c r="AM678" s="77"/>
      <c r="AN678" s="77"/>
    </row>
    <row r="679" spans="12:40">
      <c r="L679" s="377"/>
      <c r="M679" s="377"/>
      <c r="N679" s="377"/>
      <c r="P679" s="377"/>
      <c r="Q679" s="377"/>
      <c r="R679" s="377"/>
      <c r="S679" s="377"/>
      <c r="U679" s="377"/>
      <c r="V679" s="377"/>
      <c r="W679" s="377"/>
      <c r="X679" s="377"/>
      <c r="Z679" s="77"/>
      <c r="AA679" s="377"/>
      <c r="AB679" s="377"/>
      <c r="AC679" s="377"/>
      <c r="AE679" s="77"/>
      <c r="AF679" s="377"/>
      <c r="AG679" s="377"/>
      <c r="AH679" s="377"/>
      <c r="AJ679" s="77"/>
      <c r="AK679" s="77"/>
      <c r="AL679" s="77"/>
      <c r="AM679" s="77"/>
      <c r="AN679" s="77"/>
    </row>
    <row r="680" spans="12:40">
      <c r="L680" s="377"/>
      <c r="M680" s="377"/>
      <c r="N680" s="377"/>
      <c r="P680" s="377"/>
      <c r="Q680" s="377"/>
      <c r="R680" s="377"/>
      <c r="S680" s="377"/>
      <c r="U680" s="377"/>
      <c r="V680" s="377"/>
      <c r="W680" s="377"/>
      <c r="X680" s="377"/>
      <c r="Z680" s="77"/>
      <c r="AA680" s="377"/>
      <c r="AB680" s="377"/>
      <c r="AC680" s="377"/>
      <c r="AE680" s="77"/>
      <c r="AF680" s="377"/>
      <c r="AG680" s="377"/>
      <c r="AH680" s="377"/>
      <c r="AJ680" s="77"/>
      <c r="AK680" s="77"/>
      <c r="AL680" s="77"/>
      <c r="AM680" s="77"/>
      <c r="AN680" s="77"/>
    </row>
    <row r="681" spans="12:40">
      <c r="L681" s="377"/>
      <c r="M681" s="377"/>
      <c r="N681" s="377"/>
      <c r="P681" s="377"/>
      <c r="Q681" s="377"/>
      <c r="R681" s="377"/>
      <c r="S681" s="377"/>
      <c r="U681" s="377"/>
      <c r="V681" s="377"/>
      <c r="W681" s="377"/>
      <c r="X681" s="377"/>
      <c r="Z681" s="77"/>
      <c r="AA681" s="377"/>
      <c r="AB681" s="377"/>
      <c r="AC681" s="377"/>
      <c r="AE681" s="77"/>
      <c r="AF681" s="377"/>
      <c r="AG681" s="377"/>
      <c r="AH681" s="377"/>
      <c r="AJ681" s="77"/>
      <c r="AK681" s="77"/>
      <c r="AL681" s="77"/>
      <c r="AM681" s="77"/>
      <c r="AN681" s="77"/>
    </row>
    <row r="682" spans="12:40">
      <c r="L682" s="377"/>
      <c r="M682" s="377"/>
      <c r="N682" s="377"/>
      <c r="P682" s="377"/>
      <c r="Q682" s="377"/>
      <c r="R682" s="377"/>
      <c r="S682" s="377"/>
      <c r="U682" s="377"/>
      <c r="V682" s="377"/>
      <c r="W682" s="377"/>
      <c r="X682" s="377"/>
      <c r="Z682" s="77"/>
      <c r="AA682" s="377"/>
      <c r="AB682" s="377"/>
      <c r="AC682" s="377"/>
      <c r="AE682" s="77"/>
      <c r="AF682" s="377"/>
      <c r="AG682" s="377"/>
      <c r="AH682" s="377"/>
      <c r="AJ682" s="77"/>
      <c r="AK682" s="77"/>
      <c r="AL682" s="77"/>
      <c r="AM682" s="77"/>
      <c r="AN682" s="77"/>
    </row>
    <row r="683" spans="12:40">
      <c r="L683" s="377"/>
      <c r="M683" s="377"/>
      <c r="N683" s="377"/>
      <c r="P683" s="377"/>
      <c r="Q683" s="377"/>
      <c r="R683" s="377"/>
      <c r="S683" s="377"/>
      <c r="U683" s="377"/>
      <c r="V683" s="377"/>
      <c r="W683" s="377"/>
      <c r="X683" s="377"/>
      <c r="Z683" s="77"/>
      <c r="AA683" s="377"/>
      <c r="AB683" s="377"/>
      <c r="AC683" s="377"/>
      <c r="AE683" s="77"/>
      <c r="AF683" s="377"/>
      <c r="AG683" s="377"/>
      <c r="AH683" s="377"/>
      <c r="AJ683" s="77"/>
      <c r="AK683" s="77"/>
      <c r="AL683" s="77"/>
      <c r="AM683" s="77"/>
      <c r="AN683" s="77"/>
    </row>
    <row r="684" spans="12:40">
      <c r="L684" s="377"/>
      <c r="M684" s="377"/>
      <c r="N684" s="377"/>
      <c r="P684" s="377"/>
      <c r="Q684" s="377"/>
      <c r="R684" s="377"/>
      <c r="S684" s="377"/>
      <c r="U684" s="377"/>
      <c r="V684" s="377"/>
      <c r="W684" s="377"/>
      <c r="X684" s="377"/>
      <c r="Z684" s="77"/>
      <c r="AA684" s="377"/>
      <c r="AB684" s="377"/>
      <c r="AC684" s="377"/>
      <c r="AE684" s="77"/>
      <c r="AF684" s="377"/>
      <c r="AG684" s="377"/>
      <c r="AH684" s="377"/>
      <c r="AJ684" s="77"/>
      <c r="AK684" s="77"/>
      <c r="AL684" s="77"/>
      <c r="AM684" s="77"/>
      <c r="AN684" s="77"/>
    </row>
    <row r="685" spans="12:40">
      <c r="L685" s="377"/>
      <c r="M685" s="377"/>
      <c r="N685" s="377"/>
      <c r="P685" s="377"/>
      <c r="Q685" s="377"/>
      <c r="R685" s="377"/>
      <c r="S685" s="377"/>
      <c r="U685" s="377"/>
      <c r="V685" s="377"/>
      <c r="W685" s="377"/>
      <c r="X685" s="377"/>
      <c r="Z685" s="77"/>
      <c r="AA685" s="377"/>
      <c r="AB685" s="377"/>
      <c r="AC685" s="377"/>
      <c r="AE685" s="77"/>
      <c r="AF685" s="377"/>
      <c r="AG685" s="377"/>
      <c r="AH685" s="377"/>
      <c r="AJ685" s="77"/>
      <c r="AK685" s="77"/>
      <c r="AL685" s="77"/>
      <c r="AM685" s="77"/>
      <c r="AN685" s="77"/>
    </row>
    <row r="686" spans="12:40">
      <c r="L686" s="377"/>
      <c r="M686" s="377"/>
      <c r="N686" s="377"/>
      <c r="P686" s="377"/>
      <c r="Q686" s="377"/>
      <c r="R686" s="377"/>
      <c r="S686" s="377"/>
      <c r="U686" s="377"/>
      <c r="V686" s="377"/>
      <c r="W686" s="377"/>
      <c r="X686" s="377"/>
      <c r="Z686" s="77"/>
      <c r="AA686" s="377"/>
      <c r="AB686" s="377"/>
      <c r="AC686" s="377"/>
      <c r="AE686" s="77"/>
      <c r="AF686" s="377"/>
      <c r="AG686" s="377"/>
      <c r="AH686" s="377"/>
      <c r="AJ686" s="77"/>
      <c r="AK686" s="77"/>
      <c r="AL686" s="77"/>
      <c r="AM686" s="77"/>
      <c r="AN686" s="77"/>
    </row>
    <row r="687" spans="12:40">
      <c r="L687" s="377"/>
      <c r="M687" s="377"/>
      <c r="N687" s="377"/>
      <c r="P687" s="377"/>
      <c r="Q687" s="377"/>
      <c r="R687" s="377"/>
      <c r="S687" s="377"/>
      <c r="U687" s="377"/>
      <c r="V687" s="377"/>
      <c r="W687" s="377"/>
      <c r="X687" s="377"/>
      <c r="Z687" s="77"/>
      <c r="AA687" s="377"/>
      <c r="AB687" s="377"/>
      <c r="AC687" s="377"/>
      <c r="AE687" s="77"/>
      <c r="AF687" s="377"/>
      <c r="AG687" s="377"/>
      <c r="AH687" s="377"/>
      <c r="AJ687" s="77"/>
      <c r="AK687" s="77"/>
      <c r="AL687" s="77"/>
      <c r="AM687" s="77"/>
      <c r="AN687" s="77"/>
    </row>
    <row r="688" spans="12:40">
      <c r="L688" s="377"/>
      <c r="M688" s="377"/>
      <c r="N688" s="377"/>
      <c r="P688" s="377"/>
      <c r="Q688" s="377"/>
      <c r="R688" s="377"/>
      <c r="S688" s="377"/>
      <c r="U688" s="377"/>
      <c r="V688" s="377"/>
      <c r="W688" s="377"/>
      <c r="X688" s="377"/>
      <c r="Z688" s="77"/>
      <c r="AA688" s="377"/>
      <c r="AB688" s="377"/>
      <c r="AC688" s="377"/>
      <c r="AE688" s="77"/>
      <c r="AF688" s="377"/>
      <c r="AG688" s="377"/>
      <c r="AH688" s="377"/>
      <c r="AJ688" s="77"/>
      <c r="AK688" s="77"/>
      <c r="AL688" s="77"/>
      <c r="AM688" s="77"/>
      <c r="AN688" s="77"/>
    </row>
    <row r="689" spans="12:40">
      <c r="L689" s="377"/>
      <c r="M689" s="377"/>
      <c r="N689" s="377"/>
      <c r="P689" s="377"/>
      <c r="Q689" s="377"/>
      <c r="R689" s="377"/>
      <c r="S689" s="377"/>
      <c r="U689" s="377"/>
      <c r="V689" s="377"/>
      <c r="W689" s="377"/>
      <c r="X689" s="377"/>
      <c r="Z689" s="77"/>
      <c r="AA689" s="377"/>
      <c r="AB689" s="377"/>
      <c r="AC689" s="377"/>
      <c r="AE689" s="77"/>
      <c r="AF689" s="377"/>
      <c r="AG689" s="377"/>
      <c r="AH689" s="377"/>
      <c r="AJ689" s="77"/>
      <c r="AK689" s="77"/>
      <c r="AL689" s="77"/>
      <c r="AM689" s="77"/>
      <c r="AN689" s="77"/>
    </row>
    <row r="690" spans="12:40">
      <c r="L690" s="377"/>
      <c r="M690" s="377"/>
      <c r="N690" s="377"/>
      <c r="P690" s="377"/>
      <c r="Q690" s="377"/>
      <c r="R690" s="377"/>
      <c r="S690" s="377"/>
      <c r="U690" s="377"/>
      <c r="V690" s="377"/>
      <c r="W690" s="377"/>
      <c r="X690" s="377"/>
      <c r="Z690" s="77"/>
      <c r="AA690" s="377"/>
      <c r="AB690" s="377"/>
      <c r="AC690" s="377"/>
      <c r="AE690" s="77"/>
      <c r="AF690" s="377"/>
      <c r="AG690" s="377"/>
      <c r="AH690" s="377"/>
      <c r="AJ690" s="77"/>
      <c r="AK690" s="77"/>
      <c r="AL690" s="77"/>
      <c r="AM690" s="77"/>
      <c r="AN690" s="77"/>
    </row>
    <row r="691" spans="12:40">
      <c r="L691" s="377"/>
      <c r="M691" s="377"/>
      <c r="N691" s="377"/>
      <c r="P691" s="377"/>
      <c r="Q691" s="377"/>
      <c r="R691" s="377"/>
      <c r="S691" s="377"/>
      <c r="U691" s="377"/>
      <c r="V691" s="377"/>
      <c r="W691" s="377"/>
      <c r="X691" s="377"/>
      <c r="Z691" s="77"/>
      <c r="AA691" s="377"/>
      <c r="AB691" s="377"/>
      <c r="AC691" s="377"/>
      <c r="AE691" s="77"/>
      <c r="AF691" s="377"/>
      <c r="AG691" s="377"/>
      <c r="AH691" s="377"/>
      <c r="AJ691" s="77"/>
      <c r="AK691" s="77"/>
      <c r="AL691" s="77"/>
      <c r="AM691" s="77"/>
      <c r="AN691" s="77"/>
    </row>
    <row r="692" spans="12:40">
      <c r="L692" s="377"/>
      <c r="M692" s="377"/>
      <c r="N692" s="377"/>
      <c r="P692" s="377"/>
      <c r="Q692" s="377"/>
      <c r="R692" s="377"/>
      <c r="S692" s="377"/>
      <c r="U692" s="377"/>
      <c r="V692" s="377"/>
      <c r="W692" s="377"/>
      <c r="X692" s="377"/>
      <c r="Z692" s="77"/>
      <c r="AA692" s="377"/>
      <c r="AB692" s="377"/>
      <c r="AC692" s="377"/>
      <c r="AE692" s="77"/>
      <c r="AF692" s="377"/>
      <c r="AG692" s="377"/>
      <c r="AH692" s="377"/>
      <c r="AJ692" s="77"/>
      <c r="AK692" s="77"/>
      <c r="AL692" s="77"/>
      <c r="AM692" s="77"/>
      <c r="AN692" s="77"/>
    </row>
    <row r="693" spans="12:40">
      <c r="L693" s="377"/>
      <c r="M693" s="377"/>
      <c r="N693" s="377"/>
      <c r="P693" s="377"/>
      <c r="Q693" s="377"/>
      <c r="R693" s="377"/>
      <c r="S693" s="377"/>
      <c r="U693" s="377"/>
      <c r="V693" s="377"/>
      <c r="W693" s="377"/>
      <c r="X693" s="377"/>
      <c r="Z693" s="77"/>
      <c r="AA693" s="377"/>
      <c r="AB693" s="377"/>
      <c r="AC693" s="377"/>
      <c r="AE693" s="77"/>
      <c r="AF693" s="377"/>
      <c r="AG693" s="377"/>
      <c r="AH693" s="377"/>
      <c r="AJ693" s="77"/>
      <c r="AK693" s="77"/>
      <c r="AL693" s="77"/>
      <c r="AM693" s="77"/>
      <c r="AN693" s="77"/>
    </row>
    <row r="694" spans="12:40">
      <c r="L694" s="377"/>
      <c r="M694" s="377"/>
      <c r="N694" s="377"/>
      <c r="P694" s="377"/>
      <c r="Q694" s="377"/>
      <c r="R694" s="377"/>
      <c r="S694" s="377"/>
      <c r="U694" s="377"/>
      <c r="V694" s="377"/>
      <c r="W694" s="377"/>
      <c r="X694" s="377"/>
      <c r="Z694" s="77"/>
      <c r="AA694" s="377"/>
      <c r="AB694" s="377"/>
      <c r="AC694" s="377"/>
      <c r="AE694" s="77"/>
      <c r="AF694" s="377"/>
      <c r="AG694" s="377"/>
      <c r="AH694" s="377"/>
      <c r="AJ694" s="77"/>
      <c r="AK694" s="77"/>
      <c r="AL694" s="77"/>
      <c r="AM694" s="77"/>
      <c r="AN694" s="77"/>
    </row>
    <row r="695" spans="12:40">
      <c r="L695" s="377"/>
      <c r="M695" s="377"/>
      <c r="N695" s="377"/>
      <c r="P695" s="377"/>
      <c r="Q695" s="377"/>
      <c r="R695" s="377"/>
      <c r="S695" s="377"/>
      <c r="U695" s="377"/>
      <c r="V695" s="377"/>
      <c r="W695" s="377"/>
      <c r="X695" s="377"/>
      <c r="Z695" s="77"/>
      <c r="AA695" s="377"/>
      <c r="AB695" s="377"/>
      <c r="AC695" s="377"/>
      <c r="AE695" s="77"/>
      <c r="AF695" s="377"/>
      <c r="AG695" s="377"/>
      <c r="AH695" s="377"/>
      <c r="AJ695" s="77"/>
      <c r="AK695" s="77"/>
      <c r="AL695" s="77"/>
      <c r="AM695" s="77"/>
      <c r="AN695" s="77"/>
    </row>
    <row r="696" spans="12:40">
      <c r="L696" s="377"/>
      <c r="M696" s="377"/>
      <c r="N696" s="377"/>
      <c r="P696" s="377"/>
      <c r="Q696" s="377"/>
      <c r="R696" s="377"/>
      <c r="S696" s="377"/>
      <c r="U696" s="377"/>
      <c r="V696" s="377"/>
      <c r="W696" s="377"/>
      <c r="X696" s="377"/>
      <c r="Z696" s="77"/>
      <c r="AA696" s="377"/>
      <c r="AB696" s="377"/>
      <c r="AC696" s="377"/>
      <c r="AE696" s="77"/>
      <c r="AF696" s="377"/>
      <c r="AG696" s="377"/>
      <c r="AH696" s="377"/>
      <c r="AJ696" s="77"/>
      <c r="AK696" s="77"/>
      <c r="AL696" s="77"/>
      <c r="AM696" s="77"/>
      <c r="AN696" s="77"/>
    </row>
    <row r="697" spans="12:40">
      <c r="L697" s="377"/>
      <c r="M697" s="377"/>
      <c r="N697" s="377"/>
      <c r="P697" s="377"/>
      <c r="Q697" s="377"/>
      <c r="R697" s="377"/>
      <c r="S697" s="377"/>
      <c r="U697" s="377"/>
      <c r="V697" s="377"/>
      <c r="W697" s="377"/>
      <c r="X697" s="377"/>
      <c r="Z697" s="77"/>
      <c r="AA697" s="377"/>
      <c r="AB697" s="377"/>
      <c r="AC697" s="377"/>
      <c r="AE697" s="77"/>
      <c r="AF697" s="377"/>
      <c r="AG697" s="377"/>
      <c r="AH697" s="377"/>
      <c r="AJ697" s="77"/>
      <c r="AK697" s="77"/>
      <c r="AL697" s="77"/>
      <c r="AM697" s="77"/>
      <c r="AN697" s="77"/>
    </row>
    <row r="698" spans="12:40">
      <c r="L698" s="377"/>
      <c r="M698" s="377"/>
      <c r="N698" s="377"/>
      <c r="P698" s="377"/>
      <c r="Q698" s="377"/>
      <c r="R698" s="377"/>
      <c r="S698" s="377"/>
      <c r="U698" s="377"/>
      <c r="V698" s="377"/>
      <c r="W698" s="377"/>
      <c r="X698" s="377"/>
      <c r="Z698" s="77"/>
      <c r="AA698" s="377"/>
      <c r="AB698" s="377"/>
      <c r="AC698" s="377"/>
      <c r="AE698" s="77"/>
      <c r="AF698" s="377"/>
      <c r="AG698" s="377"/>
      <c r="AH698" s="377"/>
      <c r="AJ698" s="77"/>
      <c r="AK698" s="77"/>
      <c r="AL698" s="77"/>
      <c r="AM698" s="77"/>
      <c r="AN698" s="77"/>
    </row>
    <row r="699" spans="12:40">
      <c r="L699" s="377"/>
      <c r="M699" s="377"/>
      <c r="N699" s="377"/>
      <c r="P699" s="377"/>
      <c r="Q699" s="377"/>
      <c r="R699" s="377"/>
      <c r="S699" s="377"/>
      <c r="U699" s="377"/>
      <c r="V699" s="377"/>
      <c r="W699" s="377"/>
      <c r="X699" s="377"/>
      <c r="Z699" s="77"/>
      <c r="AA699" s="377"/>
      <c r="AB699" s="377"/>
      <c r="AC699" s="377"/>
      <c r="AE699" s="77"/>
      <c r="AF699" s="377"/>
      <c r="AG699" s="377"/>
      <c r="AH699" s="377"/>
      <c r="AJ699" s="77"/>
      <c r="AK699" s="77"/>
      <c r="AL699" s="77"/>
      <c r="AM699" s="77"/>
      <c r="AN699" s="77"/>
    </row>
    <row r="700" spans="12:40">
      <c r="L700" s="377"/>
      <c r="M700" s="377"/>
      <c r="N700" s="377"/>
      <c r="P700" s="377"/>
      <c r="Q700" s="377"/>
      <c r="R700" s="377"/>
      <c r="S700" s="377"/>
      <c r="U700" s="377"/>
      <c r="V700" s="377"/>
      <c r="W700" s="377"/>
      <c r="X700" s="377"/>
      <c r="Z700" s="77"/>
      <c r="AA700" s="377"/>
      <c r="AB700" s="377"/>
      <c r="AC700" s="377"/>
      <c r="AE700" s="77"/>
      <c r="AF700" s="377"/>
      <c r="AG700" s="377"/>
      <c r="AH700" s="377"/>
      <c r="AJ700" s="77"/>
      <c r="AK700" s="77"/>
      <c r="AL700" s="77"/>
      <c r="AM700" s="77"/>
      <c r="AN700" s="77"/>
    </row>
    <row r="701" spans="12:40">
      <c r="L701" s="377"/>
      <c r="M701" s="377"/>
      <c r="N701" s="377"/>
      <c r="P701" s="377"/>
      <c r="Q701" s="377"/>
      <c r="R701" s="377"/>
      <c r="S701" s="377"/>
      <c r="U701" s="377"/>
      <c r="V701" s="377"/>
      <c r="W701" s="377"/>
      <c r="X701" s="377"/>
      <c r="Z701" s="77"/>
      <c r="AA701" s="377"/>
      <c r="AB701" s="377"/>
      <c r="AC701" s="377"/>
      <c r="AE701" s="77"/>
      <c r="AF701" s="377"/>
      <c r="AG701" s="377"/>
      <c r="AH701" s="377"/>
      <c r="AJ701" s="77"/>
      <c r="AK701" s="77"/>
      <c r="AL701" s="77"/>
      <c r="AM701" s="77"/>
      <c r="AN701" s="77"/>
    </row>
    <row r="702" spans="12:40">
      <c r="L702" s="377"/>
      <c r="M702" s="377"/>
      <c r="N702" s="377"/>
      <c r="P702" s="377"/>
      <c r="Q702" s="377"/>
      <c r="R702" s="377"/>
      <c r="S702" s="377"/>
      <c r="U702" s="377"/>
      <c r="V702" s="377"/>
      <c r="W702" s="377"/>
      <c r="X702" s="377"/>
      <c r="Z702" s="77"/>
      <c r="AA702" s="377"/>
      <c r="AB702" s="377"/>
      <c r="AC702" s="377"/>
      <c r="AE702" s="77"/>
      <c r="AF702" s="377"/>
      <c r="AG702" s="377"/>
      <c r="AH702" s="377"/>
      <c r="AJ702" s="77"/>
      <c r="AK702" s="77"/>
      <c r="AL702" s="77"/>
      <c r="AM702" s="77"/>
      <c r="AN702" s="77"/>
    </row>
    <row r="703" spans="12:40">
      <c r="L703" s="377"/>
      <c r="M703" s="377"/>
      <c r="N703" s="377"/>
      <c r="P703" s="377"/>
      <c r="Q703" s="377"/>
      <c r="R703" s="377"/>
      <c r="S703" s="377"/>
      <c r="U703" s="377"/>
      <c r="V703" s="377"/>
      <c r="W703" s="377"/>
      <c r="X703" s="377"/>
      <c r="Z703" s="77"/>
      <c r="AA703" s="377"/>
      <c r="AB703" s="377"/>
      <c r="AC703" s="377"/>
      <c r="AE703" s="77"/>
      <c r="AF703" s="377"/>
      <c r="AG703" s="377"/>
      <c r="AH703" s="377"/>
      <c r="AJ703" s="77"/>
      <c r="AK703" s="77"/>
      <c r="AL703" s="77"/>
      <c r="AM703" s="77"/>
      <c r="AN703" s="77"/>
    </row>
    <row r="704" spans="12:40">
      <c r="L704" s="377"/>
      <c r="M704" s="377"/>
      <c r="N704" s="377"/>
      <c r="P704" s="377"/>
      <c r="Q704" s="377"/>
      <c r="R704" s="377"/>
      <c r="S704" s="377"/>
      <c r="U704" s="377"/>
      <c r="V704" s="377"/>
      <c r="W704" s="377"/>
      <c r="X704" s="377"/>
      <c r="Z704" s="77"/>
      <c r="AA704" s="377"/>
      <c r="AB704" s="377"/>
      <c r="AC704" s="377"/>
      <c r="AE704" s="77"/>
      <c r="AF704" s="377"/>
      <c r="AG704" s="377"/>
      <c r="AH704" s="377"/>
      <c r="AJ704" s="77"/>
      <c r="AK704" s="77"/>
      <c r="AL704" s="77"/>
      <c r="AM704" s="77"/>
      <c r="AN704" s="77"/>
    </row>
    <row r="705" spans="12:40">
      <c r="L705" s="377"/>
      <c r="M705" s="377"/>
      <c r="N705" s="377"/>
      <c r="P705" s="377"/>
      <c r="Q705" s="377"/>
      <c r="R705" s="377"/>
      <c r="S705" s="377"/>
      <c r="U705" s="377"/>
      <c r="V705" s="377"/>
      <c r="W705" s="377"/>
      <c r="X705" s="377"/>
      <c r="Z705" s="77"/>
      <c r="AA705" s="377"/>
      <c r="AB705" s="377"/>
      <c r="AC705" s="377"/>
      <c r="AE705" s="77"/>
      <c r="AF705" s="377"/>
      <c r="AG705" s="377"/>
      <c r="AH705" s="377"/>
      <c r="AJ705" s="77"/>
      <c r="AK705" s="77"/>
      <c r="AL705" s="77"/>
      <c r="AM705" s="77"/>
      <c r="AN705" s="77"/>
    </row>
    <row r="706" spans="12:40">
      <c r="L706" s="377"/>
      <c r="M706" s="377"/>
      <c r="N706" s="377"/>
      <c r="P706" s="377"/>
      <c r="Q706" s="377"/>
      <c r="R706" s="377"/>
      <c r="S706" s="377"/>
      <c r="U706" s="377"/>
      <c r="V706" s="377"/>
      <c r="W706" s="377"/>
      <c r="X706" s="377"/>
      <c r="Z706" s="77"/>
      <c r="AA706" s="377"/>
      <c r="AB706" s="377"/>
      <c r="AC706" s="377"/>
      <c r="AE706" s="77"/>
      <c r="AF706" s="377"/>
      <c r="AG706" s="377"/>
      <c r="AH706" s="377"/>
      <c r="AJ706" s="77"/>
      <c r="AK706" s="77"/>
      <c r="AL706" s="77"/>
      <c r="AM706" s="77"/>
      <c r="AN706" s="77"/>
    </row>
    <row r="707" spans="12:40">
      <c r="L707" s="377"/>
      <c r="M707" s="377"/>
      <c r="N707" s="377"/>
      <c r="P707" s="377"/>
      <c r="Q707" s="377"/>
      <c r="R707" s="377"/>
      <c r="S707" s="377"/>
      <c r="U707" s="377"/>
      <c r="V707" s="377"/>
      <c r="W707" s="377"/>
      <c r="X707" s="377"/>
      <c r="Z707" s="77"/>
      <c r="AA707" s="377"/>
      <c r="AB707" s="377"/>
      <c r="AC707" s="377"/>
      <c r="AE707" s="77"/>
      <c r="AF707" s="377"/>
      <c r="AG707" s="377"/>
      <c r="AH707" s="377"/>
      <c r="AJ707" s="77"/>
      <c r="AK707" s="77"/>
      <c r="AL707" s="77"/>
      <c r="AM707" s="77"/>
      <c r="AN707" s="77"/>
    </row>
    <row r="708" spans="12:40">
      <c r="L708" s="377"/>
      <c r="M708" s="377"/>
      <c r="N708" s="377"/>
      <c r="P708" s="377"/>
      <c r="Q708" s="377"/>
      <c r="R708" s="377"/>
      <c r="S708" s="377"/>
      <c r="U708" s="377"/>
      <c r="V708" s="377"/>
      <c r="W708" s="377"/>
      <c r="X708" s="377"/>
      <c r="Z708" s="77"/>
      <c r="AA708" s="377"/>
      <c r="AB708" s="377"/>
      <c r="AC708" s="377"/>
      <c r="AE708" s="77"/>
      <c r="AF708" s="377"/>
      <c r="AG708" s="377"/>
      <c r="AH708" s="377"/>
      <c r="AJ708" s="77"/>
      <c r="AK708" s="77"/>
      <c r="AL708" s="77"/>
      <c r="AM708" s="77"/>
      <c r="AN708" s="77"/>
    </row>
    <row r="709" spans="12:40">
      <c r="L709" s="377"/>
      <c r="M709" s="377"/>
      <c r="N709" s="377"/>
      <c r="P709" s="377"/>
      <c r="Q709" s="377"/>
      <c r="R709" s="377"/>
      <c r="S709" s="377"/>
      <c r="U709" s="377"/>
      <c r="V709" s="377"/>
      <c r="W709" s="377"/>
      <c r="X709" s="377"/>
      <c r="Z709" s="77"/>
      <c r="AA709" s="377"/>
      <c r="AB709" s="377"/>
      <c r="AC709" s="377"/>
      <c r="AE709" s="77"/>
      <c r="AF709" s="377"/>
      <c r="AG709" s="377"/>
      <c r="AH709" s="377"/>
      <c r="AJ709" s="77"/>
      <c r="AK709" s="77"/>
      <c r="AL709" s="77"/>
      <c r="AM709" s="77"/>
      <c r="AN709" s="77"/>
    </row>
    <row r="710" spans="12:40">
      <c r="L710" s="377"/>
      <c r="M710" s="377"/>
      <c r="N710" s="377"/>
      <c r="P710" s="377"/>
      <c r="Q710" s="377"/>
      <c r="R710" s="377"/>
      <c r="S710" s="377"/>
      <c r="U710" s="377"/>
      <c r="V710" s="377"/>
      <c r="W710" s="377"/>
      <c r="X710" s="377"/>
      <c r="Z710" s="77"/>
      <c r="AA710" s="377"/>
      <c r="AB710" s="377"/>
      <c r="AC710" s="377"/>
      <c r="AE710" s="77"/>
      <c r="AF710" s="377"/>
      <c r="AG710" s="377"/>
      <c r="AH710" s="377"/>
      <c r="AJ710" s="77"/>
      <c r="AK710" s="77"/>
      <c r="AL710" s="77"/>
      <c r="AM710" s="77"/>
      <c r="AN710" s="77"/>
    </row>
    <row r="711" spans="12:40">
      <c r="L711" s="377"/>
      <c r="M711" s="377"/>
      <c r="N711" s="377"/>
      <c r="P711" s="377"/>
      <c r="Q711" s="377"/>
      <c r="R711" s="377"/>
      <c r="S711" s="377"/>
      <c r="U711" s="377"/>
      <c r="V711" s="377"/>
      <c r="W711" s="377"/>
      <c r="X711" s="377"/>
      <c r="Z711" s="77"/>
      <c r="AA711" s="377"/>
      <c r="AB711" s="377"/>
      <c r="AC711" s="377"/>
      <c r="AE711" s="77"/>
      <c r="AF711" s="377"/>
      <c r="AG711" s="377"/>
      <c r="AH711" s="377"/>
      <c r="AJ711" s="77"/>
      <c r="AK711" s="77"/>
      <c r="AL711" s="77"/>
      <c r="AM711" s="77"/>
      <c r="AN711" s="77"/>
    </row>
    <row r="712" spans="12:40">
      <c r="L712" s="377"/>
      <c r="M712" s="377"/>
      <c r="N712" s="377"/>
      <c r="P712" s="377"/>
      <c r="Q712" s="377"/>
      <c r="R712" s="377"/>
      <c r="S712" s="377"/>
      <c r="U712" s="377"/>
      <c r="V712" s="377"/>
      <c r="W712" s="377"/>
      <c r="X712" s="377"/>
      <c r="Z712" s="77"/>
      <c r="AA712" s="377"/>
      <c r="AB712" s="377"/>
      <c r="AC712" s="377"/>
      <c r="AE712" s="77"/>
      <c r="AF712" s="377"/>
      <c r="AG712" s="377"/>
      <c r="AH712" s="377"/>
      <c r="AJ712" s="77"/>
      <c r="AK712" s="77"/>
      <c r="AL712" s="77"/>
      <c r="AM712" s="77"/>
      <c r="AN712" s="77"/>
    </row>
    <row r="713" spans="12:40">
      <c r="L713" s="377"/>
      <c r="M713" s="377"/>
      <c r="N713" s="377"/>
      <c r="P713" s="377"/>
      <c r="Q713" s="377"/>
      <c r="R713" s="377"/>
      <c r="S713" s="377"/>
      <c r="U713" s="377"/>
      <c r="V713" s="377"/>
      <c r="W713" s="377"/>
      <c r="X713" s="377"/>
      <c r="Z713" s="77"/>
      <c r="AA713" s="377"/>
      <c r="AB713" s="377"/>
      <c r="AC713" s="377"/>
      <c r="AE713" s="77"/>
      <c r="AF713" s="377"/>
      <c r="AG713" s="377"/>
      <c r="AH713" s="377"/>
      <c r="AJ713" s="77"/>
      <c r="AK713" s="77"/>
      <c r="AL713" s="77"/>
      <c r="AM713" s="77"/>
      <c r="AN713" s="77"/>
    </row>
    <row r="714" spans="12:40">
      <c r="L714" s="377"/>
      <c r="M714" s="377"/>
      <c r="N714" s="377"/>
      <c r="P714" s="377"/>
      <c r="Q714" s="377"/>
      <c r="R714" s="377"/>
      <c r="S714" s="377"/>
      <c r="U714" s="377"/>
      <c r="V714" s="377"/>
      <c r="W714" s="377"/>
      <c r="X714" s="377"/>
      <c r="Z714" s="77"/>
      <c r="AA714" s="377"/>
      <c r="AB714" s="377"/>
      <c r="AC714" s="377"/>
      <c r="AE714" s="77"/>
      <c r="AF714" s="377"/>
      <c r="AG714" s="377"/>
      <c r="AH714" s="377"/>
      <c r="AJ714" s="77"/>
      <c r="AK714" s="77"/>
      <c r="AL714" s="77"/>
      <c r="AM714" s="77"/>
      <c r="AN714" s="77"/>
    </row>
    <row r="715" spans="12:40">
      <c r="L715" s="377"/>
      <c r="M715" s="377"/>
      <c r="N715" s="377"/>
      <c r="P715" s="377"/>
      <c r="Q715" s="377"/>
      <c r="R715" s="377"/>
      <c r="S715" s="377"/>
      <c r="U715" s="377"/>
      <c r="V715" s="377"/>
      <c r="W715" s="377"/>
      <c r="X715" s="377"/>
      <c r="Z715" s="77"/>
      <c r="AA715" s="377"/>
      <c r="AB715" s="377"/>
      <c r="AC715" s="377"/>
      <c r="AE715" s="77"/>
      <c r="AF715" s="377"/>
      <c r="AG715" s="377"/>
      <c r="AH715" s="377"/>
      <c r="AJ715" s="77"/>
      <c r="AK715" s="77"/>
      <c r="AL715" s="77"/>
      <c r="AM715" s="77"/>
      <c r="AN715" s="77"/>
    </row>
    <row r="716" spans="12:40">
      <c r="L716" s="377"/>
      <c r="M716" s="377"/>
      <c r="N716" s="377"/>
      <c r="P716" s="377"/>
      <c r="Q716" s="377"/>
      <c r="R716" s="377"/>
      <c r="S716" s="377"/>
      <c r="U716" s="377"/>
      <c r="V716" s="377"/>
      <c r="W716" s="377"/>
      <c r="X716" s="377"/>
      <c r="Z716" s="77"/>
      <c r="AA716" s="377"/>
      <c r="AB716" s="377"/>
      <c r="AC716" s="377"/>
      <c r="AE716" s="77"/>
      <c r="AF716" s="377"/>
      <c r="AG716" s="377"/>
      <c r="AH716" s="377"/>
      <c r="AJ716" s="77"/>
      <c r="AK716" s="77"/>
      <c r="AL716" s="77"/>
      <c r="AM716" s="77"/>
      <c r="AN716" s="77"/>
    </row>
    <row r="717" spans="12:40">
      <c r="L717" s="377"/>
      <c r="M717" s="377"/>
      <c r="N717" s="377"/>
      <c r="P717" s="377"/>
      <c r="Q717" s="377"/>
      <c r="R717" s="377"/>
      <c r="S717" s="377"/>
      <c r="U717" s="377"/>
      <c r="V717" s="377"/>
      <c r="W717" s="377"/>
      <c r="X717" s="377"/>
      <c r="Z717" s="77"/>
      <c r="AA717" s="377"/>
      <c r="AB717" s="377"/>
      <c r="AC717" s="377"/>
      <c r="AE717" s="77"/>
      <c r="AF717" s="377"/>
      <c r="AG717" s="377"/>
      <c r="AH717" s="377"/>
      <c r="AJ717" s="77"/>
      <c r="AK717" s="77"/>
      <c r="AL717" s="77"/>
      <c r="AM717" s="77"/>
      <c r="AN717" s="77"/>
    </row>
    <row r="718" spans="12:40">
      <c r="L718" s="377"/>
      <c r="M718" s="377"/>
      <c r="N718" s="377"/>
      <c r="P718" s="377"/>
      <c r="Q718" s="377"/>
      <c r="R718" s="377"/>
      <c r="S718" s="377"/>
      <c r="U718" s="377"/>
      <c r="V718" s="377"/>
      <c r="W718" s="377"/>
      <c r="X718" s="377"/>
      <c r="Z718" s="77"/>
      <c r="AA718" s="377"/>
      <c r="AB718" s="377"/>
      <c r="AC718" s="377"/>
      <c r="AE718" s="77"/>
      <c r="AF718" s="377"/>
      <c r="AG718" s="377"/>
      <c r="AH718" s="377"/>
      <c r="AJ718" s="77"/>
      <c r="AK718" s="77"/>
      <c r="AL718" s="77"/>
      <c r="AM718" s="77"/>
      <c r="AN718" s="77"/>
    </row>
    <row r="719" spans="12:40">
      <c r="L719" s="377"/>
      <c r="M719" s="377"/>
      <c r="N719" s="377"/>
      <c r="P719" s="377"/>
      <c r="Q719" s="377"/>
      <c r="R719" s="377"/>
      <c r="S719" s="377"/>
      <c r="U719" s="377"/>
      <c r="V719" s="377"/>
      <c r="W719" s="377"/>
      <c r="X719" s="377"/>
      <c r="Z719" s="77"/>
      <c r="AA719" s="377"/>
      <c r="AB719" s="377"/>
      <c r="AC719" s="377"/>
      <c r="AE719" s="77"/>
      <c r="AF719" s="377"/>
      <c r="AG719" s="377"/>
      <c r="AH719" s="377"/>
      <c r="AJ719" s="77"/>
      <c r="AK719" s="77"/>
      <c r="AL719" s="77"/>
      <c r="AM719" s="77"/>
      <c r="AN719" s="77"/>
    </row>
    <row r="720" spans="12:40">
      <c r="L720" s="377"/>
      <c r="M720" s="377"/>
      <c r="N720" s="377"/>
      <c r="P720" s="377"/>
      <c r="Q720" s="377"/>
      <c r="R720" s="377"/>
      <c r="S720" s="377"/>
      <c r="U720" s="377"/>
      <c r="V720" s="377"/>
      <c r="W720" s="377"/>
      <c r="X720" s="377"/>
      <c r="Z720" s="77"/>
      <c r="AA720" s="377"/>
      <c r="AB720" s="377"/>
      <c r="AC720" s="377"/>
      <c r="AE720" s="77"/>
      <c r="AF720" s="377"/>
      <c r="AG720" s="377"/>
      <c r="AH720" s="377"/>
      <c r="AJ720" s="77"/>
      <c r="AK720" s="77"/>
      <c r="AL720" s="77"/>
      <c r="AM720" s="77"/>
      <c r="AN720" s="77"/>
    </row>
    <row r="721" spans="12:40">
      <c r="L721" s="377"/>
      <c r="M721" s="377"/>
      <c r="N721" s="377"/>
      <c r="P721" s="377"/>
      <c r="Q721" s="377"/>
      <c r="R721" s="377"/>
      <c r="S721" s="377"/>
      <c r="U721" s="377"/>
      <c r="V721" s="377"/>
      <c r="W721" s="377"/>
      <c r="X721" s="377"/>
      <c r="Z721" s="77"/>
      <c r="AA721" s="377"/>
      <c r="AB721" s="377"/>
      <c r="AC721" s="377"/>
      <c r="AE721" s="77"/>
      <c r="AF721" s="377"/>
      <c r="AG721" s="377"/>
      <c r="AH721" s="377"/>
      <c r="AJ721" s="77"/>
      <c r="AK721" s="77"/>
      <c r="AL721" s="77"/>
      <c r="AM721" s="77"/>
      <c r="AN721" s="77"/>
    </row>
    <row r="722" spans="12:40">
      <c r="L722" s="377"/>
      <c r="M722" s="377"/>
      <c r="N722" s="377"/>
      <c r="P722" s="377"/>
      <c r="Q722" s="377"/>
      <c r="R722" s="377"/>
      <c r="S722" s="377"/>
      <c r="U722" s="377"/>
      <c r="V722" s="377"/>
      <c r="W722" s="377"/>
      <c r="X722" s="377"/>
      <c r="Z722" s="77"/>
      <c r="AA722" s="377"/>
      <c r="AB722" s="377"/>
      <c r="AC722" s="377"/>
      <c r="AE722" s="77"/>
      <c r="AF722" s="377"/>
      <c r="AG722" s="377"/>
      <c r="AH722" s="377"/>
      <c r="AJ722" s="77"/>
      <c r="AK722" s="77"/>
      <c r="AL722" s="77"/>
      <c r="AM722" s="77"/>
      <c r="AN722" s="77"/>
    </row>
    <row r="723" spans="12:40">
      <c r="L723" s="377"/>
      <c r="M723" s="377"/>
      <c r="N723" s="377"/>
      <c r="P723" s="377"/>
      <c r="Q723" s="377"/>
      <c r="R723" s="377"/>
      <c r="S723" s="377"/>
      <c r="U723" s="377"/>
      <c r="V723" s="377"/>
      <c r="W723" s="377"/>
      <c r="X723" s="377"/>
      <c r="Z723" s="77"/>
      <c r="AA723" s="377"/>
      <c r="AB723" s="377"/>
      <c r="AC723" s="377"/>
      <c r="AE723" s="77"/>
      <c r="AF723" s="377"/>
      <c r="AG723" s="377"/>
      <c r="AH723" s="377"/>
      <c r="AJ723" s="77"/>
      <c r="AK723" s="77"/>
      <c r="AL723" s="77"/>
      <c r="AM723" s="77"/>
      <c r="AN723" s="77"/>
    </row>
    <row r="724" spans="12:40">
      <c r="L724" s="377"/>
      <c r="M724" s="377"/>
      <c r="N724" s="377"/>
      <c r="P724" s="377"/>
      <c r="Q724" s="377"/>
      <c r="R724" s="377"/>
      <c r="S724" s="377"/>
      <c r="U724" s="377"/>
      <c r="V724" s="377"/>
      <c r="W724" s="377"/>
      <c r="X724" s="377"/>
      <c r="Z724" s="77"/>
      <c r="AA724" s="377"/>
      <c r="AB724" s="377"/>
      <c r="AC724" s="377"/>
      <c r="AE724" s="77"/>
      <c r="AF724" s="377"/>
      <c r="AG724" s="377"/>
      <c r="AH724" s="377"/>
      <c r="AJ724" s="77"/>
      <c r="AK724" s="77"/>
      <c r="AL724" s="77"/>
      <c r="AM724" s="77"/>
      <c r="AN724" s="77"/>
    </row>
    <row r="725" spans="12:40">
      <c r="L725" s="377"/>
      <c r="M725" s="377"/>
      <c r="N725" s="377"/>
      <c r="P725" s="377"/>
      <c r="Q725" s="377"/>
      <c r="R725" s="377"/>
      <c r="S725" s="377"/>
      <c r="U725" s="377"/>
      <c r="V725" s="377"/>
      <c r="W725" s="377"/>
      <c r="X725" s="377"/>
      <c r="Z725" s="77"/>
      <c r="AA725" s="377"/>
      <c r="AB725" s="377"/>
      <c r="AC725" s="377"/>
      <c r="AE725" s="77"/>
      <c r="AF725" s="377"/>
      <c r="AG725" s="377"/>
      <c r="AH725" s="377"/>
      <c r="AJ725" s="77"/>
      <c r="AK725" s="77"/>
      <c r="AL725" s="77"/>
      <c r="AM725" s="77"/>
      <c r="AN725" s="77"/>
    </row>
    <row r="726" spans="12:40">
      <c r="L726" s="377"/>
      <c r="M726" s="377"/>
      <c r="N726" s="377"/>
      <c r="P726" s="377"/>
      <c r="Q726" s="377"/>
      <c r="R726" s="377"/>
      <c r="S726" s="377"/>
      <c r="U726" s="377"/>
      <c r="V726" s="377"/>
      <c r="W726" s="377"/>
      <c r="X726" s="377"/>
      <c r="Z726" s="77"/>
      <c r="AA726" s="377"/>
      <c r="AB726" s="377"/>
      <c r="AC726" s="377"/>
      <c r="AE726" s="77"/>
      <c r="AF726" s="377"/>
      <c r="AG726" s="377"/>
      <c r="AH726" s="377"/>
      <c r="AJ726" s="77"/>
      <c r="AK726" s="77"/>
      <c r="AL726" s="77"/>
      <c r="AM726" s="77"/>
      <c r="AN726" s="77"/>
    </row>
    <row r="727" spans="12:40">
      <c r="L727" s="377"/>
      <c r="M727" s="377"/>
      <c r="N727" s="377"/>
      <c r="P727" s="377"/>
      <c r="Q727" s="377"/>
      <c r="R727" s="377"/>
      <c r="S727" s="377"/>
      <c r="U727" s="377"/>
      <c r="V727" s="377"/>
      <c r="W727" s="377"/>
      <c r="X727" s="377"/>
      <c r="Z727" s="77"/>
      <c r="AA727" s="377"/>
      <c r="AB727" s="377"/>
      <c r="AC727" s="377"/>
      <c r="AE727" s="77"/>
      <c r="AF727" s="377"/>
      <c r="AG727" s="377"/>
      <c r="AH727" s="377"/>
      <c r="AJ727" s="77"/>
      <c r="AK727" s="77"/>
      <c r="AL727" s="77"/>
      <c r="AM727" s="77"/>
      <c r="AN727" s="77"/>
    </row>
    <row r="728" spans="12:40">
      <c r="L728" s="377"/>
      <c r="M728" s="377"/>
      <c r="N728" s="377"/>
      <c r="P728" s="377"/>
      <c r="Q728" s="377"/>
      <c r="R728" s="377"/>
      <c r="S728" s="377"/>
      <c r="U728" s="377"/>
      <c r="V728" s="377"/>
      <c r="W728" s="377"/>
      <c r="X728" s="377"/>
      <c r="Z728" s="77"/>
      <c r="AA728" s="377"/>
      <c r="AB728" s="377"/>
      <c r="AC728" s="377"/>
      <c r="AE728" s="77"/>
      <c r="AF728" s="377"/>
      <c r="AG728" s="377"/>
      <c r="AH728" s="377"/>
      <c r="AJ728" s="77"/>
      <c r="AK728" s="77"/>
      <c r="AL728" s="77"/>
      <c r="AM728" s="77"/>
      <c r="AN728" s="77"/>
    </row>
    <row r="729" spans="12:40">
      <c r="L729" s="377"/>
      <c r="M729" s="377"/>
      <c r="N729" s="377"/>
      <c r="P729" s="377"/>
      <c r="Q729" s="377"/>
      <c r="R729" s="377"/>
      <c r="S729" s="377"/>
      <c r="U729" s="377"/>
      <c r="V729" s="377"/>
      <c r="W729" s="377"/>
      <c r="X729" s="377"/>
      <c r="Z729" s="77"/>
      <c r="AA729" s="377"/>
      <c r="AB729" s="377"/>
      <c r="AC729" s="377"/>
      <c r="AE729" s="77"/>
      <c r="AF729" s="377"/>
      <c r="AG729" s="377"/>
      <c r="AH729" s="377"/>
      <c r="AJ729" s="77"/>
      <c r="AK729" s="77"/>
      <c r="AL729" s="77"/>
      <c r="AM729" s="77"/>
      <c r="AN729" s="77"/>
    </row>
    <row r="730" spans="12:40">
      <c r="L730" s="377"/>
      <c r="M730" s="377"/>
      <c r="N730" s="377"/>
      <c r="P730" s="377"/>
      <c r="Q730" s="377"/>
      <c r="R730" s="377"/>
      <c r="S730" s="377"/>
      <c r="U730" s="377"/>
      <c r="V730" s="377"/>
      <c r="W730" s="377"/>
      <c r="X730" s="377"/>
      <c r="Z730" s="77"/>
      <c r="AA730" s="377"/>
      <c r="AB730" s="377"/>
      <c r="AC730" s="377"/>
      <c r="AE730" s="77"/>
      <c r="AF730" s="377"/>
      <c r="AG730" s="377"/>
      <c r="AH730" s="377"/>
      <c r="AJ730" s="77"/>
      <c r="AK730" s="77"/>
      <c r="AL730" s="77"/>
      <c r="AM730" s="77"/>
      <c r="AN730" s="77"/>
    </row>
    <row r="731" spans="12:40">
      <c r="L731" s="377"/>
      <c r="M731" s="377"/>
      <c r="N731" s="377"/>
      <c r="P731" s="377"/>
      <c r="Q731" s="377"/>
      <c r="R731" s="377"/>
      <c r="S731" s="377"/>
      <c r="U731" s="377"/>
      <c r="V731" s="377"/>
      <c r="W731" s="377"/>
      <c r="X731" s="377"/>
      <c r="Z731" s="77"/>
      <c r="AA731" s="377"/>
      <c r="AB731" s="377"/>
      <c r="AC731" s="377"/>
      <c r="AE731" s="77"/>
      <c r="AF731" s="377"/>
      <c r="AG731" s="377"/>
      <c r="AH731" s="377"/>
      <c r="AJ731" s="77"/>
      <c r="AK731" s="77"/>
      <c r="AL731" s="77"/>
      <c r="AM731" s="77"/>
      <c r="AN731" s="77"/>
    </row>
    <row r="732" spans="12:40">
      <c r="L732" s="377"/>
      <c r="M732" s="377"/>
      <c r="N732" s="377"/>
      <c r="P732" s="377"/>
      <c r="Q732" s="377"/>
      <c r="R732" s="377"/>
      <c r="S732" s="377"/>
      <c r="U732" s="377"/>
      <c r="V732" s="377"/>
      <c r="W732" s="377"/>
      <c r="X732" s="377"/>
      <c r="Z732" s="77"/>
      <c r="AA732" s="377"/>
      <c r="AB732" s="377"/>
      <c r="AC732" s="377"/>
      <c r="AE732" s="77"/>
      <c r="AF732" s="377"/>
      <c r="AG732" s="377"/>
      <c r="AH732" s="377"/>
      <c r="AJ732" s="77"/>
      <c r="AK732" s="77"/>
      <c r="AL732" s="77"/>
      <c r="AM732" s="77"/>
      <c r="AN732" s="77"/>
    </row>
    <row r="733" spans="12:40">
      <c r="L733" s="377"/>
      <c r="M733" s="377"/>
      <c r="N733" s="377"/>
      <c r="P733" s="377"/>
      <c r="Q733" s="377"/>
      <c r="R733" s="377"/>
      <c r="S733" s="377"/>
      <c r="U733" s="377"/>
      <c r="V733" s="377"/>
      <c r="W733" s="377"/>
      <c r="X733" s="377"/>
      <c r="Z733" s="77"/>
      <c r="AA733" s="377"/>
      <c r="AB733" s="377"/>
      <c r="AC733" s="377"/>
      <c r="AE733" s="77"/>
      <c r="AF733" s="377"/>
      <c r="AG733" s="377"/>
      <c r="AH733" s="377"/>
      <c r="AJ733" s="77"/>
      <c r="AK733" s="77"/>
      <c r="AL733" s="77"/>
      <c r="AM733" s="77"/>
      <c r="AN733" s="77"/>
    </row>
    <row r="734" spans="12:40">
      <c r="L734" s="377"/>
      <c r="M734" s="377"/>
      <c r="N734" s="377"/>
      <c r="P734" s="377"/>
      <c r="Q734" s="377"/>
      <c r="R734" s="377"/>
      <c r="S734" s="377"/>
      <c r="U734" s="377"/>
      <c r="V734" s="377"/>
      <c r="W734" s="377"/>
      <c r="X734" s="377"/>
      <c r="Z734" s="77"/>
      <c r="AA734" s="377"/>
      <c r="AB734" s="377"/>
      <c r="AC734" s="377"/>
      <c r="AE734" s="77"/>
      <c r="AF734" s="377"/>
      <c r="AG734" s="377"/>
      <c r="AH734" s="377"/>
      <c r="AJ734" s="77"/>
      <c r="AK734" s="77"/>
      <c r="AL734" s="77"/>
      <c r="AM734" s="77"/>
      <c r="AN734" s="77"/>
    </row>
    <row r="735" spans="12:40">
      <c r="L735" s="377"/>
      <c r="M735" s="377"/>
      <c r="N735" s="377"/>
      <c r="P735" s="377"/>
      <c r="Q735" s="377"/>
      <c r="R735" s="377"/>
      <c r="S735" s="377"/>
      <c r="U735" s="377"/>
      <c r="V735" s="377"/>
      <c r="W735" s="377"/>
      <c r="X735" s="377"/>
      <c r="Z735" s="77"/>
      <c r="AA735" s="377"/>
      <c r="AB735" s="377"/>
      <c r="AC735" s="377"/>
      <c r="AE735" s="77"/>
      <c r="AF735" s="377"/>
      <c r="AG735" s="377"/>
      <c r="AH735" s="377"/>
      <c r="AJ735" s="77"/>
      <c r="AK735" s="77"/>
      <c r="AL735" s="77"/>
      <c r="AM735" s="77"/>
      <c r="AN735" s="77"/>
    </row>
    <row r="736" spans="12:40">
      <c r="L736" s="377"/>
      <c r="M736" s="377"/>
      <c r="N736" s="377"/>
      <c r="P736" s="377"/>
      <c r="Q736" s="377"/>
      <c r="R736" s="377"/>
      <c r="S736" s="377"/>
      <c r="U736" s="377"/>
      <c r="V736" s="377"/>
      <c r="W736" s="377"/>
      <c r="X736" s="377"/>
      <c r="Z736" s="77"/>
      <c r="AA736" s="377"/>
      <c r="AB736" s="377"/>
      <c r="AC736" s="377"/>
      <c r="AE736" s="77"/>
      <c r="AF736" s="377"/>
      <c r="AG736" s="377"/>
      <c r="AH736" s="377"/>
      <c r="AJ736" s="77"/>
      <c r="AK736" s="77"/>
      <c r="AL736" s="77"/>
      <c r="AM736" s="77"/>
      <c r="AN736" s="77"/>
    </row>
    <row r="737" spans="12:40">
      <c r="L737" s="377"/>
      <c r="M737" s="377"/>
      <c r="N737" s="377"/>
      <c r="P737" s="377"/>
      <c r="Q737" s="377"/>
      <c r="R737" s="377"/>
      <c r="S737" s="377"/>
      <c r="U737" s="377"/>
      <c r="V737" s="377"/>
      <c r="W737" s="377"/>
      <c r="X737" s="377"/>
      <c r="Z737" s="77"/>
      <c r="AA737" s="377"/>
      <c r="AB737" s="377"/>
      <c r="AC737" s="377"/>
      <c r="AE737" s="77"/>
      <c r="AF737" s="377"/>
      <c r="AG737" s="377"/>
      <c r="AH737" s="377"/>
      <c r="AJ737" s="77"/>
      <c r="AK737" s="77"/>
      <c r="AL737" s="77"/>
      <c r="AM737" s="77"/>
      <c r="AN737" s="77"/>
    </row>
    <row r="738" spans="12:40">
      <c r="L738" s="377"/>
      <c r="M738" s="377"/>
      <c r="N738" s="377"/>
      <c r="P738" s="377"/>
      <c r="Q738" s="377"/>
      <c r="R738" s="377"/>
      <c r="S738" s="377"/>
      <c r="U738" s="377"/>
      <c r="V738" s="377"/>
      <c r="W738" s="377"/>
      <c r="X738" s="377"/>
      <c r="Z738" s="77"/>
      <c r="AA738" s="377"/>
      <c r="AB738" s="377"/>
      <c r="AC738" s="377"/>
      <c r="AE738" s="77"/>
      <c r="AF738" s="377"/>
      <c r="AG738" s="377"/>
      <c r="AH738" s="377"/>
      <c r="AJ738" s="77"/>
      <c r="AK738" s="77"/>
      <c r="AL738" s="77"/>
      <c r="AM738" s="77"/>
      <c r="AN738" s="77"/>
    </row>
    <row r="739" spans="12:40">
      <c r="L739" s="377"/>
      <c r="M739" s="377"/>
      <c r="N739" s="377"/>
      <c r="P739" s="377"/>
      <c r="Q739" s="377"/>
      <c r="R739" s="377"/>
      <c r="S739" s="377"/>
      <c r="U739" s="377"/>
      <c r="V739" s="377"/>
      <c r="W739" s="377"/>
      <c r="X739" s="377"/>
      <c r="Z739" s="77"/>
      <c r="AA739" s="377"/>
      <c r="AB739" s="377"/>
      <c r="AC739" s="377"/>
      <c r="AE739" s="77"/>
      <c r="AF739" s="377"/>
      <c r="AG739" s="377"/>
      <c r="AH739" s="377"/>
      <c r="AJ739" s="77"/>
      <c r="AK739" s="77"/>
      <c r="AL739" s="77"/>
      <c r="AM739" s="77"/>
      <c r="AN739" s="77"/>
    </row>
    <row r="740" spans="12:40">
      <c r="L740" s="377"/>
      <c r="M740" s="377"/>
      <c r="N740" s="377"/>
      <c r="P740" s="377"/>
      <c r="Q740" s="377"/>
      <c r="R740" s="377"/>
      <c r="S740" s="377"/>
      <c r="U740" s="377"/>
      <c r="V740" s="377"/>
      <c r="W740" s="377"/>
      <c r="X740" s="377"/>
      <c r="Z740" s="77"/>
      <c r="AA740" s="377"/>
      <c r="AB740" s="377"/>
      <c r="AC740" s="377"/>
      <c r="AE740" s="77"/>
      <c r="AF740" s="377"/>
      <c r="AG740" s="377"/>
      <c r="AH740" s="377"/>
      <c r="AJ740" s="77"/>
      <c r="AK740" s="77"/>
      <c r="AL740" s="77"/>
      <c r="AM740" s="77"/>
      <c r="AN740" s="77"/>
    </row>
    <row r="741" spans="12:40">
      <c r="L741" s="377"/>
      <c r="M741" s="377"/>
      <c r="N741" s="377"/>
      <c r="P741" s="377"/>
      <c r="Q741" s="377"/>
      <c r="R741" s="377"/>
      <c r="S741" s="377"/>
      <c r="U741" s="377"/>
      <c r="V741" s="377"/>
      <c r="W741" s="377"/>
      <c r="X741" s="377"/>
      <c r="Z741" s="77"/>
      <c r="AA741" s="377"/>
      <c r="AB741" s="377"/>
      <c r="AC741" s="377"/>
      <c r="AE741" s="77"/>
      <c r="AF741" s="377"/>
      <c r="AG741" s="377"/>
      <c r="AH741" s="377"/>
      <c r="AJ741" s="77"/>
      <c r="AK741" s="77"/>
      <c r="AL741" s="77"/>
      <c r="AM741" s="77"/>
      <c r="AN741" s="77"/>
    </row>
    <row r="742" spans="12:40">
      <c r="L742" s="377"/>
      <c r="M742" s="377"/>
      <c r="N742" s="377"/>
      <c r="P742" s="377"/>
      <c r="Q742" s="377"/>
      <c r="R742" s="377"/>
      <c r="S742" s="377"/>
      <c r="U742" s="377"/>
      <c r="V742" s="377"/>
      <c r="W742" s="377"/>
      <c r="X742" s="377"/>
      <c r="Z742" s="77"/>
      <c r="AA742" s="377"/>
      <c r="AB742" s="377"/>
      <c r="AC742" s="377"/>
      <c r="AE742" s="77"/>
      <c r="AF742" s="377"/>
      <c r="AG742" s="377"/>
      <c r="AH742" s="377"/>
      <c r="AJ742" s="77"/>
      <c r="AK742" s="77"/>
      <c r="AL742" s="77"/>
      <c r="AM742" s="77"/>
      <c r="AN742" s="77"/>
    </row>
    <row r="743" spans="12:40">
      <c r="L743" s="377"/>
      <c r="M743" s="377"/>
      <c r="N743" s="377"/>
      <c r="P743" s="377"/>
      <c r="Q743" s="377"/>
      <c r="R743" s="377"/>
      <c r="S743" s="377"/>
      <c r="U743" s="377"/>
      <c r="V743" s="377"/>
      <c r="W743" s="377"/>
      <c r="X743" s="377"/>
      <c r="Z743" s="77"/>
      <c r="AA743" s="377"/>
      <c r="AB743" s="377"/>
      <c r="AC743" s="377"/>
      <c r="AE743" s="77"/>
      <c r="AF743" s="377"/>
      <c r="AG743" s="377"/>
      <c r="AH743" s="377"/>
      <c r="AJ743" s="77"/>
      <c r="AK743" s="77"/>
      <c r="AL743" s="77"/>
      <c r="AM743" s="77"/>
      <c r="AN743" s="77"/>
    </row>
    <row r="744" spans="12:40">
      <c r="L744" s="377"/>
      <c r="M744" s="377"/>
      <c r="N744" s="377"/>
      <c r="P744" s="377"/>
      <c r="Q744" s="377"/>
      <c r="R744" s="377"/>
      <c r="S744" s="377"/>
      <c r="U744" s="377"/>
      <c r="V744" s="377"/>
      <c r="W744" s="377"/>
      <c r="X744" s="377"/>
      <c r="Z744" s="77"/>
      <c r="AA744" s="377"/>
      <c r="AB744" s="377"/>
      <c r="AC744" s="377"/>
      <c r="AE744" s="77"/>
      <c r="AF744" s="377"/>
      <c r="AG744" s="377"/>
      <c r="AH744" s="377"/>
      <c r="AJ744" s="77"/>
      <c r="AK744" s="77"/>
      <c r="AL744" s="77"/>
      <c r="AM744" s="77"/>
      <c r="AN744" s="77"/>
    </row>
    <row r="745" spans="12:40">
      <c r="L745" s="377"/>
      <c r="M745" s="377"/>
      <c r="N745" s="377"/>
      <c r="P745" s="377"/>
      <c r="Q745" s="377"/>
      <c r="R745" s="377"/>
      <c r="S745" s="377"/>
      <c r="U745" s="377"/>
      <c r="V745" s="377"/>
      <c r="W745" s="377"/>
      <c r="X745" s="377"/>
      <c r="Z745" s="77"/>
      <c r="AA745" s="377"/>
      <c r="AB745" s="377"/>
      <c r="AC745" s="377"/>
      <c r="AE745" s="77"/>
      <c r="AF745" s="377"/>
      <c r="AG745" s="377"/>
      <c r="AH745" s="377"/>
      <c r="AJ745" s="77"/>
      <c r="AK745" s="77"/>
      <c r="AL745" s="77"/>
      <c r="AM745" s="77"/>
      <c r="AN745" s="77"/>
    </row>
    <row r="746" spans="12:40">
      <c r="L746" s="377"/>
      <c r="M746" s="377"/>
      <c r="N746" s="377"/>
      <c r="P746" s="377"/>
      <c r="Q746" s="377"/>
      <c r="R746" s="377"/>
      <c r="S746" s="377"/>
      <c r="U746" s="377"/>
      <c r="V746" s="377"/>
      <c r="W746" s="377"/>
      <c r="X746" s="377"/>
      <c r="Z746" s="77"/>
      <c r="AA746" s="377"/>
      <c r="AB746" s="377"/>
      <c r="AC746" s="377"/>
      <c r="AE746" s="77"/>
      <c r="AF746" s="377"/>
      <c r="AG746" s="377"/>
      <c r="AH746" s="377"/>
      <c r="AJ746" s="77"/>
      <c r="AK746" s="77"/>
      <c r="AL746" s="77"/>
      <c r="AM746" s="77"/>
      <c r="AN746" s="77"/>
    </row>
    <row r="747" spans="12:40">
      <c r="L747" s="377"/>
      <c r="M747" s="377"/>
      <c r="N747" s="377"/>
      <c r="P747" s="377"/>
      <c r="Q747" s="377"/>
      <c r="R747" s="377"/>
      <c r="S747" s="377"/>
      <c r="U747" s="377"/>
      <c r="V747" s="377"/>
      <c r="W747" s="377"/>
      <c r="X747" s="377"/>
      <c r="Z747" s="77"/>
      <c r="AA747" s="377"/>
      <c r="AB747" s="377"/>
      <c r="AC747" s="377"/>
      <c r="AE747" s="77"/>
      <c r="AF747" s="377"/>
      <c r="AG747" s="377"/>
      <c r="AH747" s="377"/>
      <c r="AJ747" s="77"/>
      <c r="AK747" s="77"/>
      <c r="AL747" s="77"/>
      <c r="AM747" s="77"/>
      <c r="AN747" s="77"/>
    </row>
    <row r="748" spans="12:40">
      <c r="L748" s="377"/>
      <c r="M748" s="377"/>
      <c r="N748" s="377"/>
      <c r="P748" s="377"/>
      <c r="Q748" s="377"/>
      <c r="R748" s="377"/>
      <c r="S748" s="377"/>
      <c r="U748" s="377"/>
      <c r="V748" s="377"/>
      <c r="W748" s="377"/>
      <c r="X748" s="377"/>
      <c r="Z748" s="77"/>
      <c r="AA748" s="377"/>
      <c r="AB748" s="377"/>
      <c r="AC748" s="377"/>
      <c r="AE748" s="77"/>
      <c r="AF748" s="377"/>
      <c r="AG748" s="377"/>
      <c r="AH748" s="377"/>
      <c r="AJ748" s="77"/>
      <c r="AK748" s="77"/>
      <c r="AL748" s="77"/>
      <c r="AM748" s="77"/>
      <c r="AN748" s="77"/>
    </row>
    <row r="749" spans="12:40">
      <c r="L749" s="377"/>
      <c r="M749" s="377"/>
      <c r="N749" s="377"/>
      <c r="P749" s="377"/>
      <c r="Q749" s="377"/>
      <c r="R749" s="377"/>
      <c r="S749" s="377"/>
      <c r="U749" s="377"/>
      <c r="V749" s="377"/>
      <c r="W749" s="377"/>
      <c r="X749" s="377"/>
      <c r="Z749" s="77"/>
      <c r="AA749" s="377"/>
      <c r="AB749" s="377"/>
      <c r="AC749" s="377"/>
      <c r="AE749" s="77"/>
      <c r="AF749" s="377"/>
      <c r="AG749" s="377"/>
      <c r="AH749" s="377"/>
      <c r="AJ749" s="77"/>
      <c r="AK749" s="77"/>
      <c r="AL749" s="77"/>
      <c r="AM749" s="77"/>
      <c r="AN749" s="77"/>
    </row>
    <row r="750" spans="12:40">
      <c r="L750" s="377"/>
      <c r="M750" s="377"/>
      <c r="N750" s="377"/>
      <c r="P750" s="377"/>
      <c r="Q750" s="377"/>
      <c r="R750" s="377"/>
      <c r="S750" s="377"/>
      <c r="U750" s="377"/>
      <c r="V750" s="377"/>
      <c r="W750" s="377"/>
      <c r="X750" s="377"/>
      <c r="Z750" s="77"/>
      <c r="AA750" s="377"/>
      <c r="AB750" s="377"/>
      <c r="AC750" s="377"/>
      <c r="AE750" s="77"/>
      <c r="AF750" s="377"/>
      <c r="AG750" s="377"/>
      <c r="AH750" s="377"/>
      <c r="AJ750" s="77"/>
      <c r="AK750" s="77"/>
      <c r="AL750" s="77"/>
      <c r="AM750" s="77"/>
      <c r="AN750" s="77"/>
    </row>
    <row r="751" spans="12:40">
      <c r="L751" s="377"/>
      <c r="M751" s="377"/>
      <c r="N751" s="377"/>
      <c r="P751" s="377"/>
      <c r="Q751" s="377"/>
      <c r="R751" s="377"/>
      <c r="S751" s="377"/>
      <c r="U751" s="377"/>
      <c r="V751" s="377"/>
      <c r="W751" s="377"/>
      <c r="X751" s="377"/>
      <c r="Z751" s="77"/>
      <c r="AA751" s="377"/>
      <c r="AB751" s="377"/>
      <c r="AC751" s="377"/>
      <c r="AE751" s="77"/>
      <c r="AF751" s="377"/>
      <c r="AG751" s="377"/>
      <c r="AH751" s="377"/>
      <c r="AJ751" s="77"/>
      <c r="AK751" s="77"/>
      <c r="AL751" s="77"/>
      <c r="AM751" s="77"/>
      <c r="AN751" s="77"/>
    </row>
    <row r="752" spans="12:40">
      <c r="L752" s="377"/>
      <c r="M752" s="377"/>
      <c r="N752" s="377"/>
      <c r="P752" s="377"/>
      <c r="Q752" s="377"/>
      <c r="R752" s="377"/>
      <c r="S752" s="377"/>
      <c r="U752" s="377"/>
      <c r="V752" s="377"/>
      <c r="W752" s="377"/>
      <c r="X752" s="377"/>
      <c r="Z752" s="77"/>
      <c r="AA752" s="377"/>
      <c r="AB752" s="377"/>
      <c r="AC752" s="377"/>
      <c r="AE752" s="77"/>
      <c r="AF752" s="377"/>
      <c r="AG752" s="377"/>
      <c r="AH752" s="377"/>
      <c r="AJ752" s="77"/>
      <c r="AK752" s="77"/>
      <c r="AL752" s="77"/>
      <c r="AM752" s="77"/>
      <c r="AN752" s="77"/>
    </row>
    <row r="753" spans="12:40">
      <c r="L753" s="377"/>
      <c r="M753" s="377"/>
      <c r="N753" s="377"/>
      <c r="P753" s="377"/>
      <c r="Q753" s="377"/>
      <c r="R753" s="377"/>
      <c r="S753" s="377"/>
      <c r="U753" s="377"/>
      <c r="V753" s="377"/>
      <c r="W753" s="377"/>
      <c r="X753" s="377"/>
      <c r="Z753" s="77"/>
      <c r="AA753" s="377"/>
      <c r="AB753" s="377"/>
      <c r="AC753" s="377"/>
      <c r="AE753" s="77"/>
      <c r="AF753" s="377"/>
      <c r="AG753" s="377"/>
      <c r="AH753" s="377"/>
      <c r="AJ753" s="77"/>
      <c r="AK753" s="77"/>
      <c r="AL753" s="77"/>
      <c r="AM753" s="77"/>
      <c r="AN753" s="77"/>
    </row>
    <row r="754" spans="12:40">
      <c r="L754" s="377"/>
      <c r="M754" s="377"/>
      <c r="N754" s="377"/>
      <c r="P754" s="377"/>
      <c r="Q754" s="377"/>
      <c r="R754" s="377"/>
      <c r="S754" s="377"/>
      <c r="U754" s="377"/>
      <c r="V754" s="377"/>
      <c r="W754" s="377"/>
      <c r="X754" s="377"/>
      <c r="Z754" s="77"/>
      <c r="AA754" s="377"/>
      <c r="AB754" s="377"/>
      <c r="AC754" s="377"/>
      <c r="AE754" s="77"/>
      <c r="AF754" s="377"/>
      <c r="AG754" s="377"/>
      <c r="AH754" s="377"/>
      <c r="AJ754" s="77"/>
      <c r="AK754" s="77"/>
      <c r="AL754" s="77"/>
      <c r="AM754" s="77"/>
      <c r="AN754" s="77"/>
    </row>
    <row r="755" spans="12:40">
      <c r="L755" s="377"/>
      <c r="M755" s="377"/>
      <c r="N755" s="377"/>
      <c r="P755" s="377"/>
      <c r="Q755" s="377"/>
      <c r="R755" s="377"/>
      <c r="S755" s="377"/>
      <c r="U755" s="377"/>
      <c r="V755" s="377"/>
      <c r="W755" s="377"/>
      <c r="X755" s="377"/>
      <c r="Z755" s="77"/>
      <c r="AA755" s="377"/>
      <c r="AB755" s="377"/>
      <c r="AC755" s="377"/>
      <c r="AE755" s="77"/>
      <c r="AF755" s="377"/>
      <c r="AG755" s="377"/>
      <c r="AH755" s="377"/>
      <c r="AJ755" s="77"/>
      <c r="AK755" s="77"/>
      <c r="AL755" s="77"/>
      <c r="AM755" s="77"/>
      <c r="AN755" s="77"/>
    </row>
    <row r="756" spans="12:40">
      <c r="L756" s="377"/>
      <c r="M756" s="377"/>
      <c r="N756" s="377"/>
      <c r="P756" s="377"/>
      <c r="Q756" s="377"/>
      <c r="R756" s="377"/>
      <c r="S756" s="377"/>
      <c r="U756" s="377"/>
      <c r="V756" s="377"/>
      <c r="W756" s="377"/>
      <c r="X756" s="377"/>
      <c r="Z756" s="77"/>
      <c r="AA756" s="377"/>
      <c r="AB756" s="377"/>
      <c r="AC756" s="377"/>
      <c r="AE756" s="77"/>
      <c r="AF756" s="377"/>
      <c r="AG756" s="377"/>
      <c r="AH756" s="377"/>
      <c r="AJ756" s="77"/>
      <c r="AK756" s="77"/>
      <c r="AL756" s="77"/>
      <c r="AM756" s="77"/>
      <c r="AN756" s="77"/>
    </row>
    <row r="757" spans="12:40">
      <c r="L757" s="377"/>
      <c r="M757" s="377"/>
      <c r="N757" s="377"/>
      <c r="P757" s="377"/>
      <c r="Q757" s="377"/>
      <c r="R757" s="377"/>
      <c r="S757" s="377"/>
      <c r="U757" s="377"/>
      <c r="V757" s="377"/>
      <c r="W757" s="377"/>
      <c r="X757" s="377"/>
      <c r="Z757" s="77"/>
      <c r="AA757" s="377"/>
      <c r="AB757" s="377"/>
      <c r="AC757" s="377"/>
      <c r="AE757" s="77"/>
      <c r="AF757" s="377"/>
      <c r="AG757" s="377"/>
      <c r="AH757" s="377"/>
      <c r="AJ757" s="77"/>
      <c r="AK757" s="77"/>
      <c r="AL757" s="77"/>
      <c r="AM757" s="77"/>
      <c r="AN757" s="77"/>
    </row>
    <row r="758" spans="12:40">
      <c r="L758" s="377"/>
      <c r="M758" s="377"/>
      <c r="N758" s="377"/>
      <c r="P758" s="377"/>
      <c r="Q758" s="377"/>
      <c r="R758" s="377"/>
      <c r="S758" s="377"/>
      <c r="U758" s="377"/>
      <c r="V758" s="377"/>
      <c r="W758" s="377"/>
      <c r="X758" s="377"/>
      <c r="Z758" s="77"/>
      <c r="AA758" s="377"/>
      <c r="AB758" s="377"/>
      <c r="AC758" s="377"/>
      <c r="AE758" s="77"/>
      <c r="AF758" s="377"/>
      <c r="AG758" s="377"/>
      <c r="AH758" s="377"/>
      <c r="AJ758" s="77"/>
      <c r="AK758" s="77"/>
      <c r="AL758" s="77"/>
      <c r="AM758" s="77"/>
      <c r="AN758" s="77"/>
    </row>
    <row r="759" spans="12:40">
      <c r="L759" s="377"/>
      <c r="M759" s="377"/>
      <c r="N759" s="377"/>
      <c r="P759" s="377"/>
      <c r="Q759" s="377"/>
      <c r="R759" s="377"/>
      <c r="S759" s="377"/>
      <c r="U759" s="377"/>
      <c r="V759" s="377"/>
      <c r="W759" s="377"/>
      <c r="X759" s="377"/>
      <c r="Z759" s="77"/>
      <c r="AA759" s="377"/>
      <c r="AB759" s="377"/>
      <c r="AC759" s="377"/>
      <c r="AE759" s="77"/>
      <c r="AF759" s="377"/>
      <c r="AG759" s="377"/>
      <c r="AH759" s="377"/>
      <c r="AJ759" s="77"/>
      <c r="AK759" s="77"/>
      <c r="AL759" s="77"/>
      <c r="AM759" s="77"/>
      <c r="AN759" s="77"/>
    </row>
    <row r="760" spans="12:40">
      <c r="L760" s="377"/>
      <c r="M760" s="377"/>
      <c r="N760" s="377"/>
      <c r="P760" s="377"/>
      <c r="Q760" s="377"/>
      <c r="R760" s="377"/>
      <c r="S760" s="377"/>
      <c r="U760" s="377"/>
      <c r="V760" s="377"/>
      <c r="W760" s="377"/>
      <c r="X760" s="377"/>
      <c r="Z760" s="77"/>
      <c r="AA760" s="377"/>
      <c r="AB760" s="377"/>
      <c r="AC760" s="377"/>
      <c r="AE760" s="77"/>
      <c r="AF760" s="377"/>
      <c r="AG760" s="377"/>
      <c r="AH760" s="377"/>
      <c r="AJ760" s="77"/>
      <c r="AK760" s="77"/>
      <c r="AL760" s="77"/>
      <c r="AM760" s="77"/>
      <c r="AN760" s="77"/>
    </row>
    <row r="761" spans="12:40">
      <c r="L761" s="377"/>
      <c r="M761" s="377"/>
      <c r="N761" s="377"/>
      <c r="P761" s="377"/>
      <c r="Q761" s="377"/>
      <c r="R761" s="377"/>
      <c r="S761" s="377"/>
      <c r="U761" s="377"/>
      <c r="V761" s="377"/>
      <c r="W761" s="377"/>
      <c r="X761" s="377"/>
      <c r="Z761" s="77"/>
      <c r="AA761" s="377"/>
      <c r="AB761" s="377"/>
      <c r="AC761" s="377"/>
      <c r="AE761" s="77"/>
      <c r="AF761" s="377"/>
      <c r="AG761" s="377"/>
      <c r="AH761" s="377"/>
      <c r="AJ761" s="77"/>
      <c r="AK761" s="77"/>
      <c r="AL761" s="77"/>
      <c r="AM761" s="77"/>
      <c r="AN761" s="77"/>
    </row>
    <row r="762" spans="12:40">
      <c r="L762" s="377"/>
      <c r="M762" s="377"/>
      <c r="N762" s="377"/>
      <c r="P762" s="377"/>
      <c r="Q762" s="377"/>
      <c r="R762" s="377"/>
      <c r="S762" s="377"/>
      <c r="U762" s="377"/>
      <c r="V762" s="377"/>
      <c r="W762" s="377"/>
      <c r="X762" s="377"/>
      <c r="Z762" s="77"/>
      <c r="AA762" s="377"/>
      <c r="AB762" s="377"/>
      <c r="AC762" s="377"/>
      <c r="AE762" s="77"/>
      <c r="AF762" s="377"/>
      <c r="AG762" s="377"/>
      <c r="AH762" s="377"/>
      <c r="AJ762" s="77"/>
      <c r="AK762" s="77"/>
      <c r="AL762" s="77"/>
      <c r="AM762" s="77"/>
      <c r="AN762" s="77"/>
    </row>
    <row r="763" spans="12:40">
      <c r="L763" s="377"/>
      <c r="M763" s="377"/>
      <c r="N763" s="377"/>
      <c r="P763" s="377"/>
      <c r="Q763" s="377"/>
      <c r="R763" s="377"/>
      <c r="S763" s="377"/>
      <c r="U763" s="377"/>
      <c r="V763" s="377"/>
      <c r="W763" s="377"/>
      <c r="X763" s="377"/>
      <c r="Z763" s="77"/>
      <c r="AA763" s="377"/>
      <c r="AB763" s="377"/>
      <c r="AC763" s="377"/>
      <c r="AE763" s="77"/>
      <c r="AF763" s="377"/>
      <c r="AG763" s="377"/>
      <c r="AH763" s="377"/>
      <c r="AJ763" s="77"/>
      <c r="AK763" s="77"/>
      <c r="AL763" s="77"/>
      <c r="AM763" s="77"/>
      <c r="AN763" s="77"/>
    </row>
    <row r="764" spans="12:40">
      <c r="L764" s="377"/>
      <c r="M764" s="377"/>
      <c r="N764" s="377"/>
      <c r="P764" s="377"/>
      <c r="Q764" s="377"/>
      <c r="R764" s="377"/>
      <c r="S764" s="377"/>
      <c r="U764" s="377"/>
      <c r="V764" s="377"/>
      <c r="W764" s="377"/>
      <c r="X764" s="377"/>
      <c r="Z764" s="77"/>
      <c r="AA764" s="377"/>
      <c r="AB764" s="377"/>
      <c r="AC764" s="377"/>
      <c r="AE764" s="77"/>
      <c r="AF764" s="377"/>
      <c r="AG764" s="377"/>
      <c r="AH764" s="377"/>
      <c r="AJ764" s="77"/>
      <c r="AK764" s="77"/>
      <c r="AL764" s="77"/>
      <c r="AM764" s="77"/>
      <c r="AN764" s="77"/>
    </row>
    <row r="765" spans="12:40">
      <c r="L765" s="377"/>
      <c r="M765" s="377"/>
      <c r="N765" s="377"/>
      <c r="P765" s="377"/>
      <c r="Q765" s="377"/>
      <c r="R765" s="377"/>
      <c r="S765" s="377"/>
      <c r="U765" s="377"/>
      <c r="V765" s="377"/>
      <c r="W765" s="377"/>
      <c r="X765" s="377"/>
      <c r="Z765" s="77"/>
      <c r="AA765" s="377"/>
      <c r="AB765" s="377"/>
      <c r="AC765" s="377"/>
      <c r="AE765" s="77"/>
      <c r="AF765" s="377"/>
      <c r="AG765" s="377"/>
      <c r="AH765" s="377"/>
      <c r="AJ765" s="77"/>
      <c r="AK765" s="77"/>
      <c r="AL765" s="77"/>
      <c r="AM765" s="77"/>
      <c r="AN765" s="77"/>
    </row>
    <row r="766" spans="12:40">
      <c r="L766" s="377"/>
      <c r="M766" s="377"/>
      <c r="N766" s="377"/>
      <c r="P766" s="377"/>
      <c r="Q766" s="377"/>
      <c r="R766" s="377"/>
      <c r="S766" s="377"/>
      <c r="U766" s="377"/>
      <c r="V766" s="377"/>
      <c r="W766" s="377"/>
      <c r="X766" s="377"/>
      <c r="Z766" s="77"/>
      <c r="AA766" s="377"/>
      <c r="AB766" s="377"/>
      <c r="AC766" s="377"/>
      <c r="AE766" s="77"/>
      <c r="AF766" s="377"/>
      <c r="AG766" s="377"/>
      <c r="AH766" s="377"/>
      <c r="AJ766" s="77"/>
      <c r="AK766" s="77"/>
      <c r="AL766" s="77"/>
      <c r="AM766" s="77"/>
      <c r="AN766" s="77"/>
    </row>
    <row r="767" spans="12:40">
      <c r="L767" s="377"/>
      <c r="M767" s="377"/>
      <c r="N767" s="377"/>
      <c r="P767" s="377"/>
      <c r="Q767" s="377"/>
      <c r="R767" s="377"/>
      <c r="S767" s="377"/>
      <c r="U767" s="377"/>
      <c r="V767" s="377"/>
      <c r="W767" s="377"/>
      <c r="X767" s="377"/>
      <c r="Z767" s="77"/>
      <c r="AA767" s="377"/>
      <c r="AB767" s="377"/>
      <c r="AC767" s="377"/>
      <c r="AE767" s="77"/>
      <c r="AF767" s="377"/>
      <c r="AG767" s="377"/>
      <c r="AH767" s="377"/>
      <c r="AJ767" s="77"/>
      <c r="AK767" s="77"/>
      <c r="AL767" s="77"/>
      <c r="AM767" s="77"/>
      <c r="AN767" s="77"/>
    </row>
    <row r="768" spans="12:40">
      <c r="L768" s="377"/>
      <c r="M768" s="377"/>
      <c r="N768" s="377"/>
      <c r="P768" s="377"/>
      <c r="Q768" s="377"/>
      <c r="R768" s="377"/>
      <c r="S768" s="377"/>
      <c r="U768" s="377"/>
      <c r="V768" s="377"/>
      <c r="W768" s="377"/>
      <c r="X768" s="377"/>
      <c r="Z768" s="77"/>
      <c r="AA768" s="377"/>
      <c r="AB768" s="377"/>
      <c r="AC768" s="377"/>
      <c r="AE768" s="77"/>
      <c r="AF768" s="377"/>
      <c r="AG768" s="377"/>
      <c r="AH768" s="377"/>
      <c r="AJ768" s="77"/>
      <c r="AK768" s="77"/>
      <c r="AL768" s="77"/>
      <c r="AM768" s="77"/>
      <c r="AN768" s="77"/>
    </row>
    <row r="769" spans="12:40">
      <c r="L769" s="377"/>
      <c r="M769" s="377"/>
      <c r="N769" s="377"/>
      <c r="P769" s="377"/>
      <c r="Q769" s="377"/>
      <c r="R769" s="377"/>
      <c r="S769" s="377"/>
      <c r="U769" s="377"/>
      <c r="V769" s="377"/>
      <c r="W769" s="377"/>
      <c r="X769" s="377"/>
      <c r="Z769" s="77"/>
      <c r="AA769" s="377"/>
      <c r="AB769" s="377"/>
      <c r="AC769" s="377"/>
      <c r="AE769" s="77"/>
      <c r="AF769" s="377"/>
      <c r="AG769" s="377"/>
      <c r="AH769" s="377"/>
      <c r="AJ769" s="77"/>
      <c r="AK769" s="77"/>
      <c r="AL769" s="77"/>
      <c r="AM769" s="77"/>
      <c r="AN769" s="77"/>
    </row>
    <row r="770" spans="12:40">
      <c r="L770" s="377"/>
      <c r="M770" s="377"/>
      <c r="N770" s="377"/>
      <c r="P770" s="377"/>
      <c r="Q770" s="377"/>
      <c r="R770" s="377"/>
      <c r="S770" s="377"/>
      <c r="U770" s="377"/>
      <c r="V770" s="377"/>
      <c r="W770" s="377"/>
      <c r="X770" s="377"/>
      <c r="Z770" s="77"/>
      <c r="AA770" s="377"/>
      <c r="AB770" s="377"/>
      <c r="AC770" s="377"/>
      <c r="AE770" s="77"/>
      <c r="AF770" s="377"/>
      <c r="AG770" s="377"/>
      <c r="AH770" s="377"/>
      <c r="AJ770" s="77"/>
      <c r="AK770" s="77"/>
      <c r="AL770" s="77"/>
      <c r="AM770" s="77"/>
      <c r="AN770" s="77"/>
    </row>
    <row r="771" spans="12:40">
      <c r="L771" s="377"/>
      <c r="M771" s="377"/>
      <c r="N771" s="377"/>
      <c r="P771" s="377"/>
      <c r="Q771" s="377"/>
      <c r="R771" s="377"/>
      <c r="S771" s="377"/>
      <c r="U771" s="377"/>
      <c r="V771" s="377"/>
      <c r="W771" s="377"/>
      <c r="X771" s="377"/>
      <c r="Z771" s="77"/>
      <c r="AA771" s="377"/>
      <c r="AB771" s="377"/>
      <c r="AC771" s="377"/>
      <c r="AE771" s="77"/>
      <c r="AF771" s="377"/>
      <c r="AG771" s="377"/>
      <c r="AH771" s="377"/>
      <c r="AJ771" s="77"/>
      <c r="AK771" s="77"/>
      <c r="AL771" s="77"/>
      <c r="AM771" s="77"/>
      <c r="AN771" s="77"/>
    </row>
    <row r="772" spans="12:40">
      <c r="L772" s="377"/>
      <c r="M772" s="377"/>
      <c r="N772" s="377"/>
      <c r="P772" s="377"/>
      <c r="Q772" s="377"/>
      <c r="R772" s="377"/>
      <c r="S772" s="377"/>
      <c r="U772" s="377"/>
      <c r="V772" s="377"/>
      <c r="W772" s="377"/>
      <c r="X772" s="377"/>
      <c r="Z772" s="77"/>
      <c r="AA772" s="377"/>
      <c r="AB772" s="377"/>
      <c r="AC772" s="377"/>
      <c r="AE772" s="77"/>
      <c r="AF772" s="377"/>
      <c r="AG772" s="377"/>
      <c r="AH772" s="377"/>
      <c r="AJ772" s="77"/>
      <c r="AK772" s="77"/>
      <c r="AL772" s="77"/>
      <c r="AM772" s="77"/>
      <c r="AN772" s="77"/>
    </row>
    <row r="773" spans="12:40">
      <c r="L773" s="377"/>
      <c r="M773" s="377"/>
      <c r="N773" s="377"/>
      <c r="P773" s="377"/>
      <c r="Q773" s="377"/>
      <c r="R773" s="377"/>
      <c r="S773" s="377"/>
      <c r="U773" s="377"/>
      <c r="V773" s="377"/>
      <c r="W773" s="377"/>
      <c r="X773" s="377"/>
      <c r="Z773" s="77"/>
      <c r="AA773" s="377"/>
      <c r="AB773" s="377"/>
      <c r="AC773" s="377"/>
      <c r="AE773" s="77"/>
      <c r="AF773" s="377"/>
      <c r="AG773" s="377"/>
      <c r="AH773" s="377"/>
      <c r="AJ773" s="77"/>
      <c r="AK773" s="77"/>
      <c r="AL773" s="77"/>
      <c r="AM773" s="77"/>
      <c r="AN773" s="77"/>
    </row>
    <row r="774" spans="12:40">
      <c r="L774" s="377"/>
      <c r="M774" s="377"/>
      <c r="N774" s="377"/>
      <c r="P774" s="377"/>
      <c r="Q774" s="377"/>
      <c r="R774" s="377"/>
      <c r="S774" s="377"/>
      <c r="U774" s="377"/>
      <c r="V774" s="377"/>
      <c r="W774" s="377"/>
      <c r="X774" s="377"/>
      <c r="Z774" s="77"/>
      <c r="AA774" s="377"/>
      <c r="AB774" s="377"/>
      <c r="AC774" s="377"/>
      <c r="AE774" s="77"/>
      <c r="AF774" s="377"/>
      <c r="AG774" s="377"/>
      <c r="AH774" s="377"/>
      <c r="AJ774" s="77"/>
      <c r="AK774" s="77"/>
      <c r="AL774" s="77"/>
      <c r="AM774" s="77"/>
      <c r="AN774" s="77"/>
    </row>
    <row r="775" spans="12:40">
      <c r="L775" s="377"/>
      <c r="M775" s="377"/>
      <c r="N775" s="377"/>
      <c r="P775" s="377"/>
      <c r="Q775" s="377"/>
      <c r="R775" s="377"/>
      <c r="S775" s="377"/>
      <c r="U775" s="377"/>
      <c r="V775" s="377"/>
      <c r="W775" s="377"/>
      <c r="X775" s="377"/>
      <c r="Z775" s="77"/>
      <c r="AA775" s="377"/>
      <c r="AB775" s="377"/>
      <c r="AC775" s="377"/>
      <c r="AE775" s="77"/>
      <c r="AF775" s="377"/>
      <c r="AG775" s="377"/>
      <c r="AH775" s="377"/>
      <c r="AJ775" s="77"/>
      <c r="AK775" s="77"/>
      <c r="AL775" s="77"/>
      <c r="AM775" s="77"/>
      <c r="AN775" s="77"/>
    </row>
    <row r="776" spans="12:40">
      <c r="L776" s="377"/>
      <c r="M776" s="377"/>
      <c r="N776" s="377"/>
      <c r="P776" s="377"/>
      <c r="Q776" s="377"/>
      <c r="R776" s="377"/>
      <c r="S776" s="377"/>
      <c r="U776" s="377"/>
      <c r="V776" s="377"/>
      <c r="W776" s="377"/>
      <c r="X776" s="377"/>
      <c r="Z776" s="77"/>
      <c r="AA776" s="377"/>
      <c r="AB776" s="377"/>
      <c r="AC776" s="377"/>
      <c r="AE776" s="77"/>
      <c r="AF776" s="377"/>
      <c r="AG776" s="377"/>
      <c r="AH776" s="377"/>
      <c r="AJ776" s="77"/>
      <c r="AK776" s="77"/>
      <c r="AL776" s="77"/>
      <c r="AM776" s="77"/>
      <c r="AN776" s="77"/>
    </row>
    <row r="777" spans="12:40">
      <c r="L777" s="377"/>
      <c r="M777" s="377"/>
      <c r="N777" s="377"/>
      <c r="P777" s="377"/>
      <c r="Q777" s="377"/>
      <c r="R777" s="377"/>
      <c r="S777" s="377"/>
      <c r="U777" s="377"/>
      <c r="V777" s="377"/>
      <c r="W777" s="377"/>
      <c r="X777" s="377"/>
      <c r="Z777" s="77"/>
      <c r="AA777" s="377"/>
      <c r="AB777" s="377"/>
      <c r="AC777" s="377"/>
      <c r="AE777" s="77"/>
      <c r="AF777" s="377"/>
      <c r="AG777" s="377"/>
      <c r="AH777" s="377"/>
      <c r="AJ777" s="77"/>
      <c r="AK777" s="77"/>
      <c r="AL777" s="77"/>
      <c r="AM777" s="77"/>
      <c r="AN777" s="77"/>
    </row>
    <row r="778" spans="12:40">
      <c r="L778" s="377"/>
      <c r="M778" s="377"/>
      <c r="N778" s="377"/>
      <c r="P778" s="377"/>
      <c r="Q778" s="377"/>
      <c r="R778" s="377"/>
      <c r="S778" s="377"/>
      <c r="U778" s="377"/>
      <c r="V778" s="377"/>
      <c r="W778" s="377"/>
      <c r="X778" s="377"/>
      <c r="Z778" s="77"/>
      <c r="AA778" s="377"/>
      <c r="AB778" s="377"/>
      <c r="AC778" s="377"/>
      <c r="AE778" s="77"/>
      <c r="AF778" s="377"/>
      <c r="AG778" s="377"/>
      <c r="AH778" s="377"/>
      <c r="AJ778" s="77"/>
      <c r="AK778" s="77"/>
      <c r="AL778" s="77"/>
      <c r="AM778" s="77"/>
      <c r="AN778" s="77"/>
    </row>
    <row r="779" spans="12:40">
      <c r="L779" s="377"/>
      <c r="M779" s="377"/>
      <c r="N779" s="377"/>
      <c r="P779" s="377"/>
      <c r="Q779" s="377"/>
      <c r="R779" s="377"/>
      <c r="S779" s="377"/>
      <c r="U779" s="377"/>
      <c r="V779" s="377"/>
      <c r="W779" s="377"/>
      <c r="X779" s="377"/>
      <c r="Z779" s="77"/>
      <c r="AA779" s="377"/>
      <c r="AB779" s="377"/>
      <c r="AC779" s="377"/>
      <c r="AE779" s="77"/>
      <c r="AF779" s="377"/>
      <c r="AG779" s="377"/>
      <c r="AH779" s="377"/>
      <c r="AJ779" s="77"/>
      <c r="AK779" s="77"/>
      <c r="AL779" s="77"/>
      <c r="AM779" s="77"/>
      <c r="AN779" s="77"/>
    </row>
    <row r="780" spans="12:40">
      <c r="L780" s="377"/>
      <c r="M780" s="377"/>
      <c r="N780" s="377"/>
      <c r="P780" s="377"/>
      <c r="Q780" s="377"/>
      <c r="R780" s="377"/>
      <c r="S780" s="377"/>
      <c r="U780" s="377"/>
      <c r="V780" s="377"/>
      <c r="W780" s="377"/>
      <c r="X780" s="377"/>
      <c r="Z780" s="77"/>
      <c r="AA780" s="377"/>
      <c r="AB780" s="377"/>
      <c r="AC780" s="377"/>
      <c r="AE780" s="77"/>
      <c r="AF780" s="377"/>
      <c r="AG780" s="377"/>
      <c r="AH780" s="377"/>
      <c r="AJ780" s="77"/>
      <c r="AK780" s="77"/>
      <c r="AL780" s="77"/>
      <c r="AM780" s="77"/>
      <c r="AN780" s="77"/>
    </row>
    <row r="781" spans="12:40">
      <c r="L781" s="377"/>
      <c r="M781" s="377"/>
      <c r="N781" s="377"/>
      <c r="P781" s="377"/>
      <c r="Q781" s="377"/>
      <c r="R781" s="377"/>
      <c r="S781" s="377"/>
      <c r="U781" s="377"/>
      <c r="V781" s="377"/>
      <c r="W781" s="377"/>
      <c r="X781" s="377"/>
      <c r="Z781" s="77"/>
      <c r="AA781" s="377"/>
      <c r="AB781" s="377"/>
      <c r="AC781" s="377"/>
      <c r="AE781" s="77"/>
      <c r="AF781" s="377"/>
      <c r="AG781" s="377"/>
      <c r="AH781" s="377"/>
      <c r="AJ781" s="77"/>
      <c r="AK781" s="77"/>
      <c r="AL781" s="77"/>
      <c r="AM781" s="77"/>
      <c r="AN781" s="77"/>
    </row>
    <row r="782" spans="12:40">
      <c r="L782" s="377"/>
      <c r="M782" s="377"/>
      <c r="N782" s="377"/>
      <c r="P782" s="377"/>
      <c r="Q782" s="377"/>
      <c r="R782" s="377"/>
      <c r="S782" s="377"/>
      <c r="U782" s="377"/>
      <c r="V782" s="377"/>
      <c r="W782" s="377"/>
      <c r="X782" s="377"/>
      <c r="Z782" s="77"/>
      <c r="AA782" s="377"/>
      <c r="AB782" s="377"/>
      <c r="AC782" s="377"/>
      <c r="AE782" s="77"/>
      <c r="AF782" s="377"/>
      <c r="AG782" s="377"/>
      <c r="AH782" s="377"/>
      <c r="AJ782" s="77"/>
      <c r="AK782" s="77"/>
      <c r="AL782" s="77"/>
      <c r="AM782" s="77"/>
      <c r="AN782" s="77"/>
    </row>
    <row r="783" spans="12:40">
      <c r="L783" s="377"/>
      <c r="M783" s="377"/>
      <c r="N783" s="377"/>
      <c r="P783" s="377"/>
      <c r="Q783" s="377"/>
      <c r="R783" s="377"/>
      <c r="S783" s="377"/>
      <c r="U783" s="377"/>
      <c r="V783" s="377"/>
      <c r="W783" s="377"/>
      <c r="X783" s="377"/>
      <c r="Z783" s="77"/>
      <c r="AA783" s="377"/>
      <c r="AB783" s="377"/>
      <c r="AC783" s="377"/>
      <c r="AE783" s="77"/>
      <c r="AF783" s="377"/>
      <c r="AG783" s="377"/>
      <c r="AH783" s="377"/>
      <c r="AJ783" s="77"/>
      <c r="AK783" s="77"/>
      <c r="AL783" s="77"/>
      <c r="AM783" s="77"/>
      <c r="AN783" s="77"/>
    </row>
    <row r="784" spans="12:40">
      <c r="L784" s="377"/>
      <c r="M784" s="377"/>
      <c r="N784" s="377"/>
      <c r="P784" s="377"/>
      <c r="Q784" s="377"/>
      <c r="R784" s="377"/>
      <c r="S784" s="377"/>
      <c r="U784" s="377"/>
      <c r="V784" s="377"/>
      <c r="W784" s="377"/>
      <c r="X784" s="377"/>
      <c r="Z784" s="77"/>
      <c r="AA784" s="377"/>
      <c r="AB784" s="377"/>
      <c r="AC784" s="377"/>
      <c r="AE784" s="77"/>
      <c r="AF784" s="377"/>
      <c r="AG784" s="377"/>
      <c r="AH784" s="377"/>
      <c r="AJ784" s="77"/>
      <c r="AK784" s="77"/>
      <c r="AL784" s="77"/>
      <c r="AM784" s="77"/>
      <c r="AN784" s="77"/>
    </row>
    <row r="785" spans="12:40">
      <c r="L785" s="377"/>
      <c r="M785" s="377"/>
      <c r="N785" s="377"/>
      <c r="P785" s="377"/>
      <c r="Q785" s="377"/>
      <c r="R785" s="377"/>
      <c r="S785" s="377"/>
      <c r="U785" s="377"/>
      <c r="V785" s="377"/>
      <c r="W785" s="377"/>
      <c r="X785" s="377"/>
      <c r="Z785" s="77"/>
      <c r="AA785" s="377"/>
      <c r="AB785" s="377"/>
      <c r="AC785" s="377"/>
      <c r="AE785" s="77"/>
      <c r="AF785" s="377"/>
      <c r="AG785" s="377"/>
      <c r="AH785" s="377"/>
      <c r="AJ785" s="77"/>
      <c r="AK785" s="77"/>
      <c r="AL785" s="77"/>
      <c r="AM785" s="77"/>
      <c r="AN785" s="77"/>
    </row>
    <row r="786" spans="12:40">
      <c r="L786" s="377"/>
      <c r="M786" s="377"/>
      <c r="N786" s="377"/>
      <c r="P786" s="377"/>
      <c r="Q786" s="377"/>
      <c r="R786" s="377"/>
      <c r="S786" s="377"/>
      <c r="U786" s="377"/>
      <c r="V786" s="377"/>
      <c r="W786" s="377"/>
      <c r="X786" s="377"/>
      <c r="Z786" s="77"/>
      <c r="AA786" s="377"/>
      <c r="AB786" s="377"/>
      <c r="AC786" s="377"/>
      <c r="AE786" s="77"/>
      <c r="AF786" s="377"/>
      <c r="AG786" s="377"/>
      <c r="AH786" s="377"/>
      <c r="AJ786" s="77"/>
      <c r="AK786" s="77"/>
      <c r="AL786" s="77"/>
      <c r="AM786" s="77"/>
      <c r="AN786" s="77"/>
    </row>
    <row r="787" spans="12:40">
      <c r="L787" s="377"/>
      <c r="M787" s="377"/>
      <c r="N787" s="377"/>
      <c r="P787" s="377"/>
      <c r="Q787" s="377"/>
      <c r="R787" s="377"/>
      <c r="S787" s="377"/>
      <c r="U787" s="377"/>
      <c r="V787" s="377"/>
      <c r="W787" s="377"/>
      <c r="X787" s="377"/>
      <c r="Z787" s="77"/>
      <c r="AA787" s="377"/>
      <c r="AB787" s="377"/>
      <c r="AC787" s="377"/>
      <c r="AE787" s="77"/>
      <c r="AF787" s="377"/>
      <c r="AG787" s="377"/>
      <c r="AH787" s="377"/>
      <c r="AJ787" s="77"/>
      <c r="AK787" s="77"/>
      <c r="AL787" s="77"/>
      <c r="AM787" s="77"/>
      <c r="AN787" s="77"/>
    </row>
    <row r="788" spans="12:40">
      <c r="L788" s="377"/>
      <c r="M788" s="377"/>
      <c r="N788" s="377"/>
      <c r="P788" s="377"/>
      <c r="Q788" s="377"/>
      <c r="R788" s="377"/>
      <c r="S788" s="377"/>
      <c r="U788" s="377"/>
      <c r="V788" s="377"/>
      <c r="W788" s="377"/>
      <c r="X788" s="377"/>
      <c r="Z788" s="77"/>
      <c r="AA788" s="377"/>
      <c r="AB788" s="377"/>
      <c r="AC788" s="377"/>
      <c r="AE788" s="77"/>
      <c r="AF788" s="377"/>
      <c r="AG788" s="377"/>
      <c r="AH788" s="377"/>
      <c r="AJ788" s="77"/>
      <c r="AK788" s="77"/>
      <c r="AL788" s="77"/>
      <c r="AM788" s="77"/>
      <c r="AN788" s="77"/>
    </row>
    <row r="789" spans="12:40">
      <c r="L789" s="377"/>
      <c r="M789" s="377"/>
      <c r="N789" s="377"/>
      <c r="P789" s="377"/>
      <c r="Q789" s="377"/>
      <c r="R789" s="377"/>
      <c r="S789" s="377"/>
      <c r="U789" s="377"/>
      <c r="V789" s="377"/>
      <c r="W789" s="377"/>
      <c r="X789" s="377"/>
      <c r="Z789" s="77"/>
      <c r="AA789" s="377"/>
      <c r="AB789" s="377"/>
      <c r="AC789" s="377"/>
      <c r="AE789" s="77"/>
      <c r="AF789" s="377"/>
      <c r="AG789" s="377"/>
      <c r="AH789" s="377"/>
      <c r="AJ789" s="77"/>
      <c r="AK789" s="77"/>
      <c r="AL789" s="77"/>
      <c r="AM789" s="77"/>
      <c r="AN789" s="77"/>
    </row>
    <row r="790" spans="12:40">
      <c r="L790" s="377"/>
      <c r="M790" s="377"/>
      <c r="N790" s="377"/>
      <c r="P790" s="377"/>
      <c r="Q790" s="377"/>
      <c r="R790" s="377"/>
      <c r="S790" s="377"/>
      <c r="U790" s="377"/>
      <c r="V790" s="377"/>
      <c r="W790" s="377"/>
      <c r="X790" s="377"/>
      <c r="Z790" s="77"/>
      <c r="AA790" s="377"/>
      <c r="AB790" s="377"/>
      <c r="AC790" s="377"/>
      <c r="AE790" s="77"/>
      <c r="AF790" s="377"/>
      <c r="AG790" s="377"/>
      <c r="AH790" s="377"/>
      <c r="AJ790" s="77"/>
      <c r="AK790" s="77"/>
      <c r="AL790" s="77"/>
      <c r="AM790" s="77"/>
      <c r="AN790" s="77"/>
    </row>
    <row r="791" spans="12:40">
      <c r="L791" s="377"/>
      <c r="M791" s="377"/>
      <c r="N791" s="377"/>
      <c r="P791" s="377"/>
      <c r="Q791" s="377"/>
      <c r="R791" s="377"/>
      <c r="S791" s="377"/>
      <c r="U791" s="377"/>
      <c r="V791" s="377"/>
      <c r="W791" s="377"/>
      <c r="X791" s="377"/>
      <c r="Z791" s="77"/>
      <c r="AA791" s="377"/>
      <c r="AB791" s="377"/>
      <c r="AC791" s="377"/>
      <c r="AE791" s="77"/>
      <c r="AF791" s="377"/>
      <c r="AG791" s="377"/>
      <c r="AH791" s="377"/>
      <c r="AJ791" s="77"/>
      <c r="AK791" s="77"/>
      <c r="AL791" s="77"/>
      <c r="AM791" s="77"/>
      <c r="AN791" s="77"/>
    </row>
    <row r="792" spans="12:40">
      <c r="L792" s="377"/>
      <c r="M792" s="377"/>
      <c r="N792" s="377"/>
      <c r="P792" s="377"/>
      <c r="Q792" s="377"/>
      <c r="R792" s="377"/>
      <c r="S792" s="377"/>
      <c r="U792" s="377"/>
      <c r="V792" s="377"/>
      <c r="W792" s="377"/>
      <c r="X792" s="377"/>
      <c r="Z792" s="77"/>
      <c r="AA792" s="377"/>
      <c r="AB792" s="377"/>
      <c r="AC792" s="377"/>
      <c r="AE792" s="77"/>
      <c r="AF792" s="377"/>
      <c r="AG792" s="377"/>
      <c r="AH792" s="377"/>
      <c r="AJ792" s="77"/>
      <c r="AK792" s="77"/>
      <c r="AL792" s="77"/>
      <c r="AM792" s="77"/>
      <c r="AN792" s="77"/>
    </row>
    <row r="793" spans="12:40">
      <c r="L793" s="377"/>
      <c r="M793" s="377"/>
      <c r="N793" s="377"/>
      <c r="P793" s="377"/>
      <c r="Q793" s="377"/>
      <c r="R793" s="377"/>
      <c r="S793" s="377"/>
      <c r="U793" s="377"/>
      <c r="V793" s="377"/>
      <c r="W793" s="377"/>
      <c r="X793" s="377"/>
      <c r="Z793" s="77"/>
      <c r="AA793" s="377"/>
      <c r="AB793" s="377"/>
      <c r="AC793" s="377"/>
      <c r="AE793" s="77"/>
      <c r="AF793" s="377"/>
      <c r="AG793" s="377"/>
      <c r="AH793" s="377"/>
      <c r="AJ793" s="77"/>
      <c r="AK793" s="77"/>
      <c r="AL793" s="77"/>
      <c r="AM793" s="77"/>
      <c r="AN793" s="77"/>
    </row>
    <row r="794" spans="12:40">
      <c r="L794" s="377"/>
      <c r="M794" s="377"/>
      <c r="N794" s="377"/>
      <c r="P794" s="377"/>
      <c r="Q794" s="377"/>
      <c r="R794" s="377"/>
      <c r="S794" s="377"/>
      <c r="U794" s="377"/>
      <c r="V794" s="377"/>
      <c r="W794" s="377"/>
      <c r="X794" s="377"/>
      <c r="Z794" s="77"/>
      <c r="AA794" s="377"/>
      <c r="AB794" s="377"/>
      <c r="AC794" s="377"/>
      <c r="AE794" s="77"/>
      <c r="AF794" s="377"/>
      <c r="AG794" s="377"/>
      <c r="AH794" s="377"/>
      <c r="AJ794" s="77"/>
      <c r="AK794" s="77"/>
      <c r="AL794" s="77"/>
      <c r="AM794" s="77"/>
      <c r="AN794" s="77"/>
    </row>
    <row r="795" spans="12:40">
      <c r="L795" s="377"/>
      <c r="M795" s="377"/>
      <c r="N795" s="377"/>
      <c r="P795" s="377"/>
      <c r="Q795" s="377"/>
      <c r="R795" s="377"/>
      <c r="S795" s="377"/>
      <c r="U795" s="377"/>
      <c r="V795" s="377"/>
      <c r="W795" s="377"/>
      <c r="X795" s="377"/>
      <c r="Z795" s="77"/>
      <c r="AA795" s="377"/>
      <c r="AB795" s="377"/>
      <c r="AC795" s="377"/>
      <c r="AE795" s="77"/>
      <c r="AF795" s="377"/>
      <c r="AG795" s="377"/>
      <c r="AH795" s="377"/>
      <c r="AJ795" s="77"/>
      <c r="AK795" s="77"/>
      <c r="AL795" s="77"/>
      <c r="AM795" s="77"/>
      <c r="AN795" s="77"/>
    </row>
    <row r="796" spans="12:40">
      <c r="L796" s="377"/>
      <c r="M796" s="377"/>
      <c r="N796" s="377"/>
      <c r="P796" s="377"/>
      <c r="Q796" s="377"/>
      <c r="R796" s="377"/>
      <c r="S796" s="377"/>
      <c r="U796" s="377"/>
      <c r="V796" s="377"/>
      <c r="W796" s="377"/>
      <c r="X796" s="377"/>
      <c r="Z796" s="77"/>
      <c r="AA796" s="377"/>
      <c r="AB796" s="377"/>
      <c r="AC796" s="377"/>
      <c r="AE796" s="77"/>
      <c r="AF796" s="377"/>
      <c r="AG796" s="377"/>
      <c r="AH796" s="377"/>
      <c r="AJ796" s="77"/>
      <c r="AK796" s="77"/>
      <c r="AL796" s="77"/>
      <c r="AM796" s="77"/>
      <c r="AN796" s="77"/>
    </row>
    <row r="797" spans="12:40">
      <c r="L797" s="377"/>
      <c r="M797" s="377"/>
      <c r="N797" s="377"/>
      <c r="P797" s="377"/>
      <c r="Q797" s="377"/>
      <c r="R797" s="377"/>
      <c r="S797" s="377"/>
      <c r="U797" s="377"/>
      <c r="V797" s="377"/>
      <c r="W797" s="377"/>
      <c r="X797" s="377"/>
      <c r="Z797" s="77"/>
      <c r="AA797" s="377"/>
      <c r="AB797" s="377"/>
      <c r="AC797" s="377"/>
      <c r="AE797" s="77"/>
      <c r="AF797" s="377"/>
      <c r="AG797" s="377"/>
      <c r="AH797" s="377"/>
      <c r="AJ797" s="77"/>
      <c r="AK797" s="77"/>
      <c r="AL797" s="77"/>
      <c r="AM797" s="77"/>
      <c r="AN797" s="77"/>
    </row>
    <row r="798" spans="12:40">
      <c r="L798" s="377"/>
      <c r="M798" s="377"/>
      <c r="N798" s="377"/>
      <c r="P798" s="377"/>
      <c r="Q798" s="377"/>
      <c r="R798" s="377"/>
      <c r="S798" s="377"/>
      <c r="U798" s="377"/>
      <c r="V798" s="377"/>
      <c r="W798" s="377"/>
      <c r="X798" s="377"/>
      <c r="Z798" s="77"/>
      <c r="AA798" s="377"/>
      <c r="AB798" s="377"/>
      <c r="AC798" s="377"/>
      <c r="AE798" s="77"/>
      <c r="AF798" s="377"/>
      <c r="AG798" s="377"/>
      <c r="AH798" s="377"/>
      <c r="AJ798" s="77"/>
      <c r="AK798" s="77"/>
      <c r="AL798" s="77"/>
      <c r="AM798" s="77"/>
      <c r="AN798" s="77"/>
    </row>
    <row r="799" spans="12:40">
      <c r="L799" s="377"/>
      <c r="M799" s="377"/>
      <c r="N799" s="377"/>
      <c r="P799" s="377"/>
      <c r="Q799" s="377"/>
      <c r="R799" s="377"/>
      <c r="S799" s="377"/>
      <c r="U799" s="377"/>
      <c r="V799" s="377"/>
      <c r="W799" s="377"/>
      <c r="X799" s="377"/>
      <c r="Z799" s="77"/>
      <c r="AA799" s="377"/>
      <c r="AB799" s="377"/>
      <c r="AC799" s="377"/>
      <c r="AE799" s="77"/>
      <c r="AF799" s="377"/>
      <c r="AG799" s="377"/>
      <c r="AH799" s="377"/>
      <c r="AJ799" s="77"/>
      <c r="AK799" s="77"/>
      <c r="AL799" s="77"/>
      <c r="AM799" s="77"/>
      <c r="AN799" s="77"/>
    </row>
    <row r="800" spans="12:40">
      <c r="L800" s="377"/>
      <c r="M800" s="377"/>
      <c r="N800" s="377"/>
      <c r="P800" s="377"/>
      <c r="Q800" s="377"/>
      <c r="R800" s="377"/>
      <c r="S800" s="377"/>
      <c r="U800" s="377"/>
      <c r="V800" s="377"/>
      <c r="W800" s="377"/>
      <c r="X800" s="377"/>
      <c r="Z800" s="77"/>
      <c r="AA800" s="377"/>
      <c r="AB800" s="377"/>
      <c r="AC800" s="377"/>
      <c r="AE800" s="77"/>
      <c r="AF800" s="377"/>
      <c r="AG800" s="377"/>
      <c r="AH800" s="377"/>
      <c r="AJ800" s="77"/>
      <c r="AK800" s="77"/>
      <c r="AL800" s="77"/>
      <c r="AM800" s="77"/>
      <c r="AN800" s="77"/>
    </row>
    <row r="801" spans="12:40">
      <c r="L801" s="377"/>
      <c r="M801" s="377"/>
      <c r="N801" s="377"/>
      <c r="P801" s="377"/>
      <c r="Q801" s="377"/>
      <c r="R801" s="377"/>
      <c r="S801" s="377"/>
      <c r="U801" s="377"/>
      <c r="V801" s="377"/>
      <c r="W801" s="377"/>
      <c r="X801" s="377"/>
      <c r="Z801" s="77"/>
      <c r="AA801" s="377"/>
      <c r="AB801" s="377"/>
      <c r="AC801" s="377"/>
      <c r="AE801" s="77"/>
      <c r="AF801" s="377"/>
      <c r="AG801" s="377"/>
      <c r="AH801" s="377"/>
      <c r="AJ801" s="77"/>
      <c r="AK801" s="77"/>
      <c r="AL801" s="77"/>
      <c r="AM801" s="77"/>
      <c r="AN801" s="77"/>
    </row>
    <row r="802" spans="12:40">
      <c r="L802" s="377"/>
      <c r="M802" s="377"/>
      <c r="N802" s="377"/>
      <c r="P802" s="377"/>
      <c r="Q802" s="377"/>
      <c r="R802" s="377"/>
      <c r="S802" s="377"/>
      <c r="U802" s="377"/>
      <c r="V802" s="377"/>
      <c r="W802" s="377"/>
      <c r="X802" s="377"/>
      <c r="Z802" s="77"/>
      <c r="AA802" s="377"/>
      <c r="AB802" s="377"/>
      <c r="AC802" s="377"/>
      <c r="AE802" s="77"/>
      <c r="AF802" s="377"/>
      <c r="AG802" s="377"/>
      <c r="AH802" s="377"/>
      <c r="AJ802" s="77"/>
      <c r="AK802" s="77"/>
      <c r="AL802" s="77"/>
      <c r="AM802" s="77"/>
      <c r="AN802" s="77"/>
    </row>
    <row r="803" spans="12:40">
      <c r="L803" s="377"/>
      <c r="M803" s="377"/>
      <c r="N803" s="377"/>
      <c r="P803" s="377"/>
      <c r="Q803" s="377"/>
      <c r="R803" s="377"/>
      <c r="S803" s="377"/>
      <c r="U803" s="377"/>
      <c r="V803" s="377"/>
      <c r="W803" s="377"/>
      <c r="X803" s="377"/>
      <c r="Z803" s="77"/>
      <c r="AA803" s="377"/>
      <c r="AB803" s="377"/>
      <c r="AC803" s="377"/>
      <c r="AE803" s="77"/>
      <c r="AF803" s="377"/>
      <c r="AG803" s="377"/>
      <c r="AH803" s="377"/>
      <c r="AJ803" s="77"/>
      <c r="AK803" s="77"/>
      <c r="AL803" s="77"/>
      <c r="AM803" s="77"/>
      <c r="AN803" s="77"/>
    </row>
    <row r="804" spans="12:40">
      <c r="L804" s="377"/>
      <c r="M804" s="377"/>
      <c r="N804" s="377"/>
      <c r="P804" s="377"/>
      <c r="Q804" s="377"/>
      <c r="R804" s="377"/>
      <c r="S804" s="377"/>
      <c r="U804" s="377"/>
      <c r="V804" s="377"/>
      <c r="W804" s="377"/>
      <c r="X804" s="377"/>
      <c r="Z804" s="77"/>
      <c r="AA804" s="377"/>
      <c r="AB804" s="377"/>
      <c r="AC804" s="377"/>
      <c r="AE804" s="77"/>
      <c r="AF804" s="377"/>
      <c r="AG804" s="377"/>
      <c r="AH804" s="377"/>
      <c r="AJ804" s="77"/>
      <c r="AK804" s="77"/>
      <c r="AL804" s="77"/>
      <c r="AM804" s="77"/>
      <c r="AN804" s="77"/>
    </row>
    <row r="805" spans="12:40">
      <c r="L805" s="377"/>
      <c r="M805" s="377"/>
      <c r="N805" s="377"/>
      <c r="P805" s="377"/>
      <c r="Q805" s="377"/>
      <c r="R805" s="377"/>
      <c r="S805" s="377"/>
      <c r="U805" s="377"/>
      <c r="V805" s="377"/>
      <c r="W805" s="377"/>
      <c r="X805" s="377"/>
      <c r="Z805" s="77"/>
      <c r="AA805" s="377"/>
      <c r="AB805" s="377"/>
      <c r="AC805" s="377"/>
      <c r="AE805" s="77"/>
      <c r="AF805" s="377"/>
      <c r="AG805" s="377"/>
      <c r="AH805" s="377"/>
      <c r="AJ805" s="77"/>
      <c r="AK805" s="77"/>
      <c r="AL805" s="77"/>
      <c r="AM805" s="77"/>
      <c r="AN805" s="77"/>
    </row>
    <row r="806" spans="12:40">
      <c r="L806" s="377"/>
      <c r="M806" s="377"/>
      <c r="N806" s="377"/>
      <c r="P806" s="377"/>
      <c r="Q806" s="377"/>
      <c r="R806" s="377"/>
      <c r="S806" s="377"/>
      <c r="U806" s="377"/>
      <c r="V806" s="377"/>
      <c r="W806" s="377"/>
      <c r="X806" s="377"/>
      <c r="Z806" s="77"/>
      <c r="AA806" s="377"/>
      <c r="AB806" s="377"/>
      <c r="AC806" s="377"/>
      <c r="AE806" s="77"/>
      <c r="AF806" s="377"/>
      <c r="AG806" s="377"/>
      <c r="AH806" s="377"/>
      <c r="AJ806" s="77"/>
      <c r="AK806" s="77"/>
      <c r="AL806" s="77"/>
      <c r="AM806" s="77"/>
      <c r="AN806" s="77"/>
    </row>
    <row r="807" spans="12:40">
      <c r="L807" s="377"/>
      <c r="M807" s="377"/>
      <c r="N807" s="377"/>
      <c r="P807" s="377"/>
      <c r="Q807" s="377"/>
      <c r="R807" s="377"/>
      <c r="S807" s="377"/>
      <c r="U807" s="377"/>
      <c r="V807" s="377"/>
      <c r="W807" s="377"/>
      <c r="X807" s="377"/>
      <c r="Z807" s="77"/>
      <c r="AA807" s="377"/>
      <c r="AB807" s="377"/>
      <c r="AC807" s="377"/>
      <c r="AE807" s="77"/>
      <c r="AF807" s="377"/>
      <c r="AG807" s="377"/>
      <c r="AH807" s="377"/>
      <c r="AJ807" s="77"/>
      <c r="AK807" s="77"/>
      <c r="AL807" s="77"/>
      <c r="AM807" s="77"/>
      <c r="AN807" s="77"/>
    </row>
    <row r="808" spans="12:40">
      <c r="L808" s="377"/>
      <c r="M808" s="377"/>
      <c r="N808" s="377"/>
      <c r="P808" s="377"/>
      <c r="Q808" s="377"/>
      <c r="R808" s="377"/>
      <c r="S808" s="377"/>
      <c r="U808" s="377"/>
      <c r="V808" s="377"/>
      <c r="W808" s="377"/>
      <c r="X808" s="377"/>
      <c r="Z808" s="77"/>
      <c r="AA808" s="377"/>
      <c r="AB808" s="377"/>
      <c r="AC808" s="377"/>
      <c r="AE808" s="77"/>
      <c r="AF808" s="377"/>
      <c r="AG808" s="377"/>
      <c r="AH808" s="377"/>
      <c r="AJ808" s="77"/>
      <c r="AK808" s="77"/>
      <c r="AL808" s="77"/>
      <c r="AM808" s="77"/>
      <c r="AN808" s="77"/>
    </row>
    <row r="809" spans="12:40">
      <c r="L809" s="377"/>
      <c r="M809" s="377"/>
      <c r="N809" s="377"/>
      <c r="P809" s="377"/>
      <c r="Q809" s="377"/>
      <c r="R809" s="377"/>
      <c r="S809" s="377"/>
      <c r="U809" s="377"/>
      <c r="V809" s="377"/>
      <c r="W809" s="377"/>
      <c r="X809" s="377"/>
      <c r="Z809" s="77"/>
      <c r="AA809" s="377"/>
      <c r="AB809" s="377"/>
      <c r="AC809" s="377"/>
      <c r="AE809" s="77"/>
      <c r="AF809" s="377"/>
      <c r="AG809" s="377"/>
      <c r="AH809" s="377"/>
      <c r="AJ809" s="77"/>
      <c r="AK809" s="77"/>
      <c r="AL809" s="77"/>
      <c r="AM809" s="77"/>
      <c r="AN809" s="77"/>
    </row>
    <row r="810" spans="12:40">
      <c r="L810" s="377"/>
      <c r="M810" s="377"/>
      <c r="N810" s="377"/>
      <c r="P810" s="377"/>
      <c r="Q810" s="377"/>
      <c r="R810" s="377"/>
      <c r="S810" s="377"/>
      <c r="U810" s="377"/>
      <c r="V810" s="377"/>
      <c r="W810" s="377"/>
      <c r="X810" s="377"/>
      <c r="Z810" s="77"/>
      <c r="AA810" s="377"/>
      <c r="AB810" s="377"/>
      <c r="AC810" s="377"/>
      <c r="AE810" s="77"/>
      <c r="AF810" s="377"/>
      <c r="AG810" s="377"/>
      <c r="AH810" s="377"/>
      <c r="AJ810" s="77"/>
      <c r="AK810" s="77"/>
      <c r="AL810" s="77"/>
      <c r="AM810" s="77"/>
      <c r="AN810" s="77"/>
    </row>
    <row r="811" spans="12:40">
      <c r="L811" s="377"/>
      <c r="M811" s="377"/>
      <c r="N811" s="377"/>
      <c r="P811" s="377"/>
      <c r="Q811" s="377"/>
      <c r="R811" s="377"/>
      <c r="S811" s="377"/>
      <c r="U811" s="377"/>
      <c r="V811" s="377"/>
      <c r="W811" s="377"/>
      <c r="X811" s="377"/>
      <c r="Z811" s="77"/>
      <c r="AA811" s="377"/>
      <c r="AB811" s="377"/>
      <c r="AC811" s="377"/>
      <c r="AE811" s="77"/>
      <c r="AF811" s="377"/>
      <c r="AG811" s="377"/>
      <c r="AH811" s="377"/>
      <c r="AJ811" s="77"/>
      <c r="AK811" s="77"/>
      <c r="AL811" s="77"/>
      <c r="AM811" s="77"/>
      <c r="AN811" s="77"/>
    </row>
    <row r="812" spans="12:40">
      <c r="L812" s="377"/>
      <c r="M812" s="377"/>
      <c r="N812" s="377"/>
      <c r="P812" s="377"/>
      <c r="Q812" s="377"/>
      <c r="R812" s="377"/>
      <c r="S812" s="377"/>
      <c r="U812" s="377"/>
      <c r="V812" s="377"/>
      <c r="W812" s="377"/>
      <c r="X812" s="377"/>
      <c r="Z812" s="77"/>
      <c r="AA812" s="377"/>
      <c r="AB812" s="377"/>
      <c r="AC812" s="377"/>
      <c r="AE812" s="77"/>
      <c r="AF812" s="377"/>
      <c r="AG812" s="377"/>
      <c r="AH812" s="377"/>
      <c r="AJ812" s="77"/>
      <c r="AK812" s="77"/>
      <c r="AL812" s="77"/>
      <c r="AM812" s="77"/>
      <c r="AN812" s="77"/>
    </row>
    <row r="813" spans="12:40">
      <c r="L813" s="377"/>
      <c r="M813" s="377"/>
      <c r="N813" s="377"/>
      <c r="P813" s="377"/>
      <c r="Q813" s="377"/>
      <c r="R813" s="377"/>
      <c r="S813" s="377"/>
      <c r="U813" s="377"/>
      <c r="V813" s="377"/>
      <c r="W813" s="377"/>
      <c r="X813" s="377"/>
      <c r="Z813" s="77"/>
      <c r="AA813" s="377"/>
      <c r="AB813" s="377"/>
      <c r="AC813" s="377"/>
      <c r="AE813" s="77"/>
      <c r="AF813" s="377"/>
      <c r="AG813" s="377"/>
      <c r="AH813" s="377"/>
      <c r="AJ813" s="77"/>
      <c r="AK813" s="77"/>
      <c r="AL813" s="77"/>
      <c r="AM813" s="77"/>
      <c r="AN813" s="77"/>
    </row>
    <row r="814" spans="12:40">
      <c r="L814" s="377"/>
      <c r="M814" s="377"/>
      <c r="N814" s="377"/>
      <c r="P814" s="377"/>
      <c r="Q814" s="377"/>
      <c r="R814" s="377"/>
      <c r="S814" s="377"/>
      <c r="U814" s="377"/>
      <c r="V814" s="377"/>
      <c r="W814" s="377"/>
      <c r="X814" s="377"/>
      <c r="Z814" s="77"/>
      <c r="AA814" s="377"/>
      <c r="AB814" s="377"/>
      <c r="AC814" s="377"/>
      <c r="AE814" s="77"/>
      <c r="AF814" s="377"/>
      <c r="AG814" s="377"/>
      <c r="AH814" s="377"/>
      <c r="AJ814" s="77"/>
      <c r="AK814" s="77"/>
      <c r="AL814" s="77"/>
      <c r="AM814" s="77"/>
      <c r="AN814" s="77"/>
    </row>
    <row r="815" spans="12:40">
      <c r="L815" s="377"/>
      <c r="M815" s="377"/>
      <c r="N815" s="377"/>
      <c r="P815" s="377"/>
      <c r="Q815" s="377"/>
      <c r="R815" s="377"/>
      <c r="S815" s="377"/>
      <c r="U815" s="377"/>
      <c r="V815" s="377"/>
      <c r="W815" s="377"/>
      <c r="X815" s="377"/>
      <c r="Z815" s="77"/>
      <c r="AA815" s="377"/>
      <c r="AB815" s="377"/>
      <c r="AC815" s="377"/>
      <c r="AE815" s="77"/>
      <c r="AF815" s="377"/>
      <c r="AG815" s="377"/>
      <c r="AH815" s="377"/>
      <c r="AJ815" s="77"/>
      <c r="AK815" s="77"/>
      <c r="AL815" s="77"/>
      <c r="AM815" s="77"/>
      <c r="AN815" s="77"/>
    </row>
    <row r="816" spans="12:40">
      <c r="L816" s="377"/>
      <c r="M816" s="377"/>
      <c r="N816" s="377"/>
      <c r="P816" s="377"/>
      <c r="Q816" s="377"/>
      <c r="R816" s="377"/>
      <c r="S816" s="377"/>
      <c r="U816" s="377"/>
      <c r="V816" s="377"/>
      <c r="W816" s="377"/>
      <c r="X816" s="377"/>
      <c r="Z816" s="77"/>
      <c r="AA816" s="377"/>
      <c r="AB816" s="377"/>
      <c r="AC816" s="377"/>
      <c r="AE816" s="77"/>
      <c r="AF816" s="377"/>
      <c r="AG816" s="377"/>
      <c r="AH816" s="377"/>
      <c r="AJ816" s="77"/>
      <c r="AK816" s="77"/>
      <c r="AL816" s="77"/>
      <c r="AM816" s="77"/>
      <c r="AN816" s="77"/>
    </row>
    <row r="817" spans="12:40">
      <c r="L817" s="377"/>
      <c r="M817" s="377"/>
      <c r="N817" s="377"/>
      <c r="P817" s="377"/>
      <c r="Q817" s="377"/>
      <c r="R817" s="377"/>
      <c r="S817" s="377"/>
      <c r="U817" s="377"/>
      <c r="V817" s="377"/>
      <c r="W817" s="377"/>
      <c r="X817" s="377"/>
      <c r="Z817" s="77"/>
      <c r="AA817" s="377"/>
      <c r="AB817" s="377"/>
      <c r="AC817" s="377"/>
      <c r="AE817" s="77"/>
      <c r="AF817" s="377"/>
      <c r="AG817" s="377"/>
      <c r="AH817" s="377"/>
      <c r="AJ817" s="77"/>
      <c r="AK817" s="77"/>
      <c r="AL817" s="77"/>
      <c r="AM817" s="77"/>
      <c r="AN817" s="77"/>
    </row>
    <row r="818" spans="12:40">
      <c r="L818" s="377"/>
      <c r="M818" s="377"/>
      <c r="N818" s="377"/>
      <c r="P818" s="377"/>
      <c r="Q818" s="377"/>
      <c r="R818" s="377"/>
      <c r="S818" s="377"/>
      <c r="U818" s="377"/>
      <c r="V818" s="377"/>
      <c r="W818" s="377"/>
      <c r="X818" s="377"/>
      <c r="Z818" s="77"/>
      <c r="AA818" s="377"/>
      <c r="AB818" s="377"/>
      <c r="AC818" s="377"/>
      <c r="AE818" s="77"/>
      <c r="AF818" s="377"/>
      <c r="AG818" s="377"/>
      <c r="AH818" s="377"/>
      <c r="AJ818" s="77"/>
      <c r="AK818" s="77"/>
      <c r="AL818" s="77"/>
      <c r="AM818" s="77"/>
      <c r="AN818" s="77"/>
    </row>
    <row r="819" spans="12:40">
      <c r="L819" s="377"/>
      <c r="M819" s="377"/>
      <c r="N819" s="377"/>
      <c r="P819" s="377"/>
      <c r="Q819" s="377"/>
      <c r="R819" s="377"/>
      <c r="S819" s="377"/>
      <c r="U819" s="377"/>
      <c r="V819" s="377"/>
      <c r="W819" s="377"/>
      <c r="X819" s="377"/>
      <c r="Z819" s="77"/>
      <c r="AA819" s="377"/>
      <c r="AB819" s="377"/>
      <c r="AC819" s="377"/>
      <c r="AE819" s="77"/>
      <c r="AF819" s="377"/>
      <c r="AG819" s="377"/>
      <c r="AH819" s="377"/>
      <c r="AJ819" s="77"/>
      <c r="AK819" s="77"/>
      <c r="AL819" s="77"/>
      <c r="AM819" s="77"/>
      <c r="AN819" s="77"/>
    </row>
    <row r="820" spans="12:40">
      <c r="L820" s="377"/>
      <c r="M820" s="377"/>
      <c r="N820" s="377"/>
      <c r="P820" s="377"/>
      <c r="Q820" s="377"/>
      <c r="R820" s="377"/>
      <c r="S820" s="377"/>
      <c r="U820" s="377"/>
      <c r="V820" s="377"/>
      <c r="W820" s="377"/>
      <c r="X820" s="377"/>
      <c r="Z820" s="77"/>
      <c r="AA820" s="377"/>
      <c r="AB820" s="377"/>
      <c r="AC820" s="377"/>
      <c r="AE820" s="77"/>
      <c r="AF820" s="377"/>
      <c r="AG820" s="377"/>
      <c r="AH820" s="377"/>
      <c r="AJ820" s="77"/>
      <c r="AK820" s="77"/>
      <c r="AL820" s="77"/>
      <c r="AM820" s="77"/>
      <c r="AN820" s="77"/>
    </row>
    <row r="821" spans="12:40">
      <c r="L821" s="377"/>
      <c r="M821" s="377"/>
      <c r="N821" s="377"/>
      <c r="P821" s="377"/>
      <c r="Q821" s="377"/>
      <c r="R821" s="377"/>
      <c r="S821" s="377"/>
      <c r="U821" s="377"/>
      <c r="V821" s="377"/>
      <c r="W821" s="377"/>
      <c r="X821" s="377"/>
      <c r="Z821" s="77"/>
      <c r="AA821" s="377"/>
      <c r="AB821" s="377"/>
      <c r="AC821" s="377"/>
      <c r="AE821" s="77"/>
      <c r="AF821" s="377"/>
      <c r="AG821" s="377"/>
      <c r="AH821" s="377"/>
      <c r="AJ821" s="77"/>
      <c r="AK821" s="77"/>
      <c r="AL821" s="77"/>
      <c r="AM821" s="77"/>
      <c r="AN821" s="77"/>
    </row>
    <row r="822" spans="12:40">
      <c r="L822" s="377"/>
      <c r="M822" s="377"/>
      <c r="N822" s="377"/>
      <c r="P822" s="377"/>
      <c r="Q822" s="377"/>
      <c r="R822" s="377"/>
      <c r="S822" s="377"/>
      <c r="U822" s="377"/>
      <c r="V822" s="377"/>
      <c r="W822" s="377"/>
      <c r="X822" s="377"/>
      <c r="Z822" s="77"/>
      <c r="AA822" s="377"/>
      <c r="AB822" s="377"/>
      <c r="AC822" s="377"/>
      <c r="AE822" s="77"/>
      <c r="AF822" s="377"/>
      <c r="AG822" s="377"/>
      <c r="AH822" s="377"/>
      <c r="AJ822" s="77"/>
      <c r="AK822" s="77"/>
      <c r="AL822" s="77"/>
      <c r="AM822" s="77"/>
      <c r="AN822" s="77"/>
    </row>
    <row r="823" spans="12:40">
      <c r="L823" s="377"/>
      <c r="M823" s="377"/>
      <c r="N823" s="377"/>
      <c r="P823" s="377"/>
      <c r="Q823" s="377"/>
      <c r="R823" s="377"/>
      <c r="S823" s="377"/>
      <c r="U823" s="377"/>
      <c r="V823" s="377"/>
      <c r="W823" s="377"/>
      <c r="X823" s="377"/>
      <c r="Z823" s="77"/>
      <c r="AA823" s="377"/>
      <c r="AB823" s="377"/>
      <c r="AC823" s="377"/>
      <c r="AE823" s="77"/>
      <c r="AF823" s="377"/>
      <c r="AG823" s="377"/>
      <c r="AH823" s="377"/>
      <c r="AJ823" s="77"/>
      <c r="AK823" s="77"/>
      <c r="AL823" s="77"/>
      <c r="AM823" s="77"/>
      <c r="AN823" s="77"/>
    </row>
    <row r="824" spans="12:40">
      <c r="L824" s="377"/>
      <c r="M824" s="377"/>
      <c r="N824" s="377"/>
      <c r="P824" s="377"/>
      <c r="Q824" s="377"/>
      <c r="R824" s="377"/>
      <c r="S824" s="377"/>
      <c r="U824" s="377"/>
      <c r="V824" s="377"/>
      <c r="W824" s="377"/>
      <c r="X824" s="377"/>
      <c r="Z824" s="77"/>
      <c r="AA824" s="377"/>
      <c r="AB824" s="377"/>
      <c r="AC824" s="377"/>
      <c r="AE824" s="77"/>
      <c r="AF824" s="377"/>
      <c r="AG824" s="377"/>
      <c r="AH824" s="377"/>
      <c r="AJ824" s="77"/>
      <c r="AK824" s="77"/>
      <c r="AL824" s="77"/>
      <c r="AM824" s="77"/>
      <c r="AN824" s="77"/>
    </row>
    <row r="825" spans="12:40">
      <c r="L825" s="377"/>
      <c r="M825" s="377"/>
      <c r="N825" s="377"/>
      <c r="P825" s="377"/>
      <c r="Q825" s="377"/>
      <c r="R825" s="377"/>
      <c r="S825" s="377"/>
      <c r="U825" s="377"/>
      <c r="V825" s="377"/>
      <c r="W825" s="377"/>
      <c r="X825" s="377"/>
      <c r="Z825" s="77"/>
      <c r="AA825" s="377"/>
      <c r="AB825" s="377"/>
      <c r="AC825" s="377"/>
      <c r="AE825" s="77"/>
      <c r="AF825" s="377"/>
      <c r="AG825" s="377"/>
      <c r="AH825" s="377"/>
      <c r="AJ825" s="77"/>
      <c r="AK825" s="77"/>
      <c r="AL825" s="77"/>
      <c r="AM825" s="77"/>
      <c r="AN825" s="77"/>
    </row>
    <row r="826" spans="12:40">
      <c r="L826" s="377"/>
      <c r="M826" s="377"/>
      <c r="N826" s="377"/>
      <c r="P826" s="377"/>
      <c r="Q826" s="377"/>
      <c r="R826" s="377"/>
      <c r="S826" s="377"/>
      <c r="U826" s="377"/>
      <c r="V826" s="377"/>
      <c r="W826" s="377"/>
      <c r="X826" s="377"/>
      <c r="Z826" s="77"/>
      <c r="AA826" s="377"/>
      <c r="AB826" s="377"/>
      <c r="AC826" s="377"/>
      <c r="AE826" s="77"/>
      <c r="AF826" s="377"/>
      <c r="AG826" s="377"/>
      <c r="AH826" s="377"/>
      <c r="AJ826" s="77"/>
      <c r="AK826" s="77"/>
      <c r="AL826" s="77"/>
      <c r="AM826" s="77"/>
      <c r="AN826" s="77"/>
    </row>
    <row r="827" spans="12:40">
      <c r="L827" s="377"/>
      <c r="M827" s="377"/>
      <c r="N827" s="377"/>
      <c r="P827" s="377"/>
      <c r="Q827" s="377"/>
      <c r="R827" s="377"/>
      <c r="S827" s="377"/>
      <c r="U827" s="377"/>
      <c r="V827" s="377"/>
      <c r="W827" s="377"/>
      <c r="X827" s="377"/>
      <c r="Z827" s="77"/>
      <c r="AA827" s="377"/>
      <c r="AB827" s="377"/>
      <c r="AC827" s="377"/>
      <c r="AE827" s="77"/>
      <c r="AF827" s="377"/>
      <c r="AG827" s="377"/>
      <c r="AH827" s="377"/>
      <c r="AJ827" s="77"/>
      <c r="AK827" s="77"/>
      <c r="AL827" s="77"/>
      <c r="AM827" s="77"/>
      <c r="AN827" s="77"/>
    </row>
    <row r="828" spans="12:40">
      <c r="L828" s="377"/>
      <c r="M828" s="377"/>
      <c r="N828" s="377"/>
      <c r="P828" s="377"/>
      <c r="Q828" s="377"/>
      <c r="R828" s="377"/>
      <c r="S828" s="377"/>
      <c r="U828" s="377"/>
      <c r="V828" s="377"/>
      <c r="W828" s="377"/>
      <c r="X828" s="377"/>
      <c r="Z828" s="77"/>
      <c r="AA828" s="377"/>
      <c r="AB828" s="377"/>
      <c r="AC828" s="377"/>
      <c r="AE828" s="77"/>
      <c r="AF828" s="377"/>
      <c r="AG828" s="377"/>
      <c r="AH828" s="377"/>
      <c r="AJ828" s="77"/>
      <c r="AK828" s="77"/>
      <c r="AL828" s="77"/>
      <c r="AM828" s="77"/>
      <c r="AN828" s="77"/>
    </row>
    <row r="829" spans="12:40">
      <c r="L829" s="377"/>
      <c r="M829" s="377"/>
      <c r="N829" s="377"/>
      <c r="P829" s="377"/>
      <c r="Q829" s="377"/>
      <c r="R829" s="377"/>
      <c r="S829" s="377"/>
      <c r="U829" s="377"/>
      <c r="V829" s="377"/>
      <c r="W829" s="377"/>
      <c r="X829" s="377"/>
      <c r="Z829" s="77"/>
      <c r="AA829" s="377"/>
      <c r="AB829" s="377"/>
      <c r="AC829" s="377"/>
      <c r="AE829" s="77"/>
      <c r="AF829" s="377"/>
      <c r="AG829" s="377"/>
      <c r="AH829" s="377"/>
      <c r="AJ829" s="77"/>
      <c r="AK829" s="77"/>
      <c r="AL829" s="77"/>
      <c r="AM829" s="77"/>
      <c r="AN829" s="77"/>
    </row>
    <row r="830" spans="12:40">
      <c r="L830" s="377"/>
      <c r="M830" s="377"/>
      <c r="N830" s="377"/>
      <c r="P830" s="377"/>
      <c r="Q830" s="377"/>
      <c r="R830" s="377"/>
      <c r="S830" s="377"/>
      <c r="U830" s="377"/>
      <c r="V830" s="377"/>
      <c r="W830" s="377"/>
      <c r="X830" s="377"/>
      <c r="Z830" s="77"/>
      <c r="AA830" s="377"/>
      <c r="AB830" s="377"/>
      <c r="AC830" s="377"/>
      <c r="AE830" s="77"/>
      <c r="AF830" s="377"/>
      <c r="AG830" s="377"/>
      <c r="AH830" s="377"/>
      <c r="AJ830" s="77"/>
      <c r="AK830" s="77"/>
      <c r="AL830" s="77"/>
      <c r="AM830" s="77"/>
      <c r="AN830" s="77"/>
    </row>
    <row r="831" spans="12:40">
      <c r="L831" s="377"/>
      <c r="M831" s="377"/>
      <c r="N831" s="377"/>
      <c r="P831" s="377"/>
      <c r="Q831" s="377"/>
      <c r="R831" s="377"/>
      <c r="S831" s="377"/>
      <c r="U831" s="377"/>
      <c r="V831" s="377"/>
      <c r="W831" s="377"/>
      <c r="X831" s="377"/>
      <c r="Z831" s="77"/>
      <c r="AA831" s="377"/>
      <c r="AB831" s="377"/>
      <c r="AC831" s="377"/>
      <c r="AE831" s="77"/>
      <c r="AF831" s="377"/>
      <c r="AG831" s="377"/>
      <c r="AH831" s="377"/>
      <c r="AJ831" s="77"/>
      <c r="AK831" s="77"/>
      <c r="AL831" s="77"/>
      <c r="AM831" s="77"/>
      <c r="AN831" s="77"/>
    </row>
    <row r="832" spans="12:40">
      <c r="L832" s="377"/>
      <c r="M832" s="377"/>
      <c r="N832" s="377"/>
      <c r="P832" s="377"/>
      <c r="Q832" s="377"/>
      <c r="R832" s="377"/>
      <c r="S832" s="377"/>
      <c r="U832" s="377"/>
      <c r="V832" s="377"/>
      <c r="W832" s="377"/>
      <c r="X832" s="377"/>
      <c r="Z832" s="77"/>
      <c r="AA832" s="377"/>
      <c r="AB832" s="377"/>
      <c r="AC832" s="377"/>
      <c r="AE832" s="77"/>
      <c r="AF832" s="377"/>
      <c r="AG832" s="377"/>
      <c r="AH832" s="377"/>
      <c r="AJ832" s="77"/>
      <c r="AK832" s="77"/>
      <c r="AL832" s="77"/>
      <c r="AM832" s="77"/>
      <c r="AN832" s="77"/>
    </row>
    <row r="833" spans="12:40">
      <c r="L833" s="377"/>
      <c r="M833" s="377"/>
      <c r="N833" s="377"/>
      <c r="P833" s="377"/>
      <c r="Q833" s="377"/>
      <c r="R833" s="377"/>
      <c r="S833" s="377"/>
      <c r="U833" s="377"/>
      <c r="V833" s="377"/>
      <c r="W833" s="377"/>
      <c r="X833" s="377"/>
      <c r="Z833" s="77"/>
      <c r="AA833" s="377"/>
      <c r="AB833" s="377"/>
      <c r="AC833" s="377"/>
      <c r="AE833" s="77"/>
      <c r="AF833" s="377"/>
      <c r="AG833" s="377"/>
      <c r="AH833" s="377"/>
      <c r="AJ833" s="77"/>
      <c r="AK833" s="77"/>
      <c r="AL833" s="77"/>
      <c r="AM833" s="77"/>
      <c r="AN833" s="77"/>
    </row>
    <row r="834" spans="12:40">
      <c r="L834" s="377"/>
      <c r="M834" s="377"/>
      <c r="N834" s="377"/>
      <c r="P834" s="377"/>
      <c r="Q834" s="377"/>
      <c r="R834" s="377"/>
      <c r="S834" s="377"/>
      <c r="U834" s="377"/>
      <c r="V834" s="377"/>
      <c r="W834" s="377"/>
      <c r="X834" s="377"/>
      <c r="Z834" s="77"/>
      <c r="AA834" s="377"/>
      <c r="AB834" s="377"/>
      <c r="AC834" s="377"/>
      <c r="AE834" s="77"/>
      <c r="AF834" s="377"/>
      <c r="AG834" s="377"/>
      <c r="AH834" s="377"/>
      <c r="AJ834" s="77"/>
      <c r="AK834" s="77"/>
      <c r="AL834" s="77"/>
      <c r="AM834" s="77"/>
      <c r="AN834" s="77"/>
    </row>
    <row r="835" spans="12:40">
      <c r="L835" s="377"/>
      <c r="M835" s="377"/>
      <c r="N835" s="377"/>
      <c r="P835" s="377"/>
      <c r="Q835" s="377"/>
      <c r="R835" s="377"/>
      <c r="S835" s="377"/>
      <c r="U835" s="377"/>
      <c r="V835" s="377"/>
      <c r="W835" s="377"/>
      <c r="X835" s="377"/>
      <c r="Z835" s="77"/>
      <c r="AA835" s="377"/>
      <c r="AB835" s="377"/>
      <c r="AC835" s="377"/>
      <c r="AE835" s="77"/>
      <c r="AF835" s="377"/>
      <c r="AG835" s="377"/>
      <c r="AH835" s="377"/>
      <c r="AJ835" s="77"/>
      <c r="AK835" s="77"/>
      <c r="AL835" s="77"/>
      <c r="AM835" s="77"/>
      <c r="AN835" s="77"/>
    </row>
    <row r="836" spans="12:40">
      <c r="L836" s="377"/>
      <c r="M836" s="377"/>
      <c r="N836" s="377"/>
      <c r="P836" s="377"/>
      <c r="Q836" s="377"/>
      <c r="R836" s="377"/>
      <c r="S836" s="377"/>
      <c r="U836" s="377"/>
      <c r="V836" s="377"/>
      <c r="W836" s="377"/>
      <c r="X836" s="377"/>
      <c r="Z836" s="77"/>
      <c r="AA836" s="377"/>
      <c r="AB836" s="377"/>
      <c r="AC836" s="377"/>
      <c r="AE836" s="77"/>
      <c r="AF836" s="377"/>
      <c r="AG836" s="377"/>
      <c r="AH836" s="377"/>
      <c r="AJ836" s="77"/>
      <c r="AK836" s="77"/>
      <c r="AL836" s="77"/>
      <c r="AM836" s="77"/>
      <c r="AN836" s="77"/>
    </row>
    <row r="837" spans="12:40">
      <c r="L837" s="377"/>
      <c r="M837" s="377"/>
      <c r="N837" s="377"/>
      <c r="P837" s="377"/>
      <c r="Q837" s="377"/>
      <c r="R837" s="377"/>
      <c r="S837" s="377"/>
      <c r="U837" s="377"/>
      <c r="V837" s="377"/>
      <c r="W837" s="377"/>
      <c r="X837" s="377"/>
      <c r="Z837" s="77"/>
      <c r="AA837" s="377"/>
      <c r="AB837" s="377"/>
      <c r="AC837" s="377"/>
      <c r="AE837" s="77"/>
      <c r="AF837" s="377"/>
      <c r="AG837" s="377"/>
      <c r="AH837" s="377"/>
      <c r="AJ837" s="77"/>
      <c r="AK837" s="77"/>
      <c r="AL837" s="77"/>
      <c r="AM837" s="77"/>
      <c r="AN837" s="77"/>
    </row>
    <row r="838" spans="12:40">
      <c r="L838" s="377"/>
      <c r="M838" s="377"/>
      <c r="N838" s="377"/>
      <c r="P838" s="377"/>
      <c r="Q838" s="377"/>
      <c r="R838" s="377"/>
      <c r="S838" s="377"/>
      <c r="U838" s="377"/>
      <c r="V838" s="377"/>
      <c r="W838" s="377"/>
      <c r="X838" s="377"/>
      <c r="Z838" s="77"/>
      <c r="AA838" s="377"/>
      <c r="AB838" s="377"/>
      <c r="AC838" s="377"/>
      <c r="AE838" s="77"/>
      <c r="AF838" s="377"/>
      <c r="AG838" s="377"/>
      <c r="AH838" s="377"/>
      <c r="AJ838" s="77"/>
      <c r="AK838" s="77"/>
      <c r="AL838" s="77"/>
      <c r="AM838" s="77"/>
      <c r="AN838" s="77"/>
    </row>
    <row r="839" spans="12:40">
      <c r="L839" s="377"/>
      <c r="M839" s="377"/>
      <c r="N839" s="377"/>
      <c r="P839" s="377"/>
      <c r="Q839" s="377"/>
      <c r="R839" s="377"/>
      <c r="S839" s="377"/>
      <c r="U839" s="377"/>
      <c r="V839" s="377"/>
      <c r="W839" s="377"/>
      <c r="X839" s="377"/>
      <c r="Z839" s="77"/>
      <c r="AA839" s="377"/>
      <c r="AB839" s="377"/>
      <c r="AC839" s="377"/>
      <c r="AE839" s="77"/>
      <c r="AF839" s="377"/>
      <c r="AG839" s="377"/>
      <c r="AH839" s="377"/>
      <c r="AJ839" s="77"/>
      <c r="AK839" s="77"/>
      <c r="AL839" s="77"/>
      <c r="AM839" s="77"/>
      <c r="AN839" s="77"/>
    </row>
    <row r="840" spans="12:40">
      <c r="L840" s="377"/>
      <c r="M840" s="377"/>
      <c r="N840" s="377"/>
      <c r="P840" s="377"/>
      <c r="Q840" s="377"/>
      <c r="R840" s="377"/>
      <c r="S840" s="377"/>
      <c r="U840" s="377"/>
      <c r="V840" s="377"/>
      <c r="W840" s="377"/>
      <c r="X840" s="377"/>
      <c r="Z840" s="77"/>
      <c r="AA840" s="377"/>
      <c r="AB840" s="377"/>
      <c r="AC840" s="377"/>
      <c r="AE840" s="77"/>
      <c r="AF840" s="377"/>
      <c r="AG840" s="377"/>
      <c r="AH840" s="377"/>
      <c r="AJ840" s="77"/>
      <c r="AK840" s="77"/>
      <c r="AL840" s="77"/>
      <c r="AM840" s="77"/>
      <c r="AN840" s="77"/>
    </row>
    <row r="841" spans="12:40">
      <c r="L841" s="377"/>
      <c r="M841" s="377"/>
      <c r="N841" s="377"/>
      <c r="P841" s="377"/>
      <c r="Q841" s="377"/>
      <c r="R841" s="377"/>
      <c r="S841" s="377"/>
      <c r="U841" s="377"/>
      <c r="V841" s="377"/>
      <c r="W841" s="377"/>
      <c r="X841" s="377"/>
      <c r="Z841" s="77"/>
      <c r="AA841" s="377"/>
      <c r="AB841" s="377"/>
      <c r="AC841" s="377"/>
      <c r="AE841" s="77"/>
      <c r="AF841" s="377"/>
      <c r="AG841" s="377"/>
      <c r="AH841" s="377"/>
      <c r="AJ841" s="77"/>
      <c r="AK841" s="77"/>
      <c r="AL841" s="77"/>
      <c r="AM841" s="77"/>
      <c r="AN841" s="77"/>
    </row>
    <row r="842" spans="12:40">
      <c r="L842" s="377"/>
      <c r="M842" s="377"/>
      <c r="N842" s="377"/>
      <c r="P842" s="377"/>
      <c r="Q842" s="377"/>
      <c r="R842" s="377"/>
      <c r="S842" s="377"/>
      <c r="U842" s="377"/>
      <c r="V842" s="377"/>
      <c r="W842" s="377"/>
      <c r="X842" s="377"/>
      <c r="Z842" s="77"/>
      <c r="AA842" s="377"/>
      <c r="AB842" s="377"/>
      <c r="AC842" s="377"/>
      <c r="AE842" s="77"/>
      <c r="AF842" s="377"/>
      <c r="AG842" s="377"/>
      <c r="AH842" s="377"/>
      <c r="AJ842" s="77"/>
      <c r="AK842" s="77"/>
      <c r="AL842" s="77"/>
      <c r="AM842" s="77"/>
      <c r="AN842" s="77"/>
    </row>
    <row r="843" spans="12:40">
      <c r="L843" s="377"/>
      <c r="M843" s="377"/>
      <c r="N843" s="377"/>
      <c r="P843" s="377"/>
      <c r="Q843" s="377"/>
      <c r="R843" s="377"/>
      <c r="S843" s="377"/>
      <c r="U843" s="377"/>
      <c r="V843" s="377"/>
      <c r="W843" s="377"/>
      <c r="X843" s="377"/>
      <c r="Z843" s="77"/>
      <c r="AA843" s="377"/>
      <c r="AB843" s="377"/>
      <c r="AC843" s="377"/>
      <c r="AE843" s="77"/>
      <c r="AF843" s="377"/>
      <c r="AG843" s="377"/>
      <c r="AH843" s="377"/>
      <c r="AJ843" s="77"/>
      <c r="AK843" s="77"/>
      <c r="AL843" s="77"/>
      <c r="AM843" s="77"/>
      <c r="AN843" s="77"/>
    </row>
    <row r="844" spans="12:40">
      <c r="L844" s="377"/>
      <c r="M844" s="377"/>
      <c r="N844" s="377"/>
      <c r="P844" s="377"/>
      <c r="Q844" s="377"/>
      <c r="R844" s="377"/>
      <c r="S844" s="377"/>
      <c r="U844" s="377"/>
      <c r="V844" s="377"/>
      <c r="W844" s="377"/>
      <c r="X844" s="377"/>
      <c r="Z844" s="77"/>
      <c r="AA844" s="377"/>
      <c r="AB844" s="377"/>
      <c r="AC844" s="377"/>
      <c r="AE844" s="77"/>
      <c r="AF844" s="377"/>
      <c r="AG844" s="377"/>
      <c r="AH844" s="377"/>
      <c r="AJ844" s="77"/>
      <c r="AK844" s="77"/>
      <c r="AL844" s="77"/>
      <c r="AM844" s="77"/>
      <c r="AN844" s="77"/>
    </row>
    <row r="845" spans="12:40">
      <c r="L845" s="377"/>
      <c r="M845" s="377"/>
      <c r="N845" s="377"/>
      <c r="P845" s="377"/>
      <c r="Q845" s="377"/>
      <c r="R845" s="377"/>
      <c r="S845" s="377"/>
      <c r="U845" s="377"/>
      <c r="V845" s="377"/>
      <c r="W845" s="377"/>
      <c r="X845" s="377"/>
      <c r="Z845" s="77"/>
      <c r="AA845" s="377"/>
      <c r="AB845" s="377"/>
      <c r="AC845" s="377"/>
      <c r="AE845" s="77"/>
      <c r="AF845" s="377"/>
      <c r="AG845" s="377"/>
      <c r="AH845" s="377"/>
      <c r="AJ845" s="77"/>
      <c r="AK845" s="77"/>
      <c r="AL845" s="77"/>
      <c r="AM845" s="77"/>
      <c r="AN845" s="77"/>
    </row>
    <row r="846" spans="12:40">
      <c r="L846" s="377"/>
      <c r="M846" s="377"/>
      <c r="N846" s="377"/>
      <c r="P846" s="377"/>
      <c r="Q846" s="377"/>
      <c r="R846" s="377"/>
      <c r="S846" s="377"/>
      <c r="U846" s="377"/>
      <c r="V846" s="377"/>
      <c r="W846" s="377"/>
      <c r="X846" s="377"/>
      <c r="Z846" s="77"/>
      <c r="AA846" s="377"/>
      <c r="AB846" s="377"/>
      <c r="AC846" s="377"/>
      <c r="AE846" s="77"/>
      <c r="AF846" s="377"/>
      <c r="AG846" s="377"/>
      <c r="AH846" s="377"/>
      <c r="AJ846" s="77"/>
      <c r="AK846" s="77"/>
      <c r="AL846" s="77"/>
      <c r="AM846" s="77"/>
      <c r="AN846" s="77"/>
    </row>
    <row r="847" spans="12:40">
      <c r="L847" s="377"/>
      <c r="M847" s="377"/>
      <c r="N847" s="377"/>
      <c r="P847" s="377"/>
      <c r="Q847" s="377"/>
      <c r="R847" s="377"/>
      <c r="S847" s="377"/>
      <c r="U847" s="377"/>
      <c r="V847" s="377"/>
      <c r="W847" s="377"/>
      <c r="X847" s="377"/>
      <c r="Z847" s="77"/>
      <c r="AA847" s="377"/>
      <c r="AB847" s="377"/>
      <c r="AC847" s="377"/>
      <c r="AE847" s="77"/>
      <c r="AF847" s="377"/>
      <c r="AG847" s="377"/>
      <c r="AH847" s="377"/>
      <c r="AJ847" s="77"/>
      <c r="AK847" s="77"/>
      <c r="AL847" s="77"/>
      <c r="AM847" s="77"/>
      <c r="AN847" s="77"/>
    </row>
    <row r="848" spans="12:40">
      <c r="L848" s="377"/>
      <c r="M848" s="377"/>
      <c r="N848" s="377"/>
      <c r="P848" s="377"/>
      <c r="Q848" s="377"/>
      <c r="R848" s="377"/>
      <c r="S848" s="377"/>
      <c r="U848" s="377"/>
      <c r="V848" s="377"/>
      <c r="W848" s="377"/>
      <c r="X848" s="377"/>
      <c r="Z848" s="77"/>
      <c r="AA848" s="377"/>
      <c r="AB848" s="377"/>
      <c r="AC848" s="377"/>
      <c r="AE848" s="77"/>
      <c r="AF848" s="377"/>
      <c r="AG848" s="377"/>
      <c r="AH848" s="377"/>
      <c r="AJ848" s="77"/>
      <c r="AK848" s="77"/>
      <c r="AL848" s="77"/>
      <c r="AM848" s="77"/>
      <c r="AN848" s="77"/>
    </row>
    <row r="849" spans="12:40">
      <c r="L849" s="377"/>
      <c r="M849" s="377"/>
      <c r="N849" s="377"/>
      <c r="P849" s="377"/>
      <c r="Q849" s="377"/>
      <c r="R849" s="377"/>
      <c r="S849" s="377"/>
      <c r="U849" s="377"/>
      <c r="V849" s="377"/>
      <c r="W849" s="377"/>
      <c r="X849" s="377"/>
      <c r="Z849" s="77"/>
      <c r="AA849" s="377"/>
      <c r="AB849" s="377"/>
      <c r="AC849" s="377"/>
      <c r="AE849" s="77"/>
      <c r="AF849" s="377"/>
      <c r="AG849" s="377"/>
      <c r="AH849" s="377"/>
      <c r="AJ849" s="77"/>
      <c r="AK849" s="77"/>
      <c r="AL849" s="77"/>
      <c r="AM849" s="77"/>
      <c r="AN849" s="77"/>
    </row>
    <row r="850" spans="12:40">
      <c r="L850" s="377"/>
      <c r="M850" s="377"/>
      <c r="N850" s="377"/>
      <c r="P850" s="377"/>
      <c r="Q850" s="377"/>
      <c r="R850" s="377"/>
      <c r="S850" s="377"/>
      <c r="U850" s="377"/>
      <c r="V850" s="377"/>
      <c r="W850" s="377"/>
      <c r="X850" s="377"/>
      <c r="Z850" s="77"/>
      <c r="AA850" s="377"/>
      <c r="AB850" s="377"/>
      <c r="AC850" s="377"/>
      <c r="AE850" s="77"/>
      <c r="AF850" s="377"/>
      <c r="AG850" s="377"/>
      <c r="AH850" s="377"/>
      <c r="AJ850" s="77"/>
      <c r="AK850" s="77"/>
      <c r="AL850" s="77"/>
      <c r="AM850" s="77"/>
      <c r="AN850" s="77"/>
    </row>
    <row r="851" spans="12:40">
      <c r="L851" s="377"/>
      <c r="M851" s="377"/>
      <c r="N851" s="377"/>
      <c r="P851" s="377"/>
      <c r="Q851" s="377"/>
      <c r="R851" s="377"/>
      <c r="S851" s="377"/>
      <c r="U851" s="377"/>
      <c r="V851" s="377"/>
      <c r="W851" s="377"/>
      <c r="X851" s="377"/>
      <c r="Z851" s="77"/>
      <c r="AA851" s="377"/>
      <c r="AB851" s="377"/>
      <c r="AC851" s="377"/>
      <c r="AE851" s="77"/>
      <c r="AF851" s="377"/>
      <c r="AG851" s="377"/>
      <c r="AH851" s="377"/>
      <c r="AJ851" s="77"/>
      <c r="AK851" s="77"/>
      <c r="AL851" s="77"/>
      <c r="AM851" s="77"/>
      <c r="AN851" s="77"/>
    </row>
    <row r="852" spans="12:40">
      <c r="L852" s="377"/>
      <c r="M852" s="377"/>
      <c r="N852" s="377"/>
      <c r="P852" s="377"/>
      <c r="Q852" s="377"/>
      <c r="R852" s="377"/>
      <c r="S852" s="377"/>
      <c r="U852" s="377"/>
      <c r="V852" s="377"/>
      <c r="W852" s="377"/>
      <c r="X852" s="377"/>
      <c r="Z852" s="77"/>
      <c r="AA852" s="377"/>
      <c r="AB852" s="377"/>
      <c r="AC852" s="377"/>
      <c r="AE852" s="77"/>
      <c r="AF852" s="377"/>
      <c r="AG852" s="377"/>
      <c r="AH852" s="377"/>
      <c r="AJ852" s="77"/>
      <c r="AK852" s="77"/>
      <c r="AL852" s="77"/>
      <c r="AM852" s="77"/>
      <c r="AN852" s="77"/>
    </row>
    <row r="853" spans="12:40">
      <c r="L853" s="377"/>
      <c r="M853" s="377"/>
      <c r="N853" s="377"/>
      <c r="P853" s="377"/>
      <c r="Q853" s="377"/>
      <c r="R853" s="377"/>
      <c r="S853" s="377"/>
      <c r="U853" s="377"/>
      <c r="V853" s="377"/>
      <c r="W853" s="377"/>
      <c r="X853" s="377"/>
      <c r="Z853" s="77"/>
      <c r="AA853" s="377"/>
      <c r="AB853" s="377"/>
      <c r="AC853" s="377"/>
      <c r="AE853" s="77"/>
      <c r="AF853" s="377"/>
      <c r="AG853" s="377"/>
      <c r="AH853" s="377"/>
      <c r="AJ853" s="77"/>
      <c r="AK853" s="77"/>
      <c r="AL853" s="77"/>
      <c r="AM853" s="77"/>
      <c r="AN853" s="77"/>
    </row>
    <row r="854" spans="12:40">
      <c r="L854" s="377"/>
      <c r="M854" s="377"/>
      <c r="N854" s="377"/>
      <c r="P854" s="377"/>
      <c r="Q854" s="377"/>
      <c r="R854" s="377"/>
      <c r="S854" s="377"/>
      <c r="U854" s="377"/>
      <c r="V854" s="377"/>
      <c r="W854" s="377"/>
      <c r="X854" s="377"/>
      <c r="Z854" s="77"/>
      <c r="AA854" s="377"/>
      <c r="AB854" s="377"/>
      <c r="AC854" s="377"/>
      <c r="AE854" s="77"/>
      <c r="AF854" s="377"/>
      <c r="AG854" s="377"/>
      <c r="AH854" s="377"/>
      <c r="AJ854" s="77"/>
      <c r="AK854" s="77"/>
      <c r="AL854" s="77"/>
      <c r="AM854" s="77"/>
      <c r="AN854" s="77"/>
    </row>
    <row r="855" spans="12:40">
      <c r="L855" s="377"/>
      <c r="M855" s="377"/>
      <c r="N855" s="377"/>
      <c r="P855" s="377"/>
      <c r="Q855" s="377"/>
      <c r="R855" s="377"/>
      <c r="S855" s="377"/>
      <c r="U855" s="377"/>
      <c r="V855" s="377"/>
      <c r="W855" s="377"/>
      <c r="X855" s="377"/>
      <c r="Z855" s="77"/>
      <c r="AA855" s="377"/>
      <c r="AB855" s="377"/>
      <c r="AC855" s="377"/>
      <c r="AE855" s="77"/>
      <c r="AF855" s="377"/>
      <c r="AG855" s="377"/>
      <c r="AH855" s="377"/>
      <c r="AJ855" s="77"/>
      <c r="AK855" s="77"/>
      <c r="AL855" s="77"/>
      <c r="AM855" s="77"/>
      <c r="AN855" s="77"/>
    </row>
    <row r="856" spans="12:40">
      <c r="L856" s="377"/>
      <c r="M856" s="377"/>
      <c r="N856" s="377"/>
      <c r="P856" s="377"/>
      <c r="Q856" s="377"/>
      <c r="R856" s="377"/>
      <c r="S856" s="377"/>
      <c r="U856" s="377"/>
      <c r="V856" s="377"/>
      <c r="W856" s="377"/>
      <c r="X856" s="377"/>
      <c r="Z856" s="77"/>
      <c r="AA856" s="377"/>
      <c r="AB856" s="377"/>
      <c r="AC856" s="377"/>
      <c r="AE856" s="77"/>
      <c r="AF856" s="377"/>
      <c r="AG856" s="377"/>
      <c r="AH856" s="377"/>
      <c r="AJ856" s="77"/>
      <c r="AK856" s="77"/>
      <c r="AL856" s="77"/>
      <c r="AM856" s="77"/>
      <c r="AN856" s="77"/>
    </row>
    <row r="857" spans="12:40">
      <c r="L857" s="377"/>
      <c r="M857" s="377"/>
      <c r="N857" s="377"/>
      <c r="P857" s="377"/>
      <c r="Q857" s="377"/>
      <c r="R857" s="377"/>
      <c r="S857" s="377"/>
      <c r="U857" s="377"/>
      <c r="V857" s="377"/>
      <c r="W857" s="377"/>
      <c r="X857" s="377"/>
      <c r="Z857" s="77"/>
      <c r="AA857" s="377"/>
      <c r="AB857" s="377"/>
      <c r="AC857" s="377"/>
      <c r="AE857" s="77"/>
      <c r="AF857" s="377"/>
      <c r="AG857" s="377"/>
      <c r="AH857" s="377"/>
      <c r="AJ857" s="77"/>
      <c r="AK857" s="77"/>
      <c r="AL857" s="77"/>
      <c r="AM857" s="77"/>
      <c r="AN857" s="77"/>
    </row>
    <row r="858" spans="12:40">
      <c r="L858" s="377"/>
      <c r="M858" s="377"/>
      <c r="N858" s="377"/>
      <c r="P858" s="377"/>
      <c r="Q858" s="377"/>
      <c r="R858" s="377"/>
      <c r="S858" s="377"/>
      <c r="U858" s="377"/>
      <c r="V858" s="377"/>
      <c r="W858" s="377"/>
      <c r="X858" s="377"/>
      <c r="Z858" s="77"/>
      <c r="AA858" s="377"/>
      <c r="AB858" s="377"/>
      <c r="AC858" s="377"/>
      <c r="AE858" s="77"/>
      <c r="AF858" s="377"/>
      <c r="AG858" s="377"/>
      <c r="AH858" s="377"/>
      <c r="AJ858" s="77"/>
      <c r="AK858" s="77"/>
      <c r="AL858" s="77"/>
      <c r="AM858" s="77"/>
      <c r="AN858" s="77"/>
    </row>
    <row r="859" spans="12:40">
      <c r="L859" s="377"/>
      <c r="M859" s="377"/>
      <c r="N859" s="377"/>
      <c r="P859" s="377"/>
      <c r="Q859" s="377"/>
      <c r="R859" s="377"/>
      <c r="S859" s="377"/>
      <c r="U859" s="377"/>
      <c r="V859" s="377"/>
      <c r="W859" s="377"/>
      <c r="X859" s="377"/>
      <c r="Z859" s="77"/>
      <c r="AA859" s="377"/>
      <c r="AB859" s="377"/>
      <c r="AC859" s="377"/>
      <c r="AE859" s="77"/>
      <c r="AF859" s="377"/>
      <c r="AG859" s="377"/>
      <c r="AH859" s="377"/>
      <c r="AJ859" s="77"/>
      <c r="AK859" s="77"/>
      <c r="AL859" s="77"/>
      <c r="AM859" s="77"/>
      <c r="AN859" s="77"/>
    </row>
    <row r="860" spans="12:40">
      <c r="L860" s="377"/>
      <c r="M860" s="377"/>
      <c r="N860" s="377"/>
      <c r="P860" s="377"/>
      <c r="Q860" s="377"/>
      <c r="R860" s="377"/>
      <c r="S860" s="377"/>
      <c r="U860" s="377"/>
      <c r="V860" s="377"/>
      <c r="W860" s="377"/>
      <c r="X860" s="377"/>
      <c r="Z860" s="77"/>
      <c r="AA860" s="377"/>
      <c r="AB860" s="377"/>
      <c r="AC860" s="377"/>
      <c r="AE860" s="77"/>
      <c r="AF860" s="377"/>
      <c r="AG860" s="377"/>
      <c r="AH860" s="377"/>
      <c r="AJ860" s="77"/>
      <c r="AK860" s="77"/>
      <c r="AL860" s="77"/>
      <c r="AM860" s="77"/>
      <c r="AN860" s="77"/>
    </row>
    <row r="861" spans="12:40">
      <c r="L861" s="377"/>
      <c r="M861" s="377"/>
      <c r="N861" s="377"/>
      <c r="P861" s="377"/>
      <c r="Q861" s="377"/>
      <c r="R861" s="377"/>
      <c r="S861" s="377"/>
      <c r="U861" s="377"/>
      <c r="V861" s="377"/>
      <c r="W861" s="377"/>
      <c r="X861" s="377"/>
      <c r="Z861" s="77"/>
      <c r="AA861" s="377"/>
      <c r="AB861" s="377"/>
      <c r="AC861" s="377"/>
      <c r="AE861" s="77"/>
      <c r="AF861" s="377"/>
      <c r="AG861" s="377"/>
      <c r="AH861" s="377"/>
      <c r="AJ861" s="77"/>
      <c r="AK861" s="77"/>
      <c r="AL861" s="77"/>
      <c r="AM861" s="77"/>
      <c r="AN861" s="77"/>
    </row>
    <row r="862" spans="12:40">
      <c r="L862" s="377"/>
      <c r="M862" s="377"/>
      <c r="N862" s="377"/>
      <c r="P862" s="377"/>
      <c r="Q862" s="377"/>
      <c r="R862" s="377"/>
      <c r="S862" s="377"/>
      <c r="U862" s="377"/>
      <c r="V862" s="377"/>
      <c r="W862" s="377"/>
      <c r="X862" s="377"/>
      <c r="Z862" s="77"/>
      <c r="AA862" s="377"/>
      <c r="AB862" s="377"/>
      <c r="AC862" s="377"/>
      <c r="AE862" s="77"/>
      <c r="AF862" s="377"/>
      <c r="AG862" s="377"/>
      <c r="AH862" s="377"/>
      <c r="AJ862" s="77"/>
      <c r="AK862" s="77"/>
      <c r="AL862" s="77"/>
      <c r="AM862" s="77"/>
      <c r="AN862" s="77"/>
    </row>
    <row r="863" spans="12:40">
      <c r="L863" s="377"/>
      <c r="M863" s="377"/>
      <c r="N863" s="377"/>
      <c r="P863" s="377"/>
      <c r="Q863" s="377"/>
      <c r="R863" s="377"/>
      <c r="S863" s="377"/>
      <c r="U863" s="377"/>
      <c r="V863" s="377"/>
      <c r="W863" s="377"/>
      <c r="X863" s="377"/>
      <c r="Z863" s="77"/>
      <c r="AA863" s="377"/>
      <c r="AB863" s="377"/>
      <c r="AC863" s="377"/>
      <c r="AE863" s="77"/>
      <c r="AF863" s="377"/>
      <c r="AG863" s="377"/>
      <c r="AH863" s="377"/>
      <c r="AJ863" s="77"/>
      <c r="AK863" s="77"/>
      <c r="AL863" s="77"/>
      <c r="AM863" s="77"/>
      <c r="AN863" s="77"/>
    </row>
    <row r="864" spans="12:40">
      <c r="L864" s="377"/>
      <c r="M864" s="377"/>
      <c r="N864" s="377"/>
      <c r="P864" s="377"/>
      <c r="Q864" s="377"/>
      <c r="R864" s="377"/>
      <c r="S864" s="377"/>
      <c r="U864" s="377"/>
      <c r="V864" s="377"/>
      <c r="W864" s="377"/>
      <c r="X864" s="377"/>
      <c r="Z864" s="77"/>
      <c r="AA864" s="377"/>
      <c r="AB864" s="377"/>
      <c r="AC864" s="377"/>
      <c r="AE864" s="77"/>
      <c r="AF864" s="377"/>
      <c r="AG864" s="377"/>
      <c r="AH864" s="377"/>
      <c r="AJ864" s="77"/>
      <c r="AK864" s="77"/>
      <c r="AL864" s="77"/>
      <c r="AM864" s="77"/>
      <c r="AN864" s="77"/>
    </row>
    <row r="865" spans="12:40">
      <c r="L865" s="377"/>
      <c r="M865" s="377"/>
      <c r="N865" s="377"/>
      <c r="P865" s="377"/>
      <c r="Q865" s="377"/>
      <c r="R865" s="377"/>
      <c r="S865" s="377"/>
      <c r="U865" s="377"/>
      <c r="V865" s="377"/>
      <c r="W865" s="377"/>
      <c r="X865" s="377"/>
      <c r="Z865" s="77"/>
      <c r="AA865" s="377"/>
      <c r="AB865" s="377"/>
      <c r="AC865" s="377"/>
      <c r="AE865" s="77"/>
      <c r="AF865" s="377"/>
      <c r="AG865" s="377"/>
      <c r="AH865" s="377"/>
      <c r="AJ865" s="77"/>
      <c r="AK865" s="77"/>
      <c r="AL865" s="77"/>
      <c r="AM865" s="77"/>
      <c r="AN865" s="77"/>
    </row>
    <row r="866" spans="12:40">
      <c r="L866" s="377"/>
      <c r="M866" s="377"/>
      <c r="N866" s="377"/>
      <c r="P866" s="377"/>
      <c r="Q866" s="377"/>
      <c r="R866" s="377"/>
      <c r="S866" s="377"/>
      <c r="U866" s="377"/>
      <c r="V866" s="377"/>
      <c r="W866" s="377"/>
      <c r="X866" s="377"/>
      <c r="Z866" s="77"/>
      <c r="AA866" s="377"/>
      <c r="AB866" s="377"/>
      <c r="AC866" s="377"/>
      <c r="AE866" s="77"/>
      <c r="AF866" s="377"/>
      <c r="AG866" s="377"/>
      <c r="AH866" s="377"/>
      <c r="AJ866" s="77"/>
      <c r="AK866" s="77"/>
      <c r="AL866" s="77"/>
      <c r="AM866" s="77"/>
      <c r="AN866" s="77"/>
    </row>
    <row r="867" spans="12:40">
      <c r="L867" s="377"/>
      <c r="M867" s="377"/>
      <c r="N867" s="377"/>
      <c r="P867" s="377"/>
      <c r="Q867" s="377"/>
      <c r="R867" s="377"/>
      <c r="S867" s="377"/>
      <c r="U867" s="377"/>
      <c r="V867" s="377"/>
      <c r="W867" s="377"/>
      <c r="X867" s="377"/>
      <c r="Z867" s="77"/>
      <c r="AA867" s="377"/>
      <c r="AB867" s="377"/>
      <c r="AC867" s="377"/>
      <c r="AE867" s="77"/>
      <c r="AF867" s="377"/>
      <c r="AG867" s="377"/>
      <c r="AH867" s="377"/>
      <c r="AJ867" s="77"/>
      <c r="AK867" s="77"/>
      <c r="AL867" s="77"/>
      <c r="AM867" s="77"/>
      <c r="AN867" s="77"/>
    </row>
    <row r="868" spans="12:40">
      <c r="L868" s="377"/>
      <c r="M868" s="377"/>
      <c r="N868" s="377"/>
      <c r="P868" s="377"/>
      <c r="Q868" s="377"/>
      <c r="R868" s="377"/>
      <c r="S868" s="377"/>
      <c r="U868" s="377"/>
      <c r="V868" s="377"/>
      <c r="W868" s="377"/>
      <c r="X868" s="377"/>
      <c r="Z868" s="77"/>
      <c r="AA868" s="377"/>
      <c r="AB868" s="377"/>
      <c r="AC868" s="377"/>
      <c r="AE868" s="77"/>
      <c r="AF868" s="377"/>
      <c r="AG868" s="377"/>
      <c r="AH868" s="377"/>
      <c r="AJ868" s="77"/>
      <c r="AK868" s="77"/>
      <c r="AL868" s="77"/>
      <c r="AM868" s="77"/>
      <c r="AN868" s="77"/>
    </row>
    <row r="869" spans="12:40">
      <c r="L869" s="377"/>
      <c r="M869" s="377"/>
      <c r="N869" s="377"/>
      <c r="P869" s="377"/>
      <c r="Q869" s="377"/>
      <c r="R869" s="377"/>
      <c r="S869" s="377"/>
      <c r="U869" s="377"/>
      <c r="V869" s="377"/>
      <c r="W869" s="377"/>
      <c r="X869" s="377"/>
      <c r="Z869" s="77"/>
      <c r="AA869" s="377"/>
      <c r="AB869" s="377"/>
      <c r="AC869" s="377"/>
      <c r="AE869" s="77"/>
      <c r="AF869" s="377"/>
      <c r="AG869" s="377"/>
      <c r="AH869" s="377"/>
      <c r="AJ869" s="77"/>
      <c r="AK869" s="77"/>
      <c r="AL869" s="77"/>
      <c r="AM869" s="77"/>
      <c r="AN869" s="77"/>
    </row>
    <row r="870" spans="12:40">
      <c r="L870" s="377"/>
      <c r="M870" s="377"/>
      <c r="N870" s="377"/>
      <c r="P870" s="377"/>
      <c r="Q870" s="377"/>
      <c r="R870" s="377"/>
      <c r="S870" s="377"/>
      <c r="U870" s="377"/>
      <c r="V870" s="377"/>
      <c r="W870" s="377"/>
      <c r="X870" s="377"/>
      <c r="Z870" s="77"/>
      <c r="AA870" s="377"/>
      <c r="AB870" s="377"/>
      <c r="AC870" s="377"/>
      <c r="AE870" s="77"/>
      <c r="AF870" s="377"/>
      <c r="AG870" s="377"/>
      <c r="AH870" s="377"/>
      <c r="AJ870" s="77"/>
      <c r="AK870" s="77"/>
      <c r="AL870" s="77"/>
      <c r="AM870" s="77"/>
      <c r="AN870" s="77"/>
    </row>
    <row r="871" spans="12:40">
      <c r="L871" s="377"/>
      <c r="M871" s="377"/>
      <c r="N871" s="377"/>
      <c r="P871" s="377"/>
      <c r="Q871" s="377"/>
      <c r="R871" s="377"/>
      <c r="S871" s="377"/>
      <c r="U871" s="377"/>
      <c r="V871" s="377"/>
      <c r="W871" s="377"/>
      <c r="X871" s="377"/>
      <c r="Z871" s="77"/>
      <c r="AA871" s="377"/>
      <c r="AB871" s="377"/>
      <c r="AC871" s="377"/>
      <c r="AE871" s="77"/>
      <c r="AF871" s="377"/>
      <c r="AG871" s="377"/>
      <c r="AH871" s="377"/>
      <c r="AJ871" s="77"/>
      <c r="AK871" s="77"/>
      <c r="AL871" s="77"/>
      <c r="AM871" s="77"/>
      <c r="AN871" s="77"/>
    </row>
    <row r="872" spans="12:40">
      <c r="L872" s="377"/>
      <c r="M872" s="377"/>
      <c r="N872" s="377"/>
      <c r="P872" s="377"/>
      <c r="Q872" s="377"/>
      <c r="R872" s="377"/>
      <c r="S872" s="377"/>
      <c r="U872" s="377"/>
      <c r="V872" s="377"/>
      <c r="W872" s="377"/>
      <c r="X872" s="377"/>
      <c r="Z872" s="77"/>
      <c r="AA872" s="377"/>
      <c r="AB872" s="377"/>
      <c r="AC872" s="377"/>
      <c r="AE872" s="77"/>
      <c r="AF872" s="377"/>
      <c r="AG872" s="377"/>
      <c r="AH872" s="377"/>
      <c r="AJ872" s="77"/>
      <c r="AK872" s="77"/>
      <c r="AL872" s="77"/>
      <c r="AM872" s="77"/>
      <c r="AN872" s="77"/>
    </row>
    <row r="873" spans="12:40">
      <c r="L873" s="377"/>
      <c r="M873" s="377"/>
      <c r="N873" s="377"/>
      <c r="P873" s="377"/>
      <c r="Q873" s="377"/>
      <c r="R873" s="377"/>
      <c r="S873" s="377"/>
      <c r="U873" s="377"/>
      <c r="V873" s="377"/>
      <c r="W873" s="377"/>
      <c r="X873" s="377"/>
      <c r="Z873" s="77"/>
      <c r="AA873" s="377"/>
      <c r="AB873" s="377"/>
      <c r="AC873" s="377"/>
      <c r="AE873" s="77"/>
      <c r="AF873" s="377"/>
      <c r="AG873" s="377"/>
      <c r="AH873" s="377"/>
      <c r="AJ873" s="77"/>
      <c r="AK873" s="77"/>
      <c r="AL873" s="77"/>
      <c r="AM873" s="77"/>
      <c r="AN873" s="77"/>
    </row>
    <row r="874" spans="12:40">
      <c r="L874" s="377"/>
      <c r="M874" s="377"/>
      <c r="N874" s="377"/>
      <c r="P874" s="377"/>
      <c r="Q874" s="377"/>
      <c r="R874" s="377"/>
      <c r="S874" s="377"/>
      <c r="U874" s="377"/>
      <c r="V874" s="377"/>
      <c r="W874" s="377"/>
      <c r="X874" s="377"/>
      <c r="Z874" s="77"/>
      <c r="AA874" s="377"/>
      <c r="AB874" s="377"/>
      <c r="AC874" s="377"/>
      <c r="AE874" s="77"/>
      <c r="AF874" s="377"/>
      <c r="AG874" s="377"/>
      <c r="AH874" s="377"/>
      <c r="AJ874" s="77"/>
      <c r="AK874" s="77"/>
      <c r="AL874" s="77"/>
      <c r="AM874" s="77"/>
      <c r="AN874" s="77"/>
    </row>
    <row r="875" spans="12:40">
      <c r="L875" s="377"/>
      <c r="M875" s="377"/>
      <c r="N875" s="377"/>
      <c r="P875" s="377"/>
      <c r="Q875" s="377"/>
      <c r="R875" s="377"/>
      <c r="S875" s="377"/>
      <c r="U875" s="377"/>
      <c r="V875" s="377"/>
      <c r="W875" s="377"/>
      <c r="X875" s="377"/>
      <c r="Z875" s="77"/>
      <c r="AA875" s="377"/>
      <c r="AB875" s="377"/>
      <c r="AC875" s="377"/>
      <c r="AE875" s="77"/>
      <c r="AF875" s="377"/>
      <c r="AG875" s="377"/>
      <c r="AH875" s="377"/>
      <c r="AJ875" s="77"/>
      <c r="AK875" s="77"/>
      <c r="AL875" s="77"/>
      <c r="AM875" s="77"/>
      <c r="AN875" s="77"/>
    </row>
    <row r="876" spans="12:40">
      <c r="L876" s="377"/>
      <c r="M876" s="377"/>
      <c r="N876" s="377"/>
      <c r="P876" s="377"/>
      <c r="Q876" s="377"/>
      <c r="R876" s="377"/>
      <c r="S876" s="377"/>
      <c r="U876" s="377"/>
      <c r="V876" s="377"/>
      <c r="W876" s="377"/>
      <c r="X876" s="377"/>
      <c r="Z876" s="77"/>
      <c r="AA876" s="377"/>
      <c r="AB876" s="377"/>
      <c r="AC876" s="377"/>
      <c r="AE876" s="77"/>
      <c r="AF876" s="377"/>
      <c r="AG876" s="377"/>
      <c r="AH876" s="377"/>
      <c r="AJ876" s="77"/>
      <c r="AK876" s="77"/>
      <c r="AL876" s="77"/>
      <c r="AM876" s="77"/>
      <c r="AN876" s="77"/>
    </row>
    <row r="877" spans="12:40">
      <c r="L877" s="377"/>
      <c r="M877" s="377"/>
      <c r="N877" s="377"/>
      <c r="P877" s="377"/>
      <c r="Q877" s="377"/>
      <c r="R877" s="377"/>
      <c r="S877" s="377"/>
      <c r="U877" s="377"/>
      <c r="V877" s="377"/>
      <c r="W877" s="377"/>
      <c r="X877" s="377"/>
      <c r="Z877" s="77"/>
      <c r="AA877" s="377"/>
      <c r="AB877" s="377"/>
      <c r="AC877" s="377"/>
      <c r="AE877" s="77"/>
      <c r="AF877" s="377"/>
      <c r="AG877" s="377"/>
      <c r="AH877" s="377"/>
      <c r="AJ877" s="77"/>
      <c r="AK877" s="77"/>
      <c r="AL877" s="77"/>
      <c r="AM877" s="77"/>
      <c r="AN877" s="77"/>
    </row>
    <row r="878" spans="12:40">
      <c r="L878" s="377"/>
      <c r="M878" s="377"/>
      <c r="N878" s="377"/>
      <c r="P878" s="377"/>
      <c r="Q878" s="377"/>
      <c r="R878" s="377"/>
      <c r="S878" s="377"/>
      <c r="U878" s="377"/>
      <c r="V878" s="377"/>
      <c r="W878" s="377"/>
      <c r="X878" s="377"/>
      <c r="Z878" s="77"/>
      <c r="AA878" s="377"/>
      <c r="AB878" s="377"/>
      <c r="AC878" s="377"/>
      <c r="AE878" s="77"/>
      <c r="AF878" s="377"/>
      <c r="AG878" s="377"/>
      <c r="AH878" s="377"/>
      <c r="AJ878" s="77"/>
      <c r="AK878" s="77"/>
      <c r="AL878" s="77"/>
      <c r="AM878" s="77"/>
      <c r="AN878" s="77"/>
    </row>
    <row r="879" spans="12:40">
      <c r="L879" s="377"/>
      <c r="M879" s="377"/>
      <c r="N879" s="377"/>
      <c r="P879" s="377"/>
      <c r="Q879" s="377"/>
      <c r="R879" s="377"/>
      <c r="S879" s="377"/>
      <c r="U879" s="377"/>
      <c r="V879" s="377"/>
      <c r="W879" s="377"/>
      <c r="X879" s="377"/>
      <c r="Z879" s="77"/>
      <c r="AA879" s="377"/>
      <c r="AB879" s="377"/>
      <c r="AC879" s="377"/>
      <c r="AE879" s="77"/>
      <c r="AF879" s="377"/>
      <c r="AG879" s="377"/>
      <c r="AH879" s="377"/>
      <c r="AJ879" s="77"/>
      <c r="AK879" s="77"/>
      <c r="AL879" s="77"/>
      <c r="AM879" s="77"/>
      <c r="AN879" s="77"/>
    </row>
    <row r="880" spans="12:40">
      <c r="L880" s="377"/>
      <c r="M880" s="377"/>
      <c r="N880" s="377"/>
      <c r="P880" s="377"/>
      <c r="Q880" s="377"/>
      <c r="R880" s="377"/>
      <c r="S880" s="377"/>
      <c r="U880" s="377"/>
      <c r="V880" s="377"/>
      <c r="W880" s="377"/>
      <c r="X880" s="377"/>
      <c r="Z880" s="77"/>
      <c r="AA880" s="377"/>
      <c r="AB880" s="377"/>
      <c r="AC880" s="377"/>
      <c r="AE880" s="77"/>
      <c r="AF880" s="377"/>
      <c r="AG880" s="377"/>
      <c r="AH880" s="377"/>
      <c r="AJ880" s="77"/>
      <c r="AK880" s="77"/>
      <c r="AL880" s="77"/>
      <c r="AM880" s="77"/>
      <c r="AN880" s="77"/>
    </row>
    <row r="881" spans="12:40">
      <c r="L881" s="377"/>
      <c r="M881" s="377"/>
      <c r="N881" s="377"/>
      <c r="P881" s="377"/>
      <c r="Q881" s="377"/>
      <c r="R881" s="377"/>
      <c r="S881" s="377"/>
      <c r="U881" s="377"/>
      <c r="V881" s="377"/>
      <c r="W881" s="377"/>
      <c r="X881" s="377"/>
      <c r="Z881" s="77"/>
      <c r="AA881" s="377"/>
      <c r="AB881" s="377"/>
      <c r="AC881" s="377"/>
      <c r="AE881" s="77"/>
      <c r="AF881" s="377"/>
      <c r="AG881" s="377"/>
      <c r="AH881" s="377"/>
      <c r="AJ881" s="77"/>
      <c r="AK881" s="77"/>
      <c r="AL881" s="77"/>
      <c r="AM881" s="77"/>
      <c r="AN881" s="77"/>
    </row>
    <row r="882" spans="12:40">
      <c r="L882" s="377"/>
      <c r="M882" s="377"/>
      <c r="N882" s="377"/>
      <c r="P882" s="377"/>
      <c r="Q882" s="377"/>
      <c r="R882" s="377"/>
      <c r="S882" s="377"/>
      <c r="U882" s="377"/>
      <c r="V882" s="377"/>
      <c r="W882" s="377"/>
      <c r="X882" s="377"/>
      <c r="Z882" s="77"/>
      <c r="AA882" s="377"/>
      <c r="AB882" s="377"/>
      <c r="AC882" s="377"/>
      <c r="AE882" s="77"/>
      <c r="AF882" s="377"/>
      <c r="AG882" s="377"/>
      <c r="AH882" s="377"/>
      <c r="AJ882" s="77"/>
      <c r="AK882" s="77"/>
      <c r="AL882" s="77"/>
      <c r="AM882" s="77"/>
      <c r="AN882" s="77"/>
    </row>
    <row r="883" spans="12:40">
      <c r="L883" s="377"/>
      <c r="M883" s="377"/>
      <c r="N883" s="377"/>
      <c r="P883" s="377"/>
      <c r="Q883" s="377"/>
      <c r="R883" s="377"/>
      <c r="S883" s="377"/>
      <c r="U883" s="377"/>
      <c r="V883" s="377"/>
      <c r="W883" s="377"/>
      <c r="X883" s="377"/>
      <c r="Z883" s="77"/>
      <c r="AA883" s="377"/>
      <c r="AB883" s="377"/>
      <c r="AC883" s="377"/>
      <c r="AE883" s="77"/>
      <c r="AF883" s="377"/>
      <c r="AG883" s="377"/>
      <c r="AH883" s="377"/>
      <c r="AJ883" s="77"/>
      <c r="AK883" s="77"/>
      <c r="AL883" s="77"/>
      <c r="AM883" s="77"/>
      <c r="AN883" s="77"/>
    </row>
    <row r="884" spans="12:40">
      <c r="L884" s="377"/>
      <c r="M884" s="377"/>
      <c r="N884" s="377"/>
      <c r="P884" s="377"/>
      <c r="Q884" s="377"/>
      <c r="R884" s="377"/>
      <c r="S884" s="377"/>
      <c r="U884" s="377"/>
      <c r="V884" s="377"/>
      <c r="W884" s="377"/>
      <c r="X884" s="377"/>
      <c r="Z884" s="77"/>
      <c r="AA884" s="377"/>
      <c r="AB884" s="377"/>
      <c r="AC884" s="377"/>
      <c r="AE884" s="77"/>
      <c r="AF884" s="377"/>
      <c r="AG884" s="377"/>
      <c r="AH884" s="377"/>
      <c r="AJ884" s="77"/>
      <c r="AK884" s="77"/>
      <c r="AL884" s="77"/>
      <c r="AM884" s="77"/>
      <c r="AN884" s="77"/>
    </row>
    <row r="885" spans="12:40">
      <c r="L885" s="377"/>
      <c r="M885" s="377"/>
      <c r="N885" s="377"/>
      <c r="P885" s="377"/>
      <c r="Q885" s="377"/>
      <c r="R885" s="377"/>
      <c r="S885" s="377"/>
      <c r="U885" s="377"/>
      <c r="V885" s="377"/>
      <c r="W885" s="377"/>
      <c r="X885" s="377"/>
      <c r="Z885" s="77"/>
      <c r="AA885" s="377"/>
      <c r="AB885" s="377"/>
      <c r="AC885" s="377"/>
      <c r="AE885" s="77"/>
      <c r="AF885" s="377"/>
      <c r="AG885" s="377"/>
      <c r="AH885" s="377"/>
      <c r="AJ885" s="77"/>
      <c r="AK885" s="77"/>
      <c r="AL885" s="77"/>
      <c r="AM885" s="77"/>
      <c r="AN885" s="77"/>
    </row>
    <row r="886" spans="12:40">
      <c r="L886" s="377"/>
      <c r="M886" s="377"/>
      <c r="N886" s="377"/>
      <c r="P886" s="377"/>
      <c r="Q886" s="377"/>
      <c r="R886" s="377"/>
      <c r="S886" s="377"/>
      <c r="U886" s="377"/>
      <c r="V886" s="377"/>
      <c r="W886" s="377"/>
      <c r="X886" s="377"/>
      <c r="Z886" s="77"/>
      <c r="AA886" s="377"/>
      <c r="AB886" s="377"/>
      <c r="AC886" s="377"/>
      <c r="AE886" s="77"/>
      <c r="AF886" s="377"/>
      <c r="AG886" s="377"/>
      <c r="AH886" s="377"/>
      <c r="AJ886" s="77"/>
      <c r="AK886" s="77"/>
      <c r="AL886" s="77"/>
      <c r="AM886" s="77"/>
      <c r="AN886" s="77"/>
    </row>
    <row r="887" spans="12:40">
      <c r="L887" s="377"/>
      <c r="M887" s="377"/>
      <c r="N887" s="377"/>
      <c r="P887" s="377"/>
      <c r="Q887" s="377"/>
      <c r="R887" s="377"/>
      <c r="S887" s="377"/>
      <c r="U887" s="377"/>
      <c r="V887" s="377"/>
      <c r="W887" s="377"/>
      <c r="X887" s="377"/>
      <c r="Z887" s="77"/>
      <c r="AA887" s="377"/>
      <c r="AB887" s="377"/>
      <c r="AC887" s="377"/>
      <c r="AE887" s="77"/>
      <c r="AF887" s="377"/>
      <c r="AG887" s="377"/>
      <c r="AH887" s="377"/>
      <c r="AJ887" s="77"/>
      <c r="AK887" s="77"/>
      <c r="AL887" s="77"/>
      <c r="AM887" s="77"/>
      <c r="AN887" s="77"/>
    </row>
    <row r="888" spans="12:40">
      <c r="L888" s="377"/>
      <c r="M888" s="377"/>
      <c r="N888" s="377"/>
      <c r="P888" s="377"/>
      <c r="Q888" s="377"/>
      <c r="R888" s="377"/>
      <c r="S888" s="377"/>
      <c r="U888" s="377"/>
      <c r="V888" s="377"/>
      <c r="W888" s="377"/>
      <c r="X888" s="377"/>
      <c r="Z888" s="77"/>
      <c r="AA888" s="377"/>
      <c r="AB888" s="377"/>
      <c r="AC888" s="377"/>
      <c r="AE888" s="77"/>
      <c r="AF888" s="377"/>
      <c r="AG888" s="377"/>
      <c r="AH888" s="377"/>
      <c r="AJ888" s="77"/>
      <c r="AK888" s="77"/>
      <c r="AL888" s="77"/>
      <c r="AM888" s="77"/>
      <c r="AN888" s="77"/>
    </row>
    <row r="889" spans="12:40">
      <c r="L889" s="377"/>
      <c r="M889" s="377"/>
      <c r="N889" s="377"/>
      <c r="P889" s="377"/>
      <c r="Q889" s="377"/>
      <c r="R889" s="377"/>
      <c r="S889" s="377"/>
      <c r="U889" s="377"/>
      <c r="V889" s="377"/>
      <c r="W889" s="377"/>
      <c r="X889" s="377"/>
      <c r="Z889" s="77"/>
      <c r="AA889" s="377"/>
      <c r="AB889" s="377"/>
      <c r="AC889" s="377"/>
      <c r="AE889" s="77"/>
      <c r="AF889" s="377"/>
      <c r="AG889" s="377"/>
      <c r="AH889" s="377"/>
      <c r="AJ889" s="77"/>
      <c r="AK889" s="77"/>
      <c r="AL889" s="77"/>
      <c r="AM889" s="77"/>
      <c r="AN889" s="77"/>
    </row>
    <row r="890" spans="12:40">
      <c r="L890" s="377"/>
      <c r="M890" s="377"/>
      <c r="N890" s="377"/>
      <c r="P890" s="377"/>
      <c r="Q890" s="377"/>
      <c r="R890" s="377"/>
      <c r="S890" s="377"/>
      <c r="U890" s="377"/>
      <c r="V890" s="377"/>
      <c r="W890" s="377"/>
      <c r="X890" s="377"/>
      <c r="Z890" s="77"/>
      <c r="AA890" s="377"/>
      <c r="AB890" s="377"/>
      <c r="AC890" s="377"/>
      <c r="AE890" s="77"/>
      <c r="AF890" s="377"/>
      <c r="AG890" s="377"/>
      <c r="AH890" s="377"/>
      <c r="AJ890" s="77"/>
      <c r="AK890" s="77"/>
      <c r="AL890" s="77"/>
      <c r="AM890" s="77"/>
      <c r="AN890" s="77"/>
    </row>
    <row r="891" spans="12:40">
      <c r="L891" s="377"/>
      <c r="M891" s="377"/>
      <c r="N891" s="377"/>
      <c r="P891" s="377"/>
      <c r="Q891" s="377"/>
      <c r="R891" s="377"/>
      <c r="S891" s="377"/>
      <c r="U891" s="377"/>
      <c r="V891" s="377"/>
      <c r="W891" s="377"/>
      <c r="X891" s="377"/>
      <c r="Z891" s="77"/>
      <c r="AA891" s="377"/>
      <c r="AB891" s="377"/>
      <c r="AC891" s="377"/>
      <c r="AE891" s="77"/>
      <c r="AF891" s="377"/>
      <c r="AG891" s="377"/>
      <c r="AH891" s="377"/>
      <c r="AJ891" s="77"/>
      <c r="AK891" s="77"/>
      <c r="AL891" s="77"/>
      <c r="AM891" s="77"/>
      <c r="AN891" s="77"/>
    </row>
    <row r="892" spans="12:40">
      <c r="L892" s="377"/>
      <c r="M892" s="377"/>
      <c r="N892" s="377"/>
      <c r="P892" s="377"/>
      <c r="Q892" s="377"/>
      <c r="R892" s="377"/>
      <c r="S892" s="377"/>
      <c r="U892" s="377"/>
      <c r="V892" s="377"/>
      <c r="W892" s="377"/>
      <c r="X892" s="377"/>
      <c r="Z892" s="77"/>
      <c r="AA892" s="377"/>
      <c r="AB892" s="377"/>
      <c r="AC892" s="377"/>
      <c r="AE892" s="77"/>
      <c r="AF892" s="377"/>
      <c r="AG892" s="377"/>
      <c r="AH892" s="377"/>
      <c r="AJ892" s="77"/>
      <c r="AK892" s="77"/>
      <c r="AL892" s="77"/>
      <c r="AM892" s="77"/>
      <c r="AN892" s="77"/>
    </row>
    <row r="893" spans="12:40">
      <c r="L893" s="377"/>
      <c r="M893" s="377"/>
      <c r="N893" s="377"/>
      <c r="P893" s="377"/>
      <c r="Q893" s="377"/>
      <c r="R893" s="377"/>
      <c r="S893" s="377"/>
      <c r="U893" s="377"/>
      <c r="V893" s="377"/>
      <c r="W893" s="377"/>
      <c r="X893" s="377"/>
      <c r="Z893" s="77"/>
      <c r="AA893" s="377"/>
      <c r="AB893" s="377"/>
      <c r="AC893" s="377"/>
      <c r="AE893" s="77"/>
      <c r="AF893" s="377"/>
      <c r="AG893" s="377"/>
      <c r="AH893" s="377"/>
      <c r="AJ893" s="77"/>
      <c r="AK893" s="77"/>
      <c r="AL893" s="77"/>
      <c r="AM893" s="77"/>
      <c r="AN893" s="77"/>
    </row>
    <row r="894" spans="12:40">
      <c r="L894" s="377"/>
      <c r="M894" s="377"/>
      <c r="N894" s="377"/>
      <c r="P894" s="377"/>
      <c r="Q894" s="377"/>
      <c r="R894" s="377"/>
      <c r="S894" s="377"/>
      <c r="U894" s="377"/>
      <c r="V894" s="377"/>
      <c r="W894" s="377"/>
      <c r="X894" s="377"/>
      <c r="Z894" s="77"/>
      <c r="AA894" s="377"/>
      <c r="AB894" s="377"/>
      <c r="AC894" s="377"/>
      <c r="AE894" s="77"/>
      <c r="AF894" s="377"/>
      <c r="AG894" s="377"/>
      <c r="AH894" s="377"/>
      <c r="AJ894" s="77"/>
      <c r="AK894" s="77"/>
      <c r="AL894" s="77"/>
      <c r="AM894" s="77"/>
      <c r="AN894" s="77"/>
    </row>
    <row r="895" spans="12:40">
      <c r="L895" s="377"/>
      <c r="M895" s="377"/>
      <c r="N895" s="377"/>
      <c r="P895" s="377"/>
      <c r="Q895" s="377"/>
      <c r="R895" s="377"/>
      <c r="S895" s="377"/>
      <c r="U895" s="377"/>
      <c r="V895" s="377"/>
      <c r="W895" s="377"/>
      <c r="X895" s="377"/>
      <c r="Z895" s="77"/>
      <c r="AA895" s="377"/>
      <c r="AB895" s="377"/>
      <c r="AC895" s="377"/>
      <c r="AE895" s="77"/>
      <c r="AF895" s="377"/>
      <c r="AG895" s="377"/>
      <c r="AH895" s="377"/>
      <c r="AJ895" s="77"/>
      <c r="AK895" s="77"/>
      <c r="AL895" s="77"/>
      <c r="AM895" s="77"/>
      <c r="AN895" s="77"/>
    </row>
    <row r="896" spans="12:40">
      <c r="L896" s="377"/>
      <c r="M896" s="377"/>
      <c r="N896" s="377"/>
      <c r="P896" s="377"/>
      <c r="Q896" s="377"/>
      <c r="R896" s="377"/>
      <c r="S896" s="377"/>
      <c r="U896" s="377"/>
      <c r="V896" s="377"/>
      <c r="W896" s="377"/>
      <c r="X896" s="377"/>
      <c r="Z896" s="77"/>
      <c r="AA896" s="377"/>
      <c r="AB896" s="377"/>
      <c r="AC896" s="377"/>
      <c r="AE896" s="77"/>
      <c r="AF896" s="377"/>
      <c r="AG896" s="377"/>
      <c r="AH896" s="377"/>
      <c r="AJ896" s="77"/>
      <c r="AK896" s="77"/>
      <c r="AL896" s="77"/>
      <c r="AM896" s="77"/>
      <c r="AN896" s="77"/>
    </row>
    <row r="897" spans="12:40">
      <c r="L897" s="377"/>
      <c r="M897" s="377"/>
      <c r="N897" s="377"/>
      <c r="P897" s="377"/>
      <c r="Q897" s="377"/>
      <c r="R897" s="377"/>
      <c r="S897" s="377"/>
      <c r="U897" s="377"/>
      <c r="V897" s="377"/>
      <c r="W897" s="377"/>
      <c r="X897" s="377"/>
      <c r="Z897" s="77"/>
      <c r="AA897" s="377"/>
      <c r="AB897" s="377"/>
      <c r="AC897" s="377"/>
      <c r="AE897" s="77"/>
      <c r="AF897" s="377"/>
      <c r="AG897" s="377"/>
      <c r="AH897" s="377"/>
      <c r="AJ897" s="77"/>
      <c r="AK897" s="77"/>
      <c r="AL897" s="77"/>
      <c r="AM897" s="77"/>
      <c r="AN897" s="77"/>
    </row>
    <row r="898" spans="12:40">
      <c r="L898" s="377"/>
      <c r="M898" s="377"/>
      <c r="N898" s="377"/>
      <c r="P898" s="377"/>
      <c r="Q898" s="377"/>
      <c r="R898" s="377"/>
      <c r="S898" s="377"/>
      <c r="U898" s="377"/>
      <c r="V898" s="377"/>
      <c r="W898" s="377"/>
      <c r="X898" s="377"/>
      <c r="Z898" s="77"/>
      <c r="AA898" s="377"/>
      <c r="AB898" s="377"/>
      <c r="AC898" s="377"/>
      <c r="AE898" s="77"/>
      <c r="AF898" s="377"/>
      <c r="AG898" s="377"/>
      <c r="AH898" s="377"/>
      <c r="AJ898" s="77"/>
      <c r="AK898" s="77"/>
      <c r="AL898" s="77"/>
      <c r="AM898" s="77"/>
      <c r="AN898" s="77"/>
    </row>
    <row r="899" spans="12:40">
      <c r="L899" s="377"/>
      <c r="M899" s="377"/>
      <c r="N899" s="377"/>
      <c r="P899" s="377"/>
      <c r="Q899" s="377"/>
      <c r="R899" s="377"/>
      <c r="S899" s="377"/>
      <c r="U899" s="377"/>
      <c r="V899" s="377"/>
      <c r="W899" s="377"/>
      <c r="X899" s="377"/>
      <c r="Z899" s="77"/>
      <c r="AA899" s="377"/>
      <c r="AB899" s="377"/>
      <c r="AC899" s="377"/>
      <c r="AE899" s="77"/>
      <c r="AF899" s="377"/>
      <c r="AG899" s="377"/>
      <c r="AH899" s="377"/>
      <c r="AJ899" s="77"/>
      <c r="AK899" s="77"/>
      <c r="AL899" s="77"/>
      <c r="AM899" s="77"/>
      <c r="AN899" s="77"/>
    </row>
    <row r="900" spans="12:40">
      <c r="L900" s="377"/>
      <c r="M900" s="377"/>
      <c r="N900" s="377"/>
      <c r="P900" s="377"/>
      <c r="Q900" s="377"/>
      <c r="R900" s="377"/>
      <c r="S900" s="377"/>
      <c r="U900" s="377"/>
      <c r="V900" s="377"/>
      <c r="W900" s="377"/>
      <c r="X900" s="377"/>
      <c r="Z900" s="77"/>
      <c r="AA900" s="377"/>
      <c r="AB900" s="377"/>
      <c r="AC900" s="377"/>
      <c r="AE900" s="77"/>
      <c r="AF900" s="377"/>
      <c r="AG900" s="377"/>
      <c r="AH900" s="377"/>
      <c r="AJ900" s="77"/>
      <c r="AK900" s="77"/>
      <c r="AL900" s="77"/>
      <c r="AM900" s="77"/>
      <c r="AN900" s="77"/>
    </row>
    <row r="901" spans="12:40">
      <c r="L901" s="377"/>
      <c r="M901" s="377"/>
      <c r="N901" s="377"/>
      <c r="P901" s="377"/>
      <c r="Q901" s="377"/>
      <c r="R901" s="377"/>
      <c r="S901" s="377"/>
      <c r="U901" s="377"/>
      <c r="V901" s="377"/>
      <c r="W901" s="377"/>
      <c r="X901" s="377"/>
      <c r="Z901" s="77"/>
      <c r="AA901" s="377"/>
      <c r="AB901" s="377"/>
      <c r="AC901" s="377"/>
      <c r="AE901" s="77"/>
      <c r="AF901" s="377"/>
      <c r="AG901" s="377"/>
      <c r="AH901" s="377"/>
      <c r="AJ901" s="77"/>
      <c r="AK901" s="77"/>
      <c r="AL901" s="77"/>
      <c r="AM901" s="77"/>
      <c r="AN901" s="77"/>
    </row>
    <row r="902" spans="12:40">
      <c r="L902" s="377"/>
      <c r="M902" s="377"/>
      <c r="N902" s="377"/>
      <c r="P902" s="377"/>
      <c r="Q902" s="377"/>
      <c r="R902" s="377"/>
      <c r="S902" s="377"/>
      <c r="U902" s="377"/>
      <c r="V902" s="377"/>
      <c r="W902" s="377"/>
      <c r="X902" s="377"/>
      <c r="Z902" s="77"/>
      <c r="AA902" s="377"/>
      <c r="AB902" s="377"/>
      <c r="AC902" s="377"/>
      <c r="AE902" s="77"/>
      <c r="AF902" s="377"/>
      <c r="AG902" s="377"/>
      <c r="AH902" s="377"/>
      <c r="AJ902" s="77"/>
      <c r="AK902" s="77"/>
      <c r="AL902" s="77"/>
      <c r="AM902" s="77"/>
      <c r="AN902" s="77"/>
    </row>
    <row r="903" spans="12:40">
      <c r="L903" s="377"/>
      <c r="M903" s="377"/>
      <c r="N903" s="377"/>
      <c r="P903" s="377"/>
      <c r="Q903" s="377"/>
      <c r="R903" s="377"/>
      <c r="S903" s="377"/>
      <c r="U903" s="377"/>
      <c r="V903" s="377"/>
      <c r="W903" s="377"/>
      <c r="X903" s="377"/>
      <c r="Z903" s="77"/>
      <c r="AA903" s="377"/>
      <c r="AB903" s="377"/>
      <c r="AC903" s="377"/>
      <c r="AE903" s="77"/>
      <c r="AF903" s="377"/>
      <c r="AG903" s="377"/>
      <c r="AH903" s="377"/>
      <c r="AJ903" s="77"/>
      <c r="AK903" s="77"/>
      <c r="AL903" s="77"/>
      <c r="AM903" s="77"/>
      <c r="AN903" s="77"/>
    </row>
    <row r="904" spans="12:40">
      <c r="L904" s="377"/>
      <c r="M904" s="377"/>
      <c r="N904" s="377"/>
      <c r="P904" s="377"/>
      <c r="Q904" s="377"/>
      <c r="R904" s="377"/>
      <c r="S904" s="377"/>
      <c r="U904" s="377"/>
      <c r="V904" s="377"/>
      <c r="W904" s="377"/>
      <c r="X904" s="377"/>
      <c r="Z904" s="77"/>
      <c r="AA904" s="377"/>
      <c r="AB904" s="377"/>
      <c r="AC904" s="377"/>
      <c r="AE904" s="77"/>
      <c r="AF904" s="377"/>
      <c r="AG904" s="377"/>
      <c r="AH904" s="377"/>
      <c r="AJ904" s="77"/>
      <c r="AK904" s="77"/>
      <c r="AL904" s="77"/>
      <c r="AM904" s="77"/>
      <c r="AN904" s="77"/>
    </row>
    <row r="905" spans="12:40">
      <c r="L905" s="377"/>
      <c r="M905" s="377"/>
      <c r="N905" s="377"/>
      <c r="P905" s="377"/>
      <c r="Q905" s="377"/>
      <c r="R905" s="377"/>
      <c r="S905" s="377"/>
      <c r="U905" s="377"/>
      <c r="V905" s="377"/>
      <c r="W905" s="377"/>
      <c r="X905" s="377"/>
      <c r="Z905" s="77"/>
      <c r="AA905" s="377"/>
      <c r="AB905" s="377"/>
      <c r="AC905" s="377"/>
      <c r="AE905" s="77"/>
      <c r="AF905" s="377"/>
      <c r="AG905" s="377"/>
      <c r="AH905" s="377"/>
      <c r="AJ905" s="77"/>
      <c r="AK905" s="77"/>
      <c r="AL905" s="77"/>
      <c r="AM905" s="77"/>
      <c r="AN905" s="77"/>
    </row>
    <row r="906" spans="12:40">
      <c r="L906" s="377"/>
      <c r="M906" s="377"/>
      <c r="N906" s="377"/>
      <c r="P906" s="377"/>
      <c r="Q906" s="377"/>
      <c r="R906" s="377"/>
      <c r="S906" s="377"/>
      <c r="U906" s="377"/>
      <c r="V906" s="377"/>
      <c r="W906" s="377"/>
      <c r="X906" s="377"/>
      <c r="Z906" s="77"/>
      <c r="AA906" s="377"/>
      <c r="AB906" s="377"/>
      <c r="AC906" s="377"/>
      <c r="AE906" s="77"/>
      <c r="AF906" s="377"/>
      <c r="AG906" s="377"/>
      <c r="AH906" s="377"/>
      <c r="AJ906" s="77"/>
      <c r="AK906" s="77"/>
      <c r="AL906" s="77"/>
      <c r="AM906" s="77"/>
      <c r="AN906" s="77"/>
    </row>
    <row r="907" spans="12:40">
      <c r="L907" s="377"/>
      <c r="M907" s="377"/>
      <c r="N907" s="377"/>
      <c r="P907" s="377"/>
      <c r="Q907" s="377"/>
      <c r="R907" s="377"/>
      <c r="S907" s="377"/>
      <c r="U907" s="377"/>
      <c r="V907" s="377"/>
      <c r="W907" s="377"/>
      <c r="X907" s="377"/>
      <c r="Z907" s="77"/>
      <c r="AA907" s="377"/>
      <c r="AB907" s="377"/>
      <c r="AC907" s="377"/>
      <c r="AE907" s="77"/>
      <c r="AF907" s="377"/>
      <c r="AG907" s="377"/>
      <c r="AH907" s="377"/>
      <c r="AJ907" s="77"/>
      <c r="AK907" s="77"/>
      <c r="AL907" s="77"/>
      <c r="AM907" s="77"/>
      <c r="AN907" s="77"/>
    </row>
    <row r="908" spans="12:40">
      <c r="L908" s="377"/>
      <c r="M908" s="377"/>
      <c r="N908" s="377"/>
      <c r="P908" s="377"/>
      <c r="Q908" s="377"/>
      <c r="R908" s="377"/>
      <c r="S908" s="377"/>
      <c r="U908" s="377"/>
      <c r="V908" s="377"/>
      <c r="W908" s="377"/>
      <c r="X908" s="377"/>
      <c r="Z908" s="77"/>
      <c r="AA908" s="377"/>
      <c r="AB908" s="377"/>
      <c r="AC908" s="377"/>
      <c r="AE908" s="77"/>
      <c r="AF908" s="377"/>
      <c r="AG908" s="377"/>
      <c r="AH908" s="377"/>
      <c r="AJ908" s="77"/>
      <c r="AK908" s="77"/>
      <c r="AL908" s="77"/>
      <c r="AM908" s="77"/>
      <c r="AN908" s="77"/>
    </row>
    <row r="909" spans="12:40">
      <c r="L909" s="377"/>
      <c r="M909" s="377"/>
      <c r="N909" s="377"/>
      <c r="P909" s="377"/>
      <c r="Q909" s="377"/>
      <c r="R909" s="377"/>
      <c r="S909" s="377"/>
      <c r="U909" s="377"/>
      <c r="V909" s="377"/>
      <c r="W909" s="377"/>
      <c r="X909" s="377"/>
      <c r="Z909" s="77"/>
      <c r="AA909" s="377"/>
      <c r="AB909" s="377"/>
      <c r="AC909" s="377"/>
      <c r="AE909" s="77"/>
      <c r="AF909" s="377"/>
      <c r="AG909" s="377"/>
      <c r="AH909" s="377"/>
      <c r="AJ909" s="77"/>
      <c r="AK909" s="77"/>
      <c r="AL909" s="77"/>
      <c r="AM909" s="77"/>
      <c r="AN909" s="77"/>
    </row>
    <row r="910" spans="12:40">
      <c r="L910" s="377"/>
      <c r="M910" s="377"/>
      <c r="N910" s="377"/>
      <c r="P910" s="377"/>
      <c r="Q910" s="377"/>
      <c r="R910" s="377"/>
      <c r="S910" s="377"/>
      <c r="U910" s="377"/>
      <c r="V910" s="377"/>
      <c r="W910" s="377"/>
      <c r="X910" s="377"/>
      <c r="Z910" s="77"/>
      <c r="AA910" s="377"/>
      <c r="AB910" s="377"/>
      <c r="AC910" s="377"/>
      <c r="AE910" s="77"/>
      <c r="AF910" s="377"/>
      <c r="AG910" s="377"/>
      <c r="AH910" s="377"/>
      <c r="AJ910" s="77"/>
      <c r="AK910" s="77"/>
      <c r="AL910" s="77"/>
      <c r="AM910" s="77"/>
      <c r="AN910" s="77"/>
    </row>
    <row r="911" spans="12:40">
      <c r="L911" s="377"/>
      <c r="M911" s="377"/>
      <c r="N911" s="377"/>
      <c r="P911" s="377"/>
      <c r="Q911" s="377"/>
      <c r="R911" s="377"/>
      <c r="S911" s="377"/>
      <c r="U911" s="377"/>
      <c r="V911" s="377"/>
      <c r="W911" s="377"/>
      <c r="X911" s="377"/>
      <c r="Z911" s="77"/>
      <c r="AA911" s="377"/>
      <c r="AB911" s="377"/>
      <c r="AC911" s="377"/>
      <c r="AE911" s="77"/>
      <c r="AF911" s="377"/>
      <c r="AG911" s="377"/>
      <c r="AH911" s="377"/>
      <c r="AJ911" s="77"/>
      <c r="AK911" s="77"/>
      <c r="AL911" s="77"/>
      <c r="AM911" s="77"/>
      <c r="AN911" s="77"/>
    </row>
    <row r="912" spans="12:40">
      <c r="L912" s="377"/>
      <c r="M912" s="377"/>
      <c r="N912" s="377"/>
      <c r="P912" s="377"/>
      <c r="Q912" s="377"/>
      <c r="R912" s="377"/>
      <c r="S912" s="377"/>
      <c r="U912" s="377"/>
      <c r="V912" s="377"/>
      <c r="W912" s="377"/>
      <c r="X912" s="377"/>
      <c r="Z912" s="77"/>
      <c r="AA912" s="377"/>
      <c r="AB912" s="377"/>
      <c r="AC912" s="377"/>
      <c r="AE912" s="77"/>
      <c r="AF912" s="377"/>
      <c r="AG912" s="377"/>
      <c r="AH912" s="377"/>
      <c r="AJ912" s="77"/>
      <c r="AK912" s="77"/>
      <c r="AL912" s="77"/>
      <c r="AM912" s="77"/>
      <c r="AN912" s="77"/>
    </row>
    <row r="913" spans="12:40">
      <c r="L913" s="377"/>
      <c r="M913" s="377"/>
      <c r="N913" s="377"/>
      <c r="P913" s="377"/>
      <c r="Q913" s="377"/>
      <c r="R913" s="377"/>
      <c r="S913" s="377"/>
      <c r="U913" s="377"/>
      <c r="V913" s="377"/>
      <c r="W913" s="377"/>
      <c r="X913" s="377"/>
      <c r="Z913" s="77"/>
      <c r="AA913" s="377"/>
      <c r="AB913" s="377"/>
      <c r="AC913" s="377"/>
      <c r="AE913" s="77"/>
      <c r="AF913" s="377"/>
      <c r="AG913" s="377"/>
      <c r="AH913" s="377"/>
      <c r="AJ913" s="77"/>
      <c r="AK913" s="77"/>
      <c r="AL913" s="77"/>
      <c r="AM913" s="77"/>
      <c r="AN913" s="77"/>
    </row>
    <row r="914" spans="12:40">
      <c r="L914" s="377"/>
      <c r="M914" s="377"/>
      <c r="N914" s="377"/>
      <c r="P914" s="377"/>
      <c r="Q914" s="377"/>
      <c r="R914" s="377"/>
      <c r="S914" s="377"/>
      <c r="U914" s="377"/>
      <c r="V914" s="377"/>
      <c r="W914" s="377"/>
      <c r="X914" s="377"/>
      <c r="Z914" s="77"/>
      <c r="AA914" s="377"/>
      <c r="AB914" s="377"/>
      <c r="AC914" s="377"/>
      <c r="AE914" s="77"/>
      <c r="AF914" s="377"/>
      <c r="AG914" s="377"/>
      <c r="AH914" s="377"/>
      <c r="AJ914" s="77"/>
      <c r="AK914" s="77"/>
      <c r="AL914" s="77"/>
      <c r="AM914" s="77"/>
      <c r="AN914" s="77"/>
    </row>
    <row r="915" spans="12:40">
      <c r="L915" s="377"/>
      <c r="M915" s="377"/>
      <c r="N915" s="377"/>
      <c r="P915" s="377"/>
      <c r="Q915" s="377"/>
      <c r="R915" s="377"/>
      <c r="S915" s="377"/>
      <c r="U915" s="377"/>
      <c r="V915" s="377"/>
      <c r="W915" s="377"/>
      <c r="X915" s="377"/>
      <c r="Z915" s="77"/>
      <c r="AA915" s="377"/>
      <c r="AB915" s="377"/>
      <c r="AC915" s="377"/>
      <c r="AE915" s="77"/>
      <c r="AF915" s="377"/>
      <c r="AG915" s="377"/>
      <c r="AH915" s="377"/>
      <c r="AJ915" s="77"/>
      <c r="AK915" s="77"/>
      <c r="AL915" s="77"/>
      <c r="AM915" s="77"/>
      <c r="AN915" s="77"/>
    </row>
    <row r="916" spans="12:40">
      <c r="L916" s="377"/>
      <c r="M916" s="377"/>
      <c r="N916" s="377"/>
      <c r="P916" s="377"/>
      <c r="Q916" s="377"/>
      <c r="R916" s="377"/>
      <c r="S916" s="377"/>
      <c r="U916" s="377"/>
      <c r="V916" s="377"/>
      <c r="W916" s="377"/>
      <c r="X916" s="377"/>
      <c r="Z916" s="77"/>
      <c r="AA916" s="377"/>
      <c r="AB916" s="377"/>
      <c r="AC916" s="377"/>
      <c r="AE916" s="77"/>
      <c r="AF916" s="377"/>
      <c r="AG916" s="377"/>
      <c r="AH916" s="377"/>
      <c r="AJ916" s="77"/>
      <c r="AK916" s="77"/>
      <c r="AL916" s="77"/>
      <c r="AM916" s="77"/>
      <c r="AN916" s="77"/>
    </row>
    <row r="917" spans="12:40">
      <c r="L917" s="377"/>
      <c r="M917" s="377"/>
      <c r="N917" s="377"/>
      <c r="P917" s="377"/>
      <c r="Q917" s="377"/>
      <c r="R917" s="377"/>
      <c r="S917" s="377"/>
      <c r="U917" s="377"/>
      <c r="V917" s="377"/>
      <c r="W917" s="377"/>
      <c r="X917" s="377"/>
      <c r="Z917" s="77"/>
      <c r="AA917" s="377"/>
      <c r="AB917" s="377"/>
      <c r="AC917" s="377"/>
      <c r="AE917" s="77"/>
      <c r="AF917" s="377"/>
      <c r="AG917" s="377"/>
      <c r="AH917" s="377"/>
      <c r="AJ917" s="77"/>
      <c r="AK917" s="77"/>
      <c r="AL917" s="77"/>
      <c r="AM917" s="77"/>
      <c r="AN917" s="77"/>
    </row>
    <row r="918" spans="12:40">
      <c r="L918" s="377"/>
      <c r="M918" s="377"/>
      <c r="N918" s="377"/>
      <c r="P918" s="377"/>
      <c r="Q918" s="377"/>
      <c r="R918" s="377"/>
      <c r="S918" s="377"/>
      <c r="U918" s="377"/>
      <c r="V918" s="377"/>
      <c r="W918" s="377"/>
      <c r="X918" s="377"/>
      <c r="Z918" s="77"/>
      <c r="AA918" s="377"/>
      <c r="AB918" s="377"/>
      <c r="AC918" s="377"/>
      <c r="AE918" s="77"/>
      <c r="AF918" s="377"/>
      <c r="AG918" s="377"/>
      <c r="AH918" s="377"/>
      <c r="AJ918" s="77"/>
      <c r="AK918" s="77"/>
      <c r="AL918" s="77"/>
      <c r="AM918" s="77"/>
      <c r="AN918" s="77"/>
    </row>
    <row r="919" spans="12:40">
      <c r="L919" s="377"/>
      <c r="M919" s="377"/>
      <c r="N919" s="377"/>
      <c r="P919" s="377"/>
      <c r="Q919" s="377"/>
      <c r="R919" s="377"/>
      <c r="S919" s="377"/>
      <c r="U919" s="377"/>
      <c r="V919" s="377"/>
      <c r="W919" s="377"/>
      <c r="X919" s="377"/>
      <c r="Z919" s="77"/>
      <c r="AA919" s="377"/>
      <c r="AB919" s="377"/>
      <c r="AC919" s="377"/>
      <c r="AE919" s="77"/>
      <c r="AF919" s="377"/>
      <c r="AG919" s="377"/>
      <c r="AH919" s="377"/>
      <c r="AJ919" s="77"/>
      <c r="AK919" s="77"/>
      <c r="AL919" s="77"/>
      <c r="AM919" s="77"/>
      <c r="AN919" s="77"/>
    </row>
    <row r="920" spans="12:40">
      <c r="L920" s="377"/>
      <c r="M920" s="377"/>
      <c r="N920" s="377"/>
      <c r="P920" s="377"/>
      <c r="Q920" s="377"/>
      <c r="R920" s="377"/>
      <c r="S920" s="377"/>
      <c r="U920" s="377"/>
      <c r="V920" s="377"/>
      <c r="W920" s="377"/>
      <c r="X920" s="377"/>
      <c r="Z920" s="77"/>
      <c r="AA920" s="377"/>
      <c r="AB920" s="377"/>
      <c r="AC920" s="377"/>
      <c r="AE920" s="77"/>
      <c r="AF920" s="377"/>
      <c r="AG920" s="377"/>
      <c r="AH920" s="377"/>
      <c r="AJ920" s="77"/>
      <c r="AK920" s="77"/>
      <c r="AL920" s="77"/>
      <c r="AM920" s="77"/>
      <c r="AN920" s="77"/>
    </row>
    <row r="921" spans="12:40">
      <c r="L921" s="377"/>
      <c r="M921" s="377"/>
      <c r="N921" s="377"/>
      <c r="P921" s="377"/>
      <c r="Q921" s="377"/>
      <c r="R921" s="377"/>
      <c r="S921" s="377"/>
      <c r="U921" s="377"/>
      <c r="V921" s="377"/>
      <c r="W921" s="377"/>
      <c r="X921" s="377"/>
      <c r="Z921" s="77"/>
      <c r="AA921" s="377"/>
      <c r="AB921" s="377"/>
      <c r="AC921" s="377"/>
      <c r="AE921" s="77"/>
      <c r="AF921" s="377"/>
      <c r="AG921" s="377"/>
      <c r="AH921" s="377"/>
      <c r="AJ921" s="77"/>
      <c r="AK921" s="77"/>
      <c r="AL921" s="77"/>
      <c r="AM921" s="77"/>
      <c r="AN921" s="77"/>
    </row>
    <row r="922" spans="12:40">
      <c r="L922" s="377"/>
      <c r="M922" s="377"/>
      <c r="N922" s="377"/>
      <c r="P922" s="377"/>
      <c r="Q922" s="377"/>
      <c r="R922" s="377"/>
      <c r="S922" s="377"/>
      <c r="U922" s="377"/>
      <c r="V922" s="377"/>
      <c r="W922" s="377"/>
      <c r="X922" s="377"/>
      <c r="Z922" s="77"/>
      <c r="AA922" s="377"/>
      <c r="AB922" s="377"/>
      <c r="AC922" s="377"/>
      <c r="AE922" s="77"/>
      <c r="AF922" s="377"/>
      <c r="AG922" s="377"/>
      <c r="AH922" s="377"/>
      <c r="AJ922" s="77"/>
      <c r="AK922" s="77"/>
      <c r="AL922" s="77"/>
      <c r="AM922" s="77"/>
      <c r="AN922" s="77"/>
    </row>
    <row r="923" spans="12:40">
      <c r="L923" s="377"/>
      <c r="M923" s="377"/>
      <c r="N923" s="377"/>
      <c r="P923" s="377"/>
      <c r="Q923" s="377"/>
      <c r="R923" s="377"/>
      <c r="S923" s="377"/>
      <c r="U923" s="377"/>
      <c r="V923" s="377"/>
      <c r="W923" s="377"/>
      <c r="X923" s="377"/>
      <c r="Z923" s="77"/>
      <c r="AA923" s="377"/>
      <c r="AB923" s="377"/>
      <c r="AC923" s="377"/>
      <c r="AE923" s="77"/>
      <c r="AF923" s="377"/>
      <c r="AG923" s="377"/>
      <c r="AH923" s="377"/>
      <c r="AJ923" s="77"/>
      <c r="AK923" s="77"/>
      <c r="AL923" s="77"/>
      <c r="AM923" s="77"/>
      <c r="AN923" s="77"/>
    </row>
    <row r="924" spans="12:40">
      <c r="L924" s="377"/>
      <c r="M924" s="377"/>
      <c r="N924" s="377"/>
      <c r="P924" s="377"/>
      <c r="Q924" s="377"/>
      <c r="R924" s="377"/>
      <c r="S924" s="377"/>
      <c r="U924" s="377"/>
      <c r="V924" s="377"/>
      <c r="W924" s="377"/>
      <c r="X924" s="377"/>
      <c r="Z924" s="77"/>
      <c r="AA924" s="377"/>
      <c r="AB924" s="377"/>
      <c r="AC924" s="377"/>
      <c r="AE924" s="77"/>
      <c r="AF924" s="377"/>
      <c r="AG924" s="377"/>
      <c r="AH924" s="377"/>
      <c r="AJ924" s="77"/>
      <c r="AK924" s="77"/>
      <c r="AL924" s="77"/>
      <c r="AM924" s="77"/>
      <c r="AN924" s="77"/>
    </row>
    <row r="925" spans="12:40">
      <c r="L925" s="377"/>
      <c r="M925" s="377"/>
      <c r="N925" s="377"/>
      <c r="P925" s="377"/>
      <c r="Q925" s="377"/>
      <c r="R925" s="377"/>
      <c r="S925" s="377"/>
      <c r="U925" s="377"/>
      <c r="V925" s="377"/>
      <c r="W925" s="377"/>
      <c r="X925" s="377"/>
      <c r="Z925" s="77"/>
      <c r="AA925" s="377"/>
      <c r="AB925" s="377"/>
      <c r="AC925" s="377"/>
      <c r="AE925" s="77"/>
      <c r="AF925" s="377"/>
      <c r="AG925" s="377"/>
      <c r="AH925" s="377"/>
      <c r="AJ925" s="77"/>
      <c r="AK925" s="77"/>
      <c r="AL925" s="77"/>
      <c r="AM925" s="77"/>
      <c r="AN925" s="77"/>
    </row>
    <row r="926" spans="12:40">
      <c r="L926" s="377"/>
      <c r="M926" s="377"/>
      <c r="N926" s="377"/>
      <c r="P926" s="377"/>
      <c r="Q926" s="377"/>
      <c r="R926" s="377"/>
      <c r="S926" s="377"/>
      <c r="U926" s="377"/>
      <c r="V926" s="377"/>
      <c r="W926" s="377"/>
      <c r="X926" s="377"/>
      <c r="Z926" s="77"/>
      <c r="AA926" s="377"/>
      <c r="AB926" s="377"/>
      <c r="AC926" s="377"/>
      <c r="AE926" s="77"/>
      <c r="AF926" s="377"/>
      <c r="AG926" s="377"/>
      <c r="AH926" s="377"/>
      <c r="AJ926" s="77"/>
      <c r="AK926" s="77"/>
      <c r="AL926" s="77"/>
      <c r="AM926" s="77"/>
      <c r="AN926" s="77"/>
    </row>
    <row r="927" spans="12:40">
      <c r="L927" s="377"/>
      <c r="M927" s="377"/>
      <c r="N927" s="377"/>
      <c r="P927" s="377"/>
      <c r="Q927" s="377"/>
      <c r="R927" s="377"/>
      <c r="S927" s="377"/>
      <c r="U927" s="377"/>
      <c r="V927" s="377"/>
      <c r="W927" s="377"/>
      <c r="X927" s="377"/>
      <c r="Z927" s="77"/>
      <c r="AA927" s="377"/>
      <c r="AB927" s="377"/>
      <c r="AC927" s="377"/>
      <c r="AE927" s="77"/>
      <c r="AF927" s="377"/>
      <c r="AG927" s="377"/>
      <c r="AH927" s="377"/>
      <c r="AJ927" s="77"/>
      <c r="AK927" s="77"/>
      <c r="AL927" s="77"/>
      <c r="AM927" s="77"/>
      <c r="AN927" s="77"/>
    </row>
    <row r="928" spans="12:40">
      <c r="L928" s="377"/>
      <c r="M928" s="377"/>
      <c r="N928" s="377"/>
      <c r="P928" s="377"/>
      <c r="Q928" s="377"/>
      <c r="R928" s="377"/>
      <c r="S928" s="377"/>
      <c r="U928" s="377"/>
      <c r="V928" s="377"/>
      <c r="W928" s="377"/>
      <c r="X928" s="377"/>
      <c r="Z928" s="77"/>
      <c r="AA928" s="377"/>
      <c r="AB928" s="377"/>
      <c r="AC928" s="377"/>
      <c r="AE928" s="77"/>
      <c r="AF928" s="377"/>
      <c r="AG928" s="377"/>
      <c r="AH928" s="377"/>
      <c r="AJ928" s="77"/>
      <c r="AK928" s="77"/>
      <c r="AL928" s="77"/>
      <c r="AM928" s="77"/>
      <c r="AN928" s="77"/>
    </row>
    <row r="929" spans="12:40">
      <c r="L929" s="377"/>
      <c r="M929" s="377"/>
      <c r="N929" s="377"/>
      <c r="P929" s="377"/>
      <c r="Q929" s="377"/>
      <c r="R929" s="377"/>
      <c r="S929" s="377"/>
      <c r="U929" s="377"/>
      <c r="V929" s="377"/>
      <c r="W929" s="377"/>
      <c r="X929" s="377"/>
      <c r="Z929" s="77"/>
      <c r="AA929" s="377"/>
      <c r="AB929" s="377"/>
      <c r="AC929" s="377"/>
      <c r="AE929" s="77"/>
      <c r="AF929" s="377"/>
      <c r="AG929" s="377"/>
      <c r="AH929" s="377"/>
      <c r="AJ929" s="77"/>
      <c r="AK929" s="77"/>
      <c r="AL929" s="77"/>
      <c r="AM929" s="77"/>
      <c r="AN929" s="77"/>
    </row>
    <row r="930" spans="12:40">
      <c r="L930" s="377"/>
      <c r="M930" s="377"/>
      <c r="N930" s="377"/>
      <c r="P930" s="377"/>
      <c r="Q930" s="377"/>
      <c r="R930" s="377"/>
      <c r="S930" s="377"/>
      <c r="U930" s="377"/>
      <c r="V930" s="377"/>
      <c r="W930" s="377"/>
      <c r="X930" s="377"/>
      <c r="Z930" s="77"/>
      <c r="AA930" s="377"/>
      <c r="AB930" s="377"/>
      <c r="AC930" s="377"/>
      <c r="AE930" s="77"/>
      <c r="AF930" s="377"/>
      <c r="AG930" s="377"/>
      <c r="AH930" s="377"/>
      <c r="AJ930" s="77"/>
      <c r="AK930" s="77"/>
      <c r="AL930" s="77"/>
      <c r="AM930" s="77"/>
      <c r="AN930" s="77"/>
    </row>
    <row r="931" spans="12:40">
      <c r="L931" s="377"/>
      <c r="M931" s="377"/>
      <c r="N931" s="377"/>
      <c r="P931" s="377"/>
      <c r="Q931" s="377"/>
      <c r="R931" s="377"/>
      <c r="S931" s="377"/>
      <c r="U931" s="377"/>
      <c r="V931" s="377"/>
      <c r="W931" s="377"/>
      <c r="X931" s="377"/>
      <c r="Z931" s="77"/>
      <c r="AA931" s="377"/>
      <c r="AB931" s="377"/>
      <c r="AC931" s="377"/>
      <c r="AE931" s="77"/>
      <c r="AF931" s="377"/>
      <c r="AG931" s="377"/>
      <c r="AH931" s="377"/>
      <c r="AJ931" s="77"/>
      <c r="AK931" s="77"/>
      <c r="AL931" s="77"/>
      <c r="AM931" s="77"/>
      <c r="AN931" s="77"/>
    </row>
    <row r="932" spans="12:40">
      <c r="L932" s="377"/>
      <c r="M932" s="377"/>
      <c r="N932" s="377"/>
      <c r="P932" s="377"/>
      <c r="Q932" s="377"/>
      <c r="R932" s="377"/>
      <c r="S932" s="377"/>
      <c r="U932" s="377"/>
      <c r="V932" s="377"/>
      <c r="W932" s="377"/>
      <c r="X932" s="377"/>
      <c r="Z932" s="77"/>
      <c r="AA932" s="377"/>
      <c r="AB932" s="377"/>
      <c r="AC932" s="377"/>
      <c r="AE932" s="77"/>
      <c r="AF932" s="377"/>
      <c r="AG932" s="377"/>
      <c r="AH932" s="377"/>
      <c r="AJ932" s="77"/>
      <c r="AK932" s="77"/>
      <c r="AL932" s="77"/>
      <c r="AM932" s="77"/>
      <c r="AN932" s="77"/>
    </row>
    <row r="933" spans="12:40">
      <c r="L933" s="377"/>
      <c r="M933" s="377"/>
      <c r="N933" s="377"/>
      <c r="P933" s="377"/>
      <c r="Q933" s="377"/>
      <c r="R933" s="377"/>
      <c r="S933" s="377"/>
      <c r="U933" s="377"/>
      <c r="V933" s="377"/>
      <c r="W933" s="377"/>
      <c r="X933" s="377"/>
      <c r="Z933" s="77"/>
      <c r="AA933" s="377"/>
      <c r="AB933" s="377"/>
      <c r="AC933" s="377"/>
      <c r="AE933" s="77"/>
      <c r="AF933" s="377"/>
      <c r="AG933" s="377"/>
      <c r="AH933" s="377"/>
      <c r="AJ933" s="77"/>
      <c r="AK933" s="77"/>
      <c r="AL933" s="77"/>
      <c r="AM933" s="77"/>
      <c r="AN933" s="77"/>
    </row>
    <row r="934" spans="12:40">
      <c r="L934" s="377"/>
      <c r="M934" s="377"/>
      <c r="N934" s="377"/>
      <c r="P934" s="377"/>
      <c r="Q934" s="377"/>
      <c r="R934" s="377"/>
      <c r="S934" s="377"/>
      <c r="U934" s="377"/>
      <c r="V934" s="377"/>
      <c r="W934" s="377"/>
      <c r="X934" s="377"/>
      <c r="Z934" s="77"/>
      <c r="AA934" s="377"/>
      <c r="AB934" s="377"/>
      <c r="AC934" s="377"/>
      <c r="AE934" s="77"/>
      <c r="AF934" s="377"/>
      <c r="AG934" s="377"/>
      <c r="AH934" s="377"/>
      <c r="AJ934" s="77"/>
      <c r="AK934" s="77"/>
      <c r="AL934" s="77"/>
      <c r="AM934" s="77"/>
      <c r="AN934" s="77"/>
    </row>
    <row r="935" spans="12:40">
      <c r="L935" s="377"/>
      <c r="M935" s="377"/>
      <c r="N935" s="377"/>
      <c r="P935" s="377"/>
      <c r="Q935" s="377"/>
      <c r="R935" s="377"/>
      <c r="S935" s="377"/>
      <c r="U935" s="377"/>
      <c r="V935" s="377"/>
      <c r="W935" s="377"/>
      <c r="X935" s="377"/>
      <c r="Z935" s="77"/>
      <c r="AA935" s="377"/>
      <c r="AB935" s="377"/>
      <c r="AC935" s="377"/>
      <c r="AE935" s="77"/>
      <c r="AF935" s="377"/>
      <c r="AG935" s="377"/>
      <c r="AH935" s="377"/>
      <c r="AJ935" s="77"/>
      <c r="AK935" s="77"/>
      <c r="AL935" s="77"/>
      <c r="AM935" s="77"/>
      <c r="AN935" s="77"/>
    </row>
    <row r="936" spans="12:40">
      <c r="L936" s="377"/>
      <c r="M936" s="377"/>
      <c r="N936" s="377"/>
      <c r="P936" s="377"/>
      <c r="Q936" s="377"/>
      <c r="R936" s="377"/>
      <c r="S936" s="377"/>
      <c r="U936" s="377"/>
      <c r="V936" s="377"/>
      <c r="W936" s="377"/>
      <c r="X936" s="377"/>
      <c r="Z936" s="77"/>
      <c r="AA936" s="377"/>
      <c r="AB936" s="377"/>
      <c r="AC936" s="377"/>
      <c r="AE936" s="77"/>
      <c r="AF936" s="377"/>
      <c r="AG936" s="377"/>
      <c r="AH936" s="377"/>
      <c r="AJ936" s="77"/>
      <c r="AK936" s="77"/>
      <c r="AL936" s="77"/>
      <c r="AM936" s="77"/>
      <c r="AN936" s="77"/>
    </row>
    <row r="937" spans="12:40">
      <c r="L937" s="377"/>
      <c r="M937" s="377"/>
      <c r="N937" s="377"/>
      <c r="P937" s="377"/>
      <c r="Q937" s="377"/>
      <c r="R937" s="377"/>
      <c r="S937" s="377"/>
      <c r="U937" s="377"/>
      <c r="V937" s="377"/>
      <c r="W937" s="377"/>
      <c r="X937" s="377"/>
      <c r="Z937" s="77"/>
      <c r="AA937" s="377"/>
      <c r="AB937" s="377"/>
      <c r="AC937" s="377"/>
      <c r="AE937" s="77"/>
      <c r="AF937" s="377"/>
      <c r="AG937" s="377"/>
      <c r="AH937" s="377"/>
      <c r="AJ937" s="77"/>
      <c r="AK937" s="77"/>
      <c r="AL937" s="77"/>
      <c r="AM937" s="77"/>
      <c r="AN937" s="77"/>
    </row>
    <row r="938" spans="12:40">
      <c r="L938" s="377"/>
      <c r="M938" s="377"/>
      <c r="N938" s="377"/>
      <c r="P938" s="377"/>
      <c r="Q938" s="377"/>
      <c r="R938" s="377"/>
      <c r="S938" s="377"/>
      <c r="U938" s="377"/>
      <c r="V938" s="377"/>
      <c r="W938" s="377"/>
      <c r="X938" s="377"/>
      <c r="Z938" s="77"/>
      <c r="AA938" s="377"/>
      <c r="AB938" s="377"/>
      <c r="AC938" s="377"/>
      <c r="AE938" s="77"/>
      <c r="AF938" s="377"/>
      <c r="AG938" s="377"/>
      <c r="AH938" s="377"/>
      <c r="AJ938" s="77"/>
      <c r="AK938" s="77"/>
      <c r="AL938" s="77"/>
      <c r="AM938" s="77"/>
      <c r="AN938" s="77"/>
    </row>
    <row r="939" spans="12:40">
      <c r="L939" s="377"/>
      <c r="M939" s="377"/>
      <c r="N939" s="377"/>
      <c r="P939" s="377"/>
      <c r="Q939" s="377"/>
      <c r="R939" s="377"/>
      <c r="S939" s="377"/>
      <c r="U939" s="377"/>
      <c r="V939" s="377"/>
      <c r="W939" s="377"/>
      <c r="X939" s="377"/>
      <c r="Z939" s="77"/>
      <c r="AA939" s="377"/>
      <c r="AB939" s="377"/>
      <c r="AC939" s="377"/>
      <c r="AE939" s="77"/>
      <c r="AF939" s="377"/>
      <c r="AG939" s="377"/>
      <c r="AH939" s="377"/>
      <c r="AJ939" s="77"/>
      <c r="AK939" s="77"/>
      <c r="AL939" s="77"/>
      <c r="AM939" s="77"/>
      <c r="AN939" s="77"/>
    </row>
    <row r="940" spans="12:40">
      <c r="L940" s="377"/>
      <c r="M940" s="377"/>
      <c r="N940" s="377"/>
      <c r="P940" s="377"/>
      <c r="Q940" s="377"/>
      <c r="R940" s="377"/>
      <c r="S940" s="377"/>
      <c r="U940" s="377"/>
      <c r="V940" s="377"/>
      <c r="W940" s="377"/>
      <c r="X940" s="377"/>
      <c r="Z940" s="77"/>
      <c r="AA940" s="377"/>
      <c r="AB940" s="377"/>
      <c r="AC940" s="377"/>
      <c r="AE940" s="77"/>
      <c r="AF940" s="377"/>
      <c r="AG940" s="377"/>
      <c r="AH940" s="377"/>
      <c r="AJ940" s="77"/>
      <c r="AK940" s="77"/>
      <c r="AL940" s="77"/>
      <c r="AM940" s="77"/>
      <c r="AN940" s="77"/>
    </row>
    <row r="941" spans="12:40">
      <c r="L941" s="377"/>
      <c r="M941" s="377"/>
      <c r="N941" s="377"/>
      <c r="P941" s="377"/>
      <c r="Q941" s="377"/>
      <c r="R941" s="377"/>
      <c r="S941" s="377"/>
      <c r="U941" s="377"/>
      <c r="V941" s="377"/>
      <c r="W941" s="377"/>
      <c r="X941" s="377"/>
      <c r="Z941" s="77"/>
      <c r="AA941" s="377"/>
      <c r="AB941" s="377"/>
      <c r="AC941" s="377"/>
      <c r="AE941" s="77"/>
      <c r="AF941" s="377"/>
      <c r="AG941" s="377"/>
      <c r="AH941" s="377"/>
      <c r="AJ941" s="77"/>
      <c r="AK941" s="77"/>
      <c r="AL941" s="77"/>
      <c r="AM941" s="77"/>
      <c r="AN941" s="77"/>
    </row>
    <row r="942" spans="12:40">
      <c r="L942" s="377"/>
      <c r="M942" s="377"/>
      <c r="N942" s="377"/>
      <c r="P942" s="377"/>
      <c r="Q942" s="377"/>
      <c r="R942" s="377"/>
      <c r="S942" s="377"/>
      <c r="U942" s="377"/>
      <c r="V942" s="377"/>
      <c r="W942" s="377"/>
      <c r="X942" s="377"/>
      <c r="Z942" s="77"/>
      <c r="AA942" s="377"/>
      <c r="AB942" s="377"/>
      <c r="AC942" s="377"/>
      <c r="AE942" s="77"/>
      <c r="AF942" s="377"/>
      <c r="AG942" s="377"/>
      <c r="AH942" s="377"/>
      <c r="AJ942" s="77"/>
      <c r="AK942" s="77"/>
      <c r="AL942" s="77"/>
      <c r="AM942" s="77"/>
      <c r="AN942" s="77"/>
    </row>
    <row r="943" spans="12:40">
      <c r="L943" s="377"/>
      <c r="M943" s="377"/>
      <c r="N943" s="377"/>
      <c r="P943" s="377"/>
      <c r="Q943" s="377"/>
      <c r="R943" s="377"/>
      <c r="S943" s="377"/>
      <c r="U943" s="377"/>
      <c r="V943" s="377"/>
      <c r="W943" s="377"/>
      <c r="X943" s="377"/>
      <c r="Z943" s="77"/>
      <c r="AA943" s="377"/>
      <c r="AB943" s="377"/>
      <c r="AC943" s="377"/>
      <c r="AE943" s="77"/>
      <c r="AF943" s="377"/>
      <c r="AG943" s="377"/>
      <c r="AH943" s="377"/>
      <c r="AJ943" s="77"/>
      <c r="AK943" s="77"/>
      <c r="AL943" s="77"/>
      <c r="AM943" s="77"/>
      <c r="AN943" s="77"/>
    </row>
    <row r="944" spans="12:40">
      <c r="L944" s="377"/>
      <c r="M944" s="377"/>
      <c r="N944" s="377"/>
      <c r="P944" s="377"/>
      <c r="Q944" s="377"/>
      <c r="R944" s="377"/>
      <c r="S944" s="377"/>
      <c r="U944" s="377"/>
      <c r="V944" s="377"/>
      <c r="W944" s="377"/>
      <c r="X944" s="377"/>
      <c r="Z944" s="77"/>
      <c r="AA944" s="377"/>
      <c r="AB944" s="377"/>
      <c r="AC944" s="377"/>
      <c r="AE944" s="77"/>
      <c r="AF944" s="377"/>
      <c r="AG944" s="377"/>
      <c r="AH944" s="377"/>
      <c r="AJ944" s="77"/>
      <c r="AK944" s="77"/>
      <c r="AL944" s="77"/>
      <c r="AM944" s="77"/>
      <c r="AN944" s="77"/>
    </row>
    <row r="945" spans="12:40">
      <c r="L945" s="377"/>
      <c r="M945" s="377"/>
      <c r="N945" s="377"/>
      <c r="P945" s="377"/>
      <c r="Q945" s="377"/>
      <c r="R945" s="377"/>
      <c r="S945" s="377"/>
      <c r="U945" s="377"/>
      <c r="V945" s="377"/>
      <c r="W945" s="377"/>
      <c r="X945" s="377"/>
      <c r="Z945" s="77"/>
      <c r="AA945" s="377"/>
      <c r="AB945" s="377"/>
      <c r="AC945" s="377"/>
      <c r="AE945" s="77"/>
      <c r="AF945" s="377"/>
      <c r="AG945" s="377"/>
      <c r="AH945" s="377"/>
      <c r="AJ945" s="77"/>
      <c r="AK945" s="77"/>
      <c r="AL945" s="77"/>
      <c r="AM945" s="77"/>
      <c r="AN945" s="77"/>
    </row>
    <row r="946" spans="12:40">
      <c r="L946" s="377"/>
      <c r="M946" s="377"/>
      <c r="N946" s="377"/>
      <c r="P946" s="377"/>
      <c r="Q946" s="377"/>
      <c r="R946" s="377"/>
      <c r="S946" s="377"/>
      <c r="U946" s="377"/>
      <c r="V946" s="377"/>
      <c r="W946" s="377"/>
      <c r="X946" s="377"/>
      <c r="Z946" s="77"/>
      <c r="AA946" s="377"/>
      <c r="AB946" s="377"/>
      <c r="AC946" s="377"/>
      <c r="AE946" s="77"/>
      <c r="AF946" s="377"/>
      <c r="AG946" s="377"/>
      <c r="AH946" s="377"/>
      <c r="AJ946" s="77"/>
      <c r="AK946" s="77"/>
      <c r="AL946" s="77"/>
      <c r="AM946" s="77"/>
      <c r="AN946" s="77"/>
    </row>
    <row r="947" spans="12:40">
      <c r="L947" s="377"/>
      <c r="M947" s="377"/>
      <c r="N947" s="377"/>
      <c r="P947" s="377"/>
      <c r="Q947" s="377"/>
      <c r="R947" s="377"/>
      <c r="S947" s="377"/>
      <c r="U947" s="377"/>
      <c r="V947" s="377"/>
      <c r="W947" s="377"/>
      <c r="X947" s="377"/>
      <c r="Z947" s="77"/>
      <c r="AA947" s="377"/>
      <c r="AB947" s="377"/>
      <c r="AC947" s="377"/>
      <c r="AE947" s="77"/>
      <c r="AF947" s="377"/>
      <c r="AG947" s="377"/>
      <c r="AH947" s="377"/>
      <c r="AJ947" s="77"/>
      <c r="AK947" s="77"/>
      <c r="AL947" s="77"/>
      <c r="AM947" s="77"/>
      <c r="AN947" s="77"/>
    </row>
    <row r="948" spans="12:40">
      <c r="L948" s="377"/>
      <c r="M948" s="377"/>
      <c r="N948" s="377"/>
      <c r="P948" s="377"/>
      <c r="Q948" s="377"/>
      <c r="R948" s="377"/>
      <c r="S948" s="377"/>
      <c r="U948" s="377"/>
      <c r="V948" s="377"/>
      <c r="W948" s="377"/>
      <c r="X948" s="377"/>
      <c r="Z948" s="77"/>
      <c r="AA948" s="377"/>
      <c r="AB948" s="377"/>
      <c r="AC948" s="377"/>
      <c r="AE948" s="77"/>
      <c r="AF948" s="377"/>
      <c r="AG948" s="377"/>
      <c r="AH948" s="377"/>
      <c r="AJ948" s="77"/>
      <c r="AK948" s="77"/>
      <c r="AL948" s="77"/>
      <c r="AM948" s="77"/>
      <c r="AN948" s="77"/>
    </row>
    <row r="949" spans="12:40">
      <c r="L949" s="377"/>
      <c r="M949" s="377"/>
      <c r="N949" s="377"/>
      <c r="P949" s="377"/>
      <c r="Q949" s="377"/>
      <c r="R949" s="377"/>
      <c r="S949" s="377"/>
      <c r="U949" s="377"/>
      <c r="V949" s="377"/>
      <c r="W949" s="377"/>
      <c r="X949" s="377"/>
      <c r="Z949" s="77"/>
      <c r="AA949" s="377"/>
      <c r="AB949" s="377"/>
      <c r="AC949" s="377"/>
      <c r="AE949" s="77"/>
      <c r="AF949" s="377"/>
      <c r="AG949" s="377"/>
      <c r="AH949" s="377"/>
      <c r="AJ949" s="77"/>
      <c r="AK949" s="77"/>
      <c r="AL949" s="77"/>
      <c r="AM949" s="77"/>
      <c r="AN949" s="77"/>
    </row>
    <row r="950" spans="12:40">
      <c r="L950" s="377"/>
      <c r="M950" s="377"/>
      <c r="N950" s="377"/>
      <c r="P950" s="377"/>
      <c r="Q950" s="377"/>
      <c r="R950" s="377"/>
      <c r="S950" s="377"/>
      <c r="U950" s="377"/>
      <c r="V950" s="377"/>
      <c r="W950" s="377"/>
      <c r="X950" s="377"/>
      <c r="Z950" s="77"/>
      <c r="AA950" s="377"/>
      <c r="AB950" s="377"/>
      <c r="AC950" s="377"/>
      <c r="AE950" s="77"/>
      <c r="AF950" s="377"/>
      <c r="AG950" s="377"/>
      <c r="AH950" s="377"/>
      <c r="AJ950" s="77"/>
      <c r="AK950" s="77"/>
      <c r="AL950" s="77"/>
      <c r="AM950" s="77"/>
      <c r="AN950" s="77"/>
    </row>
    <row r="951" spans="12:40">
      <c r="L951" s="377"/>
      <c r="M951" s="377"/>
      <c r="N951" s="377"/>
      <c r="P951" s="377"/>
      <c r="Q951" s="377"/>
      <c r="R951" s="377"/>
      <c r="S951" s="377"/>
      <c r="U951" s="377"/>
      <c r="V951" s="377"/>
      <c r="W951" s="377"/>
      <c r="X951" s="377"/>
      <c r="Z951" s="77"/>
      <c r="AA951" s="377"/>
      <c r="AB951" s="377"/>
      <c r="AC951" s="377"/>
      <c r="AE951" s="77"/>
      <c r="AF951" s="377"/>
      <c r="AG951" s="377"/>
      <c r="AH951" s="377"/>
      <c r="AJ951" s="77"/>
      <c r="AK951" s="77"/>
      <c r="AL951" s="77"/>
      <c r="AM951" s="77"/>
      <c r="AN951" s="77"/>
    </row>
    <row r="952" spans="12:40">
      <c r="L952" s="377"/>
      <c r="M952" s="377"/>
      <c r="N952" s="377"/>
      <c r="P952" s="377"/>
      <c r="Q952" s="377"/>
      <c r="R952" s="377"/>
      <c r="S952" s="377"/>
      <c r="U952" s="377"/>
      <c r="V952" s="377"/>
      <c r="W952" s="377"/>
      <c r="X952" s="377"/>
      <c r="Z952" s="77"/>
      <c r="AA952" s="377"/>
      <c r="AB952" s="377"/>
      <c r="AC952" s="377"/>
      <c r="AE952" s="77"/>
      <c r="AF952" s="377"/>
      <c r="AG952" s="377"/>
      <c r="AH952" s="377"/>
      <c r="AJ952" s="77"/>
      <c r="AK952" s="77"/>
      <c r="AL952" s="77"/>
      <c r="AM952" s="77"/>
      <c r="AN952" s="77"/>
    </row>
    <row r="953" spans="12:40">
      <c r="L953" s="377"/>
      <c r="M953" s="377"/>
      <c r="N953" s="377"/>
      <c r="P953" s="377"/>
      <c r="Q953" s="377"/>
      <c r="R953" s="377"/>
      <c r="S953" s="377"/>
      <c r="U953" s="377"/>
      <c r="V953" s="377"/>
      <c r="W953" s="377"/>
      <c r="X953" s="377"/>
      <c r="Z953" s="77"/>
      <c r="AA953" s="377"/>
      <c r="AB953" s="377"/>
      <c r="AC953" s="377"/>
      <c r="AE953" s="77"/>
      <c r="AF953" s="377"/>
      <c r="AG953" s="377"/>
      <c r="AH953" s="377"/>
      <c r="AJ953" s="77"/>
      <c r="AK953" s="77"/>
      <c r="AL953" s="77"/>
      <c r="AM953" s="77"/>
      <c r="AN953" s="77"/>
    </row>
    <row r="954" spans="12:40">
      <c r="L954" s="377"/>
      <c r="M954" s="377"/>
      <c r="N954" s="377"/>
      <c r="P954" s="377"/>
      <c r="Q954" s="377"/>
      <c r="R954" s="377"/>
      <c r="S954" s="377"/>
      <c r="U954" s="377"/>
      <c r="V954" s="377"/>
      <c r="W954" s="377"/>
      <c r="X954" s="377"/>
      <c r="Z954" s="77"/>
      <c r="AA954" s="377"/>
      <c r="AB954" s="377"/>
      <c r="AC954" s="377"/>
      <c r="AE954" s="77"/>
      <c r="AF954" s="377"/>
      <c r="AG954" s="377"/>
      <c r="AH954" s="377"/>
      <c r="AJ954" s="77"/>
      <c r="AK954" s="77"/>
      <c r="AL954" s="77"/>
      <c r="AM954" s="77"/>
      <c r="AN954" s="77"/>
    </row>
    <row r="955" spans="12:40">
      <c r="L955" s="377"/>
      <c r="M955" s="377"/>
      <c r="N955" s="377"/>
      <c r="P955" s="377"/>
      <c r="Q955" s="377"/>
      <c r="R955" s="377"/>
      <c r="S955" s="377"/>
      <c r="U955" s="377"/>
      <c r="V955" s="377"/>
      <c r="W955" s="377"/>
      <c r="X955" s="377"/>
      <c r="Z955" s="77"/>
      <c r="AA955" s="377"/>
      <c r="AB955" s="377"/>
      <c r="AC955" s="377"/>
      <c r="AE955" s="77"/>
      <c r="AF955" s="377"/>
      <c r="AG955" s="377"/>
      <c r="AH955" s="377"/>
      <c r="AJ955" s="77"/>
      <c r="AK955" s="77"/>
      <c r="AL955" s="77"/>
      <c r="AM955" s="77"/>
      <c r="AN955" s="77"/>
    </row>
    <row r="956" spans="12:40">
      <c r="L956" s="377"/>
      <c r="M956" s="377"/>
      <c r="N956" s="377"/>
      <c r="P956" s="377"/>
      <c r="Q956" s="377"/>
      <c r="R956" s="377"/>
      <c r="S956" s="377"/>
      <c r="U956" s="377"/>
      <c r="V956" s="377"/>
      <c r="W956" s="377"/>
      <c r="X956" s="377"/>
      <c r="Z956" s="77"/>
      <c r="AA956" s="377"/>
      <c r="AB956" s="377"/>
      <c r="AC956" s="377"/>
      <c r="AE956" s="77"/>
      <c r="AF956" s="377"/>
      <c r="AG956" s="377"/>
      <c r="AH956" s="377"/>
      <c r="AJ956" s="77"/>
      <c r="AK956" s="77"/>
      <c r="AL956" s="77"/>
      <c r="AM956" s="77"/>
      <c r="AN956" s="77"/>
    </row>
    <row r="957" spans="12:40">
      <c r="L957" s="377"/>
      <c r="M957" s="377"/>
      <c r="N957" s="377"/>
      <c r="P957" s="377"/>
      <c r="Q957" s="377"/>
      <c r="R957" s="377"/>
      <c r="S957" s="377"/>
      <c r="U957" s="377"/>
      <c r="V957" s="377"/>
      <c r="W957" s="377"/>
      <c r="X957" s="377"/>
      <c r="Z957" s="77"/>
      <c r="AA957" s="377"/>
      <c r="AB957" s="377"/>
      <c r="AC957" s="377"/>
      <c r="AE957" s="77"/>
      <c r="AF957" s="377"/>
      <c r="AG957" s="377"/>
      <c r="AH957" s="377"/>
      <c r="AJ957" s="77"/>
      <c r="AK957" s="77"/>
      <c r="AL957" s="77"/>
      <c r="AM957" s="77"/>
      <c r="AN957" s="77"/>
    </row>
    <row r="958" spans="12:40">
      <c r="L958" s="377"/>
      <c r="M958" s="377"/>
      <c r="N958" s="377"/>
      <c r="P958" s="377"/>
      <c r="Q958" s="377"/>
      <c r="R958" s="377"/>
      <c r="S958" s="377"/>
      <c r="U958" s="377"/>
      <c r="V958" s="377"/>
      <c r="W958" s="377"/>
      <c r="X958" s="377"/>
      <c r="Z958" s="77"/>
      <c r="AA958" s="377"/>
      <c r="AB958" s="377"/>
      <c r="AC958" s="377"/>
      <c r="AE958" s="77"/>
      <c r="AF958" s="377"/>
      <c r="AG958" s="377"/>
      <c r="AH958" s="377"/>
      <c r="AJ958" s="77"/>
      <c r="AK958" s="77"/>
      <c r="AL958" s="77"/>
      <c r="AM958" s="77"/>
      <c r="AN958" s="77"/>
    </row>
    <row r="959" spans="12:40">
      <c r="L959" s="377"/>
      <c r="M959" s="377"/>
      <c r="N959" s="377"/>
      <c r="P959" s="377"/>
      <c r="Q959" s="377"/>
      <c r="R959" s="377"/>
      <c r="S959" s="377"/>
      <c r="U959" s="377"/>
      <c r="V959" s="377"/>
      <c r="W959" s="377"/>
      <c r="X959" s="377"/>
      <c r="Z959" s="77"/>
      <c r="AA959" s="377"/>
      <c r="AB959" s="377"/>
      <c r="AC959" s="377"/>
      <c r="AE959" s="77"/>
      <c r="AF959" s="377"/>
      <c r="AG959" s="377"/>
      <c r="AH959" s="377"/>
      <c r="AJ959" s="77"/>
      <c r="AK959" s="77"/>
      <c r="AL959" s="77"/>
      <c r="AM959" s="77"/>
      <c r="AN959" s="77"/>
    </row>
    <row r="960" spans="12:40">
      <c r="L960" s="377"/>
      <c r="M960" s="377"/>
      <c r="N960" s="377"/>
      <c r="P960" s="377"/>
      <c r="Q960" s="377"/>
      <c r="R960" s="377"/>
      <c r="S960" s="377"/>
      <c r="U960" s="377"/>
      <c r="V960" s="377"/>
      <c r="W960" s="377"/>
      <c r="X960" s="377"/>
      <c r="Z960" s="77"/>
      <c r="AA960" s="377"/>
      <c r="AB960" s="377"/>
      <c r="AC960" s="377"/>
      <c r="AE960" s="77"/>
      <c r="AF960" s="377"/>
      <c r="AG960" s="377"/>
      <c r="AH960" s="377"/>
      <c r="AJ960" s="77"/>
      <c r="AK960" s="77"/>
      <c r="AL960" s="77"/>
      <c r="AM960" s="77"/>
      <c r="AN960" s="77"/>
    </row>
    <row r="961" spans="12:40">
      <c r="L961" s="377"/>
      <c r="M961" s="377"/>
      <c r="N961" s="377"/>
      <c r="P961" s="377"/>
      <c r="Q961" s="377"/>
      <c r="R961" s="377"/>
      <c r="S961" s="377"/>
      <c r="U961" s="377"/>
      <c r="V961" s="377"/>
      <c r="W961" s="377"/>
      <c r="X961" s="377"/>
      <c r="Z961" s="77"/>
      <c r="AA961" s="377"/>
      <c r="AB961" s="377"/>
      <c r="AC961" s="377"/>
      <c r="AE961" s="77"/>
      <c r="AF961" s="377"/>
      <c r="AG961" s="377"/>
      <c r="AH961" s="377"/>
      <c r="AJ961" s="77"/>
      <c r="AK961" s="77"/>
      <c r="AL961" s="77"/>
      <c r="AM961" s="77"/>
      <c r="AN961" s="77"/>
    </row>
    <row r="962" spans="12:40">
      <c r="L962" s="377"/>
      <c r="M962" s="377"/>
      <c r="N962" s="377"/>
      <c r="P962" s="377"/>
      <c r="Q962" s="377"/>
      <c r="R962" s="377"/>
      <c r="S962" s="377"/>
      <c r="U962" s="377"/>
      <c r="V962" s="377"/>
      <c r="W962" s="377"/>
      <c r="X962" s="377"/>
      <c r="Z962" s="77"/>
      <c r="AA962" s="377"/>
      <c r="AB962" s="377"/>
      <c r="AC962" s="377"/>
      <c r="AE962" s="77"/>
      <c r="AF962" s="377"/>
      <c r="AG962" s="377"/>
      <c r="AH962" s="377"/>
      <c r="AJ962" s="77"/>
      <c r="AK962" s="77"/>
      <c r="AL962" s="77"/>
      <c r="AM962" s="77"/>
      <c r="AN962" s="77"/>
    </row>
    <row r="963" spans="12:40">
      <c r="L963" s="377"/>
      <c r="M963" s="377"/>
      <c r="N963" s="377"/>
      <c r="P963" s="377"/>
      <c r="Q963" s="377"/>
      <c r="R963" s="377"/>
      <c r="S963" s="377"/>
      <c r="U963" s="377"/>
      <c r="V963" s="377"/>
      <c r="W963" s="377"/>
      <c r="X963" s="377"/>
      <c r="Z963" s="77"/>
      <c r="AA963" s="377"/>
      <c r="AB963" s="377"/>
      <c r="AC963" s="377"/>
      <c r="AE963" s="77"/>
      <c r="AF963" s="377"/>
      <c r="AG963" s="377"/>
      <c r="AH963" s="377"/>
      <c r="AJ963" s="77"/>
      <c r="AK963" s="77"/>
      <c r="AL963" s="77"/>
      <c r="AM963" s="77"/>
      <c r="AN963" s="77"/>
    </row>
    <row r="964" spans="12:40">
      <c r="L964" s="377"/>
      <c r="M964" s="377"/>
      <c r="N964" s="377"/>
      <c r="P964" s="377"/>
      <c r="Q964" s="377"/>
      <c r="R964" s="377"/>
      <c r="S964" s="377"/>
      <c r="U964" s="377"/>
      <c r="V964" s="377"/>
      <c r="W964" s="377"/>
      <c r="X964" s="377"/>
      <c r="Z964" s="77"/>
      <c r="AA964" s="377"/>
      <c r="AB964" s="377"/>
      <c r="AC964" s="377"/>
      <c r="AE964" s="77"/>
      <c r="AF964" s="377"/>
      <c r="AG964" s="377"/>
      <c r="AH964" s="377"/>
      <c r="AJ964" s="77"/>
      <c r="AK964" s="77"/>
      <c r="AL964" s="77"/>
      <c r="AM964" s="77"/>
      <c r="AN964" s="77"/>
    </row>
    <row r="965" spans="12:40">
      <c r="L965" s="377"/>
      <c r="M965" s="377"/>
      <c r="N965" s="377"/>
      <c r="P965" s="377"/>
      <c r="Q965" s="377"/>
      <c r="R965" s="377"/>
      <c r="S965" s="377"/>
      <c r="U965" s="377"/>
      <c r="V965" s="377"/>
      <c r="W965" s="377"/>
      <c r="X965" s="377"/>
      <c r="Z965" s="77"/>
      <c r="AA965" s="377"/>
      <c r="AB965" s="377"/>
      <c r="AC965" s="377"/>
      <c r="AE965" s="77"/>
      <c r="AF965" s="377"/>
      <c r="AG965" s="377"/>
      <c r="AH965" s="377"/>
      <c r="AJ965" s="77"/>
      <c r="AK965" s="77"/>
      <c r="AL965" s="77"/>
      <c r="AM965" s="77"/>
      <c r="AN965" s="77"/>
    </row>
    <row r="966" spans="12:40">
      <c r="L966" s="377"/>
      <c r="M966" s="377"/>
      <c r="N966" s="377"/>
      <c r="P966" s="377"/>
      <c r="Q966" s="377"/>
      <c r="R966" s="377"/>
      <c r="S966" s="377"/>
      <c r="U966" s="377"/>
      <c r="V966" s="377"/>
      <c r="W966" s="377"/>
      <c r="X966" s="377"/>
      <c r="Z966" s="77"/>
      <c r="AA966" s="377"/>
      <c r="AB966" s="377"/>
      <c r="AC966" s="377"/>
      <c r="AE966" s="77"/>
      <c r="AF966" s="377"/>
      <c r="AG966" s="377"/>
      <c r="AH966" s="377"/>
      <c r="AJ966" s="77"/>
      <c r="AK966" s="77"/>
      <c r="AL966" s="77"/>
      <c r="AM966" s="77"/>
      <c r="AN966" s="77"/>
    </row>
    <row r="967" spans="12:40">
      <c r="L967" s="377"/>
      <c r="M967" s="377"/>
      <c r="N967" s="377"/>
      <c r="P967" s="377"/>
      <c r="Q967" s="377"/>
      <c r="R967" s="377"/>
      <c r="S967" s="377"/>
      <c r="U967" s="377"/>
      <c r="V967" s="377"/>
      <c r="W967" s="377"/>
      <c r="X967" s="377"/>
      <c r="Z967" s="77"/>
      <c r="AA967" s="377"/>
      <c r="AB967" s="377"/>
      <c r="AC967" s="377"/>
      <c r="AE967" s="77"/>
      <c r="AF967" s="377"/>
      <c r="AG967" s="377"/>
      <c r="AH967" s="377"/>
      <c r="AJ967" s="77"/>
      <c r="AK967" s="77"/>
      <c r="AL967" s="77"/>
      <c r="AM967" s="77"/>
      <c r="AN967" s="77"/>
    </row>
    <row r="968" spans="12:40">
      <c r="L968" s="377"/>
      <c r="M968" s="377"/>
      <c r="N968" s="377"/>
      <c r="P968" s="377"/>
      <c r="Q968" s="377"/>
      <c r="R968" s="377"/>
      <c r="S968" s="377"/>
      <c r="U968" s="377"/>
      <c r="V968" s="377"/>
      <c r="W968" s="377"/>
      <c r="X968" s="377"/>
      <c r="Z968" s="77"/>
      <c r="AA968" s="377"/>
      <c r="AB968" s="377"/>
      <c r="AC968" s="377"/>
      <c r="AE968" s="77"/>
      <c r="AF968" s="377"/>
      <c r="AG968" s="377"/>
      <c r="AH968" s="377"/>
      <c r="AJ968" s="77"/>
      <c r="AK968" s="77"/>
      <c r="AL968" s="77"/>
      <c r="AM968" s="77"/>
      <c r="AN968" s="77"/>
    </row>
    <row r="969" spans="12:40">
      <c r="L969" s="377"/>
      <c r="M969" s="377"/>
      <c r="N969" s="377"/>
      <c r="P969" s="377"/>
      <c r="Q969" s="377"/>
      <c r="R969" s="377"/>
      <c r="S969" s="377"/>
      <c r="U969" s="377"/>
      <c r="V969" s="377"/>
      <c r="W969" s="377"/>
      <c r="X969" s="377"/>
      <c r="Z969" s="77"/>
      <c r="AA969" s="377"/>
      <c r="AB969" s="377"/>
      <c r="AC969" s="377"/>
      <c r="AE969" s="77"/>
      <c r="AF969" s="377"/>
      <c r="AG969" s="377"/>
      <c r="AH969" s="377"/>
      <c r="AJ969" s="77"/>
      <c r="AK969" s="77"/>
      <c r="AL969" s="77"/>
      <c r="AM969" s="77"/>
      <c r="AN969" s="77"/>
    </row>
    <row r="970" spans="12:40">
      <c r="L970" s="377"/>
      <c r="M970" s="377"/>
      <c r="N970" s="377"/>
      <c r="P970" s="377"/>
      <c r="Q970" s="377"/>
      <c r="R970" s="377"/>
      <c r="S970" s="377"/>
      <c r="U970" s="377"/>
      <c r="V970" s="377"/>
      <c r="W970" s="377"/>
      <c r="X970" s="377"/>
      <c r="Z970" s="77"/>
      <c r="AA970" s="377"/>
      <c r="AB970" s="377"/>
      <c r="AC970" s="377"/>
      <c r="AE970" s="77"/>
      <c r="AF970" s="377"/>
      <c r="AG970" s="377"/>
      <c r="AH970" s="377"/>
      <c r="AJ970" s="77"/>
      <c r="AK970" s="77"/>
      <c r="AL970" s="77"/>
      <c r="AM970" s="77"/>
      <c r="AN970" s="77"/>
    </row>
    <row r="971" spans="12:40">
      <c r="L971" s="377"/>
      <c r="M971" s="377"/>
      <c r="N971" s="377"/>
      <c r="P971" s="377"/>
      <c r="Q971" s="377"/>
      <c r="R971" s="377"/>
      <c r="S971" s="377"/>
      <c r="U971" s="377"/>
      <c r="V971" s="377"/>
      <c r="W971" s="377"/>
      <c r="X971" s="377"/>
      <c r="Z971" s="77"/>
      <c r="AA971" s="377"/>
      <c r="AB971" s="377"/>
      <c r="AC971" s="377"/>
      <c r="AE971" s="77"/>
      <c r="AF971" s="377"/>
      <c r="AG971" s="377"/>
      <c r="AH971" s="377"/>
      <c r="AJ971" s="77"/>
      <c r="AK971" s="77"/>
      <c r="AL971" s="77"/>
      <c r="AM971" s="77"/>
      <c r="AN971" s="77"/>
    </row>
    <row r="972" spans="12:40">
      <c r="L972" s="377"/>
      <c r="M972" s="377"/>
      <c r="N972" s="377"/>
      <c r="P972" s="377"/>
      <c r="Q972" s="377"/>
      <c r="R972" s="377"/>
      <c r="S972" s="377"/>
      <c r="U972" s="377"/>
      <c r="V972" s="377"/>
      <c r="W972" s="377"/>
      <c r="X972" s="377"/>
      <c r="Z972" s="77"/>
      <c r="AA972" s="377"/>
      <c r="AB972" s="377"/>
      <c r="AC972" s="377"/>
      <c r="AE972" s="77"/>
      <c r="AF972" s="377"/>
      <c r="AG972" s="377"/>
      <c r="AH972" s="377"/>
      <c r="AJ972" s="77"/>
      <c r="AK972" s="77"/>
      <c r="AL972" s="77"/>
      <c r="AM972" s="77"/>
      <c r="AN972" s="77"/>
    </row>
    <row r="973" spans="12:40">
      <c r="L973" s="377"/>
      <c r="M973" s="377"/>
      <c r="N973" s="377"/>
      <c r="P973" s="377"/>
      <c r="Q973" s="377"/>
      <c r="R973" s="377"/>
      <c r="S973" s="377"/>
      <c r="U973" s="377"/>
      <c r="V973" s="377"/>
      <c r="W973" s="377"/>
      <c r="X973" s="377"/>
      <c r="Z973" s="77"/>
      <c r="AA973" s="377"/>
      <c r="AB973" s="377"/>
      <c r="AC973" s="377"/>
      <c r="AE973" s="77"/>
      <c r="AF973" s="377"/>
      <c r="AG973" s="377"/>
      <c r="AH973" s="377"/>
      <c r="AJ973" s="77"/>
      <c r="AK973" s="77"/>
      <c r="AL973" s="77"/>
      <c r="AM973" s="77"/>
      <c r="AN973" s="77"/>
    </row>
    <row r="974" spans="12:40">
      <c r="L974" s="377"/>
      <c r="M974" s="377"/>
      <c r="N974" s="377"/>
      <c r="P974" s="377"/>
      <c r="Q974" s="377"/>
      <c r="R974" s="377"/>
      <c r="S974" s="377"/>
      <c r="U974" s="377"/>
      <c r="V974" s="377"/>
      <c r="W974" s="377"/>
      <c r="X974" s="377"/>
      <c r="Z974" s="77"/>
      <c r="AA974" s="377"/>
      <c r="AB974" s="377"/>
      <c r="AC974" s="377"/>
      <c r="AE974" s="77"/>
      <c r="AF974" s="377"/>
      <c r="AG974" s="377"/>
      <c r="AH974" s="377"/>
      <c r="AJ974" s="77"/>
      <c r="AK974" s="77"/>
      <c r="AL974" s="77"/>
      <c r="AM974" s="77"/>
      <c r="AN974" s="77"/>
    </row>
    <row r="975" spans="12:40">
      <c r="L975" s="377"/>
      <c r="M975" s="377"/>
      <c r="N975" s="377"/>
      <c r="P975" s="377"/>
      <c r="Q975" s="377"/>
      <c r="R975" s="377"/>
      <c r="S975" s="377"/>
      <c r="U975" s="377"/>
      <c r="V975" s="377"/>
      <c r="W975" s="377"/>
      <c r="X975" s="377"/>
      <c r="Z975" s="77"/>
      <c r="AA975" s="377"/>
      <c r="AB975" s="377"/>
      <c r="AC975" s="377"/>
      <c r="AE975" s="77"/>
      <c r="AF975" s="377"/>
      <c r="AG975" s="377"/>
      <c r="AH975" s="377"/>
      <c r="AJ975" s="77"/>
      <c r="AK975" s="77"/>
      <c r="AL975" s="77"/>
      <c r="AM975" s="77"/>
      <c r="AN975" s="77"/>
    </row>
    <row r="976" spans="12:40">
      <c r="L976" s="377"/>
      <c r="M976" s="377"/>
      <c r="N976" s="377"/>
      <c r="P976" s="377"/>
      <c r="Q976" s="377"/>
      <c r="R976" s="377"/>
      <c r="S976" s="377"/>
      <c r="U976" s="377"/>
      <c r="V976" s="377"/>
      <c r="W976" s="377"/>
      <c r="X976" s="377"/>
      <c r="Z976" s="77"/>
      <c r="AA976" s="377"/>
      <c r="AB976" s="377"/>
      <c r="AC976" s="377"/>
      <c r="AE976" s="77"/>
      <c r="AF976" s="377"/>
      <c r="AG976" s="377"/>
      <c r="AH976" s="377"/>
      <c r="AJ976" s="77"/>
      <c r="AK976" s="77"/>
      <c r="AL976" s="77"/>
      <c r="AM976" s="77"/>
      <c r="AN976" s="77"/>
    </row>
    <row r="977" spans="12:40">
      <c r="L977" s="377"/>
      <c r="M977" s="377"/>
      <c r="N977" s="377"/>
      <c r="P977" s="377"/>
      <c r="Q977" s="377"/>
      <c r="R977" s="377"/>
      <c r="S977" s="377"/>
      <c r="U977" s="377"/>
      <c r="V977" s="377"/>
      <c r="W977" s="377"/>
      <c r="X977" s="377"/>
      <c r="Z977" s="77"/>
      <c r="AA977" s="377"/>
      <c r="AB977" s="377"/>
      <c r="AC977" s="377"/>
      <c r="AE977" s="77"/>
      <c r="AF977" s="377"/>
      <c r="AG977" s="377"/>
      <c r="AH977" s="377"/>
      <c r="AJ977" s="77"/>
      <c r="AK977" s="77"/>
      <c r="AL977" s="77"/>
      <c r="AM977" s="77"/>
      <c r="AN977" s="77"/>
    </row>
    <row r="978" spans="12:40">
      <c r="L978" s="377"/>
      <c r="M978" s="377"/>
      <c r="N978" s="377"/>
      <c r="P978" s="377"/>
      <c r="Q978" s="377"/>
      <c r="R978" s="377"/>
      <c r="S978" s="377"/>
      <c r="U978" s="377"/>
      <c r="V978" s="377"/>
      <c r="W978" s="377"/>
      <c r="X978" s="377"/>
      <c r="Z978" s="77"/>
      <c r="AA978" s="377"/>
      <c r="AB978" s="377"/>
      <c r="AC978" s="377"/>
      <c r="AE978" s="77"/>
      <c r="AF978" s="377"/>
      <c r="AG978" s="377"/>
      <c r="AH978" s="377"/>
      <c r="AJ978" s="77"/>
      <c r="AK978" s="77"/>
      <c r="AL978" s="77"/>
      <c r="AM978" s="77"/>
      <c r="AN978" s="77"/>
    </row>
    <row r="979" spans="12:40">
      <c r="L979" s="377"/>
      <c r="M979" s="377"/>
      <c r="N979" s="377"/>
      <c r="P979" s="377"/>
      <c r="Q979" s="377"/>
      <c r="R979" s="377"/>
      <c r="S979" s="377"/>
      <c r="U979" s="377"/>
      <c r="V979" s="377"/>
      <c r="W979" s="377"/>
      <c r="X979" s="377"/>
      <c r="Z979" s="77"/>
      <c r="AA979" s="377"/>
      <c r="AB979" s="377"/>
      <c r="AC979" s="377"/>
      <c r="AE979" s="77"/>
      <c r="AF979" s="377"/>
      <c r="AG979" s="377"/>
      <c r="AH979" s="377"/>
      <c r="AJ979" s="77"/>
      <c r="AK979" s="77"/>
      <c r="AL979" s="77"/>
      <c r="AM979" s="77"/>
      <c r="AN979" s="77"/>
    </row>
    <row r="980" spans="12:40">
      <c r="L980" s="377"/>
      <c r="M980" s="377"/>
      <c r="N980" s="377"/>
      <c r="P980" s="377"/>
      <c r="Q980" s="377"/>
      <c r="R980" s="377"/>
      <c r="S980" s="377"/>
      <c r="U980" s="377"/>
      <c r="V980" s="377"/>
      <c r="W980" s="377"/>
      <c r="X980" s="377"/>
      <c r="Z980" s="77"/>
      <c r="AA980" s="377"/>
      <c r="AB980" s="377"/>
      <c r="AC980" s="377"/>
      <c r="AE980" s="77"/>
      <c r="AF980" s="377"/>
      <c r="AG980" s="377"/>
      <c r="AH980" s="377"/>
      <c r="AJ980" s="77"/>
      <c r="AK980" s="77"/>
      <c r="AL980" s="77"/>
      <c r="AM980" s="77"/>
      <c r="AN980" s="77"/>
    </row>
    <row r="981" spans="12:40">
      <c r="L981" s="377"/>
      <c r="M981" s="377"/>
      <c r="N981" s="377"/>
      <c r="P981" s="377"/>
      <c r="Q981" s="377"/>
      <c r="R981" s="377"/>
      <c r="S981" s="377"/>
      <c r="U981" s="377"/>
      <c r="V981" s="377"/>
      <c r="W981" s="377"/>
      <c r="X981" s="377"/>
      <c r="Z981" s="77"/>
      <c r="AA981" s="377"/>
      <c r="AB981" s="377"/>
      <c r="AC981" s="377"/>
      <c r="AE981" s="77"/>
      <c r="AF981" s="377"/>
      <c r="AG981" s="377"/>
      <c r="AH981" s="377"/>
      <c r="AJ981" s="77"/>
      <c r="AK981" s="77"/>
      <c r="AL981" s="77"/>
      <c r="AM981" s="77"/>
      <c r="AN981" s="77"/>
    </row>
    <row r="982" spans="12:40">
      <c r="L982" s="377"/>
      <c r="M982" s="377"/>
      <c r="N982" s="377"/>
      <c r="P982" s="377"/>
      <c r="Q982" s="377"/>
      <c r="R982" s="377"/>
      <c r="S982" s="377"/>
      <c r="U982" s="377"/>
      <c r="V982" s="377"/>
      <c r="W982" s="377"/>
      <c r="X982" s="377"/>
      <c r="Z982" s="77"/>
      <c r="AA982" s="377"/>
      <c r="AB982" s="377"/>
      <c r="AC982" s="377"/>
      <c r="AE982" s="77"/>
      <c r="AF982" s="377"/>
      <c r="AG982" s="377"/>
      <c r="AH982" s="377"/>
      <c r="AJ982" s="77"/>
      <c r="AK982" s="77"/>
      <c r="AL982" s="77"/>
      <c r="AM982" s="77"/>
      <c r="AN982" s="77"/>
    </row>
    <row r="983" spans="12:40">
      <c r="L983" s="377"/>
      <c r="M983" s="377"/>
      <c r="N983" s="377"/>
      <c r="P983" s="377"/>
      <c r="Q983" s="377"/>
      <c r="R983" s="377"/>
      <c r="S983" s="377"/>
      <c r="U983" s="377"/>
      <c r="V983" s="377"/>
      <c r="W983" s="377"/>
      <c r="X983" s="377"/>
      <c r="Z983" s="77"/>
      <c r="AA983" s="377"/>
      <c r="AB983" s="377"/>
      <c r="AC983" s="377"/>
      <c r="AE983" s="77"/>
      <c r="AF983" s="377"/>
      <c r="AG983" s="377"/>
      <c r="AH983" s="377"/>
      <c r="AJ983" s="77"/>
      <c r="AK983" s="77"/>
      <c r="AL983" s="77"/>
      <c r="AM983" s="77"/>
      <c r="AN983" s="77"/>
    </row>
    <row r="984" spans="12:40">
      <c r="L984" s="377"/>
      <c r="M984" s="377"/>
      <c r="N984" s="377"/>
      <c r="P984" s="377"/>
      <c r="Q984" s="377"/>
      <c r="R984" s="377"/>
      <c r="S984" s="377"/>
      <c r="U984" s="377"/>
      <c r="V984" s="377"/>
      <c r="W984" s="377"/>
      <c r="X984" s="377"/>
      <c r="Z984" s="77"/>
      <c r="AA984" s="377"/>
      <c r="AB984" s="377"/>
      <c r="AC984" s="377"/>
      <c r="AE984" s="77"/>
      <c r="AF984" s="377"/>
      <c r="AG984" s="377"/>
      <c r="AH984" s="377"/>
      <c r="AJ984" s="77"/>
      <c r="AK984" s="77"/>
      <c r="AL984" s="77"/>
      <c r="AM984" s="77"/>
      <c r="AN984" s="77"/>
    </row>
    <row r="985" spans="12:40">
      <c r="L985" s="377"/>
      <c r="M985" s="377"/>
      <c r="N985" s="377"/>
      <c r="P985" s="377"/>
      <c r="Q985" s="377"/>
      <c r="R985" s="377"/>
      <c r="S985" s="377"/>
      <c r="U985" s="377"/>
      <c r="V985" s="377"/>
      <c r="W985" s="377"/>
      <c r="X985" s="377"/>
      <c r="Z985" s="77"/>
      <c r="AA985" s="377"/>
      <c r="AB985" s="377"/>
      <c r="AC985" s="377"/>
      <c r="AE985" s="77"/>
      <c r="AF985" s="377"/>
      <c r="AG985" s="377"/>
      <c r="AH985" s="377"/>
      <c r="AJ985" s="77"/>
      <c r="AK985" s="77"/>
      <c r="AL985" s="77"/>
      <c r="AM985" s="77"/>
      <c r="AN985" s="77"/>
    </row>
    <row r="986" spans="12:40">
      <c r="L986" s="377"/>
      <c r="M986" s="377"/>
      <c r="N986" s="377"/>
      <c r="P986" s="377"/>
      <c r="Q986" s="377"/>
      <c r="R986" s="377"/>
      <c r="S986" s="377"/>
      <c r="U986" s="377"/>
      <c r="V986" s="377"/>
      <c r="W986" s="377"/>
      <c r="X986" s="377"/>
      <c r="Z986" s="77"/>
      <c r="AA986" s="377"/>
      <c r="AB986" s="377"/>
      <c r="AC986" s="377"/>
      <c r="AE986" s="77"/>
      <c r="AF986" s="377"/>
      <c r="AG986" s="377"/>
      <c r="AH986" s="377"/>
      <c r="AJ986" s="77"/>
      <c r="AK986" s="77"/>
      <c r="AL986" s="77"/>
      <c r="AM986" s="77"/>
      <c r="AN986" s="77"/>
    </row>
    <row r="987" spans="12:40">
      <c r="L987" s="377"/>
      <c r="M987" s="377"/>
      <c r="N987" s="377"/>
      <c r="P987" s="377"/>
      <c r="Q987" s="377"/>
      <c r="R987" s="377"/>
      <c r="S987" s="377"/>
      <c r="U987" s="377"/>
      <c r="V987" s="377"/>
      <c r="W987" s="377"/>
      <c r="X987" s="377"/>
      <c r="Z987" s="77"/>
      <c r="AA987" s="377"/>
      <c r="AB987" s="377"/>
      <c r="AC987" s="377"/>
      <c r="AE987" s="77"/>
      <c r="AF987" s="377"/>
      <c r="AG987" s="377"/>
      <c r="AH987" s="377"/>
      <c r="AJ987" s="77"/>
      <c r="AK987" s="77"/>
      <c r="AL987" s="77"/>
      <c r="AM987" s="77"/>
      <c r="AN987" s="77"/>
    </row>
    <row r="988" spans="12:40">
      <c r="L988" s="377"/>
      <c r="M988" s="377"/>
      <c r="N988" s="377"/>
      <c r="P988" s="377"/>
      <c r="Q988" s="377"/>
      <c r="R988" s="377"/>
      <c r="S988" s="377"/>
      <c r="U988" s="377"/>
      <c r="V988" s="377"/>
      <c r="W988" s="377"/>
      <c r="X988" s="377"/>
      <c r="Z988" s="77"/>
      <c r="AA988" s="377"/>
      <c r="AB988" s="377"/>
      <c r="AC988" s="377"/>
      <c r="AE988" s="77"/>
      <c r="AF988" s="377"/>
      <c r="AG988" s="377"/>
      <c r="AH988" s="377"/>
      <c r="AJ988" s="77"/>
      <c r="AK988" s="77"/>
      <c r="AL988" s="77"/>
      <c r="AM988" s="77"/>
      <c r="AN988" s="77"/>
    </row>
    <row r="989" spans="12:40">
      <c r="L989" s="377"/>
      <c r="M989" s="377"/>
      <c r="N989" s="377"/>
      <c r="P989" s="377"/>
      <c r="Q989" s="377"/>
      <c r="R989" s="377"/>
      <c r="S989" s="377"/>
      <c r="U989" s="377"/>
      <c r="V989" s="377"/>
      <c r="W989" s="377"/>
      <c r="X989" s="377"/>
      <c r="Z989" s="77"/>
      <c r="AA989" s="377"/>
      <c r="AB989" s="377"/>
      <c r="AC989" s="377"/>
      <c r="AE989" s="77"/>
      <c r="AF989" s="377"/>
      <c r="AG989" s="377"/>
      <c r="AH989" s="377"/>
      <c r="AJ989" s="77"/>
      <c r="AK989" s="77"/>
      <c r="AL989" s="77"/>
      <c r="AM989" s="77"/>
      <c r="AN989" s="77"/>
    </row>
    <row r="990" spans="12:40">
      <c r="L990" s="377"/>
      <c r="M990" s="377"/>
      <c r="N990" s="377"/>
      <c r="P990" s="377"/>
      <c r="Q990" s="377"/>
      <c r="R990" s="377"/>
      <c r="S990" s="377"/>
      <c r="U990" s="377"/>
      <c r="V990" s="377"/>
      <c r="W990" s="377"/>
      <c r="X990" s="377"/>
      <c r="Z990" s="77"/>
      <c r="AA990" s="377"/>
      <c r="AB990" s="377"/>
      <c r="AC990" s="377"/>
      <c r="AE990" s="77"/>
      <c r="AF990" s="377"/>
      <c r="AG990" s="377"/>
      <c r="AH990" s="377"/>
      <c r="AJ990" s="77"/>
      <c r="AK990" s="77"/>
      <c r="AL990" s="77"/>
      <c r="AM990" s="77"/>
      <c r="AN990" s="77"/>
    </row>
    <row r="991" spans="12:40">
      <c r="L991" s="377"/>
      <c r="M991" s="377"/>
      <c r="N991" s="377"/>
      <c r="P991" s="377"/>
      <c r="Q991" s="377"/>
      <c r="R991" s="377"/>
      <c r="S991" s="377"/>
      <c r="U991" s="377"/>
      <c r="V991" s="377"/>
      <c r="W991" s="377"/>
      <c r="X991" s="377"/>
      <c r="Z991" s="77"/>
      <c r="AA991" s="377"/>
      <c r="AB991" s="377"/>
      <c r="AC991" s="377"/>
      <c r="AE991" s="77"/>
      <c r="AF991" s="377"/>
      <c r="AG991" s="377"/>
      <c r="AH991" s="377"/>
      <c r="AJ991" s="77"/>
      <c r="AK991" s="77"/>
      <c r="AL991" s="77"/>
      <c r="AM991" s="77"/>
      <c r="AN991" s="77"/>
    </row>
    <row r="992" spans="12:40">
      <c r="L992" s="377"/>
      <c r="M992" s="377"/>
      <c r="N992" s="377"/>
      <c r="P992" s="377"/>
      <c r="Q992" s="377"/>
      <c r="R992" s="377"/>
      <c r="S992" s="377"/>
      <c r="U992" s="377"/>
      <c r="V992" s="377"/>
      <c r="W992" s="377"/>
      <c r="X992" s="377"/>
      <c r="Z992" s="77"/>
      <c r="AA992" s="377"/>
      <c r="AB992" s="377"/>
      <c r="AC992" s="377"/>
      <c r="AE992" s="77"/>
      <c r="AF992" s="377"/>
      <c r="AG992" s="377"/>
      <c r="AH992" s="377"/>
      <c r="AJ992" s="77"/>
      <c r="AK992" s="77"/>
      <c r="AL992" s="77"/>
      <c r="AM992" s="77"/>
      <c r="AN992" s="77"/>
    </row>
    <row r="993" spans="12:40">
      <c r="L993" s="377"/>
      <c r="M993" s="377"/>
      <c r="N993" s="377"/>
      <c r="P993" s="377"/>
      <c r="Q993" s="377"/>
      <c r="R993" s="377"/>
      <c r="S993" s="377"/>
      <c r="U993" s="377"/>
      <c r="V993" s="377"/>
      <c r="W993" s="377"/>
      <c r="X993" s="377"/>
      <c r="Z993" s="77"/>
      <c r="AA993" s="377"/>
      <c r="AB993" s="377"/>
      <c r="AC993" s="377"/>
      <c r="AE993" s="77"/>
      <c r="AF993" s="377"/>
      <c r="AG993" s="377"/>
      <c r="AH993" s="377"/>
      <c r="AJ993" s="77"/>
      <c r="AK993" s="77"/>
      <c r="AL993" s="77"/>
      <c r="AM993" s="77"/>
      <c r="AN993" s="77"/>
    </row>
    <row r="994" spans="12:40">
      <c r="L994" s="377"/>
      <c r="M994" s="377"/>
      <c r="N994" s="377"/>
      <c r="P994" s="377"/>
      <c r="Q994" s="377"/>
      <c r="R994" s="377"/>
      <c r="S994" s="377"/>
      <c r="U994" s="377"/>
      <c r="V994" s="377"/>
      <c r="W994" s="377"/>
      <c r="X994" s="377"/>
      <c r="Z994" s="77"/>
      <c r="AA994" s="377"/>
      <c r="AB994" s="377"/>
      <c r="AC994" s="377"/>
      <c r="AE994" s="77"/>
      <c r="AF994" s="377"/>
      <c r="AG994" s="377"/>
      <c r="AH994" s="377"/>
      <c r="AJ994" s="77"/>
      <c r="AK994" s="77"/>
      <c r="AL994" s="77"/>
      <c r="AM994" s="77"/>
      <c r="AN994" s="77"/>
    </row>
    <row r="995" spans="12:40">
      <c r="L995" s="377"/>
      <c r="M995" s="377"/>
      <c r="N995" s="377"/>
      <c r="P995" s="377"/>
      <c r="Q995" s="377"/>
      <c r="R995" s="377"/>
      <c r="S995" s="377"/>
      <c r="U995" s="377"/>
      <c r="V995" s="377"/>
      <c r="W995" s="377"/>
      <c r="X995" s="377"/>
      <c r="Z995" s="77"/>
      <c r="AA995" s="377"/>
      <c r="AB995" s="377"/>
      <c r="AC995" s="377"/>
      <c r="AE995" s="77"/>
      <c r="AF995" s="377"/>
      <c r="AG995" s="377"/>
      <c r="AH995" s="377"/>
      <c r="AJ995" s="77"/>
      <c r="AK995" s="77"/>
      <c r="AL995" s="77"/>
      <c r="AM995" s="77"/>
      <c r="AN995" s="77"/>
    </row>
    <row r="996" spans="12:40">
      <c r="L996" s="377"/>
      <c r="M996" s="377"/>
      <c r="N996" s="377"/>
      <c r="P996" s="377"/>
      <c r="Q996" s="377"/>
      <c r="R996" s="377"/>
      <c r="S996" s="377"/>
      <c r="U996" s="377"/>
      <c r="V996" s="377"/>
      <c r="W996" s="377"/>
      <c r="X996" s="377"/>
      <c r="Z996" s="77"/>
      <c r="AA996" s="377"/>
      <c r="AB996" s="377"/>
      <c r="AC996" s="377"/>
      <c r="AE996" s="77"/>
      <c r="AF996" s="377"/>
      <c r="AG996" s="377"/>
      <c r="AH996" s="377"/>
      <c r="AJ996" s="77"/>
      <c r="AK996" s="77"/>
      <c r="AL996" s="77"/>
      <c r="AM996" s="77"/>
      <c r="AN996" s="77"/>
    </row>
    <row r="997" spans="12:40">
      <c r="L997" s="377"/>
      <c r="M997" s="377"/>
      <c r="N997" s="377"/>
      <c r="P997" s="377"/>
      <c r="Q997" s="377"/>
      <c r="R997" s="377"/>
      <c r="S997" s="377"/>
      <c r="U997" s="377"/>
      <c r="V997" s="377"/>
      <c r="W997" s="377"/>
      <c r="X997" s="377"/>
      <c r="Z997" s="77"/>
      <c r="AA997" s="377"/>
      <c r="AB997" s="377"/>
      <c r="AC997" s="377"/>
      <c r="AE997" s="77"/>
      <c r="AF997" s="377"/>
      <c r="AG997" s="377"/>
      <c r="AH997" s="377"/>
      <c r="AJ997" s="77"/>
      <c r="AK997" s="77"/>
      <c r="AL997" s="77"/>
      <c r="AM997" s="77"/>
      <c r="AN997" s="77"/>
    </row>
    <row r="998" spans="12:40">
      <c r="L998" s="377"/>
      <c r="M998" s="377"/>
      <c r="N998" s="377"/>
      <c r="P998" s="377"/>
      <c r="Q998" s="377"/>
      <c r="R998" s="377"/>
      <c r="S998" s="377"/>
      <c r="U998" s="377"/>
      <c r="V998" s="377"/>
      <c r="W998" s="377"/>
      <c r="X998" s="377"/>
      <c r="Z998" s="77"/>
      <c r="AA998" s="377"/>
      <c r="AB998" s="377"/>
      <c r="AC998" s="377"/>
      <c r="AE998" s="77"/>
      <c r="AF998" s="377"/>
      <c r="AG998" s="377"/>
      <c r="AH998" s="377"/>
      <c r="AJ998" s="77"/>
      <c r="AK998" s="77"/>
      <c r="AL998" s="77"/>
      <c r="AM998" s="77"/>
      <c r="AN998" s="77"/>
    </row>
    <row r="999" spans="12:40">
      <c r="L999" s="377"/>
      <c r="M999" s="377"/>
      <c r="N999" s="377"/>
      <c r="P999" s="377"/>
      <c r="Q999" s="377"/>
      <c r="R999" s="377"/>
      <c r="S999" s="377"/>
      <c r="U999" s="377"/>
      <c r="V999" s="377"/>
      <c r="W999" s="377"/>
      <c r="X999" s="377"/>
      <c r="Z999" s="77"/>
      <c r="AA999" s="377"/>
      <c r="AB999" s="377"/>
      <c r="AC999" s="377"/>
      <c r="AE999" s="77"/>
      <c r="AF999" s="377"/>
      <c r="AG999" s="377"/>
      <c r="AH999" s="377"/>
      <c r="AJ999" s="77"/>
      <c r="AK999" s="77"/>
      <c r="AL999" s="77"/>
      <c r="AM999" s="77"/>
      <c r="AN999" s="77"/>
    </row>
    <row r="1000" spans="12:40">
      <c r="L1000" s="377"/>
      <c r="M1000" s="377"/>
      <c r="N1000" s="377"/>
      <c r="P1000" s="377"/>
      <c r="Q1000" s="377"/>
      <c r="R1000" s="377"/>
      <c r="S1000" s="377"/>
      <c r="U1000" s="377"/>
      <c r="V1000" s="377"/>
      <c r="W1000" s="377"/>
      <c r="X1000" s="377"/>
      <c r="Z1000" s="77"/>
      <c r="AA1000" s="377"/>
      <c r="AB1000" s="377"/>
      <c r="AC1000" s="377"/>
      <c r="AE1000" s="77"/>
      <c r="AF1000" s="377"/>
      <c r="AG1000" s="377"/>
      <c r="AH1000" s="377"/>
      <c r="AJ1000" s="77"/>
      <c r="AK1000" s="77"/>
      <c r="AL1000" s="77"/>
      <c r="AM1000" s="77"/>
      <c r="AN1000" s="77"/>
    </row>
    <row r="1001" spans="12:40">
      <c r="L1001" s="377"/>
      <c r="M1001" s="377"/>
      <c r="N1001" s="377"/>
      <c r="P1001" s="377"/>
      <c r="Q1001" s="377"/>
      <c r="R1001" s="377"/>
      <c r="S1001" s="377"/>
      <c r="U1001" s="377"/>
      <c r="V1001" s="377"/>
      <c r="W1001" s="377"/>
      <c r="X1001" s="377"/>
      <c r="Z1001" s="77"/>
      <c r="AA1001" s="377"/>
      <c r="AB1001" s="377"/>
      <c r="AC1001" s="377"/>
      <c r="AE1001" s="77"/>
      <c r="AF1001" s="377"/>
      <c r="AG1001" s="377"/>
      <c r="AH1001" s="377"/>
      <c r="AJ1001" s="77"/>
      <c r="AK1001" s="77"/>
      <c r="AL1001" s="77"/>
      <c r="AM1001" s="77"/>
      <c r="AN1001" s="77"/>
    </row>
    <row r="1002" spans="12:40">
      <c r="L1002" s="377"/>
      <c r="M1002" s="377"/>
      <c r="N1002" s="377"/>
      <c r="P1002" s="377"/>
      <c r="Q1002" s="377"/>
      <c r="R1002" s="377"/>
      <c r="S1002" s="377"/>
      <c r="U1002" s="377"/>
      <c r="V1002" s="377"/>
      <c r="W1002" s="377"/>
      <c r="X1002" s="377"/>
      <c r="Z1002" s="77"/>
      <c r="AA1002" s="377"/>
      <c r="AB1002" s="377"/>
      <c r="AC1002" s="377"/>
      <c r="AE1002" s="77"/>
      <c r="AF1002" s="377"/>
      <c r="AG1002" s="377"/>
      <c r="AH1002" s="377"/>
      <c r="AJ1002" s="77"/>
      <c r="AK1002" s="77"/>
      <c r="AL1002" s="77"/>
      <c r="AM1002" s="77"/>
      <c r="AN1002" s="77"/>
    </row>
    <row r="1003" spans="12:40">
      <c r="L1003" s="377"/>
      <c r="M1003" s="377"/>
      <c r="N1003" s="377"/>
      <c r="P1003" s="377"/>
      <c r="Q1003" s="377"/>
      <c r="R1003" s="377"/>
      <c r="S1003" s="377"/>
      <c r="U1003" s="377"/>
      <c r="V1003" s="377"/>
      <c r="W1003" s="377"/>
      <c r="X1003" s="377"/>
      <c r="Z1003" s="77"/>
      <c r="AA1003" s="377"/>
      <c r="AB1003" s="377"/>
      <c r="AC1003" s="377"/>
      <c r="AE1003" s="77"/>
      <c r="AF1003" s="377"/>
      <c r="AG1003" s="377"/>
      <c r="AH1003" s="377"/>
      <c r="AJ1003" s="77"/>
      <c r="AK1003" s="77"/>
      <c r="AL1003" s="77"/>
      <c r="AM1003" s="77"/>
      <c r="AN1003" s="77"/>
    </row>
    <row r="1004" spans="12:40">
      <c r="L1004" s="377"/>
      <c r="M1004" s="377"/>
      <c r="N1004" s="377"/>
      <c r="P1004" s="377"/>
      <c r="Q1004" s="377"/>
      <c r="R1004" s="377"/>
      <c r="S1004" s="377"/>
      <c r="U1004" s="377"/>
      <c r="V1004" s="377"/>
      <c r="W1004" s="377"/>
      <c r="X1004" s="377"/>
      <c r="Z1004" s="77"/>
      <c r="AA1004" s="377"/>
      <c r="AB1004" s="377"/>
      <c r="AC1004" s="377"/>
      <c r="AE1004" s="77"/>
      <c r="AF1004" s="377"/>
      <c r="AG1004" s="377"/>
      <c r="AH1004" s="377"/>
      <c r="AJ1004" s="77"/>
      <c r="AK1004" s="77"/>
      <c r="AL1004" s="77"/>
      <c r="AM1004" s="77"/>
      <c r="AN1004" s="77"/>
    </row>
    <row r="1005" spans="12:40">
      <c r="L1005" s="377"/>
      <c r="M1005" s="377"/>
      <c r="N1005" s="377"/>
      <c r="P1005" s="377"/>
      <c r="Q1005" s="377"/>
      <c r="R1005" s="377"/>
      <c r="S1005" s="377"/>
      <c r="U1005" s="377"/>
      <c r="V1005" s="377"/>
      <c r="W1005" s="377"/>
      <c r="X1005" s="377"/>
      <c r="Z1005" s="77"/>
      <c r="AA1005" s="377"/>
      <c r="AB1005" s="377"/>
      <c r="AC1005" s="377"/>
      <c r="AE1005" s="77"/>
      <c r="AF1005" s="377"/>
      <c r="AG1005" s="377"/>
      <c r="AH1005" s="377"/>
      <c r="AJ1005" s="77"/>
      <c r="AK1005" s="77"/>
      <c r="AL1005" s="77"/>
      <c r="AM1005" s="77"/>
      <c r="AN1005" s="77"/>
    </row>
    <row r="1006" spans="12:40">
      <c r="L1006" s="377"/>
      <c r="M1006" s="377"/>
      <c r="N1006" s="377"/>
      <c r="P1006" s="377"/>
      <c r="Q1006" s="377"/>
      <c r="R1006" s="377"/>
      <c r="S1006" s="377"/>
      <c r="U1006" s="377"/>
      <c r="V1006" s="377"/>
      <c r="W1006" s="377"/>
      <c r="X1006" s="377"/>
      <c r="Z1006" s="77"/>
      <c r="AA1006" s="377"/>
      <c r="AB1006" s="377"/>
      <c r="AC1006" s="377"/>
      <c r="AE1006" s="77"/>
      <c r="AF1006" s="377"/>
      <c r="AG1006" s="377"/>
      <c r="AH1006" s="377"/>
      <c r="AJ1006" s="77"/>
      <c r="AK1006" s="77"/>
      <c r="AL1006" s="77"/>
      <c r="AM1006" s="77"/>
      <c r="AN1006" s="77"/>
    </row>
    <row r="1007" spans="12:40">
      <c r="L1007" s="377"/>
      <c r="M1007" s="377"/>
      <c r="N1007" s="377"/>
      <c r="P1007" s="377"/>
      <c r="Q1007" s="377"/>
      <c r="R1007" s="377"/>
      <c r="S1007" s="377"/>
      <c r="U1007" s="377"/>
      <c r="V1007" s="377"/>
      <c r="W1007" s="377"/>
      <c r="X1007" s="377"/>
      <c r="Z1007" s="77"/>
      <c r="AA1007" s="377"/>
      <c r="AB1007" s="377"/>
      <c r="AC1007" s="377"/>
      <c r="AE1007" s="77"/>
      <c r="AF1007" s="377"/>
      <c r="AG1007" s="377"/>
      <c r="AH1007" s="377"/>
      <c r="AJ1007" s="77"/>
      <c r="AK1007" s="77"/>
      <c r="AL1007" s="77"/>
      <c r="AM1007" s="77"/>
      <c r="AN1007" s="77"/>
    </row>
    <row r="1008" spans="12:40">
      <c r="L1008" s="377"/>
      <c r="M1008" s="377"/>
      <c r="N1008" s="377"/>
      <c r="P1008" s="377"/>
      <c r="Q1008" s="377"/>
      <c r="R1008" s="377"/>
      <c r="S1008" s="377"/>
      <c r="U1008" s="377"/>
      <c r="V1008" s="377"/>
      <c r="W1008" s="377"/>
      <c r="X1008" s="377"/>
      <c r="Z1008" s="77"/>
      <c r="AA1008" s="377"/>
      <c r="AB1008" s="377"/>
      <c r="AC1008" s="377"/>
      <c r="AE1008" s="77"/>
      <c r="AF1008" s="377"/>
      <c r="AG1008" s="377"/>
      <c r="AH1008" s="377"/>
      <c r="AJ1008" s="77"/>
      <c r="AK1008" s="77"/>
      <c r="AL1008" s="77"/>
      <c r="AM1008" s="77"/>
      <c r="AN1008" s="77"/>
    </row>
    <row r="1009" spans="12:40">
      <c r="L1009" s="377"/>
      <c r="M1009" s="377"/>
      <c r="N1009" s="377"/>
      <c r="P1009" s="377"/>
      <c r="Q1009" s="377"/>
      <c r="R1009" s="377"/>
      <c r="S1009" s="377"/>
      <c r="U1009" s="377"/>
      <c r="V1009" s="377"/>
      <c r="W1009" s="377"/>
      <c r="X1009" s="377"/>
      <c r="Z1009" s="77"/>
      <c r="AA1009" s="377"/>
      <c r="AB1009" s="377"/>
      <c r="AC1009" s="377"/>
      <c r="AE1009" s="77"/>
      <c r="AF1009" s="377"/>
      <c r="AG1009" s="377"/>
      <c r="AH1009" s="377"/>
      <c r="AJ1009" s="77"/>
      <c r="AK1009" s="77"/>
      <c r="AL1009" s="77"/>
      <c r="AM1009" s="77"/>
      <c r="AN1009" s="77"/>
    </row>
    <row r="1010" spans="12:40">
      <c r="L1010" s="377"/>
      <c r="M1010" s="377"/>
      <c r="N1010" s="377"/>
      <c r="P1010" s="377"/>
      <c r="Q1010" s="377"/>
      <c r="R1010" s="377"/>
      <c r="S1010" s="377"/>
      <c r="U1010" s="377"/>
      <c r="V1010" s="377"/>
      <c r="W1010" s="377"/>
      <c r="X1010" s="377"/>
      <c r="Z1010" s="77"/>
      <c r="AA1010" s="377"/>
      <c r="AB1010" s="377"/>
      <c r="AC1010" s="377"/>
      <c r="AE1010" s="77"/>
      <c r="AF1010" s="377"/>
      <c r="AG1010" s="377"/>
      <c r="AH1010" s="377"/>
      <c r="AJ1010" s="77"/>
      <c r="AK1010" s="77"/>
      <c r="AL1010" s="77"/>
      <c r="AM1010" s="77"/>
      <c r="AN1010" s="77"/>
    </row>
    <row r="1011" spans="12:40">
      <c r="L1011" s="377"/>
      <c r="M1011" s="377"/>
      <c r="N1011" s="377"/>
      <c r="P1011" s="377"/>
      <c r="Q1011" s="377"/>
      <c r="R1011" s="377"/>
      <c r="S1011" s="377"/>
      <c r="U1011" s="377"/>
      <c r="V1011" s="377"/>
      <c r="W1011" s="377"/>
      <c r="X1011" s="377"/>
      <c r="Z1011" s="77"/>
      <c r="AA1011" s="377"/>
      <c r="AB1011" s="377"/>
      <c r="AC1011" s="377"/>
      <c r="AE1011" s="77"/>
      <c r="AF1011" s="377"/>
      <c r="AG1011" s="377"/>
      <c r="AH1011" s="377"/>
      <c r="AJ1011" s="77"/>
      <c r="AK1011" s="77"/>
      <c r="AL1011" s="77"/>
      <c r="AM1011" s="77"/>
      <c r="AN1011" s="77"/>
    </row>
    <row r="1012" spans="12:40">
      <c r="L1012" s="377"/>
      <c r="M1012" s="377"/>
      <c r="N1012" s="377"/>
      <c r="P1012" s="377"/>
      <c r="Q1012" s="377"/>
      <c r="R1012" s="377"/>
      <c r="S1012" s="377"/>
      <c r="U1012" s="377"/>
      <c r="V1012" s="377"/>
      <c r="W1012" s="377"/>
      <c r="X1012" s="377"/>
      <c r="Z1012" s="77"/>
      <c r="AA1012" s="377"/>
      <c r="AB1012" s="377"/>
      <c r="AC1012" s="377"/>
      <c r="AE1012" s="77"/>
      <c r="AF1012" s="377"/>
      <c r="AG1012" s="377"/>
      <c r="AH1012" s="377"/>
      <c r="AJ1012" s="77"/>
      <c r="AK1012" s="77"/>
      <c r="AL1012" s="77"/>
      <c r="AM1012" s="77"/>
      <c r="AN1012" s="77"/>
    </row>
    <row r="1013" spans="12:40">
      <c r="L1013" s="377"/>
      <c r="M1013" s="377"/>
      <c r="N1013" s="377"/>
      <c r="P1013" s="377"/>
      <c r="Q1013" s="377"/>
      <c r="R1013" s="377"/>
      <c r="S1013" s="377"/>
      <c r="U1013" s="377"/>
      <c r="V1013" s="377"/>
      <c r="W1013" s="377"/>
      <c r="X1013" s="377"/>
      <c r="Z1013" s="77"/>
      <c r="AA1013" s="377"/>
      <c r="AB1013" s="377"/>
      <c r="AC1013" s="377"/>
      <c r="AE1013" s="77"/>
      <c r="AF1013" s="377"/>
      <c r="AG1013" s="377"/>
      <c r="AH1013" s="377"/>
      <c r="AJ1013" s="77"/>
      <c r="AK1013" s="77"/>
      <c r="AL1013" s="77"/>
      <c r="AM1013" s="77"/>
      <c r="AN1013" s="77"/>
    </row>
    <row r="1014" spans="12:40">
      <c r="L1014" s="377"/>
      <c r="M1014" s="377"/>
      <c r="N1014" s="377"/>
      <c r="P1014" s="377"/>
      <c r="Q1014" s="377"/>
      <c r="R1014" s="377"/>
      <c r="S1014" s="377"/>
      <c r="U1014" s="377"/>
      <c r="V1014" s="377"/>
      <c r="W1014" s="377"/>
      <c r="X1014" s="377"/>
      <c r="Z1014" s="77"/>
      <c r="AA1014" s="377"/>
      <c r="AB1014" s="377"/>
      <c r="AC1014" s="377"/>
      <c r="AE1014" s="77"/>
      <c r="AF1014" s="377"/>
      <c r="AG1014" s="377"/>
      <c r="AH1014" s="377"/>
      <c r="AJ1014" s="77"/>
      <c r="AK1014" s="77"/>
      <c r="AL1014" s="77"/>
      <c r="AM1014" s="77"/>
      <c r="AN1014" s="77"/>
    </row>
    <row r="1015" spans="12:40">
      <c r="L1015" s="377"/>
      <c r="M1015" s="377"/>
      <c r="N1015" s="377"/>
      <c r="P1015" s="377"/>
      <c r="Q1015" s="377"/>
      <c r="R1015" s="377"/>
      <c r="S1015" s="377"/>
      <c r="U1015" s="377"/>
      <c r="V1015" s="377"/>
      <c r="W1015" s="377"/>
      <c r="X1015" s="377"/>
      <c r="Z1015" s="77"/>
      <c r="AA1015" s="377"/>
      <c r="AB1015" s="377"/>
      <c r="AC1015" s="377"/>
      <c r="AE1015" s="77"/>
      <c r="AF1015" s="377"/>
      <c r="AG1015" s="377"/>
      <c r="AH1015" s="377"/>
      <c r="AJ1015" s="77"/>
      <c r="AK1015" s="77"/>
      <c r="AL1015" s="77"/>
      <c r="AM1015" s="77"/>
      <c r="AN1015" s="77"/>
    </row>
    <row r="1016" spans="12:40">
      <c r="L1016" s="377"/>
      <c r="M1016" s="377"/>
      <c r="N1016" s="377"/>
      <c r="P1016" s="377"/>
      <c r="Q1016" s="377"/>
      <c r="R1016" s="377"/>
      <c r="S1016" s="377"/>
      <c r="U1016" s="377"/>
      <c r="V1016" s="377"/>
      <c r="W1016" s="377"/>
      <c r="X1016" s="377"/>
      <c r="Z1016" s="77"/>
      <c r="AA1016" s="377"/>
      <c r="AB1016" s="377"/>
      <c r="AC1016" s="377"/>
      <c r="AE1016" s="77"/>
      <c r="AF1016" s="377"/>
      <c r="AG1016" s="377"/>
      <c r="AH1016" s="377"/>
      <c r="AJ1016" s="77"/>
      <c r="AK1016" s="77"/>
      <c r="AL1016" s="77"/>
      <c r="AM1016" s="77"/>
      <c r="AN1016" s="77"/>
    </row>
    <row r="1017" spans="12:40">
      <c r="L1017" s="377"/>
      <c r="M1017" s="377"/>
      <c r="N1017" s="377"/>
      <c r="P1017" s="377"/>
      <c r="Q1017" s="377"/>
      <c r="R1017" s="377"/>
      <c r="S1017" s="377"/>
      <c r="U1017" s="377"/>
      <c r="V1017" s="377"/>
      <c r="W1017" s="377"/>
      <c r="X1017" s="377"/>
      <c r="Z1017" s="77"/>
      <c r="AA1017" s="377"/>
      <c r="AB1017" s="377"/>
      <c r="AC1017" s="377"/>
      <c r="AE1017" s="77"/>
      <c r="AF1017" s="377"/>
      <c r="AG1017" s="377"/>
      <c r="AH1017" s="377"/>
      <c r="AJ1017" s="77"/>
      <c r="AK1017" s="77"/>
      <c r="AL1017" s="77"/>
      <c r="AM1017" s="77"/>
      <c r="AN1017" s="77"/>
    </row>
    <row r="1018" spans="12:40">
      <c r="L1018" s="377"/>
      <c r="M1018" s="377"/>
      <c r="N1018" s="377"/>
      <c r="P1018" s="377"/>
      <c r="Q1018" s="377"/>
      <c r="R1018" s="377"/>
      <c r="S1018" s="377"/>
      <c r="U1018" s="377"/>
      <c r="V1018" s="377"/>
      <c r="W1018" s="377"/>
      <c r="X1018" s="377"/>
      <c r="Z1018" s="77"/>
      <c r="AA1018" s="377"/>
      <c r="AB1018" s="377"/>
      <c r="AC1018" s="377"/>
      <c r="AE1018" s="77"/>
      <c r="AF1018" s="377"/>
      <c r="AG1018" s="377"/>
      <c r="AH1018" s="377"/>
      <c r="AJ1018" s="77"/>
      <c r="AK1018" s="77"/>
      <c r="AL1018" s="77"/>
      <c r="AM1018" s="77"/>
      <c r="AN1018" s="77"/>
    </row>
    <row r="1019" spans="12:40">
      <c r="L1019" s="377"/>
      <c r="M1019" s="377"/>
      <c r="N1019" s="377"/>
      <c r="P1019" s="377"/>
      <c r="Q1019" s="377"/>
      <c r="R1019" s="377"/>
      <c r="S1019" s="377"/>
      <c r="U1019" s="377"/>
      <c r="V1019" s="377"/>
      <c r="W1019" s="377"/>
      <c r="X1019" s="377"/>
      <c r="Z1019" s="77"/>
      <c r="AA1019" s="377"/>
      <c r="AB1019" s="377"/>
      <c r="AC1019" s="377"/>
      <c r="AE1019" s="77"/>
      <c r="AF1019" s="377"/>
      <c r="AG1019" s="377"/>
      <c r="AH1019" s="377"/>
      <c r="AJ1019" s="77"/>
      <c r="AK1019" s="77"/>
      <c r="AL1019" s="77"/>
      <c r="AM1019" s="77"/>
      <c r="AN1019" s="77"/>
    </row>
    <row r="1020" spans="12:40">
      <c r="L1020" s="377"/>
      <c r="M1020" s="377"/>
      <c r="N1020" s="377"/>
      <c r="P1020" s="377"/>
      <c r="Q1020" s="377"/>
      <c r="R1020" s="377"/>
      <c r="S1020" s="377"/>
      <c r="U1020" s="377"/>
      <c r="V1020" s="377"/>
      <c r="W1020" s="377"/>
      <c r="X1020" s="377"/>
      <c r="Z1020" s="77"/>
      <c r="AA1020" s="377"/>
      <c r="AB1020" s="377"/>
      <c r="AC1020" s="377"/>
      <c r="AE1020" s="77"/>
      <c r="AF1020" s="377"/>
      <c r="AG1020" s="377"/>
      <c r="AH1020" s="377"/>
      <c r="AJ1020" s="77"/>
      <c r="AK1020" s="77"/>
      <c r="AL1020" s="77"/>
      <c r="AM1020" s="77"/>
      <c r="AN1020" s="77"/>
    </row>
    <row r="1021" spans="12:40">
      <c r="L1021" s="377"/>
      <c r="M1021" s="377"/>
      <c r="N1021" s="377"/>
      <c r="P1021" s="377"/>
      <c r="Q1021" s="377"/>
      <c r="R1021" s="377"/>
      <c r="S1021" s="377"/>
      <c r="U1021" s="377"/>
      <c r="V1021" s="377"/>
      <c r="W1021" s="377"/>
      <c r="X1021" s="377"/>
      <c r="Z1021" s="77"/>
      <c r="AA1021" s="377"/>
      <c r="AB1021" s="377"/>
      <c r="AC1021" s="377"/>
      <c r="AE1021" s="77"/>
      <c r="AF1021" s="377"/>
      <c r="AG1021" s="377"/>
      <c r="AH1021" s="377"/>
      <c r="AJ1021" s="77"/>
      <c r="AK1021" s="77"/>
      <c r="AL1021" s="77"/>
      <c r="AM1021" s="77"/>
      <c r="AN1021" s="77"/>
    </row>
    <row r="1022" spans="12:40">
      <c r="L1022" s="377"/>
      <c r="M1022" s="377"/>
      <c r="N1022" s="377"/>
      <c r="P1022" s="377"/>
      <c r="Q1022" s="377"/>
      <c r="R1022" s="377"/>
      <c r="S1022" s="377"/>
      <c r="U1022" s="377"/>
      <c r="V1022" s="377"/>
      <c r="W1022" s="377"/>
      <c r="X1022" s="377"/>
      <c r="Z1022" s="77"/>
      <c r="AA1022" s="377"/>
      <c r="AB1022" s="377"/>
      <c r="AC1022" s="377"/>
      <c r="AE1022" s="77"/>
      <c r="AF1022" s="377"/>
      <c r="AG1022" s="377"/>
      <c r="AH1022" s="377"/>
      <c r="AJ1022" s="77"/>
      <c r="AK1022" s="77"/>
      <c r="AL1022" s="77"/>
      <c r="AM1022" s="77"/>
      <c r="AN1022" s="77"/>
    </row>
    <row r="1023" spans="12:40">
      <c r="L1023" s="377"/>
      <c r="M1023" s="377"/>
      <c r="N1023" s="377"/>
      <c r="P1023" s="377"/>
      <c r="Q1023" s="377"/>
      <c r="R1023" s="377"/>
      <c r="S1023" s="377"/>
      <c r="U1023" s="377"/>
      <c r="V1023" s="377"/>
      <c r="W1023" s="377"/>
      <c r="X1023" s="377"/>
      <c r="Z1023" s="77"/>
      <c r="AA1023" s="377"/>
      <c r="AB1023" s="377"/>
      <c r="AC1023" s="377"/>
      <c r="AE1023" s="77"/>
      <c r="AF1023" s="377"/>
      <c r="AG1023" s="377"/>
      <c r="AH1023" s="377"/>
      <c r="AJ1023" s="77"/>
      <c r="AK1023" s="77"/>
      <c r="AL1023" s="77"/>
      <c r="AM1023" s="77"/>
      <c r="AN1023" s="77"/>
    </row>
    <row r="1024" spans="12:40">
      <c r="L1024" s="377"/>
      <c r="M1024" s="377"/>
      <c r="N1024" s="377"/>
      <c r="P1024" s="377"/>
      <c r="Q1024" s="377"/>
      <c r="R1024" s="377"/>
      <c r="S1024" s="377"/>
      <c r="U1024" s="377"/>
      <c r="V1024" s="377"/>
      <c r="W1024" s="377"/>
      <c r="X1024" s="377"/>
      <c r="Z1024" s="77"/>
      <c r="AA1024" s="377"/>
      <c r="AB1024" s="377"/>
      <c r="AC1024" s="377"/>
      <c r="AE1024" s="77"/>
      <c r="AF1024" s="377"/>
      <c r="AG1024" s="377"/>
      <c r="AH1024" s="377"/>
      <c r="AJ1024" s="77"/>
      <c r="AK1024" s="77"/>
      <c r="AL1024" s="77"/>
      <c r="AM1024" s="77"/>
      <c r="AN1024" s="77"/>
    </row>
    <row r="1025" spans="12:40">
      <c r="L1025" s="377"/>
      <c r="M1025" s="377"/>
      <c r="N1025" s="377"/>
      <c r="P1025" s="377"/>
      <c r="Q1025" s="377"/>
      <c r="R1025" s="377"/>
      <c r="S1025" s="377"/>
      <c r="U1025" s="377"/>
      <c r="V1025" s="377"/>
      <c r="W1025" s="377"/>
      <c r="X1025" s="377"/>
      <c r="Z1025" s="77"/>
      <c r="AA1025" s="377"/>
      <c r="AB1025" s="377"/>
      <c r="AC1025" s="377"/>
      <c r="AE1025" s="77"/>
      <c r="AF1025" s="377"/>
      <c r="AG1025" s="377"/>
      <c r="AH1025" s="377"/>
      <c r="AJ1025" s="77"/>
      <c r="AK1025" s="77"/>
      <c r="AL1025" s="77"/>
      <c r="AM1025" s="77"/>
      <c r="AN1025" s="77"/>
    </row>
    <row r="1026" spans="12:40">
      <c r="L1026" s="377"/>
      <c r="M1026" s="377"/>
      <c r="N1026" s="377"/>
      <c r="P1026" s="377"/>
      <c r="Q1026" s="377"/>
      <c r="R1026" s="377"/>
      <c r="S1026" s="377"/>
      <c r="U1026" s="377"/>
      <c r="V1026" s="377"/>
      <c r="W1026" s="377"/>
      <c r="X1026" s="377"/>
      <c r="Z1026" s="77"/>
      <c r="AA1026" s="377"/>
      <c r="AB1026" s="377"/>
      <c r="AC1026" s="377"/>
      <c r="AE1026" s="77"/>
      <c r="AF1026" s="377"/>
      <c r="AG1026" s="377"/>
      <c r="AH1026" s="377"/>
      <c r="AJ1026" s="77"/>
      <c r="AK1026" s="77"/>
      <c r="AL1026" s="77"/>
      <c r="AM1026" s="77"/>
      <c r="AN1026" s="77"/>
    </row>
    <row r="1027" spans="12:40">
      <c r="L1027" s="377"/>
      <c r="M1027" s="377"/>
      <c r="N1027" s="377"/>
      <c r="P1027" s="377"/>
      <c r="Q1027" s="377"/>
      <c r="R1027" s="377"/>
      <c r="S1027" s="377"/>
      <c r="U1027" s="377"/>
      <c r="V1027" s="377"/>
      <c r="W1027" s="377"/>
      <c r="X1027" s="377"/>
      <c r="Z1027" s="77"/>
      <c r="AA1027" s="377"/>
      <c r="AB1027" s="377"/>
      <c r="AC1027" s="377"/>
      <c r="AE1027" s="77"/>
      <c r="AF1027" s="377"/>
      <c r="AG1027" s="377"/>
      <c r="AH1027" s="377"/>
      <c r="AJ1027" s="77"/>
      <c r="AK1027" s="77"/>
      <c r="AL1027" s="77"/>
      <c r="AM1027" s="77"/>
      <c r="AN1027" s="77"/>
    </row>
    <row r="1028" spans="12:40">
      <c r="L1028" s="377"/>
      <c r="M1028" s="377"/>
      <c r="N1028" s="377"/>
      <c r="P1028" s="377"/>
      <c r="Q1028" s="377"/>
      <c r="R1028" s="377"/>
      <c r="S1028" s="377"/>
      <c r="U1028" s="377"/>
      <c r="V1028" s="377"/>
      <c r="W1028" s="377"/>
      <c r="X1028" s="377"/>
      <c r="Z1028" s="77"/>
      <c r="AA1028" s="377"/>
      <c r="AB1028" s="377"/>
      <c r="AC1028" s="377"/>
      <c r="AE1028" s="77"/>
      <c r="AF1028" s="377"/>
      <c r="AG1028" s="377"/>
      <c r="AH1028" s="377"/>
      <c r="AJ1028" s="77"/>
      <c r="AK1028" s="77"/>
      <c r="AL1028" s="77"/>
      <c r="AM1028" s="77"/>
      <c r="AN1028" s="77"/>
    </row>
    <row r="1029" spans="12:40">
      <c r="L1029" s="377"/>
      <c r="M1029" s="377"/>
      <c r="N1029" s="377"/>
      <c r="P1029" s="377"/>
      <c r="Q1029" s="377"/>
      <c r="R1029" s="377"/>
      <c r="S1029" s="377"/>
      <c r="U1029" s="377"/>
      <c r="V1029" s="377"/>
      <c r="W1029" s="377"/>
      <c r="X1029" s="377"/>
      <c r="Z1029" s="77"/>
      <c r="AA1029" s="377"/>
      <c r="AB1029" s="377"/>
      <c r="AC1029" s="377"/>
      <c r="AE1029" s="77"/>
      <c r="AF1029" s="377"/>
      <c r="AG1029" s="377"/>
      <c r="AH1029" s="377"/>
      <c r="AJ1029" s="77"/>
      <c r="AK1029" s="77"/>
      <c r="AL1029" s="77"/>
      <c r="AM1029" s="77"/>
      <c r="AN1029" s="77"/>
    </row>
    <row r="1030" spans="12:40">
      <c r="L1030" s="377"/>
      <c r="M1030" s="377"/>
      <c r="N1030" s="377"/>
      <c r="P1030" s="377"/>
      <c r="Q1030" s="377"/>
      <c r="R1030" s="377"/>
      <c r="S1030" s="377"/>
      <c r="U1030" s="377"/>
      <c r="V1030" s="377"/>
      <c r="W1030" s="377"/>
      <c r="X1030" s="377"/>
      <c r="Z1030" s="77"/>
      <c r="AA1030" s="377"/>
      <c r="AB1030" s="377"/>
      <c r="AC1030" s="377"/>
      <c r="AE1030" s="77"/>
      <c r="AF1030" s="377"/>
      <c r="AG1030" s="377"/>
      <c r="AH1030" s="377"/>
      <c r="AJ1030" s="77"/>
      <c r="AK1030" s="77"/>
      <c r="AL1030" s="77"/>
      <c r="AM1030" s="77"/>
      <c r="AN1030" s="77"/>
    </row>
    <row r="1031" spans="12:40">
      <c r="L1031" s="377"/>
      <c r="M1031" s="377"/>
      <c r="N1031" s="377"/>
      <c r="P1031" s="377"/>
      <c r="Q1031" s="377"/>
      <c r="R1031" s="377"/>
      <c r="S1031" s="377"/>
      <c r="U1031" s="377"/>
      <c r="V1031" s="377"/>
      <c r="W1031" s="377"/>
      <c r="X1031" s="377"/>
      <c r="Z1031" s="77"/>
      <c r="AA1031" s="377"/>
      <c r="AB1031" s="377"/>
      <c r="AC1031" s="377"/>
      <c r="AE1031" s="77"/>
      <c r="AF1031" s="377"/>
      <c r="AG1031" s="377"/>
      <c r="AH1031" s="377"/>
      <c r="AJ1031" s="77"/>
      <c r="AK1031" s="77"/>
      <c r="AL1031" s="77"/>
      <c r="AM1031" s="77"/>
      <c r="AN1031" s="77"/>
    </row>
    <row r="1032" spans="12:40">
      <c r="L1032" s="377"/>
      <c r="M1032" s="377"/>
      <c r="N1032" s="377"/>
      <c r="P1032" s="377"/>
      <c r="Q1032" s="377"/>
      <c r="R1032" s="377"/>
      <c r="S1032" s="377"/>
      <c r="U1032" s="377"/>
      <c r="V1032" s="377"/>
      <c r="W1032" s="377"/>
      <c r="X1032" s="377"/>
      <c r="Z1032" s="77"/>
      <c r="AA1032" s="377"/>
      <c r="AB1032" s="377"/>
      <c r="AC1032" s="377"/>
      <c r="AE1032" s="77"/>
      <c r="AF1032" s="377"/>
      <c r="AG1032" s="377"/>
      <c r="AH1032" s="377"/>
      <c r="AJ1032" s="77"/>
      <c r="AK1032" s="77"/>
      <c r="AL1032" s="77"/>
      <c r="AM1032" s="77"/>
      <c r="AN1032" s="77"/>
    </row>
    <row r="1033" spans="12:40">
      <c r="L1033" s="377"/>
      <c r="M1033" s="377"/>
      <c r="N1033" s="377"/>
      <c r="P1033" s="377"/>
      <c r="Q1033" s="377"/>
      <c r="R1033" s="377"/>
      <c r="S1033" s="377"/>
      <c r="U1033" s="377"/>
      <c r="V1033" s="377"/>
      <c r="W1033" s="377"/>
      <c r="X1033" s="377"/>
      <c r="Z1033" s="77"/>
      <c r="AA1033" s="377"/>
      <c r="AB1033" s="377"/>
      <c r="AC1033" s="377"/>
      <c r="AE1033" s="77"/>
      <c r="AF1033" s="377"/>
      <c r="AG1033" s="377"/>
      <c r="AH1033" s="377"/>
      <c r="AJ1033" s="77"/>
      <c r="AK1033" s="77"/>
      <c r="AL1033" s="77"/>
      <c r="AM1033" s="77"/>
      <c r="AN1033" s="77"/>
    </row>
    <row r="1034" spans="12:40">
      <c r="L1034" s="377"/>
      <c r="M1034" s="377"/>
      <c r="N1034" s="377"/>
      <c r="P1034" s="377"/>
      <c r="Q1034" s="377"/>
      <c r="R1034" s="377"/>
      <c r="S1034" s="377"/>
      <c r="U1034" s="377"/>
      <c r="V1034" s="377"/>
      <c r="W1034" s="377"/>
      <c r="X1034" s="377"/>
      <c r="Z1034" s="77"/>
      <c r="AA1034" s="377"/>
      <c r="AB1034" s="377"/>
      <c r="AC1034" s="377"/>
      <c r="AE1034" s="77"/>
      <c r="AF1034" s="377"/>
      <c r="AG1034" s="377"/>
      <c r="AH1034" s="377"/>
      <c r="AJ1034" s="77"/>
      <c r="AK1034" s="77"/>
      <c r="AL1034" s="77"/>
      <c r="AM1034" s="77"/>
      <c r="AN1034" s="77"/>
    </row>
    <row r="1035" spans="12:40">
      <c r="L1035" s="377"/>
      <c r="M1035" s="377"/>
      <c r="N1035" s="377"/>
      <c r="P1035" s="377"/>
      <c r="Q1035" s="377"/>
      <c r="R1035" s="377"/>
      <c r="S1035" s="377"/>
      <c r="U1035" s="377"/>
      <c r="V1035" s="377"/>
      <c r="W1035" s="377"/>
      <c r="X1035" s="377"/>
      <c r="Z1035" s="77"/>
      <c r="AA1035" s="377"/>
      <c r="AB1035" s="377"/>
      <c r="AC1035" s="377"/>
      <c r="AE1035" s="77"/>
      <c r="AF1035" s="377"/>
      <c r="AG1035" s="377"/>
      <c r="AH1035" s="377"/>
      <c r="AJ1035" s="77"/>
      <c r="AK1035" s="77"/>
      <c r="AL1035" s="77"/>
      <c r="AM1035" s="77"/>
      <c r="AN1035" s="77"/>
    </row>
    <row r="1036" spans="12:40">
      <c r="L1036" s="377"/>
      <c r="M1036" s="377"/>
      <c r="N1036" s="377"/>
      <c r="P1036" s="377"/>
      <c r="Q1036" s="377"/>
      <c r="R1036" s="377"/>
      <c r="S1036" s="377"/>
      <c r="U1036" s="377"/>
      <c r="V1036" s="377"/>
      <c r="W1036" s="377"/>
      <c r="X1036" s="377"/>
      <c r="Z1036" s="77"/>
      <c r="AA1036" s="377"/>
      <c r="AB1036" s="377"/>
      <c r="AC1036" s="377"/>
      <c r="AE1036" s="77"/>
      <c r="AF1036" s="377"/>
      <c r="AG1036" s="377"/>
      <c r="AH1036" s="377"/>
      <c r="AJ1036" s="77"/>
      <c r="AK1036" s="77"/>
      <c r="AL1036" s="77"/>
      <c r="AM1036" s="77"/>
      <c r="AN1036" s="77"/>
    </row>
    <row r="1037" spans="12:40">
      <c r="L1037" s="377"/>
      <c r="M1037" s="377"/>
      <c r="N1037" s="377"/>
      <c r="P1037" s="377"/>
      <c r="Q1037" s="377"/>
      <c r="R1037" s="377"/>
      <c r="S1037" s="377"/>
      <c r="U1037" s="377"/>
      <c r="V1037" s="377"/>
      <c r="W1037" s="377"/>
      <c r="X1037" s="377"/>
      <c r="Z1037" s="77"/>
      <c r="AA1037" s="377"/>
      <c r="AB1037" s="377"/>
      <c r="AC1037" s="377"/>
      <c r="AE1037" s="77"/>
      <c r="AF1037" s="377"/>
      <c r="AG1037" s="377"/>
      <c r="AH1037" s="377"/>
      <c r="AJ1037" s="77"/>
      <c r="AK1037" s="77"/>
      <c r="AL1037" s="77"/>
      <c r="AM1037" s="77"/>
      <c r="AN1037" s="77"/>
    </row>
    <row r="1038" spans="12:40">
      <c r="L1038" s="377"/>
      <c r="M1038" s="377"/>
      <c r="N1038" s="377"/>
      <c r="P1038" s="377"/>
      <c r="Q1038" s="377"/>
      <c r="R1038" s="377"/>
      <c r="S1038" s="377"/>
      <c r="U1038" s="377"/>
      <c r="V1038" s="377"/>
      <c r="W1038" s="377"/>
      <c r="X1038" s="377"/>
      <c r="Z1038" s="77"/>
      <c r="AA1038" s="377"/>
      <c r="AB1038" s="377"/>
      <c r="AC1038" s="377"/>
      <c r="AE1038" s="77"/>
      <c r="AF1038" s="377"/>
      <c r="AG1038" s="377"/>
      <c r="AH1038" s="377"/>
      <c r="AJ1038" s="77"/>
      <c r="AK1038" s="77"/>
      <c r="AL1038" s="77"/>
      <c r="AM1038" s="77"/>
      <c r="AN1038" s="77"/>
    </row>
    <row r="1039" spans="12:40">
      <c r="L1039" s="377"/>
      <c r="M1039" s="377"/>
      <c r="N1039" s="377"/>
      <c r="P1039" s="377"/>
      <c r="Q1039" s="377"/>
      <c r="R1039" s="377"/>
      <c r="S1039" s="377"/>
      <c r="U1039" s="377"/>
      <c r="V1039" s="377"/>
      <c r="W1039" s="377"/>
      <c r="X1039" s="377"/>
      <c r="Z1039" s="77"/>
      <c r="AA1039" s="377"/>
      <c r="AB1039" s="377"/>
      <c r="AC1039" s="377"/>
      <c r="AE1039" s="77"/>
      <c r="AF1039" s="377"/>
      <c r="AG1039" s="377"/>
      <c r="AH1039" s="377"/>
      <c r="AJ1039" s="77"/>
      <c r="AK1039" s="77"/>
      <c r="AL1039" s="77"/>
      <c r="AM1039" s="77"/>
      <c r="AN1039" s="77"/>
    </row>
    <row r="1040" spans="12:40">
      <c r="L1040" s="377"/>
      <c r="M1040" s="377"/>
      <c r="N1040" s="377"/>
      <c r="P1040" s="377"/>
      <c r="Q1040" s="377"/>
      <c r="R1040" s="377"/>
      <c r="S1040" s="377"/>
      <c r="U1040" s="377"/>
      <c r="V1040" s="377"/>
      <c r="W1040" s="377"/>
      <c r="X1040" s="377"/>
      <c r="Z1040" s="77"/>
      <c r="AA1040" s="377"/>
      <c r="AB1040" s="377"/>
      <c r="AC1040" s="377"/>
      <c r="AE1040" s="77"/>
      <c r="AF1040" s="377"/>
      <c r="AG1040" s="377"/>
      <c r="AH1040" s="377"/>
      <c r="AJ1040" s="77"/>
      <c r="AK1040" s="77"/>
      <c r="AL1040" s="77"/>
      <c r="AM1040" s="77"/>
      <c r="AN1040" s="77"/>
    </row>
    <row r="1041" spans="12:40">
      <c r="L1041" s="377"/>
      <c r="M1041" s="377"/>
      <c r="N1041" s="377"/>
      <c r="P1041" s="377"/>
      <c r="Q1041" s="377"/>
      <c r="R1041" s="377"/>
      <c r="S1041" s="377"/>
      <c r="U1041" s="377"/>
      <c r="V1041" s="377"/>
      <c r="W1041" s="377"/>
      <c r="X1041" s="377"/>
      <c r="Z1041" s="77"/>
      <c r="AA1041" s="377"/>
      <c r="AB1041" s="377"/>
      <c r="AC1041" s="377"/>
      <c r="AE1041" s="77"/>
      <c r="AF1041" s="377"/>
      <c r="AG1041" s="377"/>
      <c r="AH1041" s="377"/>
      <c r="AJ1041" s="77"/>
      <c r="AK1041" s="77"/>
      <c r="AL1041" s="77"/>
      <c r="AM1041" s="77"/>
      <c r="AN1041" s="77"/>
    </row>
    <row r="1042" spans="12:40">
      <c r="L1042" s="377"/>
      <c r="M1042" s="377"/>
      <c r="N1042" s="377"/>
      <c r="P1042" s="377"/>
      <c r="Q1042" s="377"/>
      <c r="R1042" s="377"/>
      <c r="S1042" s="377"/>
      <c r="U1042" s="377"/>
      <c r="V1042" s="377"/>
      <c r="W1042" s="377"/>
      <c r="X1042" s="377"/>
      <c r="Z1042" s="77"/>
      <c r="AA1042" s="377"/>
      <c r="AB1042" s="377"/>
      <c r="AC1042" s="377"/>
      <c r="AE1042" s="77"/>
      <c r="AF1042" s="377"/>
      <c r="AG1042" s="377"/>
      <c r="AH1042" s="377"/>
      <c r="AJ1042" s="77"/>
      <c r="AK1042" s="77"/>
      <c r="AL1042" s="77"/>
      <c r="AM1042" s="77"/>
      <c r="AN1042" s="77"/>
    </row>
    <row r="1043" spans="12:40">
      <c r="L1043" s="377"/>
      <c r="M1043" s="377"/>
      <c r="N1043" s="377"/>
      <c r="P1043" s="377"/>
      <c r="Q1043" s="377"/>
      <c r="R1043" s="377"/>
      <c r="S1043" s="377"/>
      <c r="U1043" s="377"/>
      <c r="V1043" s="377"/>
      <c r="W1043" s="377"/>
      <c r="X1043" s="377"/>
      <c r="Z1043" s="77"/>
      <c r="AA1043" s="377"/>
      <c r="AB1043" s="377"/>
      <c r="AC1043" s="377"/>
      <c r="AE1043" s="77"/>
      <c r="AF1043" s="377"/>
      <c r="AG1043" s="377"/>
      <c r="AH1043" s="377"/>
      <c r="AJ1043" s="77"/>
      <c r="AK1043" s="77"/>
      <c r="AL1043" s="77"/>
      <c r="AM1043" s="77"/>
      <c r="AN1043" s="77"/>
    </row>
    <row r="1044" spans="12:40">
      <c r="L1044" s="377"/>
      <c r="M1044" s="377"/>
      <c r="N1044" s="377"/>
      <c r="P1044" s="377"/>
      <c r="Q1044" s="377"/>
      <c r="R1044" s="377"/>
      <c r="S1044" s="377"/>
      <c r="U1044" s="377"/>
      <c r="V1044" s="377"/>
      <c r="W1044" s="377"/>
      <c r="X1044" s="377"/>
      <c r="Z1044" s="77"/>
      <c r="AA1044" s="377"/>
      <c r="AB1044" s="377"/>
      <c r="AC1044" s="377"/>
      <c r="AE1044" s="77"/>
      <c r="AF1044" s="377"/>
      <c r="AG1044" s="377"/>
      <c r="AH1044" s="377"/>
      <c r="AJ1044" s="77"/>
      <c r="AK1044" s="77"/>
      <c r="AL1044" s="77"/>
      <c r="AM1044" s="77"/>
      <c r="AN1044" s="77"/>
    </row>
    <row r="1045" spans="12:40">
      <c r="L1045" s="377"/>
      <c r="M1045" s="377"/>
      <c r="N1045" s="377"/>
      <c r="P1045" s="377"/>
      <c r="Q1045" s="377"/>
      <c r="R1045" s="377"/>
      <c r="S1045" s="377"/>
      <c r="U1045" s="377"/>
      <c r="V1045" s="377"/>
      <c r="W1045" s="377"/>
      <c r="X1045" s="377"/>
      <c r="Z1045" s="77"/>
      <c r="AA1045" s="377"/>
      <c r="AB1045" s="377"/>
      <c r="AC1045" s="377"/>
      <c r="AE1045" s="77"/>
      <c r="AF1045" s="377"/>
      <c r="AG1045" s="377"/>
      <c r="AH1045" s="377"/>
      <c r="AJ1045" s="77"/>
      <c r="AK1045" s="77"/>
      <c r="AL1045" s="77"/>
      <c r="AM1045" s="77"/>
      <c r="AN1045" s="77"/>
    </row>
    <row r="1046" spans="12:40">
      <c r="L1046" s="377"/>
      <c r="M1046" s="377"/>
      <c r="N1046" s="377"/>
      <c r="P1046" s="377"/>
      <c r="Q1046" s="377"/>
      <c r="R1046" s="377"/>
      <c r="S1046" s="377"/>
      <c r="U1046" s="377"/>
      <c r="V1046" s="377"/>
      <c r="W1046" s="377"/>
      <c r="X1046" s="377"/>
      <c r="Z1046" s="77"/>
      <c r="AA1046" s="377"/>
      <c r="AB1046" s="377"/>
      <c r="AC1046" s="377"/>
      <c r="AE1046" s="77"/>
      <c r="AF1046" s="377"/>
      <c r="AG1046" s="377"/>
      <c r="AH1046" s="377"/>
      <c r="AJ1046" s="77"/>
      <c r="AK1046" s="77"/>
      <c r="AL1046" s="77"/>
      <c r="AM1046" s="77"/>
      <c r="AN1046" s="77"/>
    </row>
    <row r="1047" spans="12:40">
      <c r="L1047" s="377"/>
      <c r="M1047" s="377"/>
      <c r="N1047" s="377"/>
      <c r="P1047" s="377"/>
      <c r="Q1047" s="377"/>
      <c r="R1047" s="377"/>
      <c r="S1047" s="377"/>
      <c r="U1047" s="377"/>
      <c r="V1047" s="377"/>
      <c r="W1047" s="377"/>
      <c r="X1047" s="377"/>
      <c r="Z1047" s="77"/>
      <c r="AA1047" s="377"/>
      <c r="AB1047" s="377"/>
      <c r="AC1047" s="377"/>
      <c r="AE1047" s="77"/>
      <c r="AF1047" s="377"/>
      <c r="AG1047" s="377"/>
      <c r="AH1047" s="377"/>
      <c r="AJ1047" s="77"/>
      <c r="AK1047" s="77"/>
      <c r="AL1047" s="77"/>
      <c r="AM1047" s="77"/>
      <c r="AN1047" s="77"/>
    </row>
    <row r="1048" spans="12:40">
      <c r="L1048" s="377"/>
      <c r="M1048" s="377"/>
      <c r="N1048" s="377"/>
      <c r="P1048" s="377"/>
      <c r="Q1048" s="377"/>
      <c r="R1048" s="377"/>
      <c r="S1048" s="377"/>
      <c r="U1048" s="377"/>
      <c r="V1048" s="377"/>
      <c r="W1048" s="377"/>
      <c r="X1048" s="377"/>
      <c r="Z1048" s="77"/>
      <c r="AA1048" s="377"/>
      <c r="AB1048" s="377"/>
      <c r="AC1048" s="377"/>
      <c r="AE1048" s="77"/>
      <c r="AF1048" s="377"/>
      <c r="AG1048" s="377"/>
      <c r="AH1048" s="377"/>
      <c r="AJ1048" s="77"/>
      <c r="AK1048" s="77"/>
      <c r="AL1048" s="77"/>
      <c r="AM1048" s="77"/>
      <c r="AN1048" s="77"/>
    </row>
    <row r="1049" spans="12:40">
      <c r="L1049" s="377"/>
      <c r="M1049" s="377"/>
      <c r="N1049" s="377"/>
      <c r="P1049" s="377"/>
      <c r="Q1049" s="377"/>
      <c r="R1049" s="377"/>
      <c r="S1049" s="377"/>
      <c r="U1049" s="377"/>
      <c r="V1049" s="377"/>
      <c r="W1049" s="377"/>
      <c r="X1049" s="377"/>
      <c r="Z1049" s="77"/>
      <c r="AA1049" s="377"/>
      <c r="AB1049" s="377"/>
      <c r="AC1049" s="377"/>
      <c r="AE1049" s="77"/>
      <c r="AF1049" s="377"/>
      <c r="AG1049" s="377"/>
      <c r="AH1049" s="377"/>
      <c r="AJ1049" s="77"/>
      <c r="AK1049" s="77"/>
      <c r="AL1049" s="77"/>
      <c r="AM1049" s="77"/>
      <c r="AN1049" s="77"/>
    </row>
    <row r="1050" spans="12:40">
      <c r="L1050" s="377"/>
      <c r="M1050" s="377"/>
      <c r="N1050" s="377"/>
      <c r="P1050" s="377"/>
      <c r="Q1050" s="377"/>
      <c r="R1050" s="377"/>
      <c r="S1050" s="377"/>
      <c r="U1050" s="377"/>
      <c r="V1050" s="377"/>
      <c r="W1050" s="377"/>
      <c r="X1050" s="377"/>
      <c r="Z1050" s="77"/>
      <c r="AA1050" s="377"/>
      <c r="AB1050" s="377"/>
      <c r="AC1050" s="377"/>
      <c r="AE1050" s="77"/>
      <c r="AF1050" s="377"/>
      <c r="AG1050" s="377"/>
      <c r="AH1050" s="377"/>
      <c r="AJ1050" s="77"/>
      <c r="AK1050" s="77"/>
      <c r="AL1050" s="77"/>
      <c r="AM1050" s="77"/>
      <c r="AN1050" s="77"/>
    </row>
    <row r="1051" spans="12:40">
      <c r="L1051" s="377"/>
      <c r="M1051" s="377"/>
      <c r="N1051" s="377"/>
      <c r="P1051" s="377"/>
      <c r="Q1051" s="377"/>
      <c r="R1051" s="377"/>
      <c r="S1051" s="377"/>
      <c r="U1051" s="377"/>
      <c r="V1051" s="377"/>
      <c r="W1051" s="377"/>
      <c r="X1051" s="377"/>
      <c r="Z1051" s="77"/>
      <c r="AA1051" s="377"/>
      <c r="AB1051" s="377"/>
      <c r="AC1051" s="377"/>
      <c r="AE1051" s="77"/>
      <c r="AF1051" s="377"/>
      <c r="AG1051" s="377"/>
      <c r="AH1051" s="377"/>
      <c r="AJ1051" s="77"/>
      <c r="AK1051" s="77"/>
      <c r="AL1051" s="77"/>
      <c r="AM1051" s="77"/>
      <c r="AN1051" s="77"/>
    </row>
    <row r="1052" spans="12:40">
      <c r="L1052" s="377"/>
      <c r="M1052" s="377"/>
      <c r="N1052" s="377"/>
      <c r="P1052" s="377"/>
      <c r="Q1052" s="377"/>
      <c r="R1052" s="377"/>
      <c r="S1052" s="377"/>
      <c r="U1052" s="377"/>
      <c r="V1052" s="377"/>
      <c r="W1052" s="377"/>
      <c r="X1052" s="377"/>
      <c r="Z1052" s="77"/>
      <c r="AA1052" s="377"/>
      <c r="AB1052" s="377"/>
      <c r="AC1052" s="377"/>
      <c r="AE1052" s="77"/>
      <c r="AF1052" s="377"/>
      <c r="AG1052" s="377"/>
      <c r="AH1052" s="377"/>
      <c r="AJ1052" s="77"/>
      <c r="AK1052" s="77"/>
      <c r="AL1052" s="77"/>
      <c r="AM1052" s="77"/>
      <c r="AN1052" s="77"/>
    </row>
    <row r="1053" spans="12:40">
      <c r="L1053" s="377"/>
      <c r="M1053" s="377"/>
      <c r="N1053" s="377"/>
      <c r="P1053" s="377"/>
      <c r="Q1053" s="377"/>
      <c r="R1053" s="377"/>
      <c r="S1053" s="377"/>
      <c r="U1053" s="377"/>
      <c r="V1053" s="377"/>
      <c r="W1053" s="377"/>
      <c r="X1053" s="377"/>
      <c r="Z1053" s="77"/>
      <c r="AA1053" s="377"/>
      <c r="AB1053" s="377"/>
      <c r="AC1053" s="377"/>
      <c r="AE1053" s="77"/>
      <c r="AF1053" s="377"/>
      <c r="AG1053" s="377"/>
      <c r="AH1053" s="377"/>
      <c r="AJ1053" s="77"/>
      <c r="AK1053" s="77"/>
      <c r="AL1053" s="77"/>
      <c r="AM1053" s="77"/>
      <c r="AN1053" s="77"/>
    </row>
    <row r="1054" spans="12:40">
      <c r="L1054" s="377"/>
      <c r="M1054" s="377"/>
      <c r="N1054" s="377"/>
      <c r="P1054" s="377"/>
      <c r="Q1054" s="377"/>
      <c r="R1054" s="377"/>
      <c r="S1054" s="377"/>
      <c r="U1054" s="377"/>
      <c r="V1054" s="377"/>
      <c r="W1054" s="377"/>
      <c r="X1054" s="377"/>
      <c r="Z1054" s="77"/>
      <c r="AA1054" s="377"/>
      <c r="AB1054" s="377"/>
      <c r="AC1054" s="377"/>
      <c r="AE1054" s="77"/>
      <c r="AF1054" s="377"/>
      <c r="AG1054" s="377"/>
      <c r="AH1054" s="377"/>
      <c r="AJ1054" s="77"/>
      <c r="AK1054" s="77"/>
      <c r="AL1054" s="77"/>
      <c r="AM1054" s="77"/>
      <c r="AN1054" s="77"/>
    </row>
    <row r="1055" spans="12:40">
      <c r="L1055" s="377"/>
      <c r="M1055" s="377"/>
      <c r="N1055" s="377"/>
      <c r="P1055" s="377"/>
      <c r="Q1055" s="377"/>
      <c r="R1055" s="377"/>
      <c r="S1055" s="377"/>
      <c r="U1055" s="377"/>
      <c r="V1055" s="377"/>
      <c r="W1055" s="377"/>
      <c r="X1055" s="377"/>
      <c r="Z1055" s="77"/>
      <c r="AA1055" s="377"/>
      <c r="AB1055" s="377"/>
      <c r="AC1055" s="377"/>
      <c r="AE1055" s="77"/>
      <c r="AF1055" s="377"/>
      <c r="AG1055" s="377"/>
      <c r="AH1055" s="377"/>
      <c r="AJ1055" s="77"/>
      <c r="AK1055" s="77"/>
      <c r="AL1055" s="77"/>
      <c r="AM1055" s="77"/>
      <c r="AN1055" s="77"/>
    </row>
    <row r="1056" spans="12:40">
      <c r="L1056" s="377"/>
      <c r="M1056" s="377"/>
      <c r="N1056" s="377"/>
      <c r="P1056" s="377"/>
      <c r="Q1056" s="377"/>
      <c r="R1056" s="377"/>
      <c r="S1056" s="377"/>
      <c r="U1056" s="377"/>
      <c r="V1056" s="377"/>
      <c r="W1056" s="377"/>
      <c r="X1056" s="377"/>
      <c r="Z1056" s="77"/>
      <c r="AA1056" s="377"/>
      <c r="AB1056" s="377"/>
      <c r="AC1056" s="377"/>
      <c r="AE1056" s="77"/>
      <c r="AF1056" s="377"/>
      <c r="AG1056" s="377"/>
      <c r="AH1056" s="377"/>
      <c r="AJ1056" s="77"/>
      <c r="AK1056" s="77"/>
      <c r="AL1056" s="77"/>
      <c r="AM1056" s="77"/>
      <c r="AN1056" s="77"/>
    </row>
    <row r="1057" spans="12:40">
      <c r="L1057" s="377"/>
      <c r="M1057" s="377"/>
      <c r="N1057" s="377"/>
      <c r="P1057" s="377"/>
      <c r="Q1057" s="377"/>
      <c r="R1057" s="377"/>
      <c r="S1057" s="377"/>
      <c r="U1057" s="377"/>
      <c r="V1057" s="377"/>
      <c r="W1057" s="377"/>
      <c r="X1057" s="377"/>
      <c r="Z1057" s="77"/>
      <c r="AA1057" s="377"/>
      <c r="AB1057" s="377"/>
      <c r="AC1057" s="377"/>
      <c r="AE1057" s="77"/>
      <c r="AF1057" s="377"/>
      <c r="AG1057" s="377"/>
      <c r="AH1057" s="377"/>
      <c r="AJ1057" s="77"/>
      <c r="AK1057" s="77"/>
      <c r="AL1057" s="77"/>
      <c r="AM1057" s="77"/>
      <c r="AN1057" s="77"/>
    </row>
    <row r="1058" spans="12:40">
      <c r="L1058" s="377"/>
      <c r="M1058" s="377"/>
      <c r="N1058" s="377"/>
      <c r="P1058" s="377"/>
      <c r="Q1058" s="377"/>
      <c r="R1058" s="377"/>
      <c r="S1058" s="377"/>
      <c r="U1058" s="377"/>
      <c r="V1058" s="377"/>
      <c r="W1058" s="377"/>
      <c r="X1058" s="377"/>
      <c r="Z1058" s="77"/>
      <c r="AA1058" s="377"/>
      <c r="AB1058" s="377"/>
      <c r="AC1058" s="377"/>
      <c r="AE1058" s="77"/>
      <c r="AF1058" s="377"/>
      <c r="AG1058" s="377"/>
      <c r="AH1058" s="377"/>
      <c r="AJ1058" s="77"/>
      <c r="AK1058" s="77"/>
      <c r="AL1058" s="77"/>
      <c r="AM1058" s="77"/>
      <c r="AN1058" s="77"/>
    </row>
    <row r="1059" spans="12:40">
      <c r="L1059" s="377"/>
      <c r="M1059" s="377"/>
      <c r="N1059" s="377"/>
      <c r="P1059" s="377"/>
      <c r="Q1059" s="377"/>
      <c r="R1059" s="377"/>
      <c r="S1059" s="377"/>
      <c r="U1059" s="377"/>
      <c r="V1059" s="377"/>
      <c r="W1059" s="377"/>
      <c r="X1059" s="377"/>
      <c r="Z1059" s="77"/>
      <c r="AA1059" s="377"/>
      <c r="AB1059" s="377"/>
      <c r="AC1059" s="377"/>
      <c r="AE1059" s="77"/>
      <c r="AF1059" s="377"/>
      <c r="AG1059" s="377"/>
      <c r="AH1059" s="377"/>
      <c r="AJ1059" s="77"/>
      <c r="AK1059" s="77"/>
      <c r="AL1059" s="77"/>
      <c r="AM1059" s="77"/>
      <c r="AN1059" s="77"/>
    </row>
    <row r="1060" spans="12:40">
      <c r="L1060" s="377"/>
      <c r="M1060" s="377"/>
      <c r="N1060" s="377"/>
      <c r="P1060" s="377"/>
      <c r="Q1060" s="377"/>
      <c r="R1060" s="377"/>
      <c r="S1060" s="377"/>
      <c r="U1060" s="377"/>
      <c r="V1060" s="377"/>
      <c r="W1060" s="377"/>
      <c r="X1060" s="377"/>
      <c r="Z1060" s="77"/>
      <c r="AA1060" s="377"/>
      <c r="AB1060" s="377"/>
      <c r="AC1060" s="377"/>
      <c r="AE1060" s="77"/>
      <c r="AF1060" s="377"/>
      <c r="AG1060" s="377"/>
      <c r="AH1060" s="377"/>
      <c r="AJ1060" s="77"/>
      <c r="AK1060" s="77"/>
      <c r="AL1060" s="77"/>
      <c r="AM1060" s="77"/>
      <c r="AN1060" s="77"/>
    </row>
    <row r="1061" spans="12:40">
      <c r="L1061" s="377"/>
      <c r="M1061" s="377"/>
      <c r="N1061" s="377"/>
      <c r="P1061" s="377"/>
      <c r="Q1061" s="377"/>
      <c r="R1061" s="377"/>
      <c r="S1061" s="377"/>
      <c r="U1061" s="377"/>
      <c r="V1061" s="377"/>
      <c r="W1061" s="377"/>
      <c r="X1061" s="377"/>
      <c r="Z1061" s="77"/>
      <c r="AA1061" s="377"/>
      <c r="AB1061" s="377"/>
      <c r="AC1061" s="377"/>
      <c r="AE1061" s="77"/>
      <c r="AF1061" s="377"/>
      <c r="AG1061" s="377"/>
      <c r="AH1061" s="377"/>
      <c r="AJ1061" s="77"/>
      <c r="AK1061" s="77"/>
      <c r="AL1061" s="77"/>
      <c r="AM1061" s="77"/>
      <c r="AN1061" s="77"/>
    </row>
    <row r="1062" spans="12:40">
      <c r="L1062" s="377"/>
      <c r="M1062" s="377"/>
      <c r="N1062" s="377"/>
      <c r="P1062" s="377"/>
      <c r="Q1062" s="377"/>
      <c r="R1062" s="377"/>
      <c r="S1062" s="377"/>
      <c r="U1062" s="377"/>
      <c r="V1062" s="377"/>
      <c r="W1062" s="377"/>
      <c r="X1062" s="377"/>
      <c r="Z1062" s="77"/>
      <c r="AA1062" s="377"/>
      <c r="AB1062" s="377"/>
      <c r="AC1062" s="377"/>
      <c r="AE1062" s="77"/>
      <c r="AF1062" s="377"/>
      <c r="AG1062" s="377"/>
      <c r="AH1062" s="377"/>
      <c r="AJ1062" s="77"/>
      <c r="AK1062" s="77"/>
      <c r="AL1062" s="77"/>
      <c r="AM1062" s="77"/>
      <c r="AN1062" s="77"/>
    </row>
    <row r="1063" spans="12:40">
      <c r="L1063" s="377"/>
      <c r="M1063" s="377"/>
      <c r="N1063" s="377"/>
      <c r="P1063" s="377"/>
      <c r="Q1063" s="377"/>
      <c r="R1063" s="377"/>
      <c r="S1063" s="377"/>
      <c r="U1063" s="377"/>
      <c r="V1063" s="377"/>
      <c r="W1063" s="377"/>
      <c r="X1063" s="377"/>
      <c r="Z1063" s="77"/>
      <c r="AA1063" s="377"/>
      <c r="AB1063" s="377"/>
      <c r="AC1063" s="377"/>
      <c r="AE1063" s="77"/>
      <c r="AF1063" s="377"/>
      <c r="AG1063" s="377"/>
      <c r="AH1063" s="377"/>
      <c r="AJ1063" s="77"/>
      <c r="AK1063" s="77"/>
      <c r="AL1063" s="77"/>
      <c r="AM1063" s="77"/>
      <c r="AN1063" s="77"/>
    </row>
    <row r="1064" spans="12:40">
      <c r="L1064" s="377"/>
      <c r="M1064" s="377"/>
      <c r="N1064" s="377"/>
      <c r="P1064" s="377"/>
      <c r="Q1064" s="377"/>
      <c r="R1064" s="377"/>
      <c r="S1064" s="377"/>
      <c r="U1064" s="377"/>
      <c r="V1064" s="377"/>
      <c r="W1064" s="377"/>
      <c r="X1064" s="377"/>
      <c r="Z1064" s="77"/>
      <c r="AA1064" s="377"/>
      <c r="AB1064" s="377"/>
      <c r="AC1064" s="377"/>
      <c r="AE1064" s="77"/>
      <c r="AF1064" s="377"/>
      <c r="AG1064" s="377"/>
      <c r="AH1064" s="377"/>
      <c r="AJ1064" s="77"/>
      <c r="AK1064" s="77"/>
      <c r="AL1064" s="77"/>
      <c r="AM1064" s="77"/>
      <c r="AN1064" s="77"/>
    </row>
    <row r="1065" spans="12:40">
      <c r="L1065" s="377"/>
      <c r="M1065" s="377"/>
      <c r="N1065" s="377"/>
      <c r="P1065" s="377"/>
      <c r="Q1065" s="377"/>
      <c r="R1065" s="377"/>
      <c r="S1065" s="377"/>
      <c r="U1065" s="377"/>
      <c r="V1065" s="377"/>
      <c r="W1065" s="377"/>
      <c r="X1065" s="377"/>
      <c r="Z1065" s="77"/>
      <c r="AA1065" s="377"/>
      <c r="AB1065" s="377"/>
      <c r="AC1065" s="377"/>
      <c r="AE1065" s="77"/>
      <c r="AF1065" s="377"/>
      <c r="AG1065" s="377"/>
      <c r="AH1065" s="377"/>
      <c r="AJ1065" s="77"/>
      <c r="AK1065" s="77"/>
      <c r="AL1065" s="77"/>
      <c r="AM1065" s="77"/>
      <c r="AN1065" s="77"/>
    </row>
    <row r="1066" spans="12:40">
      <c r="L1066" s="377"/>
      <c r="M1066" s="377"/>
      <c r="N1066" s="377"/>
      <c r="P1066" s="377"/>
      <c r="Q1066" s="377"/>
      <c r="R1066" s="377"/>
      <c r="S1066" s="377"/>
      <c r="U1066" s="377"/>
      <c r="V1066" s="377"/>
      <c r="W1066" s="377"/>
      <c r="X1066" s="377"/>
      <c r="Z1066" s="77"/>
      <c r="AA1066" s="377"/>
      <c r="AB1066" s="377"/>
      <c r="AC1066" s="377"/>
      <c r="AE1066" s="77"/>
      <c r="AF1066" s="377"/>
      <c r="AG1066" s="377"/>
      <c r="AH1066" s="377"/>
      <c r="AJ1066" s="77"/>
      <c r="AK1066" s="77"/>
      <c r="AL1066" s="77"/>
      <c r="AM1066" s="77"/>
      <c r="AN1066" s="77"/>
    </row>
    <row r="1067" spans="12:40">
      <c r="L1067" s="377"/>
      <c r="M1067" s="377"/>
      <c r="N1067" s="377"/>
      <c r="P1067" s="377"/>
      <c r="Q1067" s="377"/>
      <c r="R1067" s="377"/>
      <c r="S1067" s="377"/>
      <c r="U1067" s="377"/>
      <c r="V1067" s="377"/>
      <c r="W1067" s="377"/>
      <c r="X1067" s="377"/>
      <c r="Z1067" s="77"/>
      <c r="AA1067" s="377"/>
      <c r="AB1067" s="377"/>
      <c r="AC1067" s="377"/>
      <c r="AE1067" s="77"/>
      <c r="AF1067" s="377"/>
      <c r="AG1067" s="377"/>
      <c r="AH1067" s="377"/>
      <c r="AJ1067" s="77"/>
      <c r="AK1067" s="77"/>
      <c r="AL1067" s="77"/>
      <c r="AM1067" s="77"/>
      <c r="AN1067" s="77"/>
    </row>
    <row r="1068" spans="12:40">
      <c r="L1068" s="377"/>
      <c r="M1068" s="377"/>
      <c r="N1068" s="377"/>
      <c r="P1068" s="377"/>
      <c r="Q1068" s="377"/>
      <c r="R1068" s="377"/>
      <c r="S1068" s="377"/>
      <c r="U1068" s="377"/>
      <c r="V1068" s="377"/>
      <c r="W1068" s="377"/>
      <c r="X1068" s="377"/>
      <c r="Z1068" s="77"/>
      <c r="AA1068" s="377"/>
      <c r="AB1068" s="377"/>
      <c r="AC1068" s="377"/>
      <c r="AE1068" s="77"/>
      <c r="AF1068" s="377"/>
      <c r="AG1068" s="377"/>
      <c r="AH1068" s="377"/>
      <c r="AJ1068" s="77"/>
      <c r="AK1068" s="77"/>
      <c r="AL1068" s="77"/>
      <c r="AM1068" s="77"/>
      <c r="AN1068" s="77"/>
    </row>
    <row r="1069" spans="12:40">
      <c r="L1069" s="377"/>
      <c r="M1069" s="377"/>
      <c r="N1069" s="377"/>
      <c r="P1069" s="377"/>
      <c r="Q1069" s="377"/>
      <c r="R1069" s="377"/>
      <c r="S1069" s="377"/>
      <c r="U1069" s="377"/>
      <c r="V1069" s="377"/>
      <c r="W1069" s="377"/>
      <c r="X1069" s="377"/>
      <c r="Z1069" s="77"/>
      <c r="AA1069" s="377"/>
      <c r="AB1069" s="377"/>
      <c r="AC1069" s="377"/>
      <c r="AE1069" s="77"/>
      <c r="AF1069" s="377"/>
      <c r="AG1069" s="377"/>
      <c r="AH1069" s="377"/>
      <c r="AJ1069" s="77"/>
      <c r="AK1069" s="77"/>
      <c r="AL1069" s="77"/>
      <c r="AM1069" s="77"/>
      <c r="AN1069" s="77"/>
    </row>
    <row r="1070" spans="12:40">
      <c r="L1070" s="377"/>
      <c r="M1070" s="377"/>
      <c r="N1070" s="377"/>
      <c r="P1070" s="377"/>
      <c r="Q1070" s="377"/>
      <c r="R1070" s="377"/>
      <c r="S1070" s="377"/>
      <c r="U1070" s="377"/>
      <c r="V1070" s="377"/>
      <c r="W1070" s="377"/>
      <c r="X1070" s="377"/>
      <c r="Z1070" s="77"/>
      <c r="AA1070" s="377"/>
      <c r="AB1070" s="377"/>
      <c r="AC1070" s="377"/>
      <c r="AE1070" s="77"/>
      <c r="AF1070" s="377"/>
      <c r="AG1070" s="377"/>
      <c r="AH1070" s="377"/>
      <c r="AJ1070" s="77"/>
      <c r="AK1070" s="77"/>
      <c r="AL1070" s="77"/>
      <c r="AM1070" s="77"/>
      <c r="AN1070" s="77"/>
    </row>
    <row r="1071" spans="12:40">
      <c r="L1071" s="377"/>
      <c r="M1071" s="377"/>
      <c r="N1071" s="377"/>
      <c r="P1071" s="377"/>
      <c r="Q1071" s="377"/>
      <c r="R1071" s="377"/>
      <c r="S1071" s="377"/>
      <c r="U1071" s="377"/>
      <c r="V1071" s="377"/>
      <c r="W1071" s="377"/>
      <c r="X1071" s="377"/>
      <c r="Z1071" s="77"/>
      <c r="AA1071" s="377"/>
      <c r="AB1071" s="377"/>
      <c r="AC1071" s="377"/>
      <c r="AE1071" s="77"/>
      <c r="AF1071" s="377"/>
      <c r="AG1071" s="377"/>
      <c r="AH1071" s="377"/>
      <c r="AJ1071" s="77"/>
      <c r="AK1071" s="77"/>
      <c r="AL1071" s="77"/>
      <c r="AM1071" s="77"/>
      <c r="AN1071" s="77"/>
    </row>
    <row r="1072" spans="12:40">
      <c r="L1072" s="377"/>
      <c r="M1072" s="377"/>
      <c r="N1072" s="377"/>
      <c r="P1072" s="377"/>
      <c r="Q1072" s="377"/>
      <c r="R1072" s="377"/>
      <c r="S1072" s="377"/>
      <c r="U1072" s="377"/>
      <c r="V1072" s="377"/>
      <c r="W1072" s="377"/>
      <c r="X1072" s="377"/>
      <c r="Z1072" s="77"/>
      <c r="AA1072" s="377"/>
      <c r="AB1072" s="377"/>
      <c r="AC1072" s="377"/>
      <c r="AE1072" s="77"/>
      <c r="AF1072" s="377"/>
      <c r="AG1072" s="377"/>
      <c r="AH1072" s="377"/>
      <c r="AJ1072" s="77"/>
      <c r="AK1072" s="77"/>
      <c r="AL1072" s="77"/>
      <c r="AM1072" s="77"/>
      <c r="AN1072" s="77"/>
    </row>
    <row r="1073" spans="12:40">
      <c r="L1073" s="377"/>
      <c r="M1073" s="377"/>
      <c r="N1073" s="377"/>
      <c r="P1073" s="377"/>
      <c r="Q1073" s="377"/>
      <c r="R1073" s="377"/>
      <c r="S1073" s="377"/>
      <c r="U1073" s="377"/>
      <c r="V1073" s="377"/>
      <c r="W1073" s="377"/>
      <c r="X1073" s="377"/>
      <c r="Z1073" s="77"/>
      <c r="AA1073" s="377"/>
      <c r="AB1073" s="377"/>
      <c r="AC1073" s="377"/>
      <c r="AE1073" s="77"/>
      <c r="AF1073" s="377"/>
      <c r="AG1073" s="377"/>
      <c r="AH1073" s="377"/>
      <c r="AJ1073" s="77"/>
      <c r="AK1073" s="77"/>
      <c r="AL1073" s="77"/>
      <c r="AM1073" s="77"/>
      <c r="AN1073" s="77"/>
    </row>
    <row r="1074" spans="12:40">
      <c r="L1074" s="377"/>
      <c r="M1074" s="377"/>
      <c r="N1074" s="377"/>
      <c r="P1074" s="377"/>
      <c r="Q1074" s="377"/>
      <c r="R1074" s="377"/>
      <c r="S1074" s="377"/>
      <c r="U1074" s="377"/>
      <c r="V1074" s="377"/>
      <c r="W1074" s="377"/>
      <c r="X1074" s="377"/>
      <c r="Z1074" s="77"/>
      <c r="AA1074" s="377"/>
      <c r="AB1074" s="377"/>
      <c r="AC1074" s="377"/>
      <c r="AE1074" s="77"/>
      <c r="AF1074" s="377"/>
      <c r="AG1074" s="377"/>
      <c r="AH1074" s="377"/>
      <c r="AJ1074" s="77"/>
      <c r="AK1074" s="77"/>
      <c r="AL1074" s="77"/>
      <c r="AM1074" s="77"/>
      <c r="AN1074" s="77"/>
    </row>
    <row r="1075" spans="12:40">
      <c r="L1075" s="377"/>
      <c r="M1075" s="377"/>
      <c r="N1075" s="377"/>
      <c r="P1075" s="377"/>
      <c r="Q1075" s="377"/>
      <c r="R1075" s="377"/>
      <c r="S1075" s="377"/>
      <c r="U1075" s="377"/>
      <c r="V1075" s="377"/>
      <c r="W1075" s="377"/>
      <c r="X1075" s="377"/>
      <c r="Z1075" s="77"/>
      <c r="AA1075" s="377"/>
      <c r="AB1075" s="377"/>
      <c r="AC1075" s="377"/>
      <c r="AE1075" s="77"/>
      <c r="AF1075" s="377"/>
      <c r="AG1075" s="377"/>
      <c r="AH1075" s="377"/>
      <c r="AJ1075" s="77"/>
      <c r="AK1075" s="77"/>
      <c r="AL1075" s="77"/>
      <c r="AM1075" s="77"/>
      <c r="AN1075" s="77"/>
    </row>
    <row r="1076" spans="12:40">
      <c r="L1076" s="377"/>
      <c r="M1076" s="377"/>
      <c r="N1076" s="377"/>
      <c r="P1076" s="377"/>
      <c r="Q1076" s="377"/>
      <c r="R1076" s="377"/>
      <c r="S1076" s="377"/>
      <c r="U1076" s="377"/>
      <c r="V1076" s="377"/>
      <c r="W1076" s="377"/>
      <c r="X1076" s="377"/>
      <c r="Z1076" s="77"/>
      <c r="AA1076" s="377"/>
      <c r="AB1076" s="377"/>
      <c r="AC1076" s="377"/>
      <c r="AE1076" s="77"/>
      <c r="AF1076" s="377"/>
      <c r="AG1076" s="377"/>
      <c r="AH1076" s="377"/>
      <c r="AJ1076" s="77"/>
      <c r="AK1076" s="77"/>
      <c r="AL1076" s="77"/>
      <c r="AM1076" s="77"/>
      <c r="AN1076" s="77"/>
    </row>
    <row r="1077" spans="12:40">
      <c r="L1077" s="377"/>
      <c r="M1077" s="377"/>
      <c r="N1077" s="377"/>
      <c r="P1077" s="377"/>
      <c r="Q1077" s="377"/>
      <c r="R1077" s="377"/>
      <c r="S1077" s="377"/>
      <c r="U1077" s="377"/>
      <c r="V1077" s="377"/>
      <c r="W1077" s="377"/>
      <c r="X1077" s="377"/>
      <c r="Z1077" s="77"/>
      <c r="AA1077" s="377"/>
      <c r="AB1077" s="377"/>
      <c r="AC1077" s="377"/>
      <c r="AE1077" s="77"/>
      <c r="AF1077" s="377"/>
      <c r="AG1077" s="377"/>
      <c r="AH1077" s="377"/>
      <c r="AJ1077" s="77"/>
      <c r="AK1077" s="77"/>
      <c r="AL1077" s="77"/>
      <c r="AM1077" s="77"/>
      <c r="AN1077" s="77"/>
    </row>
    <row r="1078" spans="12:40">
      <c r="L1078" s="377"/>
      <c r="M1078" s="377"/>
      <c r="N1078" s="377"/>
      <c r="P1078" s="377"/>
      <c r="Q1078" s="377"/>
      <c r="R1078" s="377"/>
      <c r="S1078" s="377"/>
      <c r="U1078" s="377"/>
      <c r="V1078" s="377"/>
      <c r="W1078" s="377"/>
      <c r="X1078" s="377"/>
      <c r="Z1078" s="77"/>
      <c r="AA1078" s="377"/>
      <c r="AB1078" s="377"/>
      <c r="AC1078" s="377"/>
      <c r="AE1078" s="77"/>
      <c r="AF1078" s="377"/>
      <c r="AG1078" s="377"/>
      <c r="AH1078" s="377"/>
      <c r="AJ1078" s="77"/>
      <c r="AK1078" s="77"/>
      <c r="AL1078" s="77"/>
      <c r="AM1078" s="77"/>
      <c r="AN1078" s="77"/>
    </row>
    <row r="1079" spans="12:40">
      <c r="L1079" s="377"/>
      <c r="M1079" s="377"/>
      <c r="N1079" s="377"/>
      <c r="P1079" s="377"/>
      <c r="Q1079" s="377"/>
      <c r="R1079" s="377"/>
      <c r="S1079" s="377"/>
      <c r="U1079" s="377"/>
      <c r="V1079" s="377"/>
      <c r="W1079" s="377"/>
      <c r="X1079" s="377"/>
      <c r="Z1079" s="77"/>
      <c r="AA1079" s="377"/>
      <c r="AB1079" s="377"/>
      <c r="AC1079" s="377"/>
      <c r="AE1079" s="77"/>
      <c r="AF1079" s="377"/>
      <c r="AG1079" s="377"/>
      <c r="AH1079" s="377"/>
      <c r="AJ1079" s="77"/>
      <c r="AK1079" s="77"/>
      <c r="AL1079" s="77"/>
      <c r="AM1079" s="77"/>
      <c r="AN1079" s="77"/>
    </row>
    <row r="1080" spans="12:40">
      <c r="L1080" s="377"/>
      <c r="M1080" s="377"/>
      <c r="N1080" s="377"/>
      <c r="P1080" s="377"/>
      <c r="Q1080" s="377"/>
      <c r="R1080" s="377"/>
      <c r="S1080" s="377"/>
      <c r="U1080" s="377"/>
      <c r="V1080" s="377"/>
      <c r="W1080" s="377"/>
      <c r="X1080" s="377"/>
      <c r="Z1080" s="77"/>
      <c r="AA1080" s="377"/>
      <c r="AB1080" s="377"/>
      <c r="AC1080" s="377"/>
      <c r="AE1080" s="77"/>
      <c r="AF1080" s="377"/>
      <c r="AG1080" s="377"/>
      <c r="AH1080" s="377"/>
      <c r="AJ1080" s="77"/>
      <c r="AK1080" s="77"/>
      <c r="AL1080" s="77"/>
      <c r="AM1080" s="77"/>
      <c r="AN1080" s="77"/>
    </row>
    <row r="1081" spans="12:40">
      <c r="L1081" s="377"/>
      <c r="M1081" s="377"/>
      <c r="N1081" s="377"/>
      <c r="P1081" s="377"/>
      <c r="Q1081" s="377"/>
      <c r="R1081" s="377"/>
      <c r="S1081" s="377"/>
      <c r="U1081" s="377"/>
      <c r="V1081" s="377"/>
      <c r="W1081" s="377"/>
      <c r="X1081" s="377"/>
      <c r="Z1081" s="77"/>
      <c r="AA1081" s="377"/>
      <c r="AB1081" s="377"/>
      <c r="AC1081" s="377"/>
      <c r="AE1081" s="77"/>
      <c r="AF1081" s="377"/>
      <c r="AG1081" s="377"/>
      <c r="AH1081" s="377"/>
      <c r="AJ1081" s="77"/>
      <c r="AK1081" s="77"/>
      <c r="AL1081" s="77"/>
      <c r="AM1081" s="77"/>
      <c r="AN1081" s="77"/>
    </row>
    <row r="1082" spans="12:40">
      <c r="L1082" s="377"/>
      <c r="M1082" s="377"/>
      <c r="N1082" s="377"/>
      <c r="P1082" s="377"/>
      <c r="Q1082" s="377"/>
      <c r="R1082" s="377"/>
      <c r="S1082" s="377"/>
      <c r="U1082" s="377"/>
      <c r="V1082" s="377"/>
      <c r="W1082" s="377"/>
      <c r="X1082" s="377"/>
      <c r="Z1082" s="77"/>
      <c r="AA1082" s="377"/>
      <c r="AB1082" s="377"/>
      <c r="AC1082" s="377"/>
      <c r="AE1082" s="77"/>
      <c r="AF1082" s="377"/>
      <c r="AG1082" s="377"/>
      <c r="AH1082" s="377"/>
      <c r="AJ1082" s="77"/>
      <c r="AK1082" s="77"/>
      <c r="AL1082" s="77"/>
      <c r="AM1082" s="77"/>
      <c r="AN1082" s="77"/>
    </row>
    <row r="1083" spans="12:40">
      <c r="L1083" s="377"/>
      <c r="M1083" s="377"/>
      <c r="N1083" s="377"/>
      <c r="P1083" s="377"/>
      <c r="Q1083" s="377"/>
      <c r="R1083" s="377"/>
      <c r="S1083" s="377"/>
      <c r="U1083" s="377"/>
      <c r="V1083" s="377"/>
      <c r="W1083" s="377"/>
      <c r="X1083" s="377"/>
      <c r="Z1083" s="77"/>
      <c r="AA1083" s="377"/>
      <c r="AB1083" s="377"/>
      <c r="AC1083" s="377"/>
      <c r="AE1083" s="77"/>
      <c r="AF1083" s="377"/>
      <c r="AG1083" s="377"/>
      <c r="AH1083" s="377"/>
      <c r="AJ1083" s="77"/>
      <c r="AK1083" s="77"/>
      <c r="AL1083" s="77"/>
      <c r="AM1083" s="77"/>
      <c r="AN1083" s="77"/>
    </row>
    <row r="1084" spans="12:40">
      <c r="L1084" s="377"/>
      <c r="M1084" s="377"/>
      <c r="N1084" s="377"/>
      <c r="P1084" s="377"/>
      <c r="Q1084" s="377"/>
      <c r="R1084" s="377"/>
      <c r="S1084" s="377"/>
      <c r="U1084" s="377"/>
      <c r="V1084" s="377"/>
      <c r="W1084" s="377"/>
      <c r="X1084" s="377"/>
      <c r="Z1084" s="77"/>
      <c r="AA1084" s="377"/>
      <c r="AB1084" s="377"/>
      <c r="AC1084" s="377"/>
      <c r="AE1084" s="77"/>
      <c r="AF1084" s="377"/>
      <c r="AG1084" s="377"/>
      <c r="AH1084" s="377"/>
      <c r="AJ1084" s="77"/>
      <c r="AK1084" s="77"/>
      <c r="AL1084" s="77"/>
      <c r="AM1084" s="77"/>
      <c r="AN1084" s="77"/>
    </row>
    <row r="1085" spans="12:40">
      <c r="L1085" s="377"/>
      <c r="M1085" s="377"/>
      <c r="N1085" s="377"/>
      <c r="P1085" s="377"/>
      <c r="Q1085" s="377"/>
      <c r="R1085" s="377"/>
      <c r="S1085" s="377"/>
      <c r="U1085" s="377"/>
      <c r="V1085" s="377"/>
      <c r="W1085" s="377"/>
      <c r="X1085" s="377"/>
      <c r="Z1085" s="77"/>
      <c r="AA1085" s="377"/>
      <c r="AB1085" s="377"/>
      <c r="AC1085" s="377"/>
      <c r="AE1085" s="77"/>
      <c r="AF1085" s="377"/>
      <c r="AG1085" s="377"/>
      <c r="AH1085" s="377"/>
      <c r="AJ1085" s="77"/>
      <c r="AK1085" s="77"/>
      <c r="AL1085" s="77"/>
      <c r="AM1085" s="77"/>
      <c r="AN1085" s="77"/>
    </row>
    <row r="1086" spans="12:40">
      <c r="L1086" s="377"/>
      <c r="M1086" s="377"/>
      <c r="N1086" s="377"/>
      <c r="P1086" s="377"/>
      <c r="Q1086" s="377"/>
      <c r="R1086" s="377"/>
      <c r="S1086" s="377"/>
      <c r="U1086" s="377"/>
      <c r="V1086" s="377"/>
      <c r="W1086" s="377"/>
      <c r="X1086" s="377"/>
      <c r="Z1086" s="77"/>
      <c r="AA1086" s="377"/>
      <c r="AB1086" s="377"/>
      <c r="AC1086" s="377"/>
      <c r="AE1086" s="77"/>
      <c r="AF1086" s="377"/>
      <c r="AG1086" s="377"/>
      <c r="AH1086" s="377"/>
      <c r="AJ1086" s="77"/>
      <c r="AK1086" s="77"/>
      <c r="AL1086" s="77"/>
      <c r="AM1086" s="77"/>
      <c r="AN1086" s="77"/>
    </row>
    <row r="1087" spans="12:40">
      <c r="L1087" s="377"/>
      <c r="M1087" s="377"/>
      <c r="N1087" s="377"/>
      <c r="P1087" s="377"/>
      <c r="Q1087" s="377"/>
      <c r="R1087" s="377"/>
      <c r="S1087" s="377"/>
      <c r="U1087" s="377"/>
      <c r="V1087" s="377"/>
      <c r="W1087" s="377"/>
      <c r="X1087" s="377"/>
      <c r="Z1087" s="77"/>
      <c r="AA1087" s="377"/>
      <c r="AB1087" s="377"/>
      <c r="AC1087" s="377"/>
      <c r="AE1087" s="77"/>
      <c r="AF1087" s="377"/>
      <c r="AG1087" s="377"/>
      <c r="AH1087" s="377"/>
      <c r="AJ1087" s="77"/>
      <c r="AK1087" s="77"/>
      <c r="AL1087" s="77"/>
      <c r="AM1087" s="77"/>
      <c r="AN1087" s="77"/>
    </row>
    <row r="1088" spans="12:40">
      <c r="L1088" s="377"/>
      <c r="M1088" s="377"/>
      <c r="N1088" s="377"/>
      <c r="P1088" s="377"/>
      <c r="Q1088" s="377"/>
      <c r="R1088" s="377"/>
      <c r="S1088" s="377"/>
      <c r="U1088" s="377"/>
      <c r="V1088" s="377"/>
      <c r="W1088" s="377"/>
      <c r="X1088" s="377"/>
      <c r="Z1088" s="77"/>
      <c r="AA1088" s="377"/>
      <c r="AB1088" s="377"/>
      <c r="AC1088" s="377"/>
      <c r="AE1088" s="77"/>
      <c r="AF1088" s="377"/>
      <c r="AG1088" s="377"/>
      <c r="AH1088" s="377"/>
      <c r="AJ1088" s="77"/>
      <c r="AK1088" s="77"/>
      <c r="AL1088" s="77"/>
      <c r="AM1088" s="77"/>
      <c r="AN1088" s="77"/>
    </row>
    <row r="1089" spans="12:40">
      <c r="L1089" s="377"/>
      <c r="M1089" s="377"/>
      <c r="N1089" s="377"/>
      <c r="P1089" s="377"/>
      <c r="Q1089" s="377"/>
      <c r="R1089" s="377"/>
      <c r="S1089" s="377"/>
      <c r="U1089" s="377"/>
      <c r="V1089" s="377"/>
      <c r="W1089" s="377"/>
      <c r="X1089" s="377"/>
      <c r="Z1089" s="77"/>
      <c r="AA1089" s="377"/>
      <c r="AB1089" s="377"/>
      <c r="AC1089" s="377"/>
      <c r="AE1089" s="77"/>
      <c r="AF1089" s="377"/>
      <c r="AG1089" s="377"/>
      <c r="AH1089" s="377"/>
      <c r="AJ1089" s="77"/>
      <c r="AK1089" s="77"/>
      <c r="AL1089" s="77"/>
      <c r="AM1089" s="77"/>
      <c r="AN1089" s="77"/>
    </row>
    <row r="1090" spans="12:40">
      <c r="L1090" s="377"/>
      <c r="M1090" s="377"/>
      <c r="N1090" s="377"/>
      <c r="P1090" s="377"/>
      <c r="Q1090" s="377"/>
      <c r="R1090" s="377"/>
      <c r="S1090" s="377"/>
      <c r="U1090" s="377"/>
      <c r="V1090" s="377"/>
      <c r="W1090" s="377"/>
      <c r="X1090" s="377"/>
      <c r="Z1090" s="77"/>
      <c r="AA1090" s="377"/>
      <c r="AB1090" s="377"/>
      <c r="AC1090" s="377"/>
      <c r="AE1090" s="77"/>
      <c r="AF1090" s="377"/>
      <c r="AG1090" s="377"/>
      <c r="AH1090" s="377"/>
      <c r="AJ1090" s="77"/>
      <c r="AK1090" s="77"/>
      <c r="AL1090" s="77"/>
      <c r="AM1090" s="77"/>
      <c r="AN1090" s="77"/>
    </row>
    <row r="1091" spans="12:40">
      <c r="L1091" s="377"/>
      <c r="M1091" s="377"/>
      <c r="N1091" s="377"/>
      <c r="P1091" s="377"/>
      <c r="Q1091" s="377"/>
      <c r="R1091" s="377"/>
      <c r="S1091" s="377"/>
      <c r="U1091" s="377"/>
      <c r="V1091" s="377"/>
      <c r="W1091" s="377"/>
      <c r="X1091" s="377"/>
      <c r="Z1091" s="77"/>
      <c r="AA1091" s="377"/>
      <c r="AB1091" s="377"/>
      <c r="AC1091" s="377"/>
      <c r="AE1091" s="77"/>
      <c r="AF1091" s="377"/>
      <c r="AG1091" s="377"/>
      <c r="AH1091" s="377"/>
      <c r="AJ1091" s="77"/>
      <c r="AK1091" s="77"/>
      <c r="AL1091" s="77"/>
      <c r="AM1091" s="77"/>
      <c r="AN1091" s="77"/>
    </row>
    <row r="1092" spans="12:40">
      <c r="L1092" s="377"/>
      <c r="M1092" s="377"/>
      <c r="N1092" s="377"/>
      <c r="P1092" s="377"/>
      <c r="Q1092" s="377"/>
      <c r="R1092" s="377"/>
      <c r="S1092" s="377"/>
      <c r="U1092" s="377"/>
      <c r="V1092" s="377"/>
      <c r="W1092" s="377"/>
      <c r="X1092" s="377"/>
      <c r="Z1092" s="77"/>
      <c r="AA1092" s="377"/>
      <c r="AB1092" s="377"/>
      <c r="AC1092" s="377"/>
      <c r="AE1092" s="77"/>
      <c r="AF1092" s="377"/>
      <c r="AG1092" s="377"/>
      <c r="AH1092" s="377"/>
      <c r="AJ1092" s="77"/>
      <c r="AK1092" s="77"/>
      <c r="AL1092" s="77"/>
      <c r="AM1092" s="77"/>
      <c r="AN1092" s="77"/>
    </row>
    <row r="1093" spans="12:40">
      <c r="L1093" s="377"/>
      <c r="M1093" s="377"/>
      <c r="N1093" s="377"/>
      <c r="P1093" s="377"/>
      <c r="Q1093" s="377"/>
      <c r="R1093" s="377"/>
      <c r="S1093" s="377"/>
      <c r="U1093" s="377"/>
      <c r="V1093" s="377"/>
      <c r="W1093" s="377"/>
      <c r="X1093" s="377"/>
      <c r="Z1093" s="77"/>
      <c r="AA1093" s="377"/>
      <c r="AB1093" s="377"/>
      <c r="AC1093" s="377"/>
      <c r="AE1093" s="77"/>
      <c r="AF1093" s="377"/>
      <c r="AG1093" s="377"/>
      <c r="AH1093" s="377"/>
      <c r="AJ1093" s="77"/>
      <c r="AK1093" s="77"/>
      <c r="AL1093" s="77"/>
      <c r="AM1093" s="77"/>
      <c r="AN1093" s="77"/>
    </row>
    <row r="1094" spans="12:40">
      <c r="L1094" s="377"/>
      <c r="M1094" s="377"/>
      <c r="N1094" s="377"/>
      <c r="P1094" s="377"/>
      <c r="Q1094" s="377"/>
      <c r="R1094" s="377"/>
      <c r="S1094" s="377"/>
      <c r="U1094" s="377"/>
      <c r="V1094" s="377"/>
      <c r="W1094" s="377"/>
      <c r="X1094" s="377"/>
      <c r="Z1094" s="77"/>
      <c r="AA1094" s="377"/>
      <c r="AB1094" s="377"/>
      <c r="AC1094" s="377"/>
      <c r="AE1094" s="77"/>
      <c r="AF1094" s="377"/>
      <c r="AG1094" s="377"/>
      <c r="AH1094" s="377"/>
      <c r="AJ1094" s="77"/>
      <c r="AK1094" s="77"/>
      <c r="AL1094" s="77"/>
      <c r="AM1094" s="77"/>
      <c r="AN1094" s="77"/>
    </row>
    <row r="1095" spans="12:40">
      <c r="L1095" s="377"/>
      <c r="M1095" s="377"/>
      <c r="N1095" s="377"/>
      <c r="P1095" s="377"/>
      <c r="Q1095" s="377"/>
      <c r="R1095" s="377"/>
      <c r="S1095" s="377"/>
      <c r="U1095" s="377"/>
      <c r="V1095" s="377"/>
      <c r="W1095" s="377"/>
      <c r="X1095" s="377"/>
      <c r="Z1095" s="77"/>
      <c r="AA1095" s="377"/>
      <c r="AB1095" s="377"/>
      <c r="AC1095" s="377"/>
      <c r="AE1095" s="77"/>
      <c r="AF1095" s="377"/>
      <c r="AG1095" s="377"/>
      <c r="AH1095" s="377"/>
      <c r="AJ1095" s="77"/>
      <c r="AK1095" s="77"/>
      <c r="AL1095" s="77"/>
      <c r="AM1095" s="77"/>
      <c r="AN1095" s="77"/>
    </row>
    <row r="1096" spans="12:40">
      <c r="L1096" s="377"/>
      <c r="M1096" s="377"/>
      <c r="N1096" s="377"/>
      <c r="P1096" s="377"/>
      <c r="Q1096" s="377"/>
      <c r="R1096" s="377"/>
      <c r="S1096" s="377"/>
      <c r="U1096" s="377"/>
      <c r="V1096" s="377"/>
      <c r="W1096" s="377"/>
      <c r="X1096" s="377"/>
      <c r="Z1096" s="77"/>
      <c r="AA1096" s="377"/>
      <c r="AB1096" s="377"/>
      <c r="AC1096" s="377"/>
      <c r="AE1096" s="77"/>
      <c r="AF1096" s="377"/>
      <c r="AG1096" s="377"/>
      <c r="AH1096" s="377"/>
      <c r="AJ1096" s="77"/>
      <c r="AK1096" s="77"/>
      <c r="AL1096" s="77"/>
      <c r="AM1096" s="77"/>
      <c r="AN1096" s="77"/>
    </row>
    <row r="1097" spans="12:40">
      <c r="L1097" s="377"/>
      <c r="M1097" s="377"/>
      <c r="N1097" s="377"/>
      <c r="P1097" s="377"/>
      <c r="Q1097" s="377"/>
      <c r="R1097" s="377"/>
      <c r="S1097" s="377"/>
      <c r="U1097" s="377"/>
      <c r="V1097" s="377"/>
      <c r="W1097" s="377"/>
      <c r="X1097" s="377"/>
      <c r="Z1097" s="77"/>
      <c r="AA1097" s="377"/>
      <c r="AB1097" s="377"/>
      <c r="AC1097" s="377"/>
      <c r="AE1097" s="77"/>
      <c r="AF1097" s="377"/>
      <c r="AG1097" s="377"/>
      <c r="AH1097" s="377"/>
      <c r="AJ1097" s="77"/>
      <c r="AK1097" s="77"/>
      <c r="AL1097" s="77"/>
      <c r="AM1097" s="77"/>
      <c r="AN1097" s="77"/>
    </row>
    <row r="1098" spans="12:40">
      <c r="L1098" s="377"/>
      <c r="M1098" s="377"/>
      <c r="N1098" s="377"/>
      <c r="P1098" s="377"/>
      <c r="Q1098" s="377"/>
      <c r="R1098" s="377"/>
      <c r="S1098" s="377"/>
      <c r="U1098" s="377"/>
      <c r="V1098" s="377"/>
      <c r="W1098" s="377"/>
      <c r="X1098" s="377"/>
      <c r="Z1098" s="77"/>
      <c r="AA1098" s="377"/>
      <c r="AB1098" s="377"/>
      <c r="AC1098" s="377"/>
      <c r="AE1098" s="77"/>
      <c r="AF1098" s="377"/>
      <c r="AG1098" s="377"/>
      <c r="AH1098" s="377"/>
      <c r="AJ1098" s="77"/>
      <c r="AK1098" s="77"/>
      <c r="AL1098" s="77"/>
      <c r="AM1098" s="77"/>
      <c r="AN1098" s="77"/>
    </row>
    <row r="1099" spans="12:40">
      <c r="L1099" s="377"/>
      <c r="M1099" s="377"/>
      <c r="N1099" s="377"/>
      <c r="P1099" s="377"/>
      <c r="Q1099" s="377"/>
      <c r="R1099" s="377"/>
      <c r="S1099" s="377"/>
      <c r="U1099" s="377"/>
      <c r="V1099" s="377"/>
      <c r="W1099" s="377"/>
      <c r="X1099" s="377"/>
      <c r="Z1099" s="77"/>
      <c r="AA1099" s="377"/>
      <c r="AB1099" s="377"/>
      <c r="AC1099" s="377"/>
      <c r="AE1099" s="77"/>
      <c r="AF1099" s="377"/>
      <c r="AG1099" s="377"/>
      <c r="AH1099" s="377"/>
      <c r="AJ1099" s="77"/>
      <c r="AK1099" s="77"/>
      <c r="AL1099" s="77"/>
      <c r="AM1099" s="77"/>
      <c r="AN1099" s="77"/>
    </row>
    <row r="1100" spans="12:40">
      <c r="L1100" s="377"/>
      <c r="M1100" s="377"/>
      <c r="N1100" s="377"/>
      <c r="P1100" s="377"/>
      <c r="Q1100" s="377"/>
      <c r="R1100" s="377"/>
      <c r="S1100" s="377"/>
      <c r="U1100" s="377"/>
      <c r="V1100" s="377"/>
      <c r="W1100" s="377"/>
      <c r="X1100" s="377"/>
      <c r="Z1100" s="77"/>
      <c r="AA1100" s="377"/>
      <c r="AB1100" s="377"/>
      <c r="AC1100" s="377"/>
      <c r="AE1100" s="77"/>
      <c r="AF1100" s="377"/>
      <c r="AG1100" s="377"/>
      <c r="AH1100" s="377"/>
      <c r="AJ1100" s="77"/>
      <c r="AK1100" s="77"/>
      <c r="AL1100" s="77"/>
      <c r="AM1100" s="77"/>
      <c r="AN1100" s="77"/>
    </row>
    <row r="1101" spans="12:40">
      <c r="L1101" s="377"/>
      <c r="M1101" s="377"/>
      <c r="N1101" s="377"/>
      <c r="P1101" s="377"/>
      <c r="Q1101" s="377"/>
      <c r="R1101" s="377"/>
      <c r="S1101" s="377"/>
      <c r="U1101" s="377"/>
      <c r="V1101" s="377"/>
      <c r="W1101" s="377"/>
      <c r="X1101" s="377"/>
      <c r="Z1101" s="77"/>
      <c r="AA1101" s="377"/>
      <c r="AB1101" s="377"/>
      <c r="AC1101" s="377"/>
      <c r="AE1101" s="77"/>
      <c r="AF1101" s="377"/>
      <c r="AG1101" s="377"/>
      <c r="AH1101" s="377"/>
      <c r="AJ1101" s="77"/>
      <c r="AK1101" s="77"/>
      <c r="AL1101" s="77"/>
      <c r="AM1101" s="77"/>
      <c r="AN1101" s="77"/>
    </row>
    <row r="1102" spans="12:40">
      <c r="L1102" s="377"/>
      <c r="M1102" s="377"/>
      <c r="N1102" s="377"/>
      <c r="P1102" s="377"/>
      <c r="Q1102" s="377"/>
      <c r="R1102" s="377"/>
      <c r="S1102" s="377"/>
      <c r="U1102" s="377"/>
      <c r="V1102" s="377"/>
      <c r="W1102" s="377"/>
      <c r="X1102" s="377"/>
      <c r="Z1102" s="77"/>
      <c r="AA1102" s="377"/>
      <c r="AB1102" s="377"/>
      <c r="AC1102" s="377"/>
      <c r="AE1102" s="77"/>
      <c r="AF1102" s="377"/>
      <c r="AG1102" s="377"/>
      <c r="AH1102" s="377"/>
      <c r="AJ1102" s="77"/>
      <c r="AK1102" s="77"/>
      <c r="AL1102" s="77"/>
      <c r="AM1102" s="77"/>
      <c r="AN1102" s="77"/>
    </row>
    <row r="1103" spans="12:40">
      <c r="L1103" s="377"/>
      <c r="M1103" s="377"/>
      <c r="N1103" s="377"/>
      <c r="P1103" s="377"/>
      <c r="Q1103" s="377"/>
      <c r="R1103" s="377"/>
      <c r="S1103" s="377"/>
      <c r="U1103" s="377"/>
      <c r="V1103" s="377"/>
      <c r="W1103" s="377"/>
      <c r="X1103" s="377"/>
      <c r="Z1103" s="77"/>
      <c r="AA1103" s="377"/>
      <c r="AB1103" s="377"/>
      <c r="AC1103" s="377"/>
      <c r="AE1103" s="77"/>
      <c r="AF1103" s="377"/>
      <c r="AG1103" s="377"/>
      <c r="AH1103" s="377"/>
      <c r="AJ1103" s="77"/>
      <c r="AK1103" s="77"/>
      <c r="AL1103" s="77"/>
      <c r="AM1103" s="77"/>
      <c r="AN1103" s="77"/>
    </row>
    <row r="1104" spans="12:40">
      <c r="L1104" s="377"/>
      <c r="M1104" s="377"/>
      <c r="N1104" s="377"/>
      <c r="P1104" s="377"/>
      <c r="Q1104" s="377"/>
      <c r="R1104" s="377"/>
      <c r="S1104" s="377"/>
      <c r="U1104" s="377"/>
      <c r="V1104" s="377"/>
      <c r="W1104" s="377"/>
      <c r="X1104" s="377"/>
      <c r="Z1104" s="77"/>
      <c r="AA1104" s="377"/>
      <c r="AB1104" s="377"/>
      <c r="AC1104" s="377"/>
      <c r="AE1104" s="77"/>
      <c r="AF1104" s="377"/>
      <c r="AG1104" s="377"/>
      <c r="AH1104" s="377"/>
      <c r="AJ1104" s="77"/>
      <c r="AK1104" s="77"/>
      <c r="AL1104" s="77"/>
      <c r="AM1104" s="77"/>
      <c r="AN1104" s="77"/>
    </row>
    <row r="1105" spans="12:40">
      <c r="L1105" s="377"/>
      <c r="M1105" s="377"/>
      <c r="N1105" s="377"/>
      <c r="P1105" s="377"/>
      <c r="Q1105" s="377"/>
      <c r="R1105" s="377"/>
      <c r="S1105" s="377"/>
      <c r="U1105" s="377"/>
      <c r="V1105" s="377"/>
      <c r="W1105" s="377"/>
      <c r="X1105" s="377"/>
      <c r="Z1105" s="77"/>
      <c r="AA1105" s="377"/>
      <c r="AB1105" s="377"/>
      <c r="AC1105" s="377"/>
      <c r="AE1105" s="77"/>
      <c r="AF1105" s="377"/>
      <c r="AG1105" s="377"/>
      <c r="AH1105" s="377"/>
      <c r="AJ1105" s="77"/>
      <c r="AK1105" s="77"/>
      <c r="AL1105" s="77"/>
      <c r="AM1105" s="77"/>
      <c r="AN1105" s="77"/>
    </row>
    <row r="1106" spans="12:40">
      <c r="L1106" s="377"/>
      <c r="M1106" s="377"/>
      <c r="N1106" s="377"/>
      <c r="P1106" s="377"/>
      <c r="Q1106" s="377"/>
      <c r="R1106" s="377"/>
      <c r="S1106" s="377"/>
      <c r="U1106" s="377"/>
      <c r="V1106" s="377"/>
      <c r="W1106" s="377"/>
      <c r="X1106" s="377"/>
      <c r="Z1106" s="77"/>
      <c r="AA1106" s="377"/>
      <c r="AB1106" s="377"/>
      <c r="AC1106" s="377"/>
      <c r="AE1106" s="77"/>
      <c r="AF1106" s="377"/>
      <c r="AG1106" s="377"/>
      <c r="AH1106" s="377"/>
      <c r="AJ1106" s="77"/>
      <c r="AK1106" s="77"/>
      <c r="AL1106" s="77"/>
      <c r="AM1106" s="77"/>
      <c r="AN1106" s="77"/>
    </row>
    <row r="1107" spans="12:40">
      <c r="L1107" s="377"/>
      <c r="M1107" s="377"/>
      <c r="N1107" s="377"/>
      <c r="P1107" s="377"/>
      <c r="Q1107" s="377"/>
      <c r="R1107" s="377"/>
      <c r="S1107" s="377"/>
      <c r="U1107" s="377"/>
      <c r="V1107" s="377"/>
      <c r="W1107" s="377"/>
      <c r="X1107" s="377"/>
      <c r="Z1107" s="77"/>
      <c r="AA1107" s="377"/>
      <c r="AB1107" s="377"/>
      <c r="AC1107" s="377"/>
      <c r="AE1107" s="77"/>
      <c r="AF1107" s="377"/>
      <c r="AG1107" s="377"/>
      <c r="AH1107" s="377"/>
      <c r="AJ1107" s="77"/>
      <c r="AK1107" s="77"/>
      <c r="AL1107" s="77"/>
      <c r="AM1107" s="77"/>
      <c r="AN1107" s="77"/>
    </row>
    <row r="1108" spans="12:40">
      <c r="L1108" s="377"/>
      <c r="M1108" s="377"/>
      <c r="N1108" s="377"/>
      <c r="P1108" s="377"/>
      <c r="Q1108" s="377"/>
      <c r="R1108" s="377"/>
      <c r="S1108" s="377"/>
      <c r="U1108" s="377"/>
      <c r="V1108" s="377"/>
      <c r="W1108" s="377"/>
      <c r="X1108" s="377"/>
      <c r="Z1108" s="77"/>
      <c r="AA1108" s="377"/>
      <c r="AB1108" s="377"/>
      <c r="AC1108" s="377"/>
      <c r="AE1108" s="77"/>
      <c r="AF1108" s="377"/>
      <c r="AG1108" s="377"/>
      <c r="AH1108" s="377"/>
      <c r="AJ1108" s="77"/>
      <c r="AK1108" s="77"/>
      <c r="AL1108" s="77"/>
      <c r="AM1108" s="77"/>
      <c r="AN1108" s="77"/>
    </row>
    <row r="1109" spans="12:40">
      <c r="L1109" s="377"/>
      <c r="M1109" s="377"/>
      <c r="N1109" s="377"/>
      <c r="P1109" s="377"/>
      <c r="Q1109" s="377"/>
      <c r="R1109" s="377"/>
      <c r="S1109" s="377"/>
      <c r="U1109" s="377"/>
      <c r="V1109" s="377"/>
      <c r="W1109" s="377"/>
      <c r="X1109" s="377"/>
      <c r="Z1109" s="77"/>
      <c r="AA1109" s="377"/>
      <c r="AB1109" s="377"/>
      <c r="AC1109" s="377"/>
      <c r="AE1109" s="77"/>
      <c r="AF1109" s="377"/>
      <c r="AG1109" s="377"/>
      <c r="AH1109" s="377"/>
      <c r="AJ1109" s="77"/>
      <c r="AK1109" s="77"/>
      <c r="AL1109" s="77"/>
      <c r="AM1109" s="77"/>
      <c r="AN1109" s="77"/>
    </row>
    <row r="1110" spans="12:40">
      <c r="L1110" s="377"/>
      <c r="M1110" s="377"/>
      <c r="N1110" s="377"/>
      <c r="P1110" s="377"/>
      <c r="Q1110" s="377"/>
      <c r="R1110" s="377"/>
      <c r="S1110" s="377"/>
      <c r="U1110" s="377"/>
      <c r="V1110" s="377"/>
      <c r="W1110" s="377"/>
      <c r="X1110" s="377"/>
      <c r="Z1110" s="77"/>
      <c r="AA1110" s="377"/>
      <c r="AB1110" s="377"/>
      <c r="AC1110" s="377"/>
      <c r="AE1110" s="77"/>
      <c r="AF1110" s="377"/>
      <c r="AG1110" s="377"/>
      <c r="AH1110" s="377"/>
      <c r="AJ1110" s="77"/>
      <c r="AK1110" s="77"/>
      <c r="AL1110" s="77"/>
      <c r="AM1110" s="77"/>
      <c r="AN1110" s="77"/>
    </row>
    <row r="1111" spans="12:40">
      <c r="L1111" s="377"/>
      <c r="M1111" s="377"/>
      <c r="N1111" s="377"/>
      <c r="P1111" s="377"/>
      <c r="Q1111" s="377"/>
      <c r="R1111" s="377"/>
      <c r="S1111" s="377"/>
      <c r="U1111" s="377"/>
      <c r="V1111" s="377"/>
      <c r="W1111" s="377"/>
      <c r="X1111" s="377"/>
      <c r="Z1111" s="77"/>
      <c r="AA1111" s="377"/>
      <c r="AB1111" s="377"/>
      <c r="AC1111" s="377"/>
      <c r="AE1111" s="77"/>
      <c r="AF1111" s="377"/>
      <c r="AG1111" s="377"/>
      <c r="AH1111" s="377"/>
      <c r="AJ1111" s="77"/>
      <c r="AK1111" s="77"/>
      <c r="AL1111" s="77"/>
      <c r="AM1111" s="77"/>
      <c r="AN1111" s="77"/>
    </row>
    <row r="1112" spans="12:40">
      <c r="L1112" s="377"/>
      <c r="M1112" s="377"/>
      <c r="N1112" s="377"/>
      <c r="P1112" s="377"/>
      <c r="Q1112" s="377"/>
      <c r="R1112" s="377"/>
      <c r="S1112" s="377"/>
      <c r="U1112" s="377"/>
      <c r="V1112" s="377"/>
      <c r="W1112" s="377"/>
      <c r="X1112" s="377"/>
      <c r="Z1112" s="77"/>
      <c r="AA1112" s="377"/>
      <c r="AB1112" s="377"/>
      <c r="AC1112" s="377"/>
      <c r="AE1112" s="77"/>
      <c r="AF1112" s="377"/>
      <c r="AG1112" s="377"/>
      <c r="AH1112" s="377"/>
      <c r="AJ1112" s="77"/>
      <c r="AK1112" s="77"/>
      <c r="AL1112" s="77"/>
      <c r="AM1112" s="77"/>
      <c r="AN1112" s="77"/>
    </row>
    <row r="1113" spans="12:40">
      <c r="L1113" s="377"/>
      <c r="M1113" s="377"/>
      <c r="N1113" s="377"/>
      <c r="P1113" s="377"/>
      <c r="Q1113" s="377"/>
      <c r="R1113" s="377"/>
      <c r="S1113" s="377"/>
      <c r="U1113" s="377"/>
      <c r="V1113" s="377"/>
      <c r="W1113" s="377"/>
      <c r="X1113" s="377"/>
      <c r="Z1113" s="77"/>
      <c r="AA1113" s="377"/>
      <c r="AB1113" s="377"/>
      <c r="AC1113" s="377"/>
      <c r="AE1113" s="77"/>
      <c r="AF1113" s="377"/>
      <c r="AG1113" s="377"/>
      <c r="AH1113" s="377"/>
      <c r="AJ1113" s="77"/>
      <c r="AK1113" s="77"/>
      <c r="AL1113" s="77"/>
      <c r="AM1113" s="77"/>
      <c r="AN1113" s="77"/>
    </row>
    <row r="1114" spans="12:40">
      <c r="L1114" s="377"/>
      <c r="M1114" s="377"/>
      <c r="N1114" s="377"/>
      <c r="P1114" s="377"/>
      <c r="Q1114" s="377"/>
      <c r="R1114" s="377"/>
      <c r="S1114" s="377"/>
      <c r="U1114" s="377"/>
      <c r="V1114" s="377"/>
      <c r="W1114" s="377"/>
      <c r="X1114" s="377"/>
      <c r="Z1114" s="77"/>
      <c r="AA1114" s="377"/>
      <c r="AB1114" s="377"/>
      <c r="AC1114" s="377"/>
      <c r="AE1114" s="77"/>
      <c r="AF1114" s="377"/>
      <c r="AG1114" s="377"/>
      <c r="AH1114" s="377"/>
      <c r="AJ1114" s="77"/>
      <c r="AK1114" s="77"/>
      <c r="AL1114" s="77"/>
      <c r="AM1114" s="77"/>
      <c r="AN1114" s="77"/>
    </row>
    <row r="1115" spans="12:40">
      <c r="L1115" s="377"/>
      <c r="M1115" s="377"/>
      <c r="N1115" s="377"/>
      <c r="P1115" s="377"/>
      <c r="Q1115" s="377"/>
      <c r="R1115" s="377"/>
      <c r="S1115" s="377"/>
      <c r="U1115" s="377"/>
      <c r="V1115" s="377"/>
      <c r="W1115" s="377"/>
      <c r="X1115" s="377"/>
      <c r="Z1115" s="77"/>
      <c r="AA1115" s="377"/>
      <c r="AB1115" s="377"/>
      <c r="AC1115" s="377"/>
      <c r="AE1115" s="77"/>
      <c r="AF1115" s="377"/>
      <c r="AG1115" s="377"/>
      <c r="AH1115" s="377"/>
      <c r="AJ1115" s="77"/>
      <c r="AK1115" s="77"/>
      <c r="AL1115" s="77"/>
      <c r="AM1115" s="77"/>
      <c r="AN1115" s="77"/>
    </row>
    <row r="1116" spans="12:40">
      <c r="L1116" s="377"/>
      <c r="M1116" s="377"/>
      <c r="N1116" s="377"/>
      <c r="P1116" s="377"/>
      <c r="Q1116" s="377"/>
      <c r="R1116" s="377"/>
      <c r="S1116" s="377"/>
      <c r="U1116" s="377"/>
      <c r="V1116" s="377"/>
      <c r="W1116" s="377"/>
      <c r="X1116" s="377"/>
      <c r="Z1116" s="77"/>
      <c r="AA1116" s="377"/>
      <c r="AB1116" s="377"/>
      <c r="AC1116" s="377"/>
      <c r="AE1116" s="77"/>
      <c r="AF1116" s="377"/>
      <c r="AG1116" s="377"/>
      <c r="AH1116" s="377"/>
      <c r="AJ1116" s="77"/>
      <c r="AK1116" s="77"/>
      <c r="AL1116" s="77"/>
      <c r="AM1116" s="77"/>
      <c r="AN1116" s="77"/>
    </row>
    <row r="1117" spans="12:40">
      <c r="L1117" s="377"/>
      <c r="M1117" s="377"/>
      <c r="N1117" s="377"/>
      <c r="P1117" s="377"/>
      <c r="Q1117" s="377"/>
      <c r="R1117" s="377"/>
      <c r="S1117" s="377"/>
      <c r="U1117" s="377"/>
      <c r="V1117" s="377"/>
      <c r="W1117" s="377"/>
      <c r="X1117" s="377"/>
      <c r="Z1117" s="77"/>
      <c r="AA1117" s="377"/>
      <c r="AB1117" s="377"/>
      <c r="AC1117" s="377"/>
      <c r="AE1117" s="77"/>
      <c r="AF1117" s="377"/>
      <c r="AG1117" s="377"/>
      <c r="AH1117" s="377"/>
      <c r="AJ1117" s="77"/>
      <c r="AK1117" s="77"/>
      <c r="AL1117" s="77"/>
      <c r="AM1117" s="77"/>
      <c r="AN1117" s="77"/>
    </row>
    <row r="1118" spans="12:40">
      <c r="L1118" s="377"/>
      <c r="M1118" s="377"/>
      <c r="N1118" s="377"/>
      <c r="P1118" s="377"/>
      <c r="Q1118" s="377"/>
      <c r="R1118" s="377"/>
      <c r="S1118" s="377"/>
      <c r="U1118" s="377"/>
      <c r="V1118" s="377"/>
      <c r="W1118" s="377"/>
      <c r="X1118" s="377"/>
      <c r="Z1118" s="77"/>
      <c r="AA1118" s="377"/>
      <c r="AB1118" s="377"/>
      <c r="AC1118" s="377"/>
      <c r="AE1118" s="77"/>
      <c r="AF1118" s="377"/>
      <c r="AG1118" s="377"/>
      <c r="AH1118" s="377"/>
      <c r="AJ1118" s="77"/>
      <c r="AK1118" s="77"/>
      <c r="AL1118" s="77"/>
      <c r="AM1118" s="77"/>
      <c r="AN1118" s="77"/>
    </row>
    <row r="1119" spans="12:40">
      <c r="L1119" s="377"/>
      <c r="M1119" s="377"/>
      <c r="N1119" s="377"/>
      <c r="P1119" s="377"/>
      <c r="Q1119" s="377"/>
      <c r="R1119" s="377"/>
      <c r="S1119" s="377"/>
      <c r="U1119" s="377"/>
      <c r="V1119" s="377"/>
      <c r="W1119" s="377"/>
      <c r="X1119" s="377"/>
      <c r="Z1119" s="77"/>
      <c r="AA1119" s="377"/>
      <c r="AB1119" s="377"/>
      <c r="AC1119" s="377"/>
      <c r="AE1119" s="77"/>
      <c r="AF1119" s="377"/>
      <c r="AG1119" s="377"/>
      <c r="AH1119" s="377"/>
      <c r="AJ1119" s="77"/>
      <c r="AK1119" s="77"/>
      <c r="AL1119" s="77"/>
      <c r="AM1119" s="77"/>
      <c r="AN1119" s="77"/>
    </row>
    <row r="1120" spans="12:40">
      <c r="L1120" s="377"/>
      <c r="M1120" s="377"/>
      <c r="N1120" s="377"/>
      <c r="P1120" s="377"/>
      <c r="Q1120" s="377"/>
      <c r="R1120" s="377"/>
      <c r="S1120" s="377"/>
      <c r="U1120" s="377"/>
      <c r="V1120" s="377"/>
      <c r="W1120" s="377"/>
      <c r="X1120" s="377"/>
      <c r="Z1120" s="77"/>
      <c r="AA1120" s="377"/>
      <c r="AB1120" s="377"/>
      <c r="AC1120" s="377"/>
      <c r="AE1120" s="77"/>
      <c r="AF1120" s="377"/>
      <c r="AG1120" s="377"/>
      <c r="AH1120" s="377"/>
      <c r="AJ1120" s="77"/>
      <c r="AK1120" s="77"/>
      <c r="AL1120" s="77"/>
      <c r="AM1120" s="77"/>
      <c r="AN1120" s="77"/>
    </row>
    <row r="1121" spans="12:40">
      <c r="L1121" s="377"/>
      <c r="M1121" s="377"/>
      <c r="N1121" s="377"/>
      <c r="P1121" s="377"/>
      <c r="Q1121" s="377"/>
      <c r="R1121" s="377"/>
      <c r="S1121" s="377"/>
      <c r="U1121" s="377"/>
      <c r="V1121" s="377"/>
      <c r="W1121" s="377"/>
      <c r="X1121" s="377"/>
      <c r="Z1121" s="77"/>
      <c r="AA1121" s="377"/>
      <c r="AB1121" s="377"/>
      <c r="AC1121" s="377"/>
      <c r="AE1121" s="77"/>
      <c r="AF1121" s="377"/>
      <c r="AG1121" s="377"/>
      <c r="AH1121" s="377"/>
      <c r="AJ1121" s="77"/>
      <c r="AK1121" s="77"/>
      <c r="AL1121" s="77"/>
      <c r="AM1121" s="77"/>
      <c r="AN1121" s="77"/>
    </row>
    <row r="1122" spans="12:40">
      <c r="L1122" s="377"/>
      <c r="M1122" s="377"/>
      <c r="N1122" s="377"/>
      <c r="P1122" s="377"/>
      <c r="Q1122" s="377"/>
      <c r="R1122" s="377"/>
      <c r="S1122" s="377"/>
      <c r="U1122" s="377"/>
      <c r="V1122" s="377"/>
      <c r="W1122" s="377"/>
      <c r="X1122" s="377"/>
      <c r="Z1122" s="77"/>
      <c r="AA1122" s="377"/>
      <c r="AB1122" s="377"/>
      <c r="AC1122" s="377"/>
      <c r="AE1122" s="77"/>
      <c r="AF1122" s="377"/>
      <c r="AG1122" s="377"/>
      <c r="AH1122" s="377"/>
      <c r="AJ1122" s="77"/>
      <c r="AK1122" s="77"/>
      <c r="AL1122" s="77"/>
      <c r="AM1122" s="77"/>
      <c r="AN1122" s="77"/>
    </row>
    <row r="1123" spans="12:40">
      <c r="L1123" s="377"/>
      <c r="M1123" s="377"/>
      <c r="N1123" s="377"/>
      <c r="P1123" s="377"/>
      <c r="Q1123" s="377"/>
      <c r="R1123" s="377"/>
      <c r="S1123" s="377"/>
      <c r="U1123" s="377"/>
      <c r="V1123" s="377"/>
      <c r="W1123" s="377"/>
      <c r="X1123" s="377"/>
      <c r="Z1123" s="77"/>
      <c r="AA1123" s="377"/>
      <c r="AB1123" s="377"/>
      <c r="AC1123" s="377"/>
      <c r="AE1123" s="77"/>
      <c r="AF1123" s="377"/>
      <c r="AG1123" s="377"/>
      <c r="AH1123" s="377"/>
      <c r="AJ1123" s="77"/>
      <c r="AK1123" s="77"/>
      <c r="AL1123" s="77"/>
      <c r="AM1123" s="77"/>
      <c r="AN1123" s="77"/>
    </row>
    <row r="1124" spans="12:40">
      <c r="L1124" s="377"/>
      <c r="M1124" s="377"/>
      <c r="N1124" s="377"/>
      <c r="P1124" s="377"/>
      <c r="Q1124" s="377"/>
      <c r="R1124" s="377"/>
      <c r="S1124" s="377"/>
      <c r="U1124" s="377"/>
      <c r="V1124" s="377"/>
      <c r="W1124" s="377"/>
      <c r="X1124" s="377"/>
      <c r="Z1124" s="77"/>
      <c r="AA1124" s="377"/>
      <c r="AB1124" s="377"/>
      <c r="AC1124" s="377"/>
      <c r="AE1124" s="77"/>
      <c r="AF1124" s="377"/>
      <c r="AG1124" s="377"/>
      <c r="AH1124" s="377"/>
      <c r="AJ1124" s="77"/>
      <c r="AK1124" s="77"/>
      <c r="AL1124" s="77"/>
      <c r="AM1124" s="77"/>
      <c r="AN1124" s="77"/>
    </row>
    <row r="1125" spans="12:40">
      <c r="L1125" s="377"/>
      <c r="M1125" s="377"/>
      <c r="N1125" s="377"/>
      <c r="P1125" s="377"/>
      <c r="Q1125" s="377"/>
      <c r="R1125" s="377"/>
      <c r="S1125" s="377"/>
      <c r="U1125" s="377"/>
      <c r="V1125" s="377"/>
      <c r="W1125" s="377"/>
      <c r="X1125" s="377"/>
      <c r="Z1125" s="77"/>
      <c r="AA1125" s="377"/>
      <c r="AB1125" s="377"/>
      <c r="AC1125" s="377"/>
      <c r="AE1125" s="77"/>
      <c r="AF1125" s="377"/>
      <c r="AG1125" s="377"/>
      <c r="AH1125" s="377"/>
      <c r="AJ1125" s="77"/>
      <c r="AK1125" s="77"/>
      <c r="AL1125" s="77"/>
      <c r="AM1125" s="77"/>
      <c r="AN1125" s="77"/>
    </row>
    <row r="1126" spans="12:40">
      <c r="L1126" s="377"/>
      <c r="M1126" s="377"/>
      <c r="N1126" s="377"/>
      <c r="P1126" s="377"/>
      <c r="Q1126" s="377"/>
      <c r="R1126" s="377"/>
      <c r="S1126" s="377"/>
      <c r="U1126" s="377"/>
      <c r="V1126" s="377"/>
      <c r="W1126" s="377"/>
      <c r="X1126" s="377"/>
      <c r="Z1126" s="77"/>
      <c r="AA1126" s="377"/>
      <c r="AB1126" s="377"/>
      <c r="AC1126" s="377"/>
      <c r="AE1126" s="77"/>
      <c r="AF1126" s="377"/>
      <c r="AG1126" s="377"/>
      <c r="AH1126" s="377"/>
      <c r="AJ1126" s="77"/>
      <c r="AK1126" s="77"/>
      <c r="AL1126" s="77"/>
      <c r="AM1126" s="77"/>
      <c r="AN1126" s="77"/>
    </row>
    <row r="1127" spans="12:40">
      <c r="L1127" s="377"/>
      <c r="M1127" s="377"/>
      <c r="N1127" s="377"/>
      <c r="P1127" s="377"/>
      <c r="Q1127" s="377"/>
      <c r="R1127" s="377"/>
      <c r="S1127" s="377"/>
      <c r="U1127" s="377"/>
      <c r="V1127" s="377"/>
      <c r="W1127" s="377"/>
      <c r="X1127" s="377"/>
      <c r="Z1127" s="77"/>
      <c r="AA1127" s="377"/>
      <c r="AB1127" s="377"/>
      <c r="AC1127" s="377"/>
      <c r="AE1127" s="77"/>
      <c r="AF1127" s="377"/>
      <c r="AG1127" s="377"/>
      <c r="AH1127" s="377"/>
      <c r="AJ1127" s="77"/>
      <c r="AK1127" s="77"/>
      <c r="AL1127" s="77"/>
      <c r="AM1127" s="77"/>
      <c r="AN1127" s="77"/>
    </row>
    <row r="1128" spans="12:40">
      <c r="L1128" s="377"/>
      <c r="M1128" s="377"/>
      <c r="N1128" s="377"/>
      <c r="P1128" s="377"/>
      <c r="Q1128" s="377"/>
      <c r="R1128" s="377"/>
      <c r="S1128" s="377"/>
      <c r="U1128" s="377"/>
      <c r="V1128" s="377"/>
      <c r="W1128" s="377"/>
      <c r="X1128" s="377"/>
      <c r="Z1128" s="77"/>
      <c r="AA1128" s="377"/>
      <c r="AB1128" s="377"/>
      <c r="AC1128" s="377"/>
      <c r="AE1128" s="77"/>
      <c r="AF1128" s="377"/>
      <c r="AG1128" s="377"/>
      <c r="AH1128" s="377"/>
      <c r="AJ1128" s="77"/>
      <c r="AK1128" s="77"/>
      <c r="AL1128" s="77"/>
      <c r="AM1128" s="77"/>
      <c r="AN1128" s="77"/>
    </row>
    <row r="1129" spans="12:40">
      <c r="L1129" s="377"/>
      <c r="M1129" s="377"/>
      <c r="N1129" s="377"/>
      <c r="P1129" s="377"/>
      <c r="Q1129" s="377"/>
      <c r="R1129" s="377"/>
      <c r="S1129" s="377"/>
      <c r="U1129" s="377"/>
      <c r="V1129" s="377"/>
      <c r="W1129" s="377"/>
      <c r="X1129" s="377"/>
      <c r="Z1129" s="77"/>
      <c r="AA1129" s="377"/>
      <c r="AB1129" s="377"/>
      <c r="AC1129" s="377"/>
      <c r="AE1129" s="77"/>
      <c r="AF1129" s="377"/>
      <c r="AG1129" s="377"/>
      <c r="AH1129" s="377"/>
      <c r="AJ1129" s="77"/>
      <c r="AK1129" s="77"/>
      <c r="AL1129" s="77"/>
      <c r="AM1129" s="77"/>
      <c r="AN1129" s="77"/>
    </row>
    <row r="1130" spans="12:40">
      <c r="L1130" s="377"/>
      <c r="M1130" s="377"/>
      <c r="N1130" s="377"/>
      <c r="P1130" s="377"/>
      <c r="Q1130" s="377"/>
      <c r="R1130" s="377"/>
      <c r="S1130" s="377"/>
      <c r="U1130" s="377"/>
      <c r="V1130" s="377"/>
      <c r="W1130" s="377"/>
      <c r="X1130" s="377"/>
      <c r="Z1130" s="77"/>
      <c r="AA1130" s="377"/>
      <c r="AB1130" s="377"/>
      <c r="AC1130" s="377"/>
      <c r="AE1130" s="77"/>
      <c r="AF1130" s="377"/>
      <c r="AG1130" s="377"/>
      <c r="AH1130" s="377"/>
      <c r="AJ1130" s="77"/>
      <c r="AK1130" s="77"/>
      <c r="AL1130" s="77"/>
      <c r="AM1130" s="77"/>
      <c r="AN1130" s="77"/>
    </row>
    <row r="1131" spans="12:40">
      <c r="L1131" s="377"/>
      <c r="M1131" s="377"/>
      <c r="N1131" s="377"/>
      <c r="P1131" s="377"/>
      <c r="Q1131" s="377"/>
      <c r="R1131" s="377"/>
      <c r="S1131" s="377"/>
      <c r="U1131" s="377"/>
      <c r="V1131" s="377"/>
      <c r="W1131" s="377"/>
      <c r="X1131" s="377"/>
      <c r="Z1131" s="77"/>
      <c r="AA1131" s="377"/>
      <c r="AB1131" s="377"/>
      <c r="AC1131" s="377"/>
      <c r="AE1131" s="77"/>
      <c r="AF1131" s="377"/>
      <c r="AG1131" s="377"/>
      <c r="AH1131" s="377"/>
      <c r="AJ1131" s="77"/>
      <c r="AK1131" s="77"/>
      <c r="AL1131" s="77"/>
      <c r="AM1131" s="77"/>
      <c r="AN1131" s="77"/>
    </row>
    <row r="1132" spans="12:40">
      <c r="L1132" s="377"/>
      <c r="M1132" s="377"/>
      <c r="N1132" s="377"/>
      <c r="P1132" s="377"/>
      <c r="Q1132" s="377"/>
      <c r="R1132" s="377"/>
      <c r="S1132" s="377"/>
      <c r="U1132" s="377"/>
      <c r="V1132" s="377"/>
      <c r="W1132" s="377"/>
      <c r="X1132" s="377"/>
      <c r="Z1132" s="77"/>
      <c r="AA1132" s="377"/>
      <c r="AB1132" s="377"/>
      <c r="AC1132" s="377"/>
      <c r="AE1132" s="77"/>
      <c r="AF1132" s="377"/>
      <c r="AG1132" s="377"/>
      <c r="AH1132" s="377"/>
      <c r="AJ1132" s="77"/>
      <c r="AK1132" s="77"/>
      <c r="AL1132" s="77"/>
      <c r="AM1132" s="77"/>
      <c r="AN1132" s="77"/>
    </row>
    <row r="1133" spans="12:40">
      <c r="L1133" s="377"/>
      <c r="M1133" s="377"/>
      <c r="N1133" s="377"/>
      <c r="P1133" s="377"/>
      <c r="Q1133" s="377"/>
      <c r="R1133" s="377"/>
      <c r="S1133" s="377"/>
      <c r="U1133" s="377"/>
      <c r="V1133" s="377"/>
      <c r="W1133" s="377"/>
      <c r="X1133" s="377"/>
      <c r="Z1133" s="77"/>
      <c r="AA1133" s="377"/>
      <c r="AB1133" s="377"/>
      <c r="AC1133" s="377"/>
      <c r="AE1133" s="77"/>
      <c r="AF1133" s="377"/>
      <c r="AG1133" s="377"/>
      <c r="AH1133" s="377"/>
      <c r="AJ1133" s="77"/>
      <c r="AK1133" s="77"/>
      <c r="AL1133" s="77"/>
      <c r="AM1133" s="77"/>
      <c r="AN1133" s="77"/>
    </row>
    <row r="1134" spans="12:40">
      <c r="L1134" s="377"/>
      <c r="M1134" s="377"/>
      <c r="N1134" s="377"/>
      <c r="P1134" s="377"/>
      <c r="Q1134" s="377"/>
      <c r="R1134" s="377"/>
      <c r="S1134" s="377"/>
      <c r="U1134" s="377"/>
      <c r="V1134" s="377"/>
      <c r="W1134" s="377"/>
      <c r="X1134" s="377"/>
      <c r="Z1134" s="77"/>
      <c r="AA1134" s="377"/>
      <c r="AB1134" s="377"/>
      <c r="AC1134" s="377"/>
      <c r="AE1134" s="77"/>
      <c r="AF1134" s="377"/>
      <c r="AG1134" s="377"/>
      <c r="AH1134" s="377"/>
      <c r="AJ1134" s="77"/>
      <c r="AK1134" s="77"/>
      <c r="AL1134" s="77"/>
      <c r="AM1134" s="77"/>
      <c r="AN1134" s="77"/>
    </row>
    <row r="1135" spans="12:40">
      <c r="L1135" s="377"/>
      <c r="M1135" s="377"/>
      <c r="N1135" s="377"/>
      <c r="P1135" s="377"/>
      <c r="Q1135" s="377"/>
      <c r="R1135" s="377"/>
      <c r="S1135" s="377"/>
      <c r="U1135" s="377"/>
      <c r="V1135" s="377"/>
      <c r="W1135" s="377"/>
      <c r="X1135" s="377"/>
      <c r="Z1135" s="77"/>
      <c r="AA1135" s="377"/>
      <c r="AB1135" s="377"/>
      <c r="AC1135" s="377"/>
      <c r="AE1135" s="77"/>
      <c r="AF1135" s="377"/>
      <c r="AG1135" s="377"/>
      <c r="AH1135" s="377"/>
      <c r="AJ1135" s="77"/>
      <c r="AK1135" s="77"/>
      <c r="AL1135" s="77"/>
      <c r="AM1135" s="77"/>
      <c r="AN1135" s="77"/>
    </row>
    <row r="1136" spans="12:40">
      <c r="L1136" s="377"/>
      <c r="M1136" s="377"/>
      <c r="N1136" s="377"/>
      <c r="P1136" s="377"/>
      <c r="Q1136" s="377"/>
      <c r="R1136" s="377"/>
      <c r="S1136" s="377"/>
      <c r="U1136" s="377"/>
      <c r="V1136" s="377"/>
      <c r="W1136" s="377"/>
      <c r="X1136" s="377"/>
      <c r="Z1136" s="77"/>
      <c r="AA1136" s="377"/>
      <c r="AB1136" s="377"/>
      <c r="AC1136" s="377"/>
      <c r="AE1136" s="77"/>
      <c r="AF1136" s="377"/>
      <c r="AG1136" s="377"/>
      <c r="AH1136" s="377"/>
      <c r="AJ1136" s="77"/>
      <c r="AK1136" s="77"/>
      <c r="AL1136" s="77"/>
      <c r="AM1136" s="77"/>
      <c r="AN1136" s="77"/>
    </row>
    <row r="1137" spans="12:40">
      <c r="L1137" s="377"/>
      <c r="M1137" s="377"/>
      <c r="N1137" s="377"/>
      <c r="P1137" s="377"/>
      <c r="Q1137" s="377"/>
      <c r="R1137" s="377"/>
      <c r="S1137" s="377"/>
      <c r="U1137" s="377"/>
      <c r="V1137" s="377"/>
      <c r="W1137" s="377"/>
      <c r="X1137" s="377"/>
      <c r="Z1137" s="77"/>
      <c r="AA1137" s="377"/>
      <c r="AB1137" s="377"/>
      <c r="AC1137" s="377"/>
      <c r="AE1137" s="77"/>
      <c r="AF1137" s="377"/>
      <c r="AG1137" s="377"/>
      <c r="AH1137" s="377"/>
      <c r="AJ1137" s="77"/>
      <c r="AK1137" s="77"/>
      <c r="AL1137" s="77"/>
      <c r="AM1137" s="77"/>
      <c r="AN1137" s="77"/>
    </row>
    <row r="1138" spans="12:40">
      <c r="L1138" s="377"/>
      <c r="M1138" s="377"/>
      <c r="N1138" s="377"/>
      <c r="P1138" s="377"/>
      <c r="Q1138" s="377"/>
      <c r="R1138" s="377"/>
      <c r="S1138" s="377"/>
      <c r="U1138" s="377"/>
      <c r="V1138" s="377"/>
      <c r="W1138" s="377"/>
      <c r="X1138" s="377"/>
      <c r="Z1138" s="77"/>
      <c r="AA1138" s="377"/>
      <c r="AB1138" s="377"/>
      <c r="AC1138" s="377"/>
      <c r="AE1138" s="77"/>
      <c r="AF1138" s="377"/>
      <c r="AG1138" s="377"/>
      <c r="AH1138" s="377"/>
      <c r="AJ1138" s="77"/>
      <c r="AK1138" s="77"/>
      <c r="AL1138" s="77"/>
      <c r="AM1138" s="77"/>
      <c r="AN1138" s="77"/>
    </row>
    <row r="1139" spans="12:40">
      <c r="L1139" s="377"/>
      <c r="M1139" s="377"/>
      <c r="N1139" s="377"/>
      <c r="P1139" s="377"/>
      <c r="Q1139" s="377"/>
      <c r="R1139" s="377"/>
      <c r="S1139" s="377"/>
      <c r="U1139" s="377"/>
      <c r="V1139" s="377"/>
      <c r="W1139" s="377"/>
      <c r="X1139" s="377"/>
      <c r="Z1139" s="77"/>
      <c r="AA1139" s="377"/>
      <c r="AB1139" s="377"/>
      <c r="AC1139" s="377"/>
      <c r="AE1139" s="77"/>
      <c r="AF1139" s="377"/>
      <c r="AG1139" s="377"/>
      <c r="AH1139" s="377"/>
      <c r="AJ1139" s="77"/>
      <c r="AK1139" s="77"/>
      <c r="AL1139" s="77"/>
      <c r="AM1139" s="77"/>
      <c r="AN1139" s="77"/>
    </row>
    <row r="1140" spans="12:40">
      <c r="L1140" s="377"/>
      <c r="M1140" s="377"/>
      <c r="N1140" s="377"/>
      <c r="P1140" s="377"/>
      <c r="Q1140" s="377"/>
      <c r="R1140" s="377"/>
      <c r="S1140" s="377"/>
      <c r="U1140" s="377"/>
      <c r="V1140" s="377"/>
      <c r="W1140" s="377"/>
      <c r="X1140" s="377"/>
      <c r="Z1140" s="77"/>
      <c r="AA1140" s="377"/>
      <c r="AB1140" s="377"/>
      <c r="AC1140" s="377"/>
      <c r="AE1140" s="77"/>
      <c r="AF1140" s="377"/>
      <c r="AG1140" s="377"/>
      <c r="AH1140" s="377"/>
      <c r="AJ1140" s="77"/>
      <c r="AK1140" s="77"/>
      <c r="AL1140" s="77"/>
      <c r="AM1140" s="77"/>
      <c r="AN1140" s="77"/>
    </row>
    <row r="1141" spans="12:40">
      <c r="L1141" s="377"/>
      <c r="M1141" s="377"/>
      <c r="N1141" s="377"/>
      <c r="P1141" s="377"/>
      <c r="Q1141" s="377"/>
      <c r="R1141" s="377"/>
      <c r="S1141" s="377"/>
      <c r="U1141" s="377"/>
      <c r="V1141" s="377"/>
      <c r="W1141" s="377"/>
      <c r="X1141" s="377"/>
      <c r="Z1141" s="77"/>
      <c r="AA1141" s="377"/>
      <c r="AB1141" s="377"/>
      <c r="AC1141" s="377"/>
      <c r="AE1141" s="77"/>
      <c r="AF1141" s="377"/>
      <c r="AG1141" s="377"/>
      <c r="AH1141" s="377"/>
      <c r="AJ1141" s="77"/>
      <c r="AK1141" s="77"/>
      <c r="AL1141" s="77"/>
      <c r="AM1141" s="77"/>
      <c r="AN1141" s="77"/>
    </row>
    <row r="1142" spans="12:40">
      <c r="L1142" s="377"/>
      <c r="M1142" s="377"/>
      <c r="N1142" s="377"/>
      <c r="P1142" s="377"/>
      <c r="Q1142" s="377"/>
      <c r="R1142" s="377"/>
      <c r="S1142" s="377"/>
      <c r="U1142" s="377"/>
      <c r="V1142" s="377"/>
      <c r="W1142" s="377"/>
      <c r="X1142" s="377"/>
      <c r="Z1142" s="77"/>
      <c r="AA1142" s="377"/>
      <c r="AB1142" s="377"/>
      <c r="AC1142" s="377"/>
      <c r="AE1142" s="77"/>
      <c r="AF1142" s="377"/>
      <c r="AG1142" s="377"/>
      <c r="AH1142" s="377"/>
      <c r="AJ1142" s="77"/>
      <c r="AK1142" s="77"/>
      <c r="AL1142" s="77"/>
      <c r="AM1142" s="77"/>
      <c r="AN1142" s="77"/>
    </row>
    <row r="1143" spans="12:40">
      <c r="L1143" s="377"/>
      <c r="M1143" s="377"/>
      <c r="N1143" s="377"/>
      <c r="P1143" s="377"/>
      <c r="Q1143" s="377"/>
      <c r="R1143" s="377"/>
      <c r="S1143" s="377"/>
      <c r="U1143" s="377"/>
      <c r="V1143" s="377"/>
      <c r="W1143" s="377"/>
      <c r="X1143" s="377"/>
      <c r="Z1143" s="77"/>
      <c r="AA1143" s="377"/>
      <c r="AB1143" s="377"/>
      <c r="AC1143" s="377"/>
      <c r="AE1143" s="77"/>
      <c r="AF1143" s="377"/>
      <c r="AG1143" s="377"/>
      <c r="AH1143" s="377"/>
      <c r="AJ1143" s="77"/>
      <c r="AK1143" s="77"/>
      <c r="AL1143" s="77"/>
      <c r="AM1143" s="77"/>
      <c r="AN1143" s="77"/>
    </row>
    <row r="1144" spans="12:40">
      <c r="L1144" s="377"/>
      <c r="M1144" s="377"/>
      <c r="N1144" s="377"/>
      <c r="P1144" s="377"/>
      <c r="Q1144" s="377"/>
      <c r="R1144" s="377"/>
      <c r="S1144" s="377"/>
      <c r="U1144" s="377"/>
      <c r="V1144" s="377"/>
      <c r="W1144" s="377"/>
      <c r="X1144" s="377"/>
      <c r="Z1144" s="77"/>
      <c r="AA1144" s="377"/>
      <c r="AB1144" s="377"/>
      <c r="AC1144" s="377"/>
      <c r="AE1144" s="77"/>
      <c r="AF1144" s="377"/>
      <c r="AG1144" s="377"/>
      <c r="AH1144" s="377"/>
      <c r="AJ1144" s="77"/>
      <c r="AK1144" s="77"/>
      <c r="AL1144" s="77"/>
      <c r="AM1144" s="77"/>
      <c r="AN1144" s="77"/>
    </row>
    <row r="1145" spans="12:40">
      <c r="L1145" s="377"/>
      <c r="M1145" s="377"/>
      <c r="N1145" s="377"/>
      <c r="P1145" s="377"/>
      <c r="Q1145" s="377"/>
      <c r="R1145" s="377"/>
      <c r="S1145" s="377"/>
      <c r="U1145" s="377"/>
      <c r="V1145" s="377"/>
      <c r="W1145" s="377"/>
      <c r="X1145" s="377"/>
      <c r="Z1145" s="77"/>
      <c r="AA1145" s="377"/>
      <c r="AB1145" s="377"/>
      <c r="AC1145" s="377"/>
      <c r="AE1145" s="77"/>
      <c r="AF1145" s="377"/>
      <c r="AG1145" s="377"/>
      <c r="AH1145" s="377"/>
      <c r="AJ1145" s="77"/>
      <c r="AK1145" s="77"/>
      <c r="AL1145" s="77"/>
      <c r="AM1145" s="77"/>
      <c r="AN1145" s="77"/>
    </row>
    <row r="1146" spans="12:40">
      <c r="L1146" s="377"/>
      <c r="M1146" s="377"/>
      <c r="N1146" s="377"/>
      <c r="P1146" s="377"/>
      <c r="Q1146" s="377"/>
      <c r="R1146" s="377"/>
      <c r="S1146" s="377"/>
      <c r="U1146" s="377"/>
      <c r="V1146" s="377"/>
      <c r="W1146" s="377"/>
      <c r="X1146" s="377"/>
      <c r="Z1146" s="77"/>
      <c r="AA1146" s="377"/>
      <c r="AB1146" s="377"/>
      <c r="AC1146" s="377"/>
      <c r="AE1146" s="77"/>
      <c r="AF1146" s="377"/>
      <c r="AG1146" s="377"/>
      <c r="AH1146" s="377"/>
      <c r="AJ1146" s="77"/>
      <c r="AK1146" s="77"/>
      <c r="AL1146" s="77"/>
      <c r="AM1146" s="77"/>
      <c r="AN1146" s="77"/>
    </row>
    <row r="1147" spans="12:40">
      <c r="L1147" s="377"/>
      <c r="M1147" s="377"/>
      <c r="N1147" s="377"/>
      <c r="P1147" s="377"/>
      <c r="Q1147" s="377"/>
      <c r="R1147" s="377"/>
      <c r="S1147" s="377"/>
      <c r="U1147" s="377"/>
      <c r="V1147" s="377"/>
      <c r="W1147" s="377"/>
      <c r="X1147" s="377"/>
      <c r="Z1147" s="77"/>
      <c r="AA1147" s="377"/>
      <c r="AB1147" s="377"/>
      <c r="AC1147" s="377"/>
      <c r="AE1147" s="77"/>
      <c r="AF1147" s="377"/>
      <c r="AG1147" s="377"/>
      <c r="AH1147" s="377"/>
      <c r="AJ1147" s="77"/>
      <c r="AK1147" s="77"/>
      <c r="AL1147" s="77"/>
      <c r="AM1147" s="77"/>
      <c r="AN1147" s="77"/>
    </row>
    <row r="1148" spans="12:40">
      <c r="L1148" s="377"/>
      <c r="M1148" s="377"/>
      <c r="N1148" s="377"/>
      <c r="P1148" s="377"/>
      <c r="Q1148" s="377"/>
      <c r="R1148" s="377"/>
      <c r="S1148" s="377"/>
      <c r="U1148" s="377"/>
      <c r="V1148" s="377"/>
      <c r="W1148" s="377"/>
      <c r="X1148" s="377"/>
      <c r="Z1148" s="77"/>
      <c r="AA1148" s="377"/>
      <c r="AB1148" s="377"/>
      <c r="AC1148" s="377"/>
      <c r="AE1148" s="77"/>
      <c r="AF1148" s="377"/>
      <c r="AG1148" s="377"/>
      <c r="AH1148" s="377"/>
      <c r="AJ1148" s="77"/>
      <c r="AK1148" s="77"/>
      <c r="AL1148" s="77"/>
      <c r="AM1148" s="77"/>
      <c r="AN1148" s="77"/>
    </row>
    <row r="1149" spans="12:40">
      <c r="L1149" s="377"/>
      <c r="M1149" s="377"/>
      <c r="N1149" s="377"/>
      <c r="P1149" s="377"/>
      <c r="Q1149" s="377"/>
      <c r="R1149" s="377"/>
      <c r="S1149" s="377"/>
      <c r="U1149" s="377"/>
      <c r="V1149" s="377"/>
      <c r="W1149" s="377"/>
      <c r="X1149" s="377"/>
      <c r="Z1149" s="77"/>
      <c r="AA1149" s="377"/>
      <c r="AB1149" s="377"/>
      <c r="AC1149" s="377"/>
      <c r="AE1149" s="77"/>
      <c r="AF1149" s="377"/>
      <c r="AG1149" s="377"/>
      <c r="AH1149" s="377"/>
      <c r="AJ1149" s="77"/>
      <c r="AK1149" s="77"/>
      <c r="AL1149" s="77"/>
      <c r="AM1149" s="77"/>
      <c r="AN1149" s="77"/>
    </row>
    <row r="1150" spans="12:40">
      <c r="L1150" s="377"/>
      <c r="M1150" s="377"/>
      <c r="N1150" s="377"/>
      <c r="P1150" s="377"/>
      <c r="Q1150" s="377"/>
      <c r="R1150" s="377"/>
      <c r="S1150" s="377"/>
      <c r="U1150" s="377"/>
      <c r="V1150" s="377"/>
      <c r="W1150" s="377"/>
      <c r="X1150" s="377"/>
      <c r="Z1150" s="77"/>
      <c r="AA1150" s="377"/>
      <c r="AB1150" s="377"/>
      <c r="AC1150" s="377"/>
      <c r="AE1150" s="77"/>
      <c r="AF1150" s="377"/>
      <c r="AG1150" s="377"/>
      <c r="AH1150" s="377"/>
      <c r="AJ1150" s="77"/>
      <c r="AK1150" s="77"/>
      <c r="AL1150" s="77"/>
      <c r="AM1150" s="77"/>
      <c r="AN1150" s="77"/>
    </row>
    <row r="1151" spans="12:40">
      <c r="L1151" s="377"/>
      <c r="M1151" s="377"/>
      <c r="N1151" s="377"/>
      <c r="P1151" s="377"/>
      <c r="Q1151" s="377"/>
      <c r="R1151" s="377"/>
      <c r="S1151" s="377"/>
      <c r="U1151" s="377"/>
      <c r="V1151" s="377"/>
      <c r="W1151" s="377"/>
      <c r="X1151" s="377"/>
      <c r="Z1151" s="77"/>
      <c r="AA1151" s="377"/>
      <c r="AB1151" s="377"/>
      <c r="AC1151" s="377"/>
      <c r="AE1151" s="77"/>
      <c r="AF1151" s="377"/>
      <c r="AG1151" s="377"/>
      <c r="AH1151" s="377"/>
      <c r="AJ1151" s="77"/>
      <c r="AK1151" s="77"/>
      <c r="AL1151" s="77"/>
      <c r="AM1151" s="77"/>
      <c r="AN1151" s="77"/>
    </row>
    <row r="1152" spans="12:40">
      <c r="L1152" s="377"/>
      <c r="M1152" s="377"/>
      <c r="N1152" s="377"/>
      <c r="P1152" s="377"/>
      <c r="Q1152" s="377"/>
      <c r="R1152" s="377"/>
      <c r="S1152" s="377"/>
      <c r="U1152" s="377"/>
      <c r="V1152" s="377"/>
      <c r="W1152" s="377"/>
      <c r="X1152" s="377"/>
      <c r="Z1152" s="77"/>
      <c r="AA1152" s="377"/>
      <c r="AB1152" s="377"/>
      <c r="AC1152" s="377"/>
      <c r="AE1152" s="77"/>
      <c r="AF1152" s="377"/>
      <c r="AG1152" s="377"/>
      <c r="AH1152" s="377"/>
      <c r="AJ1152" s="77"/>
      <c r="AK1152" s="77"/>
      <c r="AL1152" s="77"/>
      <c r="AM1152" s="77"/>
      <c r="AN1152" s="77"/>
    </row>
    <row r="1153" spans="12:40">
      <c r="L1153" s="377"/>
      <c r="M1153" s="377"/>
      <c r="N1153" s="377"/>
      <c r="P1153" s="377"/>
      <c r="Q1153" s="377"/>
      <c r="R1153" s="377"/>
      <c r="S1153" s="377"/>
      <c r="U1153" s="377"/>
      <c r="V1153" s="377"/>
      <c r="W1153" s="377"/>
      <c r="X1153" s="377"/>
      <c r="Z1153" s="77"/>
      <c r="AA1153" s="377"/>
      <c r="AB1153" s="377"/>
      <c r="AC1153" s="377"/>
      <c r="AE1153" s="77"/>
      <c r="AF1153" s="377"/>
      <c r="AG1153" s="377"/>
      <c r="AH1153" s="377"/>
      <c r="AJ1153" s="77"/>
      <c r="AK1153" s="77"/>
      <c r="AL1153" s="77"/>
      <c r="AM1153" s="77"/>
      <c r="AN1153" s="77"/>
    </row>
    <row r="1154" spans="12:40">
      <c r="L1154" s="377"/>
      <c r="M1154" s="377"/>
      <c r="N1154" s="377"/>
      <c r="P1154" s="377"/>
      <c r="Q1154" s="377"/>
      <c r="R1154" s="377"/>
      <c r="S1154" s="377"/>
      <c r="U1154" s="377"/>
      <c r="V1154" s="377"/>
      <c r="W1154" s="377"/>
      <c r="X1154" s="377"/>
      <c r="Z1154" s="77"/>
      <c r="AA1154" s="377"/>
      <c r="AB1154" s="377"/>
      <c r="AC1154" s="377"/>
      <c r="AE1154" s="77"/>
      <c r="AF1154" s="377"/>
      <c r="AG1154" s="377"/>
      <c r="AH1154" s="377"/>
      <c r="AJ1154" s="77"/>
      <c r="AK1154" s="77"/>
      <c r="AL1154" s="77"/>
      <c r="AM1154" s="77"/>
      <c r="AN1154" s="77"/>
    </row>
    <row r="1155" spans="12:40">
      <c r="L1155" s="377"/>
      <c r="M1155" s="377"/>
      <c r="N1155" s="377"/>
      <c r="P1155" s="377"/>
      <c r="Q1155" s="377"/>
      <c r="R1155" s="377"/>
      <c r="S1155" s="377"/>
      <c r="U1155" s="377"/>
      <c r="V1155" s="377"/>
      <c r="W1155" s="377"/>
      <c r="X1155" s="377"/>
      <c r="Z1155" s="77"/>
      <c r="AA1155" s="377"/>
      <c r="AB1155" s="377"/>
      <c r="AC1155" s="377"/>
      <c r="AE1155" s="77"/>
      <c r="AF1155" s="377"/>
      <c r="AG1155" s="377"/>
      <c r="AH1155" s="377"/>
      <c r="AJ1155" s="77"/>
      <c r="AK1155" s="77"/>
      <c r="AL1155" s="77"/>
      <c r="AM1155" s="77"/>
      <c r="AN1155" s="77"/>
    </row>
    <row r="1156" spans="12:40">
      <c r="L1156" s="377"/>
      <c r="M1156" s="377"/>
      <c r="N1156" s="377"/>
      <c r="P1156" s="377"/>
      <c r="Q1156" s="377"/>
      <c r="R1156" s="377"/>
      <c r="S1156" s="377"/>
      <c r="U1156" s="377"/>
      <c r="V1156" s="377"/>
      <c r="W1156" s="377"/>
      <c r="X1156" s="377"/>
      <c r="Z1156" s="77"/>
      <c r="AA1156" s="377"/>
      <c r="AB1156" s="377"/>
      <c r="AC1156" s="377"/>
      <c r="AE1156" s="77"/>
      <c r="AF1156" s="377"/>
      <c r="AG1156" s="377"/>
      <c r="AH1156" s="377"/>
      <c r="AJ1156" s="77"/>
      <c r="AK1156" s="77"/>
      <c r="AL1156" s="77"/>
      <c r="AM1156" s="77"/>
      <c r="AN1156" s="77"/>
    </row>
    <row r="1157" spans="12:40">
      <c r="L1157" s="377"/>
      <c r="M1157" s="377"/>
      <c r="N1157" s="377"/>
      <c r="P1157" s="377"/>
      <c r="Q1157" s="377"/>
      <c r="R1157" s="377"/>
      <c r="S1157" s="377"/>
      <c r="U1157" s="377"/>
      <c r="V1157" s="377"/>
      <c r="W1157" s="377"/>
      <c r="X1157" s="377"/>
      <c r="Z1157" s="77"/>
      <c r="AA1157" s="377"/>
      <c r="AB1157" s="377"/>
      <c r="AC1157" s="377"/>
      <c r="AE1157" s="77"/>
      <c r="AF1157" s="377"/>
      <c r="AG1157" s="377"/>
      <c r="AH1157" s="377"/>
      <c r="AJ1157" s="77"/>
      <c r="AK1157" s="77"/>
      <c r="AL1157" s="77"/>
      <c r="AM1157" s="77"/>
      <c r="AN1157" s="77"/>
    </row>
    <row r="1158" spans="12:40">
      <c r="L1158" s="377"/>
      <c r="M1158" s="377"/>
      <c r="N1158" s="377"/>
      <c r="P1158" s="377"/>
      <c r="Q1158" s="377"/>
      <c r="R1158" s="377"/>
      <c r="S1158" s="377"/>
      <c r="U1158" s="377"/>
      <c r="V1158" s="377"/>
      <c r="W1158" s="377"/>
      <c r="X1158" s="377"/>
      <c r="Z1158" s="77"/>
      <c r="AA1158" s="377"/>
      <c r="AB1158" s="377"/>
      <c r="AC1158" s="377"/>
      <c r="AE1158" s="77"/>
      <c r="AF1158" s="377"/>
      <c r="AG1158" s="377"/>
      <c r="AH1158" s="377"/>
      <c r="AJ1158" s="77"/>
      <c r="AK1158" s="77"/>
      <c r="AL1158" s="77"/>
      <c r="AM1158" s="77"/>
      <c r="AN1158" s="77"/>
    </row>
    <row r="1159" spans="12:40">
      <c r="L1159" s="377"/>
      <c r="M1159" s="377"/>
      <c r="N1159" s="377"/>
      <c r="P1159" s="377"/>
      <c r="Q1159" s="377"/>
      <c r="R1159" s="377"/>
      <c r="S1159" s="377"/>
      <c r="U1159" s="377"/>
      <c r="V1159" s="377"/>
      <c r="W1159" s="377"/>
      <c r="X1159" s="377"/>
      <c r="Z1159" s="77"/>
      <c r="AA1159" s="377"/>
      <c r="AB1159" s="377"/>
      <c r="AC1159" s="377"/>
      <c r="AE1159" s="77"/>
      <c r="AF1159" s="377"/>
      <c r="AG1159" s="377"/>
      <c r="AH1159" s="377"/>
      <c r="AJ1159" s="77"/>
      <c r="AK1159" s="77"/>
      <c r="AL1159" s="77"/>
      <c r="AM1159" s="77"/>
      <c r="AN1159" s="77"/>
    </row>
    <row r="1160" spans="12:40">
      <c r="L1160" s="377"/>
      <c r="M1160" s="377"/>
      <c r="N1160" s="377"/>
      <c r="P1160" s="377"/>
      <c r="Q1160" s="377"/>
      <c r="R1160" s="377"/>
      <c r="S1160" s="377"/>
      <c r="U1160" s="377"/>
      <c r="V1160" s="377"/>
      <c r="W1160" s="377"/>
      <c r="X1160" s="377"/>
      <c r="Z1160" s="77"/>
      <c r="AA1160" s="377"/>
      <c r="AB1160" s="377"/>
      <c r="AC1160" s="377"/>
      <c r="AE1160" s="77"/>
      <c r="AF1160" s="377"/>
      <c r="AG1160" s="377"/>
      <c r="AH1160" s="377"/>
      <c r="AJ1160" s="77"/>
      <c r="AK1160" s="77"/>
      <c r="AL1160" s="77"/>
      <c r="AM1160" s="77"/>
      <c r="AN1160" s="77"/>
    </row>
    <row r="1161" spans="12:40">
      <c r="L1161" s="377"/>
      <c r="M1161" s="377"/>
      <c r="N1161" s="377"/>
      <c r="P1161" s="377"/>
      <c r="Q1161" s="377"/>
      <c r="R1161" s="377"/>
      <c r="S1161" s="377"/>
      <c r="U1161" s="377"/>
      <c r="V1161" s="377"/>
      <c r="W1161" s="377"/>
      <c r="X1161" s="377"/>
      <c r="Z1161" s="77"/>
      <c r="AA1161" s="377"/>
      <c r="AB1161" s="377"/>
      <c r="AC1161" s="377"/>
      <c r="AE1161" s="77"/>
      <c r="AF1161" s="377"/>
      <c r="AG1161" s="377"/>
      <c r="AH1161" s="377"/>
      <c r="AJ1161" s="77"/>
      <c r="AK1161" s="77"/>
      <c r="AL1161" s="77"/>
      <c r="AM1161" s="77"/>
      <c r="AN1161" s="77"/>
    </row>
    <row r="1162" spans="12:40">
      <c r="L1162" s="377"/>
      <c r="M1162" s="377"/>
      <c r="N1162" s="377"/>
      <c r="P1162" s="377"/>
      <c r="Q1162" s="377"/>
      <c r="R1162" s="377"/>
      <c r="S1162" s="377"/>
      <c r="U1162" s="377"/>
      <c r="V1162" s="377"/>
      <c r="W1162" s="377"/>
      <c r="X1162" s="377"/>
      <c r="Z1162" s="77"/>
      <c r="AA1162" s="377"/>
      <c r="AB1162" s="377"/>
      <c r="AC1162" s="377"/>
      <c r="AE1162" s="77"/>
      <c r="AF1162" s="377"/>
      <c r="AG1162" s="377"/>
      <c r="AH1162" s="377"/>
      <c r="AJ1162" s="77"/>
      <c r="AK1162" s="77"/>
      <c r="AL1162" s="77"/>
      <c r="AM1162" s="77"/>
      <c r="AN1162" s="77"/>
    </row>
    <row r="1163" spans="12:40">
      <c r="L1163" s="377"/>
      <c r="M1163" s="377"/>
      <c r="N1163" s="377"/>
      <c r="P1163" s="377"/>
      <c r="Q1163" s="377"/>
      <c r="R1163" s="377"/>
      <c r="S1163" s="377"/>
      <c r="U1163" s="377"/>
      <c r="V1163" s="377"/>
      <c r="W1163" s="377"/>
      <c r="X1163" s="377"/>
      <c r="Z1163" s="77"/>
      <c r="AA1163" s="377"/>
      <c r="AB1163" s="377"/>
      <c r="AC1163" s="377"/>
      <c r="AE1163" s="77"/>
      <c r="AF1163" s="377"/>
      <c r="AG1163" s="377"/>
      <c r="AH1163" s="377"/>
      <c r="AJ1163" s="77"/>
      <c r="AK1163" s="77"/>
      <c r="AL1163" s="77"/>
      <c r="AM1163" s="77"/>
      <c r="AN1163" s="77"/>
    </row>
    <row r="1164" spans="12:40">
      <c r="L1164" s="377"/>
      <c r="M1164" s="377"/>
      <c r="N1164" s="377"/>
      <c r="P1164" s="377"/>
      <c r="Q1164" s="377"/>
      <c r="R1164" s="377"/>
      <c r="S1164" s="377"/>
      <c r="U1164" s="377"/>
      <c r="V1164" s="377"/>
      <c r="W1164" s="377"/>
      <c r="X1164" s="377"/>
      <c r="Z1164" s="77"/>
      <c r="AA1164" s="377"/>
      <c r="AB1164" s="377"/>
      <c r="AC1164" s="377"/>
      <c r="AE1164" s="77"/>
      <c r="AF1164" s="377"/>
      <c r="AG1164" s="377"/>
      <c r="AH1164" s="377"/>
      <c r="AJ1164" s="77"/>
      <c r="AK1164" s="77"/>
      <c r="AL1164" s="77"/>
      <c r="AM1164" s="77"/>
      <c r="AN1164" s="77"/>
    </row>
    <row r="1165" spans="12:40">
      <c r="L1165" s="377"/>
      <c r="M1165" s="377"/>
      <c r="N1165" s="377"/>
      <c r="P1165" s="377"/>
      <c r="Q1165" s="377"/>
      <c r="R1165" s="377"/>
      <c r="S1165" s="377"/>
      <c r="U1165" s="377"/>
      <c r="V1165" s="377"/>
      <c r="W1165" s="377"/>
      <c r="X1165" s="377"/>
      <c r="Z1165" s="77"/>
      <c r="AA1165" s="377"/>
      <c r="AB1165" s="377"/>
      <c r="AC1165" s="377"/>
      <c r="AE1165" s="77"/>
      <c r="AF1165" s="377"/>
      <c r="AG1165" s="377"/>
      <c r="AH1165" s="377"/>
      <c r="AJ1165" s="77"/>
      <c r="AK1165" s="77"/>
      <c r="AL1165" s="77"/>
      <c r="AM1165" s="77"/>
      <c r="AN1165" s="77"/>
    </row>
    <row r="1166" spans="12:40">
      <c r="L1166" s="377"/>
      <c r="M1166" s="377"/>
      <c r="N1166" s="377"/>
      <c r="P1166" s="377"/>
      <c r="Q1166" s="377"/>
      <c r="R1166" s="377"/>
      <c r="S1166" s="377"/>
      <c r="U1166" s="377"/>
      <c r="V1166" s="377"/>
      <c r="W1166" s="377"/>
      <c r="X1166" s="377"/>
      <c r="Z1166" s="77"/>
      <c r="AA1166" s="377"/>
      <c r="AB1166" s="377"/>
      <c r="AC1166" s="377"/>
      <c r="AE1166" s="77"/>
      <c r="AF1166" s="377"/>
      <c r="AG1166" s="377"/>
      <c r="AH1166" s="377"/>
      <c r="AJ1166" s="77"/>
      <c r="AK1166" s="77"/>
      <c r="AL1166" s="77"/>
      <c r="AM1166" s="77"/>
      <c r="AN1166" s="77"/>
    </row>
    <row r="1167" spans="12:40">
      <c r="L1167" s="377"/>
      <c r="M1167" s="377"/>
      <c r="N1167" s="377"/>
      <c r="P1167" s="377"/>
      <c r="Q1167" s="377"/>
      <c r="R1167" s="377"/>
      <c r="S1167" s="377"/>
      <c r="U1167" s="377"/>
      <c r="V1167" s="377"/>
      <c r="W1167" s="377"/>
      <c r="X1167" s="377"/>
      <c r="Z1167" s="77"/>
      <c r="AA1167" s="377"/>
      <c r="AB1167" s="377"/>
      <c r="AC1167" s="377"/>
      <c r="AE1167" s="77"/>
      <c r="AF1167" s="377"/>
      <c r="AG1167" s="377"/>
      <c r="AH1167" s="377"/>
      <c r="AJ1167" s="77"/>
      <c r="AK1167" s="77"/>
      <c r="AL1167" s="77"/>
      <c r="AM1167" s="77"/>
      <c r="AN1167" s="77"/>
    </row>
    <row r="1168" spans="12:40">
      <c r="L1168" s="377"/>
      <c r="M1168" s="377"/>
      <c r="N1168" s="377"/>
      <c r="P1168" s="377"/>
      <c r="Q1168" s="377"/>
      <c r="R1168" s="377"/>
      <c r="S1168" s="377"/>
      <c r="U1168" s="377"/>
      <c r="V1168" s="377"/>
      <c r="W1168" s="377"/>
      <c r="X1168" s="377"/>
      <c r="Z1168" s="77"/>
      <c r="AA1168" s="377"/>
      <c r="AB1168" s="377"/>
      <c r="AC1168" s="377"/>
      <c r="AE1168" s="77"/>
      <c r="AF1168" s="377"/>
      <c r="AG1168" s="377"/>
      <c r="AH1168" s="377"/>
      <c r="AJ1168" s="77"/>
      <c r="AK1168" s="77"/>
      <c r="AL1168" s="77"/>
      <c r="AM1168" s="77"/>
      <c r="AN1168" s="77"/>
    </row>
    <row r="1169" spans="12:40">
      <c r="L1169" s="377"/>
      <c r="M1169" s="377"/>
      <c r="N1169" s="377"/>
      <c r="P1169" s="377"/>
      <c r="Q1169" s="377"/>
      <c r="R1169" s="377"/>
      <c r="S1169" s="377"/>
      <c r="U1169" s="377"/>
      <c r="V1169" s="377"/>
      <c r="W1169" s="377"/>
      <c r="X1169" s="377"/>
      <c r="Z1169" s="77"/>
      <c r="AA1169" s="377"/>
      <c r="AB1169" s="377"/>
      <c r="AC1169" s="377"/>
      <c r="AE1169" s="77"/>
      <c r="AF1169" s="377"/>
      <c r="AG1169" s="377"/>
      <c r="AH1169" s="377"/>
      <c r="AJ1169" s="77"/>
      <c r="AK1169" s="77"/>
      <c r="AL1169" s="77"/>
      <c r="AM1169" s="77"/>
      <c r="AN1169" s="77"/>
    </row>
    <row r="1170" spans="12:40">
      <c r="L1170" s="377"/>
      <c r="M1170" s="377"/>
      <c r="N1170" s="377"/>
      <c r="P1170" s="377"/>
      <c r="Q1170" s="377"/>
      <c r="R1170" s="377"/>
      <c r="S1170" s="377"/>
      <c r="U1170" s="377"/>
      <c r="V1170" s="377"/>
      <c r="W1170" s="377"/>
      <c r="X1170" s="377"/>
      <c r="Z1170" s="77"/>
      <c r="AA1170" s="377"/>
      <c r="AB1170" s="377"/>
      <c r="AC1170" s="377"/>
      <c r="AE1170" s="77"/>
      <c r="AF1170" s="377"/>
      <c r="AG1170" s="377"/>
      <c r="AH1170" s="377"/>
      <c r="AJ1170" s="77"/>
      <c r="AK1170" s="77"/>
      <c r="AL1170" s="77"/>
      <c r="AM1170" s="77"/>
      <c r="AN1170" s="77"/>
    </row>
    <row r="1171" spans="12:40">
      <c r="L1171" s="377"/>
      <c r="M1171" s="377"/>
      <c r="N1171" s="377"/>
      <c r="P1171" s="377"/>
      <c r="Q1171" s="377"/>
      <c r="R1171" s="377"/>
      <c r="S1171" s="377"/>
      <c r="U1171" s="377"/>
      <c r="V1171" s="377"/>
      <c r="W1171" s="377"/>
      <c r="X1171" s="377"/>
      <c r="Z1171" s="77"/>
      <c r="AA1171" s="377"/>
      <c r="AB1171" s="377"/>
      <c r="AC1171" s="377"/>
      <c r="AE1171" s="77"/>
      <c r="AF1171" s="377"/>
      <c r="AG1171" s="377"/>
      <c r="AH1171" s="377"/>
      <c r="AJ1171" s="77"/>
      <c r="AK1171" s="77"/>
      <c r="AL1171" s="77"/>
      <c r="AM1171" s="77"/>
      <c r="AN1171" s="77"/>
    </row>
    <row r="1172" spans="12:40">
      <c r="L1172" s="377"/>
      <c r="M1172" s="377"/>
      <c r="N1172" s="377"/>
      <c r="P1172" s="377"/>
      <c r="Q1172" s="377"/>
      <c r="R1172" s="377"/>
      <c r="S1172" s="377"/>
      <c r="U1172" s="377"/>
      <c r="V1172" s="377"/>
      <c r="W1172" s="377"/>
      <c r="X1172" s="377"/>
      <c r="Z1172" s="77"/>
      <c r="AA1172" s="377"/>
      <c r="AB1172" s="377"/>
      <c r="AC1172" s="377"/>
      <c r="AE1172" s="77"/>
      <c r="AF1172" s="377"/>
      <c r="AG1172" s="377"/>
      <c r="AH1172" s="377"/>
      <c r="AJ1172" s="77"/>
      <c r="AK1172" s="77"/>
      <c r="AL1172" s="77"/>
      <c r="AM1172" s="77"/>
      <c r="AN1172" s="77"/>
    </row>
    <row r="1173" spans="12:40">
      <c r="L1173" s="377"/>
      <c r="M1173" s="377"/>
      <c r="N1173" s="377"/>
      <c r="P1173" s="377"/>
      <c r="Q1173" s="377"/>
      <c r="R1173" s="377"/>
      <c r="S1173" s="377"/>
      <c r="U1173" s="377"/>
      <c r="V1173" s="377"/>
      <c r="W1173" s="377"/>
      <c r="X1173" s="377"/>
      <c r="Z1173" s="77"/>
      <c r="AA1173" s="377"/>
      <c r="AB1173" s="377"/>
      <c r="AC1173" s="377"/>
      <c r="AE1173" s="77"/>
      <c r="AF1173" s="377"/>
      <c r="AG1173" s="377"/>
      <c r="AH1173" s="377"/>
      <c r="AJ1173" s="77"/>
      <c r="AK1173" s="77"/>
      <c r="AL1173" s="77"/>
      <c r="AM1173" s="77"/>
      <c r="AN1173" s="77"/>
    </row>
    <row r="1174" spans="12:40">
      <c r="L1174" s="377"/>
      <c r="M1174" s="377"/>
      <c r="N1174" s="377"/>
      <c r="P1174" s="377"/>
      <c r="Q1174" s="377"/>
      <c r="R1174" s="377"/>
      <c r="S1174" s="377"/>
      <c r="U1174" s="377"/>
      <c r="V1174" s="377"/>
      <c r="W1174" s="377"/>
      <c r="X1174" s="377"/>
      <c r="Z1174" s="77"/>
      <c r="AA1174" s="377"/>
      <c r="AB1174" s="377"/>
      <c r="AC1174" s="377"/>
      <c r="AE1174" s="77"/>
      <c r="AF1174" s="377"/>
      <c r="AG1174" s="377"/>
      <c r="AH1174" s="377"/>
      <c r="AJ1174" s="77"/>
      <c r="AK1174" s="77"/>
      <c r="AL1174" s="77"/>
      <c r="AM1174" s="77"/>
      <c r="AN1174" s="77"/>
    </row>
    <row r="1175" spans="12:40">
      <c r="L1175" s="377"/>
      <c r="M1175" s="377"/>
      <c r="N1175" s="377"/>
      <c r="P1175" s="377"/>
      <c r="Q1175" s="377"/>
      <c r="R1175" s="377"/>
      <c r="S1175" s="377"/>
      <c r="U1175" s="377"/>
      <c r="V1175" s="377"/>
      <c r="W1175" s="377"/>
      <c r="X1175" s="377"/>
      <c r="Z1175" s="77"/>
      <c r="AA1175" s="377"/>
      <c r="AB1175" s="377"/>
      <c r="AC1175" s="377"/>
      <c r="AE1175" s="77"/>
      <c r="AF1175" s="377"/>
      <c r="AG1175" s="377"/>
      <c r="AH1175" s="377"/>
      <c r="AJ1175" s="77"/>
      <c r="AK1175" s="77"/>
      <c r="AL1175" s="77"/>
      <c r="AM1175" s="77"/>
      <c r="AN1175" s="77"/>
    </row>
    <row r="1176" spans="12:40">
      <c r="L1176" s="377"/>
      <c r="M1176" s="377"/>
      <c r="N1176" s="377"/>
      <c r="P1176" s="377"/>
      <c r="Q1176" s="377"/>
      <c r="R1176" s="377"/>
      <c r="S1176" s="377"/>
      <c r="U1176" s="377"/>
      <c r="V1176" s="377"/>
      <c r="W1176" s="377"/>
      <c r="X1176" s="377"/>
      <c r="Z1176" s="77"/>
      <c r="AA1176" s="377"/>
      <c r="AB1176" s="377"/>
      <c r="AC1176" s="377"/>
      <c r="AE1176" s="77"/>
      <c r="AF1176" s="377"/>
      <c r="AG1176" s="377"/>
      <c r="AH1176" s="377"/>
      <c r="AJ1176" s="77"/>
      <c r="AK1176" s="77"/>
      <c r="AL1176" s="77"/>
      <c r="AM1176" s="77"/>
      <c r="AN1176" s="77"/>
    </row>
    <row r="1177" spans="12:40">
      <c r="L1177" s="377"/>
      <c r="M1177" s="377"/>
      <c r="N1177" s="377"/>
      <c r="P1177" s="377"/>
      <c r="Q1177" s="377"/>
      <c r="R1177" s="377"/>
      <c r="S1177" s="377"/>
      <c r="U1177" s="377"/>
      <c r="V1177" s="377"/>
      <c r="W1177" s="377"/>
      <c r="X1177" s="377"/>
      <c r="Z1177" s="77"/>
      <c r="AA1177" s="377"/>
      <c r="AB1177" s="377"/>
      <c r="AC1177" s="377"/>
      <c r="AE1177" s="77"/>
      <c r="AF1177" s="377"/>
      <c r="AG1177" s="377"/>
      <c r="AH1177" s="377"/>
      <c r="AJ1177" s="77"/>
      <c r="AK1177" s="77"/>
      <c r="AL1177" s="77"/>
      <c r="AM1177" s="77"/>
      <c r="AN1177" s="77"/>
    </row>
    <row r="1178" spans="12:40">
      <c r="L1178" s="377"/>
      <c r="M1178" s="377"/>
      <c r="N1178" s="377"/>
      <c r="P1178" s="377"/>
      <c r="Q1178" s="377"/>
      <c r="R1178" s="377"/>
      <c r="S1178" s="377"/>
      <c r="U1178" s="377"/>
      <c r="V1178" s="377"/>
      <c r="W1178" s="377"/>
      <c r="X1178" s="377"/>
      <c r="Z1178" s="77"/>
      <c r="AA1178" s="377"/>
      <c r="AB1178" s="377"/>
      <c r="AC1178" s="377"/>
      <c r="AE1178" s="77"/>
      <c r="AF1178" s="377"/>
      <c r="AG1178" s="377"/>
      <c r="AH1178" s="377"/>
      <c r="AJ1178" s="77"/>
      <c r="AK1178" s="77"/>
      <c r="AL1178" s="77"/>
      <c r="AM1178" s="77"/>
      <c r="AN1178" s="77"/>
    </row>
    <row r="1179" spans="12:40">
      <c r="L1179" s="377"/>
      <c r="M1179" s="377"/>
      <c r="N1179" s="377"/>
      <c r="P1179" s="377"/>
      <c r="Q1179" s="377"/>
      <c r="R1179" s="377"/>
      <c r="S1179" s="377"/>
      <c r="U1179" s="377"/>
      <c r="V1179" s="377"/>
      <c r="W1179" s="377"/>
      <c r="X1179" s="377"/>
      <c r="Z1179" s="77"/>
      <c r="AA1179" s="377"/>
      <c r="AB1179" s="377"/>
      <c r="AC1179" s="377"/>
      <c r="AE1179" s="77"/>
      <c r="AF1179" s="377"/>
      <c r="AG1179" s="377"/>
      <c r="AH1179" s="377"/>
      <c r="AJ1179" s="77"/>
      <c r="AK1179" s="77"/>
      <c r="AL1179" s="77"/>
      <c r="AM1179" s="77"/>
      <c r="AN1179" s="77"/>
    </row>
    <row r="1180" spans="12:40">
      <c r="L1180" s="377"/>
      <c r="M1180" s="377"/>
      <c r="N1180" s="377"/>
      <c r="P1180" s="377"/>
      <c r="Q1180" s="377"/>
      <c r="R1180" s="377"/>
      <c r="S1180" s="377"/>
      <c r="U1180" s="377"/>
      <c r="V1180" s="377"/>
      <c r="W1180" s="377"/>
      <c r="X1180" s="377"/>
      <c r="Z1180" s="77"/>
      <c r="AA1180" s="377"/>
      <c r="AB1180" s="377"/>
      <c r="AC1180" s="377"/>
      <c r="AE1180" s="77"/>
      <c r="AF1180" s="377"/>
      <c r="AG1180" s="377"/>
      <c r="AH1180" s="377"/>
      <c r="AJ1180" s="77"/>
      <c r="AK1180" s="77"/>
      <c r="AL1180" s="77"/>
      <c r="AM1180" s="77"/>
      <c r="AN1180" s="77"/>
    </row>
    <row r="1181" spans="12:40">
      <c r="L1181" s="377"/>
      <c r="M1181" s="377"/>
      <c r="N1181" s="377"/>
      <c r="P1181" s="377"/>
      <c r="Q1181" s="377"/>
      <c r="R1181" s="377"/>
      <c r="S1181" s="377"/>
      <c r="U1181" s="377"/>
      <c r="V1181" s="377"/>
      <c r="W1181" s="377"/>
      <c r="X1181" s="377"/>
      <c r="Z1181" s="77"/>
      <c r="AA1181" s="377"/>
      <c r="AB1181" s="377"/>
      <c r="AC1181" s="377"/>
      <c r="AE1181" s="77"/>
      <c r="AF1181" s="377"/>
      <c r="AG1181" s="377"/>
      <c r="AH1181" s="377"/>
      <c r="AJ1181" s="77"/>
      <c r="AK1181" s="77"/>
      <c r="AL1181" s="77"/>
      <c r="AM1181" s="77"/>
      <c r="AN1181" s="77"/>
    </row>
    <row r="1182" spans="12:40">
      <c r="L1182" s="377"/>
      <c r="M1182" s="377"/>
      <c r="N1182" s="377"/>
      <c r="P1182" s="377"/>
      <c r="Q1182" s="377"/>
      <c r="R1182" s="377"/>
      <c r="S1182" s="377"/>
      <c r="U1182" s="377"/>
      <c r="V1182" s="377"/>
      <c r="W1182" s="377"/>
      <c r="X1182" s="377"/>
      <c r="Z1182" s="77"/>
      <c r="AA1182" s="377"/>
      <c r="AB1182" s="377"/>
      <c r="AC1182" s="377"/>
      <c r="AE1182" s="77"/>
      <c r="AF1182" s="377"/>
      <c r="AG1182" s="377"/>
      <c r="AH1182" s="377"/>
      <c r="AJ1182" s="77"/>
      <c r="AK1182" s="77"/>
      <c r="AL1182" s="77"/>
      <c r="AM1182" s="77"/>
      <c r="AN1182" s="77"/>
    </row>
    <row r="1183" spans="12:40">
      <c r="L1183" s="377"/>
      <c r="M1183" s="377"/>
      <c r="N1183" s="377"/>
      <c r="P1183" s="377"/>
      <c r="Q1183" s="377"/>
      <c r="R1183" s="377"/>
      <c r="S1183" s="377"/>
      <c r="U1183" s="377"/>
      <c r="V1183" s="377"/>
      <c r="W1183" s="377"/>
      <c r="X1183" s="377"/>
      <c r="Z1183" s="77"/>
      <c r="AA1183" s="377"/>
      <c r="AB1183" s="377"/>
      <c r="AC1183" s="377"/>
      <c r="AE1183" s="77"/>
      <c r="AF1183" s="377"/>
      <c r="AG1183" s="377"/>
      <c r="AH1183" s="377"/>
      <c r="AJ1183" s="77"/>
      <c r="AK1183" s="77"/>
      <c r="AL1183" s="77"/>
      <c r="AM1183" s="77"/>
      <c r="AN1183" s="77"/>
    </row>
    <row r="1184" spans="12:40">
      <c r="L1184" s="377"/>
      <c r="M1184" s="377"/>
      <c r="N1184" s="377"/>
      <c r="P1184" s="377"/>
      <c r="Q1184" s="377"/>
      <c r="R1184" s="377"/>
      <c r="S1184" s="377"/>
      <c r="U1184" s="377"/>
      <c r="V1184" s="377"/>
      <c r="W1184" s="377"/>
      <c r="X1184" s="377"/>
      <c r="Z1184" s="77"/>
      <c r="AA1184" s="377"/>
      <c r="AB1184" s="377"/>
      <c r="AC1184" s="377"/>
      <c r="AE1184" s="77"/>
      <c r="AF1184" s="377"/>
      <c r="AG1184" s="377"/>
      <c r="AH1184" s="377"/>
      <c r="AJ1184" s="77"/>
      <c r="AK1184" s="77"/>
      <c r="AL1184" s="77"/>
      <c r="AM1184" s="77"/>
      <c r="AN1184" s="77"/>
    </row>
    <row r="1185" spans="12:40">
      <c r="L1185" s="377"/>
      <c r="M1185" s="377"/>
      <c r="N1185" s="377"/>
      <c r="P1185" s="377"/>
      <c r="Q1185" s="377"/>
      <c r="R1185" s="377"/>
      <c r="S1185" s="377"/>
      <c r="U1185" s="377"/>
      <c r="V1185" s="377"/>
      <c r="W1185" s="377"/>
      <c r="X1185" s="377"/>
      <c r="Z1185" s="77"/>
      <c r="AA1185" s="377"/>
      <c r="AB1185" s="377"/>
      <c r="AC1185" s="377"/>
      <c r="AE1185" s="77"/>
      <c r="AF1185" s="377"/>
      <c r="AG1185" s="377"/>
      <c r="AH1185" s="377"/>
      <c r="AJ1185" s="77"/>
      <c r="AK1185" s="77"/>
      <c r="AL1185" s="77"/>
      <c r="AM1185" s="77"/>
      <c r="AN1185" s="77"/>
    </row>
    <row r="1186" spans="12:40">
      <c r="L1186" s="377"/>
      <c r="M1186" s="377"/>
      <c r="N1186" s="377"/>
      <c r="P1186" s="377"/>
      <c r="Q1186" s="377"/>
      <c r="R1186" s="377"/>
      <c r="S1186" s="377"/>
      <c r="U1186" s="377"/>
      <c r="V1186" s="377"/>
      <c r="W1186" s="377"/>
      <c r="X1186" s="377"/>
      <c r="Z1186" s="77"/>
      <c r="AA1186" s="377"/>
      <c r="AB1186" s="377"/>
      <c r="AC1186" s="377"/>
      <c r="AE1186" s="77"/>
      <c r="AF1186" s="377"/>
      <c r="AG1186" s="377"/>
      <c r="AH1186" s="377"/>
      <c r="AJ1186" s="77"/>
      <c r="AK1186" s="77"/>
      <c r="AL1186" s="77"/>
      <c r="AM1186" s="77"/>
      <c r="AN1186" s="77"/>
    </row>
    <row r="1187" spans="12:40">
      <c r="L1187" s="377"/>
      <c r="M1187" s="377"/>
      <c r="N1187" s="377"/>
      <c r="P1187" s="377"/>
      <c r="Q1187" s="377"/>
      <c r="R1187" s="377"/>
      <c r="S1187" s="377"/>
      <c r="U1187" s="377"/>
      <c r="V1187" s="377"/>
      <c r="W1187" s="377"/>
      <c r="X1187" s="377"/>
      <c r="Z1187" s="77"/>
      <c r="AA1187" s="377"/>
      <c r="AB1187" s="377"/>
      <c r="AC1187" s="377"/>
      <c r="AE1187" s="77"/>
      <c r="AF1187" s="377"/>
      <c r="AG1187" s="377"/>
      <c r="AH1187" s="377"/>
      <c r="AJ1187" s="77"/>
      <c r="AK1187" s="77"/>
      <c r="AL1187" s="77"/>
      <c r="AM1187" s="77"/>
      <c r="AN1187" s="77"/>
    </row>
    <row r="1188" spans="12:40">
      <c r="L1188" s="377"/>
      <c r="M1188" s="377"/>
      <c r="N1188" s="377"/>
      <c r="P1188" s="377"/>
      <c r="Q1188" s="377"/>
      <c r="R1188" s="377"/>
      <c r="S1188" s="377"/>
      <c r="U1188" s="377"/>
      <c r="V1188" s="377"/>
      <c r="W1188" s="377"/>
      <c r="X1188" s="377"/>
      <c r="Z1188" s="77"/>
      <c r="AA1188" s="377"/>
      <c r="AB1188" s="377"/>
      <c r="AC1188" s="377"/>
      <c r="AE1188" s="77"/>
      <c r="AF1188" s="377"/>
      <c r="AG1188" s="377"/>
      <c r="AH1188" s="377"/>
      <c r="AJ1188" s="77"/>
      <c r="AK1188" s="77"/>
      <c r="AL1188" s="77"/>
      <c r="AM1188" s="77"/>
      <c r="AN1188" s="77"/>
    </row>
    <row r="1189" spans="12:40">
      <c r="L1189" s="377"/>
      <c r="M1189" s="377"/>
      <c r="N1189" s="377"/>
      <c r="P1189" s="377"/>
      <c r="Q1189" s="377"/>
      <c r="R1189" s="377"/>
      <c r="S1189" s="377"/>
      <c r="U1189" s="377"/>
      <c r="V1189" s="377"/>
      <c r="W1189" s="377"/>
      <c r="X1189" s="377"/>
      <c r="Z1189" s="77"/>
      <c r="AA1189" s="377"/>
      <c r="AB1189" s="377"/>
      <c r="AC1189" s="377"/>
      <c r="AE1189" s="77"/>
      <c r="AF1189" s="377"/>
      <c r="AG1189" s="377"/>
      <c r="AH1189" s="377"/>
      <c r="AJ1189" s="77"/>
      <c r="AK1189" s="77"/>
      <c r="AL1189" s="77"/>
      <c r="AM1189" s="77"/>
      <c r="AN1189" s="77"/>
    </row>
    <row r="1190" spans="12:40">
      <c r="L1190" s="377"/>
      <c r="M1190" s="377"/>
      <c r="N1190" s="377"/>
      <c r="P1190" s="377"/>
      <c r="Q1190" s="377"/>
      <c r="R1190" s="377"/>
      <c r="S1190" s="377"/>
      <c r="U1190" s="377"/>
      <c r="V1190" s="377"/>
      <c r="W1190" s="377"/>
      <c r="X1190" s="377"/>
      <c r="Z1190" s="77"/>
      <c r="AA1190" s="377"/>
      <c r="AB1190" s="377"/>
      <c r="AC1190" s="377"/>
      <c r="AE1190" s="77"/>
      <c r="AF1190" s="377"/>
      <c r="AG1190" s="377"/>
      <c r="AH1190" s="377"/>
      <c r="AJ1190" s="77"/>
      <c r="AK1190" s="77"/>
      <c r="AL1190" s="77"/>
      <c r="AM1190" s="77"/>
      <c r="AN1190" s="77"/>
    </row>
    <row r="1191" spans="12:40">
      <c r="L1191" s="377"/>
      <c r="M1191" s="377"/>
      <c r="N1191" s="377"/>
      <c r="P1191" s="377"/>
      <c r="Q1191" s="377"/>
      <c r="R1191" s="377"/>
      <c r="S1191" s="377"/>
      <c r="U1191" s="377"/>
      <c r="V1191" s="377"/>
      <c r="W1191" s="377"/>
      <c r="X1191" s="377"/>
      <c r="Z1191" s="77"/>
      <c r="AA1191" s="377"/>
      <c r="AB1191" s="377"/>
      <c r="AC1191" s="377"/>
      <c r="AE1191" s="77"/>
      <c r="AF1191" s="377"/>
      <c r="AG1191" s="377"/>
      <c r="AH1191" s="377"/>
      <c r="AJ1191" s="77"/>
      <c r="AK1191" s="77"/>
      <c r="AL1191" s="77"/>
      <c r="AM1191" s="77"/>
      <c r="AN1191" s="77"/>
    </row>
    <row r="1192" spans="12:40">
      <c r="L1192" s="377"/>
      <c r="M1192" s="377"/>
      <c r="N1192" s="377"/>
      <c r="P1192" s="377"/>
      <c r="Q1192" s="377"/>
      <c r="R1192" s="377"/>
      <c r="S1192" s="377"/>
      <c r="U1192" s="377"/>
      <c r="V1192" s="377"/>
      <c r="W1192" s="377"/>
      <c r="X1192" s="377"/>
      <c r="Z1192" s="77"/>
      <c r="AA1192" s="377"/>
      <c r="AB1192" s="377"/>
      <c r="AC1192" s="377"/>
      <c r="AE1192" s="77"/>
      <c r="AF1192" s="377"/>
      <c r="AG1192" s="377"/>
      <c r="AH1192" s="377"/>
      <c r="AJ1192" s="77"/>
      <c r="AK1192" s="77"/>
      <c r="AL1192" s="77"/>
      <c r="AM1192" s="77"/>
      <c r="AN1192" s="77"/>
    </row>
    <row r="1193" spans="12:40">
      <c r="L1193" s="377"/>
      <c r="M1193" s="377"/>
      <c r="N1193" s="377"/>
      <c r="P1193" s="377"/>
      <c r="Q1193" s="377"/>
      <c r="R1193" s="377"/>
      <c r="S1193" s="377"/>
      <c r="U1193" s="377"/>
      <c r="V1193" s="377"/>
      <c r="W1193" s="377"/>
      <c r="X1193" s="377"/>
      <c r="Z1193" s="77"/>
      <c r="AA1193" s="377"/>
      <c r="AB1193" s="377"/>
      <c r="AC1193" s="377"/>
      <c r="AE1193" s="77"/>
      <c r="AF1193" s="377"/>
      <c r="AG1193" s="377"/>
      <c r="AH1193" s="377"/>
      <c r="AJ1193" s="77"/>
      <c r="AK1193" s="77"/>
      <c r="AL1193" s="77"/>
      <c r="AM1193" s="77"/>
      <c r="AN1193" s="77"/>
    </row>
    <row r="1194" spans="12:40">
      <c r="L1194" s="377"/>
      <c r="M1194" s="377"/>
      <c r="N1194" s="377"/>
      <c r="P1194" s="377"/>
      <c r="Q1194" s="377"/>
      <c r="R1194" s="377"/>
      <c r="S1194" s="377"/>
      <c r="U1194" s="377"/>
      <c r="V1194" s="377"/>
      <c r="W1194" s="377"/>
      <c r="X1194" s="377"/>
      <c r="Z1194" s="77"/>
      <c r="AA1194" s="377"/>
      <c r="AB1194" s="377"/>
      <c r="AC1194" s="377"/>
      <c r="AE1194" s="77"/>
      <c r="AF1194" s="377"/>
      <c r="AG1194" s="377"/>
      <c r="AH1194" s="377"/>
      <c r="AJ1194" s="77"/>
      <c r="AK1194" s="77"/>
      <c r="AL1194" s="77"/>
      <c r="AM1194" s="77"/>
      <c r="AN1194" s="77"/>
    </row>
    <row r="1195" spans="12:40">
      <c r="L1195" s="377"/>
      <c r="M1195" s="377"/>
      <c r="N1195" s="377"/>
      <c r="P1195" s="377"/>
      <c r="Q1195" s="377"/>
      <c r="R1195" s="377"/>
      <c r="S1195" s="377"/>
      <c r="U1195" s="377"/>
      <c r="V1195" s="377"/>
      <c r="W1195" s="377"/>
      <c r="X1195" s="377"/>
      <c r="Z1195" s="77"/>
      <c r="AA1195" s="377"/>
      <c r="AB1195" s="377"/>
      <c r="AC1195" s="377"/>
      <c r="AE1195" s="77"/>
      <c r="AF1195" s="377"/>
      <c r="AG1195" s="377"/>
      <c r="AH1195" s="377"/>
      <c r="AJ1195" s="77"/>
      <c r="AK1195" s="77"/>
      <c r="AL1195" s="77"/>
      <c r="AM1195" s="77"/>
      <c r="AN1195" s="77"/>
    </row>
    <row r="1196" spans="12:40">
      <c r="L1196" s="377"/>
      <c r="M1196" s="377"/>
      <c r="N1196" s="377"/>
      <c r="P1196" s="377"/>
      <c r="Q1196" s="377"/>
      <c r="R1196" s="377"/>
      <c r="S1196" s="377"/>
      <c r="U1196" s="377"/>
      <c r="V1196" s="377"/>
      <c r="W1196" s="377"/>
      <c r="X1196" s="377"/>
      <c r="Z1196" s="77"/>
      <c r="AA1196" s="377"/>
      <c r="AB1196" s="377"/>
      <c r="AC1196" s="377"/>
      <c r="AE1196" s="77"/>
      <c r="AF1196" s="377"/>
      <c r="AG1196" s="377"/>
      <c r="AH1196" s="377"/>
      <c r="AJ1196" s="77"/>
      <c r="AK1196" s="77"/>
      <c r="AL1196" s="77"/>
      <c r="AM1196" s="77"/>
      <c r="AN1196" s="77"/>
    </row>
    <row r="1197" spans="12:40">
      <c r="L1197" s="377"/>
      <c r="M1197" s="377"/>
      <c r="N1197" s="377"/>
      <c r="P1197" s="377"/>
      <c r="Q1197" s="377"/>
      <c r="R1197" s="377"/>
      <c r="S1197" s="377"/>
      <c r="U1197" s="377"/>
      <c r="V1197" s="377"/>
      <c r="W1197" s="377"/>
      <c r="X1197" s="377"/>
      <c r="Z1197" s="77"/>
      <c r="AA1197" s="377"/>
      <c r="AB1197" s="377"/>
      <c r="AC1197" s="377"/>
      <c r="AE1197" s="77"/>
      <c r="AF1197" s="377"/>
      <c r="AG1197" s="377"/>
      <c r="AH1197" s="377"/>
      <c r="AJ1197" s="77"/>
      <c r="AK1197" s="77"/>
      <c r="AL1197" s="77"/>
      <c r="AM1197" s="77"/>
      <c r="AN1197" s="77"/>
    </row>
    <row r="1198" spans="12:40">
      <c r="L1198" s="377"/>
      <c r="M1198" s="377"/>
      <c r="N1198" s="377"/>
      <c r="P1198" s="377"/>
      <c r="Q1198" s="377"/>
      <c r="R1198" s="377"/>
      <c r="S1198" s="377"/>
      <c r="U1198" s="377"/>
      <c r="V1198" s="377"/>
      <c r="W1198" s="377"/>
      <c r="X1198" s="377"/>
      <c r="Z1198" s="77"/>
      <c r="AA1198" s="377"/>
      <c r="AB1198" s="377"/>
      <c r="AC1198" s="377"/>
      <c r="AE1198" s="77"/>
      <c r="AF1198" s="377"/>
      <c r="AG1198" s="377"/>
      <c r="AH1198" s="377"/>
      <c r="AJ1198" s="77"/>
      <c r="AK1198" s="77"/>
      <c r="AL1198" s="77"/>
      <c r="AM1198" s="77"/>
      <c r="AN1198" s="77"/>
    </row>
    <row r="1199" spans="12:40">
      <c r="L1199" s="377"/>
      <c r="M1199" s="377"/>
      <c r="N1199" s="377"/>
      <c r="P1199" s="377"/>
      <c r="Q1199" s="377"/>
      <c r="R1199" s="377"/>
      <c r="S1199" s="377"/>
      <c r="U1199" s="377"/>
      <c r="V1199" s="377"/>
      <c r="W1199" s="377"/>
      <c r="X1199" s="377"/>
      <c r="Z1199" s="77"/>
      <c r="AA1199" s="377"/>
      <c r="AB1199" s="377"/>
      <c r="AC1199" s="377"/>
      <c r="AE1199" s="77"/>
      <c r="AF1199" s="377"/>
      <c r="AG1199" s="377"/>
      <c r="AH1199" s="377"/>
      <c r="AJ1199" s="77"/>
      <c r="AK1199" s="77"/>
      <c r="AL1199" s="77"/>
      <c r="AM1199" s="77"/>
      <c r="AN1199" s="77"/>
    </row>
    <row r="1200" spans="12:40">
      <c r="L1200" s="377"/>
      <c r="M1200" s="377"/>
      <c r="N1200" s="377"/>
      <c r="P1200" s="377"/>
      <c r="Q1200" s="377"/>
      <c r="R1200" s="377"/>
      <c r="S1200" s="377"/>
      <c r="U1200" s="377"/>
      <c r="V1200" s="377"/>
      <c r="W1200" s="377"/>
      <c r="X1200" s="377"/>
      <c r="Z1200" s="77"/>
      <c r="AA1200" s="377"/>
      <c r="AB1200" s="377"/>
      <c r="AC1200" s="377"/>
      <c r="AE1200" s="77"/>
      <c r="AF1200" s="377"/>
      <c r="AG1200" s="377"/>
      <c r="AH1200" s="377"/>
      <c r="AJ1200" s="77"/>
      <c r="AK1200" s="77"/>
      <c r="AL1200" s="77"/>
      <c r="AM1200" s="77"/>
      <c r="AN1200" s="77"/>
    </row>
    <row r="1201" spans="12:40">
      <c r="L1201" s="377"/>
      <c r="M1201" s="377"/>
      <c r="N1201" s="377"/>
      <c r="P1201" s="377"/>
      <c r="Q1201" s="377"/>
      <c r="R1201" s="377"/>
      <c r="S1201" s="377"/>
      <c r="U1201" s="377"/>
      <c r="V1201" s="377"/>
      <c r="W1201" s="377"/>
      <c r="X1201" s="377"/>
      <c r="Z1201" s="77"/>
      <c r="AA1201" s="377"/>
      <c r="AB1201" s="377"/>
      <c r="AC1201" s="377"/>
      <c r="AE1201" s="77"/>
      <c r="AF1201" s="377"/>
      <c r="AG1201" s="377"/>
      <c r="AH1201" s="377"/>
      <c r="AJ1201" s="77"/>
      <c r="AK1201" s="77"/>
      <c r="AL1201" s="77"/>
      <c r="AM1201" s="77"/>
      <c r="AN1201" s="77"/>
    </row>
    <row r="1202" spans="12:40">
      <c r="L1202" s="377"/>
      <c r="M1202" s="377"/>
      <c r="N1202" s="377"/>
      <c r="P1202" s="377"/>
      <c r="Q1202" s="377"/>
      <c r="R1202" s="377"/>
      <c r="S1202" s="377"/>
      <c r="U1202" s="377"/>
      <c r="V1202" s="377"/>
      <c r="W1202" s="377"/>
      <c r="X1202" s="377"/>
      <c r="Z1202" s="77"/>
      <c r="AA1202" s="377"/>
      <c r="AB1202" s="377"/>
      <c r="AC1202" s="377"/>
      <c r="AE1202" s="77"/>
      <c r="AF1202" s="377"/>
      <c r="AG1202" s="377"/>
      <c r="AH1202" s="377"/>
      <c r="AJ1202" s="77"/>
      <c r="AK1202" s="77"/>
      <c r="AL1202" s="77"/>
      <c r="AM1202" s="77"/>
      <c r="AN1202" s="77"/>
    </row>
    <row r="1203" spans="12:40">
      <c r="L1203" s="377"/>
      <c r="M1203" s="377"/>
      <c r="N1203" s="377"/>
      <c r="P1203" s="377"/>
      <c r="Q1203" s="377"/>
      <c r="R1203" s="377"/>
      <c r="S1203" s="377"/>
      <c r="U1203" s="377"/>
      <c r="V1203" s="377"/>
      <c r="W1203" s="377"/>
      <c r="X1203" s="377"/>
      <c r="Z1203" s="77"/>
      <c r="AA1203" s="377"/>
      <c r="AB1203" s="377"/>
      <c r="AC1203" s="377"/>
      <c r="AE1203" s="77"/>
      <c r="AF1203" s="377"/>
      <c r="AG1203" s="377"/>
      <c r="AH1203" s="377"/>
      <c r="AJ1203" s="77"/>
      <c r="AK1203" s="77"/>
      <c r="AL1203" s="77"/>
      <c r="AM1203" s="77"/>
      <c r="AN1203" s="77"/>
    </row>
    <row r="1204" spans="12:40">
      <c r="L1204" s="377"/>
      <c r="M1204" s="377"/>
      <c r="N1204" s="377"/>
      <c r="P1204" s="377"/>
      <c r="Q1204" s="377"/>
      <c r="R1204" s="377"/>
      <c r="S1204" s="377"/>
      <c r="U1204" s="377"/>
      <c r="V1204" s="377"/>
      <c r="W1204" s="377"/>
      <c r="X1204" s="377"/>
      <c r="Z1204" s="77"/>
      <c r="AA1204" s="377"/>
      <c r="AB1204" s="377"/>
      <c r="AC1204" s="377"/>
      <c r="AE1204" s="77"/>
      <c r="AF1204" s="377"/>
      <c r="AG1204" s="377"/>
      <c r="AH1204" s="377"/>
      <c r="AJ1204" s="77"/>
      <c r="AK1204" s="77"/>
      <c r="AL1204" s="77"/>
      <c r="AM1204" s="77"/>
      <c r="AN1204" s="77"/>
    </row>
    <row r="1205" spans="12:40">
      <c r="L1205" s="377"/>
      <c r="M1205" s="377"/>
      <c r="N1205" s="377"/>
      <c r="P1205" s="377"/>
      <c r="Q1205" s="377"/>
      <c r="R1205" s="377"/>
      <c r="S1205" s="377"/>
      <c r="U1205" s="377"/>
      <c r="V1205" s="377"/>
      <c r="W1205" s="377"/>
      <c r="X1205" s="377"/>
      <c r="Z1205" s="77"/>
      <c r="AA1205" s="377"/>
      <c r="AB1205" s="377"/>
      <c r="AC1205" s="377"/>
      <c r="AE1205" s="77"/>
      <c r="AF1205" s="377"/>
      <c r="AG1205" s="377"/>
      <c r="AH1205" s="377"/>
      <c r="AJ1205" s="77"/>
      <c r="AK1205" s="77"/>
      <c r="AL1205" s="77"/>
      <c r="AM1205" s="77"/>
      <c r="AN1205" s="77"/>
    </row>
    <row r="1206" spans="12:40">
      <c r="L1206" s="377"/>
      <c r="M1206" s="377"/>
      <c r="N1206" s="377"/>
      <c r="P1206" s="377"/>
      <c r="Q1206" s="377"/>
      <c r="R1206" s="377"/>
      <c r="S1206" s="377"/>
      <c r="U1206" s="377"/>
      <c r="V1206" s="377"/>
      <c r="W1206" s="377"/>
      <c r="X1206" s="377"/>
      <c r="Z1206" s="77"/>
      <c r="AA1206" s="377"/>
      <c r="AB1206" s="377"/>
      <c r="AC1206" s="377"/>
      <c r="AE1206" s="77"/>
      <c r="AF1206" s="377"/>
      <c r="AG1206" s="377"/>
      <c r="AH1206" s="377"/>
      <c r="AJ1206" s="77"/>
      <c r="AK1206" s="77"/>
      <c r="AL1206" s="77"/>
      <c r="AM1206" s="77"/>
      <c r="AN1206" s="77"/>
    </row>
    <row r="1207" spans="12:40">
      <c r="L1207" s="377"/>
      <c r="M1207" s="377"/>
      <c r="N1207" s="377"/>
      <c r="P1207" s="377"/>
      <c r="Q1207" s="377"/>
      <c r="R1207" s="377"/>
      <c r="S1207" s="377"/>
      <c r="U1207" s="377"/>
      <c r="V1207" s="377"/>
      <c r="W1207" s="377"/>
      <c r="X1207" s="377"/>
      <c r="Z1207" s="77"/>
      <c r="AA1207" s="377"/>
      <c r="AB1207" s="377"/>
      <c r="AC1207" s="377"/>
      <c r="AE1207" s="77"/>
      <c r="AF1207" s="377"/>
      <c r="AG1207" s="377"/>
      <c r="AH1207" s="377"/>
      <c r="AJ1207" s="77"/>
      <c r="AK1207" s="77"/>
      <c r="AL1207" s="77"/>
      <c r="AM1207" s="77"/>
      <c r="AN1207" s="77"/>
    </row>
    <row r="1208" spans="12:40">
      <c r="L1208" s="377"/>
      <c r="M1208" s="377"/>
      <c r="N1208" s="377"/>
      <c r="P1208" s="377"/>
      <c r="Q1208" s="377"/>
      <c r="R1208" s="377"/>
      <c r="S1208" s="377"/>
      <c r="U1208" s="377"/>
      <c r="V1208" s="377"/>
      <c r="W1208" s="377"/>
      <c r="X1208" s="377"/>
      <c r="Z1208" s="77"/>
      <c r="AA1208" s="377"/>
      <c r="AB1208" s="377"/>
      <c r="AC1208" s="377"/>
      <c r="AE1208" s="77"/>
      <c r="AF1208" s="377"/>
      <c r="AG1208" s="377"/>
      <c r="AH1208" s="377"/>
      <c r="AJ1208" s="77"/>
      <c r="AK1208" s="77"/>
      <c r="AL1208" s="77"/>
      <c r="AM1208" s="77"/>
      <c r="AN1208" s="77"/>
    </row>
    <row r="1209" spans="12:40">
      <c r="L1209" s="377"/>
      <c r="M1209" s="377"/>
      <c r="N1209" s="377"/>
      <c r="P1209" s="377"/>
      <c r="Q1209" s="377"/>
      <c r="R1209" s="377"/>
      <c r="S1209" s="377"/>
      <c r="U1209" s="377"/>
      <c r="V1209" s="377"/>
      <c r="W1209" s="377"/>
      <c r="X1209" s="377"/>
      <c r="Z1209" s="77"/>
      <c r="AA1209" s="377"/>
      <c r="AB1209" s="377"/>
      <c r="AC1209" s="377"/>
      <c r="AE1209" s="77"/>
      <c r="AF1209" s="377"/>
      <c r="AG1209" s="377"/>
      <c r="AH1209" s="377"/>
      <c r="AJ1209" s="77"/>
      <c r="AK1209" s="77"/>
      <c r="AL1209" s="77"/>
      <c r="AM1209" s="77"/>
      <c r="AN1209" s="77"/>
    </row>
    <row r="1210" spans="12:40">
      <c r="L1210" s="377"/>
      <c r="M1210" s="377"/>
      <c r="N1210" s="377"/>
      <c r="P1210" s="377"/>
      <c r="Q1210" s="377"/>
      <c r="R1210" s="377"/>
      <c r="S1210" s="377"/>
      <c r="U1210" s="377"/>
      <c r="V1210" s="377"/>
      <c r="W1210" s="377"/>
      <c r="X1210" s="377"/>
      <c r="Z1210" s="77"/>
      <c r="AA1210" s="377"/>
      <c r="AB1210" s="377"/>
      <c r="AC1210" s="377"/>
      <c r="AE1210" s="77"/>
      <c r="AF1210" s="377"/>
      <c r="AG1210" s="377"/>
      <c r="AH1210" s="377"/>
      <c r="AJ1210" s="77"/>
      <c r="AK1210" s="77"/>
      <c r="AL1210" s="77"/>
      <c r="AM1210" s="77"/>
      <c r="AN1210" s="77"/>
    </row>
    <row r="1211" spans="12:40">
      <c r="L1211" s="377"/>
      <c r="M1211" s="377"/>
      <c r="N1211" s="377"/>
      <c r="P1211" s="377"/>
      <c r="Q1211" s="377"/>
      <c r="R1211" s="377"/>
      <c r="S1211" s="377"/>
      <c r="U1211" s="377"/>
      <c r="V1211" s="377"/>
      <c r="W1211" s="377"/>
      <c r="X1211" s="377"/>
      <c r="Z1211" s="77"/>
      <c r="AA1211" s="377"/>
      <c r="AB1211" s="377"/>
      <c r="AC1211" s="377"/>
      <c r="AE1211" s="77"/>
      <c r="AF1211" s="377"/>
      <c r="AG1211" s="377"/>
      <c r="AH1211" s="377"/>
      <c r="AJ1211" s="77"/>
      <c r="AK1211" s="77"/>
      <c r="AL1211" s="77"/>
      <c r="AM1211" s="77"/>
      <c r="AN1211" s="77"/>
    </row>
    <row r="1212" spans="12:40">
      <c r="L1212" s="377"/>
      <c r="M1212" s="377"/>
      <c r="N1212" s="377"/>
      <c r="P1212" s="377"/>
      <c r="Q1212" s="377"/>
      <c r="R1212" s="377"/>
      <c r="S1212" s="377"/>
      <c r="U1212" s="377"/>
      <c r="V1212" s="377"/>
      <c r="W1212" s="377"/>
      <c r="X1212" s="377"/>
      <c r="Z1212" s="77"/>
      <c r="AA1212" s="377"/>
      <c r="AB1212" s="377"/>
      <c r="AC1212" s="377"/>
      <c r="AE1212" s="77"/>
      <c r="AF1212" s="377"/>
      <c r="AG1212" s="377"/>
      <c r="AH1212" s="377"/>
      <c r="AJ1212" s="77"/>
      <c r="AK1212" s="77"/>
      <c r="AL1212" s="77"/>
      <c r="AM1212" s="77"/>
      <c r="AN1212" s="77"/>
    </row>
    <row r="1213" spans="12:40">
      <c r="L1213" s="377"/>
      <c r="M1213" s="377"/>
      <c r="N1213" s="377"/>
      <c r="P1213" s="377"/>
      <c r="Q1213" s="377"/>
      <c r="R1213" s="377"/>
      <c r="S1213" s="377"/>
      <c r="U1213" s="377"/>
      <c r="V1213" s="377"/>
      <c r="W1213" s="377"/>
      <c r="X1213" s="377"/>
      <c r="Z1213" s="77"/>
      <c r="AA1213" s="377"/>
      <c r="AB1213" s="377"/>
      <c r="AC1213" s="377"/>
      <c r="AE1213" s="77"/>
      <c r="AF1213" s="377"/>
      <c r="AG1213" s="377"/>
      <c r="AH1213" s="377"/>
      <c r="AJ1213" s="77"/>
      <c r="AK1213" s="77"/>
      <c r="AL1213" s="77"/>
      <c r="AM1213" s="77"/>
      <c r="AN1213" s="77"/>
    </row>
    <row r="1214" spans="12:40">
      <c r="L1214" s="377"/>
      <c r="M1214" s="377"/>
      <c r="N1214" s="377"/>
      <c r="P1214" s="377"/>
      <c r="Q1214" s="377"/>
      <c r="R1214" s="377"/>
      <c r="S1214" s="377"/>
      <c r="U1214" s="377"/>
      <c r="V1214" s="377"/>
      <c r="W1214" s="377"/>
      <c r="X1214" s="377"/>
      <c r="Z1214" s="77"/>
      <c r="AA1214" s="377"/>
      <c r="AB1214" s="377"/>
      <c r="AC1214" s="377"/>
      <c r="AE1214" s="77"/>
      <c r="AF1214" s="377"/>
      <c r="AG1214" s="377"/>
      <c r="AH1214" s="377"/>
      <c r="AJ1214" s="77"/>
      <c r="AK1214" s="77"/>
      <c r="AL1214" s="77"/>
      <c r="AM1214" s="77"/>
      <c r="AN1214" s="77"/>
    </row>
    <row r="1215" spans="12:40">
      <c r="L1215" s="377"/>
      <c r="M1215" s="377"/>
      <c r="N1215" s="377"/>
      <c r="P1215" s="377"/>
      <c r="Q1215" s="377"/>
      <c r="R1215" s="377"/>
      <c r="S1215" s="377"/>
      <c r="U1215" s="377"/>
      <c r="V1215" s="377"/>
      <c r="W1215" s="377"/>
      <c r="X1215" s="377"/>
      <c r="Z1215" s="77"/>
      <c r="AA1215" s="377"/>
      <c r="AB1215" s="377"/>
      <c r="AC1215" s="377"/>
      <c r="AE1215" s="77"/>
      <c r="AF1215" s="377"/>
      <c r="AG1215" s="377"/>
      <c r="AH1215" s="377"/>
      <c r="AJ1215" s="77"/>
      <c r="AK1215" s="77"/>
      <c r="AL1215" s="77"/>
      <c r="AM1215" s="77"/>
      <c r="AN1215" s="77"/>
    </row>
    <row r="1216" spans="12:40">
      <c r="L1216" s="377"/>
      <c r="M1216" s="377"/>
      <c r="N1216" s="377"/>
      <c r="P1216" s="377"/>
      <c r="Q1216" s="377"/>
      <c r="R1216" s="377"/>
      <c r="S1216" s="377"/>
      <c r="U1216" s="377"/>
      <c r="V1216" s="377"/>
      <c r="W1216" s="377"/>
      <c r="X1216" s="377"/>
      <c r="Z1216" s="77"/>
      <c r="AA1216" s="377"/>
      <c r="AB1216" s="377"/>
      <c r="AC1216" s="377"/>
      <c r="AE1216" s="77"/>
      <c r="AF1216" s="377"/>
      <c r="AG1216" s="377"/>
      <c r="AH1216" s="377"/>
      <c r="AJ1216" s="77"/>
      <c r="AK1216" s="77"/>
      <c r="AL1216" s="77"/>
      <c r="AM1216" s="77"/>
      <c r="AN1216" s="77"/>
    </row>
    <row r="1217" spans="12:40">
      <c r="L1217" s="377"/>
      <c r="M1217" s="377"/>
      <c r="N1217" s="377"/>
      <c r="P1217" s="377"/>
      <c r="Q1217" s="377"/>
      <c r="R1217" s="377"/>
      <c r="S1217" s="377"/>
      <c r="U1217" s="377"/>
      <c r="V1217" s="377"/>
      <c r="W1217" s="377"/>
      <c r="X1217" s="377"/>
      <c r="Z1217" s="77"/>
      <c r="AA1217" s="377"/>
      <c r="AB1217" s="377"/>
      <c r="AC1217" s="377"/>
      <c r="AE1217" s="77"/>
      <c r="AF1217" s="377"/>
      <c r="AG1217" s="377"/>
      <c r="AH1217" s="377"/>
      <c r="AJ1217" s="77"/>
      <c r="AK1217" s="77"/>
      <c r="AL1217" s="77"/>
      <c r="AM1217" s="77"/>
      <c r="AN1217" s="77"/>
    </row>
    <row r="1218" spans="12:40">
      <c r="L1218" s="377"/>
      <c r="M1218" s="377"/>
      <c r="N1218" s="377"/>
      <c r="P1218" s="377"/>
      <c r="Q1218" s="377"/>
      <c r="R1218" s="377"/>
      <c r="S1218" s="377"/>
      <c r="U1218" s="377"/>
      <c r="V1218" s="377"/>
      <c r="W1218" s="377"/>
      <c r="X1218" s="377"/>
      <c r="Z1218" s="77"/>
      <c r="AA1218" s="377"/>
      <c r="AB1218" s="377"/>
      <c r="AC1218" s="377"/>
      <c r="AE1218" s="77"/>
      <c r="AF1218" s="377"/>
      <c r="AG1218" s="377"/>
      <c r="AH1218" s="377"/>
      <c r="AJ1218" s="77"/>
      <c r="AK1218" s="77"/>
      <c r="AL1218" s="77"/>
      <c r="AM1218" s="77"/>
      <c r="AN1218" s="77"/>
    </row>
    <row r="1219" spans="12:40">
      <c r="L1219" s="377"/>
      <c r="M1219" s="377"/>
      <c r="N1219" s="377"/>
      <c r="P1219" s="377"/>
      <c r="Q1219" s="377"/>
      <c r="R1219" s="377"/>
      <c r="S1219" s="377"/>
      <c r="U1219" s="377"/>
      <c r="V1219" s="377"/>
      <c r="W1219" s="377"/>
      <c r="X1219" s="377"/>
      <c r="Z1219" s="77"/>
      <c r="AA1219" s="377"/>
      <c r="AB1219" s="377"/>
      <c r="AC1219" s="377"/>
      <c r="AE1219" s="77"/>
      <c r="AF1219" s="377"/>
      <c r="AG1219" s="377"/>
      <c r="AH1219" s="377"/>
      <c r="AJ1219" s="77"/>
      <c r="AK1219" s="77"/>
      <c r="AL1219" s="77"/>
      <c r="AM1219" s="77"/>
      <c r="AN1219" s="77"/>
    </row>
    <row r="1220" spans="12:40">
      <c r="L1220" s="377"/>
      <c r="M1220" s="377"/>
      <c r="N1220" s="377"/>
      <c r="P1220" s="377"/>
      <c r="Q1220" s="377"/>
      <c r="R1220" s="377"/>
      <c r="S1220" s="377"/>
      <c r="U1220" s="377"/>
      <c r="V1220" s="377"/>
      <c r="W1220" s="377"/>
      <c r="X1220" s="377"/>
      <c r="Z1220" s="77"/>
      <c r="AA1220" s="377"/>
      <c r="AB1220" s="377"/>
      <c r="AC1220" s="377"/>
      <c r="AE1220" s="77"/>
      <c r="AF1220" s="377"/>
      <c r="AG1220" s="377"/>
      <c r="AH1220" s="377"/>
      <c r="AJ1220" s="77"/>
      <c r="AK1220" s="77"/>
      <c r="AL1220" s="77"/>
      <c r="AM1220" s="77"/>
      <c r="AN1220" s="77"/>
    </row>
    <row r="1221" spans="12:40">
      <c r="L1221" s="377"/>
      <c r="M1221" s="377"/>
      <c r="N1221" s="377"/>
      <c r="P1221" s="377"/>
      <c r="Q1221" s="377"/>
      <c r="R1221" s="377"/>
      <c r="S1221" s="377"/>
      <c r="U1221" s="377"/>
      <c r="V1221" s="377"/>
      <c r="W1221" s="377"/>
      <c r="X1221" s="377"/>
      <c r="Z1221" s="77"/>
      <c r="AA1221" s="377"/>
      <c r="AB1221" s="377"/>
      <c r="AC1221" s="377"/>
      <c r="AE1221" s="77"/>
      <c r="AF1221" s="377"/>
      <c r="AG1221" s="377"/>
      <c r="AH1221" s="377"/>
      <c r="AJ1221" s="77"/>
      <c r="AK1221" s="77"/>
      <c r="AL1221" s="77"/>
      <c r="AM1221" s="77"/>
      <c r="AN1221" s="77"/>
    </row>
    <row r="1222" spans="12:40">
      <c r="L1222" s="377"/>
      <c r="M1222" s="377"/>
      <c r="N1222" s="377"/>
      <c r="P1222" s="377"/>
      <c r="Q1222" s="377"/>
      <c r="R1222" s="377"/>
      <c r="S1222" s="377"/>
      <c r="U1222" s="377"/>
      <c r="V1222" s="377"/>
      <c r="W1222" s="377"/>
      <c r="X1222" s="377"/>
      <c r="Z1222" s="77"/>
      <c r="AA1222" s="377"/>
      <c r="AB1222" s="377"/>
      <c r="AC1222" s="377"/>
      <c r="AE1222" s="77"/>
      <c r="AF1222" s="377"/>
      <c r="AG1222" s="377"/>
      <c r="AH1222" s="377"/>
      <c r="AJ1222" s="77"/>
      <c r="AK1222" s="77"/>
      <c r="AL1222" s="77"/>
      <c r="AM1222" s="77"/>
      <c r="AN1222" s="77"/>
    </row>
    <row r="1223" spans="12:40">
      <c r="L1223" s="377"/>
      <c r="M1223" s="377"/>
      <c r="N1223" s="377"/>
      <c r="P1223" s="377"/>
      <c r="Q1223" s="377"/>
      <c r="R1223" s="377"/>
      <c r="S1223" s="377"/>
      <c r="U1223" s="377"/>
      <c r="V1223" s="377"/>
      <c r="W1223" s="377"/>
      <c r="X1223" s="377"/>
      <c r="Z1223" s="77"/>
      <c r="AA1223" s="377"/>
      <c r="AB1223" s="377"/>
      <c r="AC1223" s="377"/>
      <c r="AE1223" s="77"/>
      <c r="AF1223" s="377"/>
      <c r="AG1223" s="377"/>
      <c r="AH1223" s="377"/>
      <c r="AJ1223" s="77"/>
      <c r="AK1223" s="77"/>
      <c r="AL1223" s="77"/>
      <c r="AM1223" s="77"/>
      <c r="AN1223" s="77"/>
    </row>
    <row r="1224" spans="12:40">
      <c r="L1224" s="377"/>
      <c r="M1224" s="377"/>
      <c r="N1224" s="377"/>
      <c r="P1224" s="377"/>
      <c r="Q1224" s="377"/>
      <c r="R1224" s="377"/>
      <c r="S1224" s="377"/>
      <c r="U1224" s="377"/>
      <c r="V1224" s="377"/>
      <c r="W1224" s="377"/>
      <c r="X1224" s="377"/>
      <c r="Z1224" s="77"/>
      <c r="AA1224" s="377"/>
      <c r="AB1224" s="377"/>
      <c r="AC1224" s="377"/>
      <c r="AE1224" s="77"/>
      <c r="AF1224" s="377"/>
      <c r="AG1224" s="377"/>
      <c r="AH1224" s="377"/>
      <c r="AJ1224" s="77"/>
      <c r="AK1224" s="77"/>
      <c r="AL1224" s="77"/>
      <c r="AM1224" s="77"/>
      <c r="AN1224" s="77"/>
    </row>
    <row r="1225" spans="12:40">
      <c r="L1225" s="377"/>
      <c r="M1225" s="377"/>
      <c r="N1225" s="377"/>
      <c r="P1225" s="377"/>
      <c r="Q1225" s="377"/>
      <c r="R1225" s="377"/>
      <c r="S1225" s="377"/>
      <c r="U1225" s="377"/>
      <c r="V1225" s="377"/>
      <c r="W1225" s="377"/>
      <c r="X1225" s="377"/>
      <c r="Z1225" s="77"/>
      <c r="AA1225" s="377"/>
      <c r="AB1225" s="377"/>
      <c r="AC1225" s="377"/>
      <c r="AE1225" s="77"/>
      <c r="AF1225" s="377"/>
      <c r="AG1225" s="377"/>
      <c r="AH1225" s="377"/>
      <c r="AJ1225" s="77"/>
      <c r="AK1225" s="77"/>
      <c r="AL1225" s="77"/>
      <c r="AM1225" s="77"/>
      <c r="AN1225" s="77"/>
    </row>
    <row r="1226" spans="12:40">
      <c r="L1226" s="377"/>
      <c r="M1226" s="377"/>
      <c r="N1226" s="377"/>
      <c r="P1226" s="377"/>
      <c r="Q1226" s="377"/>
      <c r="R1226" s="377"/>
      <c r="S1226" s="377"/>
      <c r="U1226" s="377"/>
      <c r="V1226" s="377"/>
      <c r="W1226" s="377"/>
      <c r="X1226" s="377"/>
      <c r="Z1226" s="77"/>
      <c r="AA1226" s="377"/>
      <c r="AB1226" s="377"/>
      <c r="AC1226" s="377"/>
      <c r="AE1226" s="77"/>
      <c r="AF1226" s="377"/>
      <c r="AG1226" s="377"/>
      <c r="AH1226" s="377"/>
      <c r="AJ1226" s="77"/>
      <c r="AK1226" s="77"/>
      <c r="AL1226" s="77"/>
      <c r="AM1226" s="77"/>
      <c r="AN1226" s="77"/>
    </row>
    <row r="1227" spans="12:40">
      <c r="L1227" s="377"/>
      <c r="M1227" s="377"/>
      <c r="N1227" s="377"/>
      <c r="P1227" s="377"/>
      <c r="Q1227" s="377"/>
      <c r="R1227" s="377"/>
      <c r="S1227" s="377"/>
      <c r="U1227" s="377"/>
      <c r="V1227" s="377"/>
      <c r="W1227" s="377"/>
      <c r="X1227" s="377"/>
      <c r="Z1227" s="77"/>
      <c r="AA1227" s="377"/>
      <c r="AB1227" s="377"/>
      <c r="AC1227" s="377"/>
      <c r="AE1227" s="77"/>
      <c r="AF1227" s="377"/>
      <c r="AG1227" s="377"/>
      <c r="AH1227" s="377"/>
      <c r="AJ1227" s="77"/>
      <c r="AK1227" s="77"/>
      <c r="AL1227" s="77"/>
      <c r="AM1227" s="77"/>
      <c r="AN1227" s="77"/>
    </row>
    <row r="1228" spans="12:40">
      <c r="L1228" s="377"/>
      <c r="M1228" s="377"/>
      <c r="N1228" s="377"/>
      <c r="P1228" s="377"/>
      <c r="Q1228" s="377"/>
      <c r="R1228" s="377"/>
      <c r="S1228" s="377"/>
      <c r="U1228" s="377"/>
      <c r="V1228" s="377"/>
      <c r="W1228" s="377"/>
      <c r="X1228" s="377"/>
      <c r="Z1228" s="77"/>
      <c r="AA1228" s="377"/>
      <c r="AB1228" s="377"/>
      <c r="AC1228" s="377"/>
      <c r="AE1228" s="77"/>
      <c r="AF1228" s="377"/>
      <c r="AG1228" s="377"/>
      <c r="AH1228" s="377"/>
      <c r="AJ1228" s="77"/>
      <c r="AK1228" s="77"/>
      <c r="AL1228" s="77"/>
      <c r="AM1228" s="77"/>
      <c r="AN1228" s="77"/>
    </row>
    <row r="1229" spans="12:40">
      <c r="L1229" s="377"/>
      <c r="M1229" s="377"/>
      <c r="N1229" s="377"/>
      <c r="P1229" s="377"/>
      <c r="Q1229" s="377"/>
      <c r="R1229" s="377"/>
      <c r="S1229" s="377"/>
      <c r="U1229" s="377"/>
      <c r="V1229" s="377"/>
      <c r="W1229" s="377"/>
      <c r="X1229" s="377"/>
      <c r="Z1229" s="77"/>
      <c r="AA1229" s="377"/>
      <c r="AB1229" s="377"/>
      <c r="AC1229" s="377"/>
      <c r="AE1229" s="77"/>
      <c r="AF1229" s="377"/>
      <c r="AG1229" s="377"/>
      <c r="AH1229" s="377"/>
      <c r="AJ1229" s="77"/>
      <c r="AK1229" s="77"/>
      <c r="AL1229" s="77"/>
      <c r="AM1229" s="77"/>
      <c r="AN1229" s="77"/>
    </row>
    <row r="1230" spans="12:40">
      <c r="L1230" s="377"/>
      <c r="M1230" s="377"/>
      <c r="N1230" s="377"/>
      <c r="P1230" s="377"/>
      <c r="Q1230" s="377"/>
      <c r="R1230" s="377"/>
      <c r="S1230" s="377"/>
      <c r="U1230" s="377"/>
      <c r="V1230" s="377"/>
      <c r="W1230" s="377"/>
      <c r="X1230" s="377"/>
      <c r="Z1230" s="77"/>
      <c r="AA1230" s="377"/>
      <c r="AB1230" s="377"/>
      <c r="AC1230" s="377"/>
      <c r="AE1230" s="77"/>
      <c r="AF1230" s="377"/>
      <c r="AG1230" s="377"/>
      <c r="AH1230" s="377"/>
      <c r="AJ1230" s="77"/>
      <c r="AK1230" s="77"/>
      <c r="AL1230" s="77"/>
      <c r="AM1230" s="77"/>
      <c r="AN1230" s="77"/>
    </row>
    <row r="1231" spans="12:40">
      <c r="L1231" s="377"/>
      <c r="M1231" s="377"/>
      <c r="N1231" s="377"/>
      <c r="P1231" s="377"/>
      <c r="Q1231" s="377"/>
      <c r="R1231" s="377"/>
      <c r="S1231" s="377"/>
      <c r="U1231" s="377"/>
      <c r="V1231" s="377"/>
      <c r="W1231" s="377"/>
      <c r="X1231" s="377"/>
      <c r="Z1231" s="77"/>
      <c r="AA1231" s="377"/>
      <c r="AB1231" s="377"/>
      <c r="AC1231" s="377"/>
      <c r="AE1231" s="77"/>
      <c r="AF1231" s="377"/>
      <c r="AG1231" s="377"/>
      <c r="AH1231" s="377"/>
      <c r="AJ1231" s="77"/>
      <c r="AK1231" s="77"/>
      <c r="AL1231" s="77"/>
      <c r="AM1231" s="77"/>
      <c r="AN1231" s="77"/>
    </row>
    <row r="1232" spans="12:40">
      <c r="L1232" s="377"/>
      <c r="M1232" s="377"/>
      <c r="N1232" s="377"/>
      <c r="P1232" s="377"/>
      <c r="Q1232" s="377"/>
      <c r="R1232" s="377"/>
      <c r="S1232" s="377"/>
      <c r="U1232" s="377"/>
      <c r="V1232" s="377"/>
      <c r="W1232" s="377"/>
      <c r="X1232" s="377"/>
      <c r="Z1232" s="77"/>
      <c r="AA1232" s="377"/>
      <c r="AB1232" s="377"/>
      <c r="AC1232" s="377"/>
      <c r="AE1232" s="77"/>
      <c r="AF1232" s="377"/>
      <c r="AG1232" s="377"/>
      <c r="AH1232" s="377"/>
      <c r="AJ1232" s="77"/>
      <c r="AK1232" s="77"/>
      <c r="AL1232" s="77"/>
      <c r="AM1232" s="77"/>
      <c r="AN1232" s="77"/>
    </row>
    <row r="1233" spans="12:40">
      <c r="L1233" s="377"/>
      <c r="M1233" s="377"/>
      <c r="N1233" s="377"/>
      <c r="P1233" s="377"/>
      <c r="Q1233" s="377"/>
      <c r="R1233" s="377"/>
      <c r="S1233" s="377"/>
      <c r="U1233" s="377"/>
      <c r="V1233" s="377"/>
      <c r="W1233" s="377"/>
      <c r="X1233" s="377"/>
      <c r="Z1233" s="77"/>
      <c r="AA1233" s="377"/>
      <c r="AB1233" s="377"/>
      <c r="AC1233" s="377"/>
      <c r="AE1233" s="77"/>
      <c r="AF1233" s="377"/>
      <c r="AG1233" s="377"/>
      <c r="AH1233" s="377"/>
      <c r="AJ1233" s="77"/>
      <c r="AK1233" s="77"/>
      <c r="AL1233" s="77"/>
      <c r="AM1233" s="77"/>
      <c r="AN1233" s="77"/>
    </row>
    <row r="1234" spans="12:40">
      <c r="L1234" s="377"/>
      <c r="M1234" s="377"/>
      <c r="N1234" s="377"/>
      <c r="P1234" s="377"/>
      <c r="Q1234" s="377"/>
      <c r="R1234" s="377"/>
      <c r="S1234" s="377"/>
      <c r="U1234" s="377"/>
      <c r="V1234" s="377"/>
      <c r="W1234" s="377"/>
      <c r="X1234" s="377"/>
      <c r="Z1234" s="77"/>
      <c r="AA1234" s="377"/>
      <c r="AB1234" s="377"/>
      <c r="AC1234" s="377"/>
      <c r="AE1234" s="77"/>
      <c r="AF1234" s="377"/>
      <c r="AG1234" s="377"/>
      <c r="AH1234" s="377"/>
      <c r="AJ1234" s="77"/>
      <c r="AK1234" s="77"/>
      <c r="AL1234" s="77"/>
      <c r="AM1234" s="77"/>
      <c r="AN1234" s="77"/>
    </row>
    <row r="1235" spans="12:40">
      <c r="L1235" s="377"/>
      <c r="M1235" s="377"/>
      <c r="N1235" s="377"/>
      <c r="P1235" s="377"/>
      <c r="Q1235" s="377"/>
      <c r="R1235" s="377"/>
      <c r="S1235" s="377"/>
      <c r="U1235" s="377"/>
      <c r="V1235" s="377"/>
      <c r="W1235" s="377"/>
      <c r="X1235" s="377"/>
      <c r="Z1235" s="77"/>
      <c r="AA1235" s="377"/>
      <c r="AB1235" s="377"/>
      <c r="AC1235" s="377"/>
      <c r="AE1235" s="77"/>
      <c r="AF1235" s="377"/>
      <c r="AG1235" s="377"/>
      <c r="AH1235" s="377"/>
      <c r="AJ1235" s="77"/>
      <c r="AK1235" s="77"/>
      <c r="AL1235" s="77"/>
      <c r="AM1235" s="77"/>
      <c r="AN1235" s="77"/>
    </row>
    <row r="1236" spans="12:40">
      <c r="L1236" s="377"/>
      <c r="M1236" s="377"/>
      <c r="N1236" s="377"/>
      <c r="P1236" s="377"/>
      <c r="Q1236" s="377"/>
      <c r="R1236" s="377"/>
      <c r="S1236" s="377"/>
      <c r="U1236" s="377"/>
      <c r="V1236" s="377"/>
      <c r="W1236" s="377"/>
      <c r="X1236" s="377"/>
      <c r="Z1236" s="77"/>
      <c r="AA1236" s="377"/>
      <c r="AB1236" s="377"/>
      <c r="AC1236" s="377"/>
      <c r="AE1236" s="77"/>
      <c r="AF1236" s="377"/>
      <c r="AG1236" s="377"/>
      <c r="AH1236" s="377"/>
      <c r="AJ1236" s="77"/>
      <c r="AK1236" s="77"/>
      <c r="AL1236" s="77"/>
      <c r="AM1236" s="77"/>
      <c r="AN1236" s="77"/>
    </row>
    <row r="1237" spans="12:40">
      <c r="L1237" s="377"/>
      <c r="M1237" s="377"/>
      <c r="N1237" s="377"/>
      <c r="P1237" s="377"/>
      <c r="Q1237" s="377"/>
      <c r="R1237" s="377"/>
      <c r="S1237" s="377"/>
      <c r="U1237" s="377"/>
      <c r="V1237" s="377"/>
      <c r="W1237" s="377"/>
      <c r="X1237" s="377"/>
      <c r="Z1237" s="77"/>
      <c r="AA1237" s="377"/>
      <c r="AB1237" s="377"/>
      <c r="AC1237" s="377"/>
      <c r="AE1237" s="77"/>
      <c r="AF1237" s="377"/>
      <c r="AG1237" s="377"/>
      <c r="AH1237" s="377"/>
      <c r="AJ1237" s="77"/>
      <c r="AK1237" s="77"/>
      <c r="AL1237" s="77"/>
      <c r="AM1237" s="77"/>
      <c r="AN1237" s="77"/>
    </row>
    <row r="1238" spans="12:40">
      <c r="L1238" s="377"/>
      <c r="M1238" s="377"/>
      <c r="N1238" s="377"/>
      <c r="P1238" s="377"/>
      <c r="Q1238" s="377"/>
      <c r="R1238" s="377"/>
      <c r="S1238" s="377"/>
      <c r="U1238" s="377"/>
      <c r="V1238" s="377"/>
      <c r="W1238" s="377"/>
      <c r="X1238" s="377"/>
      <c r="Z1238" s="77"/>
      <c r="AA1238" s="377"/>
      <c r="AB1238" s="377"/>
      <c r="AC1238" s="377"/>
      <c r="AE1238" s="77"/>
      <c r="AF1238" s="377"/>
      <c r="AG1238" s="377"/>
      <c r="AH1238" s="377"/>
      <c r="AJ1238" s="77"/>
      <c r="AK1238" s="77"/>
      <c r="AL1238" s="77"/>
      <c r="AM1238" s="77"/>
      <c r="AN1238" s="77"/>
    </row>
    <row r="1239" spans="12:40">
      <c r="L1239" s="377"/>
      <c r="M1239" s="377"/>
      <c r="N1239" s="377"/>
      <c r="P1239" s="377"/>
      <c r="Q1239" s="377"/>
      <c r="R1239" s="377"/>
      <c r="S1239" s="377"/>
      <c r="U1239" s="377"/>
      <c r="V1239" s="377"/>
      <c r="W1239" s="377"/>
      <c r="X1239" s="377"/>
      <c r="Z1239" s="77"/>
      <c r="AA1239" s="377"/>
      <c r="AB1239" s="377"/>
      <c r="AC1239" s="377"/>
      <c r="AE1239" s="77"/>
      <c r="AF1239" s="377"/>
      <c r="AG1239" s="377"/>
      <c r="AH1239" s="377"/>
      <c r="AJ1239" s="77"/>
      <c r="AK1239" s="77"/>
      <c r="AL1239" s="77"/>
      <c r="AM1239" s="77"/>
      <c r="AN1239" s="77"/>
    </row>
    <row r="1240" spans="12:40">
      <c r="L1240" s="377"/>
      <c r="M1240" s="377"/>
      <c r="N1240" s="377"/>
      <c r="P1240" s="377"/>
      <c r="Q1240" s="377"/>
      <c r="R1240" s="377"/>
      <c r="S1240" s="377"/>
      <c r="U1240" s="377"/>
      <c r="V1240" s="377"/>
      <c r="W1240" s="377"/>
      <c r="X1240" s="377"/>
      <c r="Z1240" s="77"/>
      <c r="AA1240" s="377"/>
      <c r="AB1240" s="377"/>
      <c r="AC1240" s="377"/>
      <c r="AE1240" s="77"/>
      <c r="AF1240" s="377"/>
      <c r="AG1240" s="377"/>
      <c r="AH1240" s="377"/>
      <c r="AJ1240" s="77"/>
      <c r="AK1240" s="77"/>
      <c r="AL1240" s="77"/>
      <c r="AM1240" s="77"/>
      <c r="AN1240" s="77"/>
    </row>
    <row r="1241" spans="12:40">
      <c r="L1241" s="377"/>
      <c r="M1241" s="377"/>
      <c r="N1241" s="377"/>
      <c r="P1241" s="377"/>
      <c r="Q1241" s="377"/>
      <c r="R1241" s="377"/>
      <c r="S1241" s="377"/>
      <c r="U1241" s="377"/>
      <c r="V1241" s="377"/>
      <c r="W1241" s="377"/>
      <c r="X1241" s="377"/>
      <c r="Z1241" s="77"/>
      <c r="AA1241" s="377"/>
      <c r="AB1241" s="377"/>
      <c r="AC1241" s="377"/>
      <c r="AE1241" s="77"/>
      <c r="AF1241" s="377"/>
      <c r="AG1241" s="377"/>
      <c r="AH1241" s="377"/>
      <c r="AJ1241" s="77"/>
      <c r="AK1241" s="77"/>
      <c r="AL1241" s="77"/>
      <c r="AM1241" s="77"/>
      <c r="AN1241" s="77"/>
    </row>
    <row r="1242" spans="12:40">
      <c r="L1242" s="377"/>
      <c r="M1242" s="377"/>
      <c r="N1242" s="377"/>
      <c r="P1242" s="377"/>
      <c r="Q1242" s="377"/>
      <c r="R1242" s="377"/>
      <c r="S1242" s="377"/>
      <c r="U1242" s="377"/>
      <c r="V1242" s="377"/>
      <c r="W1242" s="377"/>
      <c r="X1242" s="377"/>
      <c r="Z1242" s="77"/>
      <c r="AA1242" s="377"/>
      <c r="AB1242" s="377"/>
      <c r="AC1242" s="377"/>
      <c r="AE1242" s="77"/>
      <c r="AF1242" s="377"/>
      <c r="AG1242" s="377"/>
      <c r="AH1242" s="377"/>
      <c r="AJ1242" s="77"/>
      <c r="AK1242" s="77"/>
      <c r="AL1242" s="77"/>
      <c r="AM1242" s="77"/>
      <c r="AN1242" s="77"/>
    </row>
    <row r="1243" spans="12:40">
      <c r="L1243" s="377"/>
      <c r="M1243" s="377"/>
      <c r="N1243" s="377"/>
      <c r="P1243" s="377"/>
      <c r="Q1243" s="377"/>
      <c r="R1243" s="377"/>
      <c r="S1243" s="377"/>
      <c r="U1243" s="377"/>
      <c r="V1243" s="377"/>
      <c r="W1243" s="377"/>
      <c r="X1243" s="377"/>
      <c r="Z1243" s="77"/>
      <c r="AA1243" s="377"/>
      <c r="AB1243" s="377"/>
      <c r="AC1243" s="377"/>
      <c r="AE1243" s="77"/>
      <c r="AF1243" s="377"/>
      <c r="AG1243" s="377"/>
      <c r="AH1243" s="377"/>
      <c r="AJ1243" s="77"/>
      <c r="AK1243" s="77"/>
      <c r="AL1243" s="77"/>
      <c r="AM1243" s="77"/>
      <c r="AN1243" s="77"/>
    </row>
    <row r="1244" spans="12:40">
      <c r="L1244" s="377"/>
      <c r="M1244" s="377"/>
      <c r="N1244" s="377"/>
      <c r="P1244" s="377"/>
      <c r="Q1244" s="377"/>
      <c r="R1244" s="377"/>
      <c r="S1244" s="377"/>
      <c r="U1244" s="377"/>
      <c r="V1244" s="377"/>
      <c r="W1244" s="377"/>
      <c r="X1244" s="377"/>
      <c r="Z1244" s="77"/>
      <c r="AA1244" s="377"/>
      <c r="AB1244" s="377"/>
      <c r="AC1244" s="377"/>
      <c r="AE1244" s="77"/>
      <c r="AF1244" s="377"/>
      <c r="AG1244" s="377"/>
      <c r="AH1244" s="377"/>
      <c r="AJ1244" s="77"/>
      <c r="AK1244" s="77"/>
      <c r="AL1244" s="77"/>
      <c r="AM1244" s="77"/>
      <c r="AN1244" s="77"/>
    </row>
    <row r="1245" spans="12:40">
      <c r="L1245" s="377"/>
      <c r="M1245" s="377"/>
      <c r="N1245" s="377"/>
      <c r="P1245" s="377"/>
      <c r="Q1245" s="377"/>
      <c r="R1245" s="377"/>
      <c r="S1245" s="377"/>
      <c r="U1245" s="377"/>
      <c r="V1245" s="377"/>
      <c r="W1245" s="377"/>
      <c r="X1245" s="377"/>
      <c r="Z1245" s="77"/>
      <c r="AA1245" s="377"/>
      <c r="AB1245" s="377"/>
      <c r="AC1245" s="377"/>
      <c r="AE1245" s="77"/>
      <c r="AF1245" s="377"/>
      <c r="AG1245" s="377"/>
      <c r="AH1245" s="377"/>
      <c r="AJ1245" s="77"/>
      <c r="AK1245" s="77"/>
      <c r="AL1245" s="77"/>
      <c r="AM1245" s="77"/>
      <c r="AN1245" s="77"/>
    </row>
    <row r="1246" spans="12:40">
      <c r="L1246" s="377"/>
      <c r="M1246" s="377"/>
      <c r="N1246" s="377"/>
      <c r="P1246" s="377"/>
      <c r="Q1246" s="377"/>
      <c r="R1246" s="377"/>
      <c r="S1246" s="377"/>
      <c r="U1246" s="377"/>
      <c r="V1246" s="377"/>
      <c r="W1246" s="377"/>
      <c r="X1246" s="377"/>
      <c r="Z1246" s="77"/>
      <c r="AA1246" s="377"/>
      <c r="AB1246" s="377"/>
      <c r="AC1246" s="377"/>
      <c r="AE1246" s="77"/>
      <c r="AF1246" s="377"/>
      <c r="AG1246" s="377"/>
      <c r="AH1246" s="377"/>
      <c r="AJ1246" s="77"/>
      <c r="AK1246" s="77"/>
      <c r="AL1246" s="77"/>
      <c r="AM1246" s="77"/>
      <c r="AN1246" s="77"/>
    </row>
    <row r="1247" spans="12:40">
      <c r="L1247" s="377"/>
      <c r="M1247" s="377"/>
      <c r="N1247" s="377"/>
      <c r="P1247" s="377"/>
      <c r="Q1247" s="377"/>
      <c r="R1247" s="377"/>
      <c r="S1247" s="377"/>
      <c r="U1247" s="377"/>
      <c r="V1247" s="377"/>
      <c r="W1247" s="377"/>
      <c r="X1247" s="377"/>
      <c r="Z1247" s="77"/>
      <c r="AA1247" s="377"/>
      <c r="AB1247" s="377"/>
      <c r="AC1247" s="377"/>
      <c r="AE1247" s="77"/>
      <c r="AF1247" s="377"/>
      <c r="AG1247" s="377"/>
      <c r="AH1247" s="377"/>
      <c r="AJ1247" s="77"/>
      <c r="AK1247" s="77"/>
      <c r="AL1247" s="77"/>
      <c r="AM1247" s="77"/>
      <c r="AN1247" s="77"/>
    </row>
    <row r="1248" spans="12:40">
      <c r="L1248" s="377"/>
      <c r="M1248" s="377"/>
      <c r="N1248" s="377"/>
      <c r="P1248" s="377"/>
      <c r="Q1248" s="377"/>
      <c r="R1248" s="377"/>
      <c r="S1248" s="377"/>
      <c r="U1248" s="377"/>
      <c r="V1248" s="377"/>
      <c r="W1248" s="377"/>
      <c r="X1248" s="377"/>
      <c r="Z1248" s="77"/>
      <c r="AA1248" s="377"/>
      <c r="AB1248" s="377"/>
      <c r="AC1248" s="377"/>
      <c r="AE1248" s="77"/>
      <c r="AF1248" s="377"/>
      <c r="AG1248" s="377"/>
      <c r="AH1248" s="377"/>
      <c r="AJ1248" s="77"/>
      <c r="AK1248" s="77"/>
      <c r="AL1248" s="77"/>
      <c r="AM1248" s="77"/>
      <c r="AN1248" s="77"/>
    </row>
    <row r="1249" spans="12:40">
      <c r="L1249" s="377"/>
      <c r="M1249" s="377"/>
      <c r="N1249" s="377"/>
      <c r="P1249" s="377"/>
      <c r="Q1249" s="377"/>
      <c r="R1249" s="377"/>
      <c r="S1249" s="377"/>
      <c r="U1249" s="377"/>
      <c r="V1249" s="377"/>
      <c r="W1249" s="377"/>
      <c r="X1249" s="377"/>
      <c r="Z1249" s="77"/>
      <c r="AA1249" s="377"/>
      <c r="AB1249" s="377"/>
      <c r="AC1249" s="377"/>
      <c r="AE1249" s="77"/>
      <c r="AF1249" s="377"/>
      <c r="AG1249" s="377"/>
      <c r="AH1249" s="377"/>
      <c r="AJ1249" s="77"/>
      <c r="AK1249" s="77"/>
      <c r="AL1249" s="77"/>
      <c r="AM1249" s="77"/>
      <c r="AN1249" s="77"/>
    </row>
    <row r="1250" spans="12:40">
      <c r="L1250" s="377"/>
      <c r="M1250" s="377"/>
      <c r="N1250" s="377"/>
      <c r="P1250" s="377"/>
      <c r="Q1250" s="377"/>
      <c r="R1250" s="377"/>
      <c r="S1250" s="377"/>
      <c r="U1250" s="377"/>
      <c r="V1250" s="377"/>
      <c r="W1250" s="377"/>
      <c r="X1250" s="377"/>
      <c r="Z1250" s="77"/>
      <c r="AA1250" s="377"/>
      <c r="AB1250" s="377"/>
      <c r="AC1250" s="377"/>
      <c r="AE1250" s="77"/>
      <c r="AF1250" s="377"/>
      <c r="AG1250" s="377"/>
      <c r="AH1250" s="377"/>
      <c r="AJ1250" s="77"/>
      <c r="AK1250" s="77"/>
      <c r="AL1250" s="77"/>
      <c r="AM1250" s="77"/>
      <c r="AN1250" s="77"/>
    </row>
    <row r="1251" spans="12:40">
      <c r="L1251" s="377"/>
      <c r="M1251" s="377"/>
      <c r="N1251" s="377"/>
      <c r="P1251" s="377"/>
      <c r="Q1251" s="377"/>
      <c r="R1251" s="377"/>
      <c r="S1251" s="377"/>
      <c r="U1251" s="377"/>
      <c r="V1251" s="377"/>
      <c r="W1251" s="377"/>
      <c r="X1251" s="377"/>
      <c r="Z1251" s="77"/>
      <c r="AA1251" s="377"/>
      <c r="AB1251" s="377"/>
      <c r="AC1251" s="377"/>
      <c r="AE1251" s="77"/>
      <c r="AF1251" s="377"/>
      <c r="AG1251" s="377"/>
      <c r="AH1251" s="377"/>
      <c r="AJ1251" s="77"/>
      <c r="AK1251" s="77"/>
      <c r="AL1251" s="77"/>
      <c r="AM1251" s="77"/>
      <c r="AN1251" s="77"/>
    </row>
    <row r="1252" spans="12:40">
      <c r="L1252" s="377"/>
      <c r="M1252" s="377"/>
      <c r="N1252" s="377"/>
      <c r="P1252" s="377"/>
      <c r="Q1252" s="377"/>
      <c r="R1252" s="377"/>
      <c r="S1252" s="377"/>
      <c r="U1252" s="377"/>
      <c r="V1252" s="377"/>
      <c r="W1252" s="377"/>
      <c r="X1252" s="377"/>
      <c r="Z1252" s="77"/>
      <c r="AA1252" s="377"/>
      <c r="AB1252" s="377"/>
      <c r="AC1252" s="377"/>
      <c r="AE1252" s="77"/>
      <c r="AF1252" s="377"/>
      <c r="AG1252" s="377"/>
      <c r="AH1252" s="377"/>
      <c r="AJ1252" s="77"/>
      <c r="AK1252" s="77"/>
      <c r="AL1252" s="77"/>
      <c r="AM1252" s="77"/>
      <c r="AN1252" s="77"/>
    </row>
    <row r="1253" spans="12:40">
      <c r="L1253" s="377"/>
      <c r="M1253" s="377"/>
      <c r="N1253" s="377"/>
      <c r="P1253" s="377"/>
      <c r="Q1253" s="377"/>
      <c r="R1253" s="377"/>
      <c r="S1253" s="377"/>
      <c r="U1253" s="377"/>
      <c r="V1253" s="377"/>
      <c r="W1253" s="377"/>
      <c r="X1253" s="377"/>
      <c r="Z1253" s="77"/>
      <c r="AA1253" s="377"/>
      <c r="AB1253" s="377"/>
      <c r="AC1253" s="377"/>
      <c r="AE1253" s="77"/>
      <c r="AF1253" s="377"/>
      <c r="AG1253" s="377"/>
      <c r="AH1253" s="377"/>
      <c r="AJ1253" s="77"/>
      <c r="AK1253" s="77"/>
      <c r="AL1253" s="77"/>
      <c r="AM1253" s="77"/>
      <c r="AN1253" s="77"/>
    </row>
    <row r="1254" spans="12:40">
      <c r="L1254" s="377"/>
      <c r="M1254" s="377"/>
      <c r="N1254" s="377"/>
      <c r="P1254" s="377"/>
      <c r="Q1254" s="377"/>
      <c r="R1254" s="377"/>
      <c r="S1254" s="377"/>
      <c r="U1254" s="377"/>
      <c r="V1254" s="377"/>
      <c r="W1254" s="377"/>
      <c r="X1254" s="377"/>
      <c r="Z1254" s="77"/>
      <c r="AA1254" s="377"/>
      <c r="AB1254" s="377"/>
      <c r="AC1254" s="377"/>
      <c r="AE1254" s="77"/>
      <c r="AF1254" s="377"/>
      <c r="AG1254" s="377"/>
      <c r="AH1254" s="377"/>
      <c r="AJ1254" s="77"/>
      <c r="AK1254" s="77"/>
      <c r="AL1254" s="77"/>
      <c r="AM1254" s="77"/>
      <c r="AN1254" s="77"/>
    </row>
    <row r="1255" spans="12:40">
      <c r="L1255" s="377"/>
      <c r="M1255" s="377"/>
      <c r="N1255" s="377"/>
      <c r="P1255" s="377"/>
      <c r="Q1255" s="377"/>
      <c r="R1255" s="377"/>
      <c r="S1255" s="377"/>
      <c r="U1255" s="377"/>
      <c r="V1255" s="377"/>
      <c r="W1255" s="377"/>
      <c r="X1255" s="377"/>
      <c r="Z1255" s="77"/>
      <c r="AA1255" s="377"/>
      <c r="AB1255" s="377"/>
      <c r="AC1255" s="377"/>
      <c r="AE1255" s="77"/>
      <c r="AF1255" s="377"/>
      <c r="AG1255" s="377"/>
      <c r="AH1255" s="377"/>
      <c r="AJ1255" s="77"/>
      <c r="AK1255" s="77"/>
      <c r="AL1255" s="77"/>
      <c r="AM1255" s="77"/>
      <c r="AN1255" s="77"/>
    </row>
    <row r="1256" spans="12:40">
      <c r="L1256" s="377"/>
      <c r="M1256" s="377"/>
      <c r="N1256" s="377"/>
      <c r="P1256" s="377"/>
      <c r="Q1256" s="377"/>
      <c r="R1256" s="377"/>
      <c r="S1256" s="377"/>
      <c r="U1256" s="377"/>
      <c r="V1256" s="377"/>
      <c r="W1256" s="377"/>
      <c r="X1256" s="377"/>
      <c r="Z1256" s="77"/>
      <c r="AA1256" s="377"/>
      <c r="AB1256" s="377"/>
      <c r="AC1256" s="377"/>
      <c r="AE1256" s="77"/>
      <c r="AF1256" s="377"/>
      <c r="AG1256" s="377"/>
      <c r="AH1256" s="377"/>
      <c r="AJ1256" s="77"/>
      <c r="AK1256" s="77"/>
      <c r="AL1256" s="77"/>
      <c r="AM1256" s="77"/>
      <c r="AN1256" s="77"/>
    </row>
    <row r="1257" spans="12:40">
      <c r="L1257" s="377"/>
      <c r="M1257" s="377"/>
      <c r="N1257" s="377"/>
      <c r="P1257" s="377"/>
      <c r="Q1257" s="377"/>
      <c r="R1257" s="377"/>
      <c r="S1257" s="377"/>
      <c r="U1257" s="377"/>
      <c r="V1257" s="377"/>
      <c r="W1257" s="377"/>
      <c r="X1257" s="377"/>
      <c r="Z1257" s="77"/>
      <c r="AA1257" s="377"/>
      <c r="AB1257" s="377"/>
      <c r="AC1257" s="377"/>
      <c r="AE1257" s="77"/>
      <c r="AF1257" s="377"/>
      <c r="AG1257" s="377"/>
      <c r="AH1257" s="377"/>
      <c r="AJ1257" s="77"/>
      <c r="AK1257" s="77"/>
      <c r="AL1257" s="77"/>
      <c r="AM1257" s="77"/>
      <c r="AN1257" s="77"/>
    </row>
    <row r="1258" spans="12:40">
      <c r="L1258" s="377"/>
      <c r="M1258" s="377"/>
      <c r="N1258" s="377"/>
      <c r="P1258" s="377"/>
      <c r="Q1258" s="377"/>
      <c r="R1258" s="377"/>
      <c r="S1258" s="377"/>
      <c r="U1258" s="377"/>
      <c r="V1258" s="377"/>
      <c r="W1258" s="377"/>
      <c r="X1258" s="377"/>
      <c r="Z1258" s="77"/>
      <c r="AA1258" s="377"/>
      <c r="AB1258" s="377"/>
      <c r="AC1258" s="377"/>
      <c r="AE1258" s="77"/>
      <c r="AF1258" s="377"/>
      <c r="AG1258" s="377"/>
      <c r="AH1258" s="377"/>
      <c r="AJ1258" s="77"/>
      <c r="AK1258" s="77"/>
      <c r="AL1258" s="77"/>
      <c r="AM1258" s="77"/>
      <c r="AN1258" s="77"/>
    </row>
    <row r="1259" spans="12:40">
      <c r="L1259" s="377"/>
      <c r="M1259" s="377"/>
      <c r="N1259" s="377"/>
      <c r="P1259" s="377"/>
      <c r="Q1259" s="377"/>
      <c r="R1259" s="377"/>
      <c r="S1259" s="377"/>
      <c r="U1259" s="377"/>
      <c r="V1259" s="377"/>
      <c r="W1259" s="377"/>
      <c r="X1259" s="377"/>
      <c r="Z1259" s="77"/>
      <c r="AA1259" s="377"/>
      <c r="AB1259" s="377"/>
      <c r="AC1259" s="377"/>
      <c r="AE1259" s="77"/>
      <c r="AF1259" s="377"/>
      <c r="AG1259" s="377"/>
      <c r="AH1259" s="377"/>
      <c r="AJ1259" s="77"/>
      <c r="AK1259" s="77"/>
      <c r="AL1259" s="77"/>
      <c r="AM1259" s="77"/>
      <c r="AN1259" s="77"/>
    </row>
    <row r="1260" spans="12:40">
      <c r="L1260" s="377"/>
      <c r="M1260" s="377"/>
      <c r="N1260" s="377"/>
      <c r="P1260" s="377"/>
      <c r="Q1260" s="377"/>
      <c r="R1260" s="377"/>
      <c r="S1260" s="377"/>
      <c r="U1260" s="377"/>
      <c r="V1260" s="377"/>
      <c r="W1260" s="377"/>
      <c r="X1260" s="377"/>
      <c r="Z1260" s="77"/>
      <c r="AA1260" s="377"/>
      <c r="AB1260" s="377"/>
      <c r="AC1260" s="377"/>
      <c r="AE1260" s="77"/>
      <c r="AF1260" s="377"/>
      <c r="AG1260" s="377"/>
      <c r="AH1260" s="377"/>
      <c r="AJ1260" s="77"/>
      <c r="AK1260" s="77"/>
      <c r="AL1260" s="77"/>
      <c r="AM1260" s="77"/>
      <c r="AN1260" s="77"/>
    </row>
    <row r="1261" spans="12:40">
      <c r="L1261" s="377"/>
      <c r="M1261" s="377"/>
      <c r="N1261" s="377"/>
      <c r="P1261" s="377"/>
      <c r="Q1261" s="377"/>
      <c r="R1261" s="377"/>
      <c r="S1261" s="377"/>
      <c r="U1261" s="377"/>
      <c r="V1261" s="377"/>
      <c r="W1261" s="377"/>
      <c r="X1261" s="377"/>
      <c r="Z1261" s="77"/>
      <c r="AA1261" s="377"/>
      <c r="AB1261" s="377"/>
      <c r="AC1261" s="377"/>
      <c r="AE1261" s="77"/>
      <c r="AF1261" s="377"/>
      <c r="AG1261" s="377"/>
      <c r="AH1261" s="377"/>
      <c r="AJ1261" s="77"/>
      <c r="AK1261" s="77"/>
      <c r="AL1261" s="77"/>
      <c r="AM1261" s="77"/>
      <c r="AN1261" s="77"/>
    </row>
    <row r="1262" spans="12:40">
      <c r="L1262" s="377"/>
      <c r="M1262" s="377"/>
      <c r="N1262" s="377"/>
      <c r="P1262" s="377"/>
      <c r="Q1262" s="377"/>
      <c r="R1262" s="377"/>
      <c r="S1262" s="377"/>
      <c r="U1262" s="377"/>
      <c r="V1262" s="377"/>
      <c r="W1262" s="377"/>
      <c r="X1262" s="377"/>
      <c r="Z1262" s="77"/>
      <c r="AA1262" s="377"/>
      <c r="AB1262" s="377"/>
      <c r="AC1262" s="377"/>
      <c r="AE1262" s="77"/>
      <c r="AF1262" s="377"/>
      <c r="AG1262" s="377"/>
      <c r="AH1262" s="377"/>
      <c r="AJ1262" s="77"/>
      <c r="AK1262" s="77"/>
      <c r="AL1262" s="77"/>
      <c r="AM1262" s="77"/>
      <c r="AN1262" s="77"/>
    </row>
    <row r="1263" spans="12:40">
      <c r="L1263" s="377"/>
      <c r="M1263" s="377"/>
      <c r="N1263" s="377"/>
      <c r="P1263" s="377"/>
      <c r="Q1263" s="377"/>
      <c r="R1263" s="377"/>
      <c r="S1263" s="377"/>
      <c r="U1263" s="377"/>
      <c r="V1263" s="377"/>
      <c r="W1263" s="377"/>
      <c r="X1263" s="377"/>
      <c r="Z1263" s="77"/>
      <c r="AA1263" s="377"/>
      <c r="AB1263" s="377"/>
      <c r="AC1263" s="377"/>
      <c r="AE1263" s="77"/>
      <c r="AF1263" s="377"/>
      <c r="AG1263" s="377"/>
      <c r="AH1263" s="377"/>
      <c r="AJ1263" s="77"/>
      <c r="AK1263" s="77"/>
      <c r="AL1263" s="77"/>
      <c r="AM1263" s="77"/>
      <c r="AN1263" s="77"/>
    </row>
    <row r="1264" spans="12:40">
      <c r="L1264" s="377"/>
      <c r="M1264" s="377"/>
      <c r="N1264" s="377"/>
      <c r="P1264" s="377"/>
      <c r="Q1264" s="377"/>
      <c r="R1264" s="377"/>
      <c r="S1264" s="377"/>
      <c r="U1264" s="377"/>
      <c r="V1264" s="377"/>
      <c r="W1264" s="377"/>
      <c r="X1264" s="377"/>
      <c r="Z1264" s="77"/>
      <c r="AA1264" s="377"/>
      <c r="AB1264" s="377"/>
      <c r="AC1264" s="377"/>
      <c r="AE1264" s="77"/>
      <c r="AF1264" s="377"/>
      <c r="AG1264" s="377"/>
      <c r="AH1264" s="377"/>
      <c r="AJ1264" s="77"/>
      <c r="AK1264" s="77"/>
      <c r="AL1264" s="77"/>
      <c r="AM1264" s="77"/>
      <c r="AN1264" s="77"/>
    </row>
    <row r="1265" spans="12:40">
      <c r="L1265" s="377"/>
      <c r="M1265" s="377"/>
      <c r="N1265" s="377"/>
      <c r="P1265" s="377"/>
      <c r="Q1265" s="377"/>
      <c r="R1265" s="377"/>
      <c r="S1265" s="377"/>
      <c r="U1265" s="377"/>
      <c r="V1265" s="377"/>
      <c r="W1265" s="377"/>
      <c r="X1265" s="377"/>
      <c r="Z1265" s="77"/>
      <c r="AA1265" s="377"/>
      <c r="AB1265" s="377"/>
      <c r="AC1265" s="377"/>
      <c r="AE1265" s="77"/>
      <c r="AF1265" s="377"/>
      <c r="AG1265" s="377"/>
      <c r="AH1265" s="377"/>
      <c r="AJ1265" s="77"/>
      <c r="AK1265" s="77"/>
      <c r="AL1265" s="77"/>
      <c r="AM1265" s="77"/>
      <c r="AN1265" s="77"/>
    </row>
    <row r="1266" spans="12:40">
      <c r="L1266" s="377"/>
      <c r="M1266" s="377"/>
      <c r="N1266" s="377"/>
      <c r="P1266" s="377"/>
      <c r="Q1266" s="377"/>
      <c r="R1266" s="377"/>
      <c r="S1266" s="377"/>
      <c r="U1266" s="377"/>
      <c r="V1266" s="377"/>
      <c r="W1266" s="377"/>
      <c r="X1266" s="377"/>
      <c r="Z1266" s="77"/>
      <c r="AA1266" s="377"/>
      <c r="AB1266" s="377"/>
      <c r="AC1266" s="377"/>
      <c r="AE1266" s="77"/>
      <c r="AF1266" s="377"/>
      <c r="AG1266" s="377"/>
      <c r="AH1266" s="377"/>
      <c r="AJ1266" s="77"/>
      <c r="AK1266" s="77"/>
      <c r="AL1266" s="77"/>
      <c r="AM1266" s="77"/>
      <c r="AN1266" s="77"/>
    </row>
    <row r="1267" spans="12:40">
      <c r="L1267" s="377"/>
      <c r="M1267" s="377"/>
      <c r="N1267" s="377"/>
      <c r="P1267" s="377"/>
      <c r="Q1267" s="377"/>
      <c r="R1267" s="377"/>
      <c r="S1267" s="377"/>
      <c r="U1267" s="377"/>
      <c r="V1267" s="377"/>
      <c r="W1267" s="377"/>
      <c r="X1267" s="377"/>
      <c r="Z1267" s="77"/>
      <c r="AA1267" s="377"/>
      <c r="AB1267" s="377"/>
      <c r="AC1267" s="377"/>
      <c r="AE1267" s="77"/>
      <c r="AF1267" s="377"/>
      <c r="AG1267" s="377"/>
      <c r="AH1267" s="377"/>
      <c r="AJ1267" s="77"/>
      <c r="AK1267" s="77"/>
      <c r="AL1267" s="77"/>
      <c r="AM1267" s="77"/>
      <c r="AN1267" s="77"/>
    </row>
    <row r="1268" spans="12:40">
      <c r="L1268" s="377"/>
      <c r="M1268" s="377"/>
      <c r="N1268" s="377"/>
      <c r="P1268" s="377"/>
      <c r="Q1268" s="377"/>
      <c r="R1268" s="377"/>
      <c r="S1268" s="377"/>
      <c r="U1268" s="377"/>
      <c r="V1268" s="377"/>
      <c r="W1268" s="377"/>
      <c r="X1268" s="377"/>
      <c r="Z1268" s="77"/>
      <c r="AA1268" s="377"/>
      <c r="AB1268" s="377"/>
      <c r="AC1268" s="377"/>
      <c r="AE1268" s="77"/>
      <c r="AF1268" s="377"/>
      <c r="AG1268" s="377"/>
      <c r="AH1268" s="377"/>
      <c r="AJ1268" s="77"/>
      <c r="AK1268" s="77"/>
      <c r="AL1268" s="77"/>
      <c r="AM1268" s="77"/>
      <c r="AN1268" s="77"/>
    </row>
    <row r="1269" spans="12:40">
      <c r="L1269" s="377"/>
      <c r="M1269" s="377"/>
      <c r="N1269" s="377"/>
      <c r="P1269" s="377"/>
      <c r="Q1269" s="377"/>
      <c r="R1269" s="377"/>
      <c r="S1269" s="377"/>
      <c r="U1269" s="377"/>
      <c r="V1269" s="377"/>
      <c r="W1269" s="377"/>
      <c r="X1269" s="377"/>
      <c r="Z1269" s="77"/>
      <c r="AA1269" s="377"/>
      <c r="AB1269" s="377"/>
      <c r="AC1269" s="377"/>
      <c r="AE1269" s="77"/>
      <c r="AF1269" s="377"/>
      <c r="AG1269" s="377"/>
      <c r="AH1269" s="377"/>
      <c r="AJ1269" s="77"/>
      <c r="AK1269" s="77"/>
      <c r="AL1269" s="77"/>
      <c r="AM1269" s="77"/>
      <c r="AN1269" s="77"/>
    </row>
    <row r="1270" spans="12:40">
      <c r="L1270" s="377"/>
      <c r="M1270" s="377"/>
      <c r="N1270" s="377"/>
      <c r="P1270" s="377"/>
      <c r="Q1270" s="377"/>
      <c r="R1270" s="377"/>
      <c r="S1270" s="377"/>
      <c r="U1270" s="377"/>
      <c r="V1270" s="377"/>
      <c r="W1270" s="377"/>
      <c r="X1270" s="377"/>
      <c r="Z1270" s="77"/>
      <c r="AA1270" s="377"/>
      <c r="AB1270" s="377"/>
      <c r="AC1270" s="377"/>
      <c r="AE1270" s="77"/>
      <c r="AF1270" s="377"/>
      <c r="AG1270" s="377"/>
      <c r="AH1270" s="377"/>
      <c r="AJ1270" s="77"/>
      <c r="AK1270" s="77"/>
      <c r="AL1270" s="77"/>
      <c r="AM1270" s="77"/>
      <c r="AN1270" s="77"/>
    </row>
    <row r="1271" spans="12:40">
      <c r="L1271" s="377"/>
      <c r="M1271" s="377"/>
      <c r="N1271" s="377"/>
      <c r="P1271" s="377"/>
      <c r="Q1271" s="377"/>
      <c r="R1271" s="377"/>
      <c r="S1271" s="377"/>
      <c r="U1271" s="377"/>
      <c r="V1271" s="377"/>
      <c r="W1271" s="377"/>
      <c r="X1271" s="377"/>
      <c r="Z1271" s="77"/>
      <c r="AA1271" s="377"/>
      <c r="AB1271" s="377"/>
      <c r="AC1271" s="377"/>
      <c r="AE1271" s="77"/>
      <c r="AF1271" s="377"/>
      <c r="AG1271" s="377"/>
      <c r="AH1271" s="377"/>
      <c r="AJ1271" s="77"/>
      <c r="AK1271" s="77"/>
      <c r="AL1271" s="77"/>
      <c r="AM1271" s="77"/>
      <c r="AN1271" s="77"/>
    </row>
    <row r="1272" spans="12:40">
      <c r="L1272" s="377"/>
      <c r="M1272" s="377"/>
      <c r="N1272" s="377"/>
      <c r="P1272" s="377"/>
      <c r="Q1272" s="377"/>
      <c r="R1272" s="377"/>
      <c r="S1272" s="377"/>
      <c r="U1272" s="377"/>
      <c r="V1272" s="377"/>
      <c r="W1272" s="377"/>
      <c r="X1272" s="377"/>
      <c r="Z1272" s="77"/>
      <c r="AA1272" s="377"/>
      <c r="AB1272" s="377"/>
      <c r="AC1272" s="377"/>
      <c r="AE1272" s="77"/>
      <c r="AF1272" s="377"/>
      <c r="AG1272" s="377"/>
      <c r="AH1272" s="377"/>
      <c r="AJ1272" s="77"/>
      <c r="AK1272" s="77"/>
      <c r="AL1272" s="77"/>
      <c r="AM1272" s="77"/>
      <c r="AN1272" s="77"/>
    </row>
    <row r="1273" spans="12:40">
      <c r="L1273" s="377"/>
      <c r="M1273" s="377"/>
      <c r="N1273" s="377"/>
      <c r="P1273" s="377"/>
      <c r="Q1273" s="377"/>
      <c r="R1273" s="377"/>
      <c r="S1273" s="377"/>
      <c r="U1273" s="377"/>
      <c r="V1273" s="377"/>
      <c r="W1273" s="377"/>
      <c r="X1273" s="377"/>
      <c r="Z1273" s="77"/>
      <c r="AA1273" s="377"/>
      <c r="AB1273" s="377"/>
      <c r="AC1273" s="377"/>
      <c r="AE1273" s="77"/>
      <c r="AF1273" s="377"/>
      <c r="AG1273" s="377"/>
      <c r="AH1273" s="377"/>
      <c r="AJ1273" s="77"/>
      <c r="AK1273" s="77"/>
      <c r="AL1273" s="77"/>
      <c r="AM1273" s="77"/>
      <c r="AN1273" s="77"/>
    </row>
    <row r="1274" spans="12:40">
      <c r="L1274" s="377"/>
      <c r="M1274" s="377"/>
      <c r="N1274" s="377"/>
      <c r="P1274" s="377"/>
      <c r="Q1274" s="377"/>
      <c r="R1274" s="377"/>
      <c r="S1274" s="377"/>
      <c r="U1274" s="377"/>
      <c r="V1274" s="377"/>
      <c r="W1274" s="377"/>
      <c r="X1274" s="377"/>
      <c r="Z1274" s="77"/>
      <c r="AA1274" s="377"/>
      <c r="AB1274" s="377"/>
      <c r="AC1274" s="377"/>
      <c r="AE1274" s="77"/>
      <c r="AF1274" s="377"/>
      <c r="AG1274" s="377"/>
      <c r="AH1274" s="377"/>
      <c r="AJ1274" s="77"/>
      <c r="AK1274" s="77"/>
      <c r="AL1274" s="77"/>
      <c r="AM1274" s="77"/>
      <c r="AN1274" s="77"/>
    </row>
    <row r="1275" spans="12:40">
      <c r="L1275" s="377"/>
      <c r="M1275" s="377"/>
      <c r="N1275" s="377"/>
      <c r="P1275" s="377"/>
      <c r="Q1275" s="377"/>
      <c r="R1275" s="377"/>
      <c r="S1275" s="377"/>
      <c r="U1275" s="377"/>
      <c r="V1275" s="377"/>
      <c r="W1275" s="377"/>
      <c r="X1275" s="377"/>
      <c r="Z1275" s="77"/>
      <c r="AA1275" s="377"/>
      <c r="AB1275" s="377"/>
      <c r="AC1275" s="377"/>
      <c r="AE1275" s="77"/>
      <c r="AF1275" s="377"/>
      <c r="AG1275" s="377"/>
      <c r="AH1275" s="377"/>
      <c r="AJ1275" s="77"/>
      <c r="AK1275" s="77"/>
      <c r="AL1275" s="77"/>
      <c r="AM1275" s="77"/>
      <c r="AN1275" s="77"/>
    </row>
    <row r="1276" spans="12:40">
      <c r="L1276" s="377"/>
      <c r="M1276" s="377"/>
      <c r="N1276" s="377"/>
      <c r="P1276" s="377"/>
      <c r="Q1276" s="377"/>
      <c r="R1276" s="377"/>
      <c r="S1276" s="377"/>
      <c r="U1276" s="377"/>
      <c r="V1276" s="377"/>
      <c r="W1276" s="377"/>
      <c r="X1276" s="377"/>
      <c r="Z1276" s="77"/>
      <c r="AA1276" s="377"/>
      <c r="AB1276" s="377"/>
      <c r="AC1276" s="377"/>
      <c r="AE1276" s="77"/>
      <c r="AF1276" s="377"/>
      <c r="AG1276" s="377"/>
      <c r="AH1276" s="377"/>
      <c r="AJ1276" s="77"/>
      <c r="AK1276" s="77"/>
      <c r="AL1276" s="77"/>
      <c r="AM1276" s="77"/>
      <c r="AN1276" s="77"/>
    </row>
    <row r="1277" spans="12:40">
      <c r="L1277" s="377"/>
      <c r="M1277" s="377"/>
      <c r="N1277" s="377"/>
      <c r="P1277" s="377"/>
      <c r="Q1277" s="377"/>
      <c r="R1277" s="377"/>
      <c r="S1277" s="377"/>
      <c r="U1277" s="377"/>
      <c r="V1277" s="377"/>
      <c r="W1277" s="377"/>
      <c r="X1277" s="377"/>
      <c r="Z1277" s="77"/>
      <c r="AA1277" s="377"/>
      <c r="AB1277" s="377"/>
      <c r="AC1277" s="377"/>
      <c r="AE1277" s="77"/>
      <c r="AF1277" s="377"/>
      <c r="AG1277" s="377"/>
      <c r="AH1277" s="377"/>
      <c r="AJ1277" s="77"/>
      <c r="AK1277" s="77"/>
      <c r="AL1277" s="77"/>
      <c r="AM1277" s="77"/>
      <c r="AN1277" s="77"/>
    </row>
    <row r="1278" spans="12:40">
      <c r="L1278" s="377"/>
      <c r="M1278" s="377"/>
      <c r="N1278" s="377"/>
      <c r="P1278" s="377"/>
      <c r="Q1278" s="377"/>
      <c r="R1278" s="377"/>
      <c r="S1278" s="377"/>
      <c r="U1278" s="377"/>
      <c r="V1278" s="377"/>
      <c r="W1278" s="377"/>
      <c r="X1278" s="377"/>
      <c r="Z1278" s="77"/>
      <c r="AA1278" s="377"/>
      <c r="AB1278" s="377"/>
      <c r="AC1278" s="377"/>
      <c r="AE1278" s="77"/>
      <c r="AF1278" s="377"/>
      <c r="AG1278" s="377"/>
      <c r="AH1278" s="377"/>
      <c r="AJ1278" s="77"/>
      <c r="AK1278" s="77"/>
      <c r="AL1278" s="77"/>
      <c r="AM1278" s="77"/>
      <c r="AN1278" s="77"/>
    </row>
    <row r="1279" spans="12:40">
      <c r="L1279" s="377"/>
      <c r="M1279" s="377"/>
      <c r="N1279" s="377"/>
      <c r="P1279" s="377"/>
      <c r="Q1279" s="377"/>
      <c r="R1279" s="377"/>
      <c r="S1279" s="377"/>
      <c r="U1279" s="377"/>
      <c r="V1279" s="377"/>
      <c r="W1279" s="377"/>
      <c r="X1279" s="377"/>
      <c r="Z1279" s="77"/>
      <c r="AA1279" s="377"/>
      <c r="AB1279" s="377"/>
      <c r="AC1279" s="377"/>
      <c r="AE1279" s="77"/>
      <c r="AF1279" s="377"/>
      <c r="AG1279" s="377"/>
      <c r="AH1279" s="377"/>
      <c r="AJ1279" s="77"/>
      <c r="AK1279" s="77"/>
      <c r="AL1279" s="77"/>
      <c r="AM1279" s="77"/>
      <c r="AN1279" s="77"/>
    </row>
    <row r="1280" spans="12:40">
      <c r="L1280" s="377"/>
      <c r="M1280" s="377"/>
      <c r="N1280" s="377"/>
      <c r="P1280" s="377"/>
      <c r="Q1280" s="377"/>
      <c r="R1280" s="377"/>
      <c r="S1280" s="377"/>
      <c r="U1280" s="377"/>
      <c r="V1280" s="377"/>
      <c r="W1280" s="377"/>
      <c r="X1280" s="377"/>
      <c r="Z1280" s="77"/>
      <c r="AA1280" s="377"/>
      <c r="AB1280" s="377"/>
      <c r="AC1280" s="377"/>
      <c r="AE1280" s="77"/>
      <c r="AF1280" s="377"/>
      <c r="AG1280" s="377"/>
      <c r="AH1280" s="377"/>
      <c r="AJ1280" s="77"/>
      <c r="AK1280" s="77"/>
      <c r="AL1280" s="77"/>
      <c r="AM1280" s="77"/>
      <c r="AN1280" s="77"/>
    </row>
    <row r="1281" spans="12:40">
      <c r="L1281" s="377"/>
      <c r="M1281" s="377"/>
      <c r="N1281" s="377"/>
      <c r="P1281" s="377"/>
      <c r="Q1281" s="377"/>
      <c r="R1281" s="377"/>
      <c r="S1281" s="377"/>
      <c r="U1281" s="377"/>
      <c r="V1281" s="377"/>
      <c r="W1281" s="377"/>
      <c r="X1281" s="377"/>
      <c r="Z1281" s="77"/>
      <c r="AA1281" s="377"/>
      <c r="AB1281" s="377"/>
      <c r="AC1281" s="377"/>
      <c r="AE1281" s="77"/>
      <c r="AF1281" s="377"/>
      <c r="AG1281" s="377"/>
      <c r="AH1281" s="377"/>
      <c r="AJ1281" s="77"/>
      <c r="AK1281" s="77"/>
      <c r="AL1281" s="77"/>
      <c r="AM1281" s="77"/>
      <c r="AN1281" s="77"/>
    </row>
    <row r="1282" spans="12:40">
      <c r="L1282" s="377"/>
      <c r="M1282" s="377"/>
      <c r="N1282" s="377"/>
      <c r="P1282" s="377"/>
      <c r="Q1282" s="377"/>
      <c r="R1282" s="377"/>
      <c r="S1282" s="377"/>
      <c r="U1282" s="377"/>
      <c r="V1282" s="377"/>
      <c r="W1282" s="377"/>
      <c r="X1282" s="377"/>
      <c r="Z1282" s="77"/>
      <c r="AA1282" s="377"/>
      <c r="AB1282" s="377"/>
      <c r="AC1282" s="377"/>
      <c r="AE1282" s="77"/>
      <c r="AF1282" s="377"/>
      <c r="AG1282" s="377"/>
      <c r="AH1282" s="377"/>
      <c r="AJ1282" s="77"/>
      <c r="AK1282" s="77"/>
      <c r="AL1282" s="77"/>
      <c r="AM1282" s="77"/>
      <c r="AN1282" s="77"/>
    </row>
    <row r="1283" spans="12:40">
      <c r="L1283" s="377"/>
      <c r="M1283" s="377"/>
      <c r="N1283" s="377"/>
      <c r="P1283" s="377"/>
      <c r="Q1283" s="377"/>
      <c r="R1283" s="377"/>
      <c r="S1283" s="377"/>
      <c r="U1283" s="377"/>
      <c r="V1283" s="377"/>
      <c r="W1283" s="377"/>
      <c r="X1283" s="377"/>
      <c r="Z1283" s="77"/>
      <c r="AA1283" s="377"/>
      <c r="AB1283" s="377"/>
      <c r="AC1283" s="377"/>
      <c r="AE1283" s="77"/>
      <c r="AF1283" s="377"/>
      <c r="AG1283" s="377"/>
      <c r="AH1283" s="377"/>
      <c r="AJ1283" s="77"/>
      <c r="AK1283" s="77"/>
      <c r="AL1283" s="77"/>
      <c r="AM1283" s="77"/>
      <c r="AN1283" s="77"/>
    </row>
    <row r="1284" spans="12:40">
      <c r="L1284" s="377"/>
      <c r="M1284" s="377"/>
      <c r="N1284" s="377"/>
      <c r="P1284" s="377"/>
      <c r="Q1284" s="377"/>
      <c r="R1284" s="377"/>
      <c r="S1284" s="377"/>
      <c r="U1284" s="377"/>
      <c r="V1284" s="377"/>
      <c r="W1284" s="377"/>
      <c r="X1284" s="377"/>
      <c r="Z1284" s="77"/>
      <c r="AA1284" s="377"/>
      <c r="AB1284" s="377"/>
      <c r="AC1284" s="377"/>
      <c r="AE1284" s="77"/>
      <c r="AF1284" s="377"/>
      <c r="AG1284" s="377"/>
      <c r="AH1284" s="377"/>
      <c r="AJ1284" s="77"/>
      <c r="AK1284" s="77"/>
      <c r="AL1284" s="77"/>
      <c r="AM1284" s="77"/>
      <c r="AN1284" s="77"/>
    </row>
    <row r="1285" spans="12:40">
      <c r="L1285" s="377"/>
      <c r="M1285" s="377"/>
      <c r="N1285" s="377"/>
      <c r="P1285" s="377"/>
      <c r="Q1285" s="377"/>
      <c r="R1285" s="377"/>
      <c r="S1285" s="377"/>
      <c r="U1285" s="377"/>
      <c r="V1285" s="377"/>
      <c r="W1285" s="377"/>
      <c r="X1285" s="377"/>
      <c r="Z1285" s="77"/>
      <c r="AA1285" s="377"/>
      <c r="AB1285" s="377"/>
      <c r="AC1285" s="377"/>
      <c r="AE1285" s="77"/>
      <c r="AF1285" s="377"/>
      <c r="AG1285" s="377"/>
      <c r="AH1285" s="377"/>
      <c r="AJ1285" s="77"/>
      <c r="AK1285" s="77"/>
      <c r="AL1285" s="77"/>
      <c r="AM1285" s="77"/>
      <c r="AN1285" s="77"/>
    </row>
    <row r="1286" spans="12:40">
      <c r="L1286" s="377"/>
      <c r="M1286" s="377"/>
      <c r="N1286" s="377"/>
      <c r="P1286" s="377"/>
      <c r="Q1286" s="377"/>
      <c r="R1286" s="377"/>
      <c r="S1286" s="377"/>
      <c r="U1286" s="377"/>
      <c r="V1286" s="377"/>
      <c r="W1286" s="377"/>
      <c r="X1286" s="377"/>
      <c r="Z1286" s="77"/>
      <c r="AA1286" s="377"/>
      <c r="AB1286" s="377"/>
      <c r="AC1286" s="377"/>
      <c r="AE1286" s="77"/>
      <c r="AF1286" s="377"/>
      <c r="AG1286" s="377"/>
      <c r="AH1286" s="377"/>
      <c r="AJ1286" s="77"/>
      <c r="AK1286" s="77"/>
      <c r="AL1286" s="77"/>
      <c r="AM1286" s="77"/>
      <c r="AN1286" s="77"/>
    </row>
    <row r="1287" spans="12:40">
      <c r="L1287" s="377"/>
      <c r="M1287" s="377"/>
      <c r="N1287" s="377"/>
      <c r="P1287" s="377"/>
      <c r="Q1287" s="377"/>
      <c r="R1287" s="377"/>
      <c r="S1287" s="377"/>
      <c r="U1287" s="377"/>
      <c r="V1287" s="377"/>
      <c r="W1287" s="377"/>
      <c r="X1287" s="377"/>
      <c r="Z1287" s="77"/>
      <c r="AA1287" s="377"/>
      <c r="AB1287" s="377"/>
      <c r="AC1287" s="377"/>
      <c r="AE1287" s="77"/>
      <c r="AF1287" s="377"/>
      <c r="AG1287" s="377"/>
      <c r="AH1287" s="377"/>
      <c r="AJ1287" s="77"/>
      <c r="AK1287" s="77"/>
      <c r="AL1287" s="77"/>
      <c r="AM1287" s="77"/>
      <c r="AN1287" s="77"/>
    </row>
    <row r="1288" spans="12:40">
      <c r="L1288" s="377"/>
      <c r="M1288" s="377"/>
      <c r="N1288" s="377"/>
      <c r="P1288" s="377"/>
      <c r="Q1288" s="377"/>
      <c r="R1288" s="377"/>
      <c r="S1288" s="377"/>
      <c r="U1288" s="377"/>
      <c r="V1288" s="377"/>
      <c r="W1288" s="377"/>
      <c r="X1288" s="377"/>
      <c r="Z1288" s="77"/>
      <c r="AA1288" s="377"/>
      <c r="AB1288" s="377"/>
      <c r="AC1288" s="377"/>
      <c r="AE1288" s="77"/>
      <c r="AF1288" s="377"/>
      <c r="AG1288" s="377"/>
      <c r="AH1288" s="377"/>
      <c r="AJ1288" s="77"/>
      <c r="AK1288" s="77"/>
      <c r="AL1288" s="77"/>
      <c r="AM1288" s="77"/>
      <c r="AN1288" s="77"/>
    </row>
    <row r="1289" spans="12:40">
      <c r="L1289" s="377"/>
      <c r="M1289" s="377"/>
      <c r="N1289" s="377"/>
      <c r="P1289" s="377"/>
      <c r="Q1289" s="377"/>
      <c r="R1289" s="377"/>
      <c r="S1289" s="377"/>
      <c r="U1289" s="377"/>
      <c r="V1289" s="377"/>
      <c r="W1289" s="377"/>
      <c r="X1289" s="377"/>
      <c r="Z1289" s="77"/>
      <c r="AA1289" s="377"/>
      <c r="AB1289" s="377"/>
      <c r="AC1289" s="377"/>
      <c r="AE1289" s="77"/>
      <c r="AF1289" s="377"/>
      <c r="AG1289" s="377"/>
      <c r="AH1289" s="377"/>
      <c r="AJ1289" s="77"/>
      <c r="AK1289" s="77"/>
      <c r="AL1289" s="77"/>
      <c r="AM1289" s="77"/>
      <c r="AN1289" s="77"/>
    </row>
    <row r="1290" spans="12:40">
      <c r="L1290" s="377"/>
      <c r="M1290" s="377"/>
      <c r="N1290" s="377"/>
      <c r="P1290" s="377"/>
      <c r="Q1290" s="377"/>
      <c r="R1290" s="377"/>
      <c r="S1290" s="377"/>
      <c r="U1290" s="377"/>
      <c r="V1290" s="377"/>
      <c r="W1290" s="377"/>
      <c r="X1290" s="377"/>
      <c r="Z1290" s="77"/>
      <c r="AA1290" s="377"/>
      <c r="AB1290" s="377"/>
      <c r="AC1290" s="377"/>
      <c r="AE1290" s="77"/>
      <c r="AF1290" s="377"/>
      <c r="AG1290" s="377"/>
      <c r="AH1290" s="377"/>
      <c r="AJ1290" s="77"/>
      <c r="AK1290" s="77"/>
      <c r="AL1290" s="77"/>
      <c r="AM1290" s="77"/>
      <c r="AN1290" s="77"/>
    </row>
    <row r="1291" spans="12:40">
      <c r="L1291" s="377"/>
      <c r="M1291" s="377"/>
      <c r="N1291" s="377"/>
      <c r="P1291" s="377"/>
      <c r="Q1291" s="377"/>
      <c r="R1291" s="377"/>
      <c r="S1291" s="377"/>
      <c r="U1291" s="377"/>
      <c r="V1291" s="377"/>
      <c r="W1291" s="377"/>
      <c r="X1291" s="377"/>
      <c r="Z1291" s="77"/>
      <c r="AA1291" s="377"/>
      <c r="AB1291" s="377"/>
      <c r="AC1291" s="377"/>
      <c r="AE1291" s="77"/>
      <c r="AF1291" s="377"/>
      <c r="AG1291" s="377"/>
      <c r="AH1291" s="377"/>
      <c r="AJ1291" s="77"/>
      <c r="AK1291" s="77"/>
      <c r="AL1291" s="77"/>
      <c r="AM1291" s="77"/>
      <c r="AN1291" s="77"/>
    </row>
    <row r="1292" spans="12:40">
      <c r="L1292" s="377"/>
      <c r="M1292" s="377"/>
      <c r="N1292" s="377"/>
      <c r="P1292" s="377"/>
      <c r="Q1292" s="377"/>
      <c r="R1292" s="377"/>
      <c r="S1292" s="377"/>
      <c r="U1292" s="377"/>
      <c r="V1292" s="377"/>
      <c r="W1292" s="377"/>
      <c r="X1292" s="377"/>
      <c r="Z1292" s="77"/>
      <c r="AA1292" s="377"/>
      <c r="AB1292" s="377"/>
      <c r="AC1292" s="377"/>
      <c r="AE1292" s="77"/>
      <c r="AF1292" s="377"/>
      <c r="AG1292" s="377"/>
      <c r="AH1292" s="377"/>
      <c r="AJ1292" s="77"/>
      <c r="AK1292" s="77"/>
      <c r="AL1292" s="77"/>
      <c r="AM1292" s="77"/>
      <c r="AN1292" s="77"/>
    </row>
  </sheetData>
  <phoneticPr fontId="3" type="noConversion"/>
  <conditionalFormatting sqref="L64:BV65 L9:BV9 L120:BF120 BH120:BV120 L10:BO10 BQ10:BV10 BY64:CH65 BY120:CH120 BY9:CH10">
    <cfRule type="expression" dxfId="42" priority="54" stopIfTrue="1">
      <formula>L$4&lt;=$J$6</formula>
    </cfRule>
  </conditionalFormatting>
  <conditionalFormatting sqref="BY66:CB113 AE96:AE99 AE86:AE93 P88 Z88 U88 AJ86:AJ93 AJ96:AJ99 AT96:AT99 AY96:AY99 AW86:AX86 AW96:AX96 AT86:AT93 AY86:AY93 AO96:AO99 AO86:AO93 BS100:BS101 BS66:BS67 CC82:CE83 CC89:CE93 CC95:CE96 CC98:CE101 CC85:CE86 CC74:CE78 CC66:CE67 CC71:CE71 BD86:BD93 BK66:BK67 BD96:BD99 BB86:BC86 BB96:BC96 BF85 BK113 BK84:BK85 BR77:BS77 BR85:BS85 BR95:BS95 BR101:BR102">
    <cfRule type="cellIs" dxfId="41" priority="55" stopIfTrue="1" operator="lessThan">
      <formula>0</formula>
    </cfRule>
  </conditionalFormatting>
  <conditionalFormatting sqref="P32:AH32 AJ32:AM32 AO32:AR32 AT32:AV32 AY32:BB32 BD32:BE32 BK32 BR32 BY32:CB32 CD32:CH32">
    <cfRule type="cellIs" dxfId="40" priority="56" stopIfTrue="1" operator="greaterThanOrEqual">
      <formula>0</formula>
    </cfRule>
  </conditionalFormatting>
  <conditionalFormatting sqref="BF32">
    <cfRule type="cellIs" dxfId="39" priority="53" stopIfTrue="1" operator="greaterThanOrEqual">
      <formula>0</formula>
    </cfRule>
  </conditionalFormatting>
  <conditionalFormatting sqref="BG32">
    <cfRule type="cellIs" dxfId="38" priority="49" stopIfTrue="1" operator="greaterThanOrEqual">
      <formula>0</formula>
    </cfRule>
  </conditionalFormatting>
  <conditionalFormatting sqref="BG120">
    <cfRule type="expression" dxfId="37" priority="47" stopIfTrue="1">
      <formula>BG$4&lt;=$J$6</formula>
    </cfRule>
  </conditionalFormatting>
  <conditionalFormatting sqref="BG85">
    <cfRule type="cellIs" dxfId="36" priority="48" stopIfTrue="1" operator="lessThan">
      <formula>0</formula>
    </cfRule>
  </conditionalFormatting>
  <conditionalFormatting sqref="BI32">
    <cfRule type="cellIs" dxfId="35" priority="46" stopIfTrue="1" operator="greaterThanOrEqual">
      <formula>0</formula>
    </cfRule>
  </conditionalFormatting>
  <conditionalFormatting sqref="BH85">
    <cfRule type="cellIs" dxfId="34" priority="45" stopIfTrue="1" operator="lessThan">
      <formula>0</formula>
    </cfRule>
  </conditionalFormatting>
  <conditionalFormatting sqref="BI86:BI93 BI96:BI99">
    <cfRule type="cellIs" dxfId="33" priority="44" stopIfTrue="1" operator="lessThan">
      <formula>0</formula>
    </cfRule>
  </conditionalFormatting>
  <conditionalFormatting sqref="BJ32:BK32">
    <cfRule type="cellIs" dxfId="32" priority="43" stopIfTrue="1" operator="greaterThanOrEqual">
      <formula>0</formula>
    </cfRule>
  </conditionalFormatting>
  <conditionalFormatting sqref="BL66:BL67 BL113 BL84:BL85">
    <cfRule type="cellIs" dxfId="31" priority="39" stopIfTrue="1" operator="lessThan">
      <formula>0</formula>
    </cfRule>
  </conditionalFormatting>
  <conditionalFormatting sqref="BL32">
    <cfRule type="cellIs" dxfId="30" priority="38" stopIfTrue="1" operator="greaterThanOrEqual">
      <formula>0</formula>
    </cfRule>
  </conditionalFormatting>
  <conditionalFormatting sqref="BL32">
    <cfRule type="cellIs" dxfId="29" priority="37" stopIfTrue="1" operator="greaterThanOrEqual">
      <formula>0</formula>
    </cfRule>
  </conditionalFormatting>
  <conditionalFormatting sqref="BN32">
    <cfRule type="cellIs" dxfId="28" priority="36" stopIfTrue="1" operator="greaterThanOrEqual">
      <formula>0</formula>
    </cfRule>
  </conditionalFormatting>
  <conditionalFormatting sqref="BM85">
    <cfRule type="cellIs" dxfId="27" priority="35" stopIfTrue="1" operator="lessThan">
      <formula>0</formula>
    </cfRule>
  </conditionalFormatting>
  <conditionalFormatting sqref="BN86:BN93 BN96:BN99">
    <cfRule type="cellIs" dxfId="26" priority="34" stopIfTrue="1" operator="lessThan">
      <formula>0</formula>
    </cfRule>
  </conditionalFormatting>
  <conditionalFormatting sqref="BO32">
    <cfRule type="cellIs" dxfId="25" priority="33" stopIfTrue="1" operator="greaterThanOrEqual">
      <formula>0</formula>
    </cfRule>
  </conditionalFormatting>
  <conditionalFormatting sqref="BP10">
    <cfRule type="expression" dxfId="24" priority="32" stopIfTrue="1">
      <formula>BP$4&lt;=$J$6</formula>
    </cfRule>
  </conditionalFormatting>
  <conditionalFormatting sqref="BP32">
    <cfRule type="cellIs" dxfId="23" priority="31" stopIfTrue="1" operator="greaterThanOrEqual">
      <formula>0</formula>
    </cfRule>
  </conditionalFormatting>
  <conditionalFormatting sqref="BQ32">
    <cfRule type="cellIs" dxfId="22" priority="30" stopIfTrue="1" operator="greaterThanOrEqual">
      <formula>0</formula>
    </cfRule>
  </conditionalFormatting>
  <conditionalFormatting sqref="BS86:BS93">
    <cfRule type="cellIs" dxfId="21" priority="29" stopIfTrue="1" operator="lessThan">
      <formula>0</formula>
    </cfRule>
  </conditionalFormatting>
  <conditionalFormatting sqref="BS96:BS99">
    <cfRule type="cellIs" dxfId="20" priority="28" stopIfTrue="1" operator="lessThan">
      <formula>0</formula>
    </cfRule>
  </conditionalFormatting>
  <conditionalFormatting sqref="BT32">
    <cfRule type="cellIs" dxfId="19" priority="27" stopIfTrue="1" operator="greaterThanOrEqual">
      <formula>0</formula>
    </cfRule>
  </conditionalFormatting>
  <conditionalFormatting sqref="CF74:CF78 CF82:CF83 CF89:CF93 CF95:CF96 CF98:CF101 CF85:CF86 CF66:CF67 CF71">
    <cfRule type="cellIs" dxfId="18" priority="25" stopIfTrue="1" operator="lessThan">
      <formula>0</formula>
    </cfRule>
  </conditionalFormatting>
  <conditionalFormatting sqref="CG74:CG78 CG82:CG83 CG89:CG93 CG95:CG96 CG98:CG101 CG85:CG86 CG66:CG67 CG71">
    <cfRule type="cellIs" dxfId="17" priority="22" stopIfTrue="1" operator="lessThan">
      <formula>0</formula>
    </cfRule>
  </conditionalFormatting>
  <conditionalFormatting sqref="CH74:CH78 CH82:CH83 CH89:CH93 CH95:CH96 CH98:CH99 CH85:CH86 CH66:CH67 CH71 CH101">
    <cfRule type="cellIs" dxfId="16" priority="19" stopIfTrue="1" operator="lessThan">
      <formula>0</formula>
    </cfRule>
  </conditionalFormatting>
  <conditionalFormatting sqref="CH100">
    <cfRule type="cellIs" dxfId="15" priority="17" stopIfTrue="1" operator="lessThan">
      <formula>0</formula>
    </cfRule>
  </conditionalFormatting>
  <conditionalFormatting sqref="BU32">
    <cfRule type="cellIs" dxfId="14" priority="16" stopIfTrue="1" operator="greaterThanOrEqual">
      <formula>0</formula>
    </cfRule>
  </conditionalFormatting>
  <conditionalFormatting sqref="BV32">
    <cfRule type="cellIs" dxfId="13" priority="15" stopIfTrue="1" operator="greaterThanOrEqual">
      <formula>0</formula>
    </cfRule>
  </conditionalFormatting>
  <conditionalFormatting sqref="BX64:BX65 BX120 BX9:BX10">
    <cfRule type="expression" dxfId="12" priority="13" stopIfTrue="1">
      <formula>BX$4&lt;=$J$6</formula>
    </cfRule>
  </conditionalFormatting>
  <conditionalFormatting sqref="BX101 BX77 BX85 BX95">
    <cfRule type="cellIs" dxfId="11" priority="14" stopIfTrue="1" operator="lessThan">
      <formula>0</formula>
    </cfRule>
  </conditionalFormatting>
  <conditionalFormatting sqref="BW64:BW65 BW120 BW9:BW10">
    <cfRule type="expression" dxfId="10" priority="7" stopIfTrue="1">
      <formula>BW$4&lt;=$J$6</formula>
    </cfRule>
  </conditionalFormatting>
  <conditionalFormatting sqref="BW77 BW85 BW95 BW101:BW102">
    <cfRule type="cellIs" dxfId="9" priority="8" stopIfTrue="1" operator="lessThan">
      <formula>0</formula>
    </cfRule>
  </conditionalFormatting>
  <conditionalFormatting sqref="BW32">
    <cfRule type="cellIs" dxfId="8" priority="9" stopIfTrue="1" operator="greaterThanOrEqual">
      <formula>0</formula>
    </cfRule>
  </conditionalFormatting>
  <conditionalFormatting sqref="BX67">
    <cfRule type="cellIs" dxfId="7" priority="6" stopIfTrue="1" operator="lessThan">
      <formula>0</formula>
    </cfRule>
  </conditionalFormatting>
  <conditionalFormatting sqref="BX66">
    <cfRule type="cellIs" dxfId="6" priority="4" stopIfTrue="1" operator="lessThan">
      <formula>0</formula>
    </cfRule>
  </conditionalFormatting>
  <conditionalFormatting sqref="BX86:BX93">
    <cfRule type="cellIs" dxfId="5" priority="3" stopIfTrue="1" operator="lessThan">
      <formula>0</formula>
    </cfRule>
  </conditionalFormatting>
  <conditionalFormatting sqref="BX100">
    <cfRule type="cellIs" dxfId="4" priority="2" stopIfTrue="1" operator="lessThan">
      <formula>0</formula>
    </cfRule>
  </conditionalFormatting>
  <conditionalFormatting sqref="BX96:BX99">
    <cfRule type="cellIs" dxfId="3" priority="1" stopIfTrue="1" operator="lessThan">
      <formula>0</formula>
    </cfRule>
  </conditionalFormatting>
  <pageMargins left="0.5" right="0.5" top="0.5" bottom="0.5" header="0.5" footer="0.5"/>
  <pageSetup scale="70" orientation="portrait" r:id="rId1"/>
  <headerFooter alignWithMargins="0"/>
  <rowBreaks count="2" manualBreakCount="2">
    <brk id="60" min="7" max="85" man="1"/>
    <brk id="116" max="16383" man="1"/>
  </rowBreaks>
  <ignoredErrors>
    <ignoredError sqref="AD24:AE49 P100:Z100 AJ67:AJ68 V180:AE180 U165:AF168 P169:AE169 P85:AE88 U173:AE178 AJ57 Z66:Z78 Q70:Y78 AJ128:AJ129 Q81:T82 AF24:AJ49 AO17 P53:AE58 AF53:AJ53 AE70:AE77 AA66:AE68 U129:AE129 U126:AE126 AO128:AO129 Q66:Y68 P80:P82 AJ165:AJ173 AJ122:AJ123 AJ126 U122:AE123 AO53:AY59 P97:AE97 Z80:Z82 AE80:AE82 U80:U82 AA70:AD78 P66:P78 AA81:AD82 V81:Y82 AO124:AO125 AO126 AO122:AO123 AP122:AY126 AO64:AY88 P89:AE96 P101:Z103 AO97:AY100 AF50:AJ52 AD50:AE52 BC24:BC49 BC17 AO60:AY62 AO170:AO173 AO165:AO167 AO168:BI169 AP165:BI167 AP170:BI173 BN71 BQ73:BS73 BR72:BS72 BN69 BD89:BS100 BR74:BS88 BS69 BN70 BR70:BS70 BR71:BS71 BD53:BR57 BS57 BS53 BD17:BH52 BI17:BR52 BS17:BW52" formula="1"/>
    <ignoredError sqref="P19 AF69:AG69 AH69:AI69 L69:O69 AK69 AJ70:AJ72 AK70:AK97 AZ69:BC69 BT69:BU69" formulaRange="1"/>
    <ignoredError sqref="AE69 AA69:AD69 U180 Q69:Y69 AJ69 AJ73:AJ97 BO71:BQ71 BD71:BM71 BO70:BQ70 BD70:BM70 BO69:BP69 BD73:BP73 BD74:BQ88 BD69:BM69 BD72:BQ72 BQ69:BR69" formula="1" formulaRange="1"/>
  </ignoredError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enableFormatConditionsCalculation="0">
    <tabColor indexed="56"/>
  </sheetPr>
  <dimension ref="A1:EX342"/>
  <sheetViews>
    <sheetView showGridLines="0" topLeftCell="H5" zoomScaleNormal="100" zoomScaleSheetLayoutView="100" workbookViewId="0"/>
  </sheetViews>
  <sheetFormatPr defaultRowHeight="12.75" outlineLevelRow="1" outlineLevelCol="1"/>
  <cols>
    <col min="1" max="6" width="9.140625" style="527" hidden="1" customWidth="1" outlineLevel="1"/>
    <col min="7" max="7" width="2.7109375" style="527" hidden="1" customWidth="1" outlineLevel="1"/>
    <col min="8" max="8" width="2.7109375" style="536" customWidth="1" collapsed="1"/>
    <col min="9" max="9" width="28.85546875" style="536" customWidth="1"/>
    <col min="10" max="16" width="9.140625" style="536"/>
    <col min="17" max="21" width="9.140625" style="535"/>
    <col min="22" max="16384" width="9.140625" style="536"/>
  </cols>
  <sheetData>
    <row r="1" spans="8:154" s="527" customFormat="1" hidden="1" outlineLevel="1">
      <c r="Q1" s="528"/>
      <c r="R1" s="528"/>
      <c r="S1" s="528"/>
      <c r="T1" s="528"/>
      <c r="U1" s="528"/>
      <c r="EX1" s="527" t="s">
        <v>1120</v>
      </c>
    </row>
    <row r="2" spans="8:154" s="527" customFormat="1" hidden="1" outlineLevel="1">
      <c r="Q2" s="528"/>
      <c r="R2" s="528"/>
      <c r="S2" s="528"/>
      <c r="T2" s="528"/>
      <c r="U2" s="528"/>
    </row>
    <row r="3" spans="8:154" s="527" customFormat="1" hidden="1" outlineLevel="1">
      <c r="Q3" s="528"/>
      <c r="R3" s="528"/>
      <c r="S3" s="528"/>
      <c r="T3" s="528"/>
      <c r="U3" s="528"/>
    </row>
    <row r="4" spans="8:154" s="527" customFormat="1" hidden="1" collapsed="1">
      <c r="Q4" s="528"/>
      <c r="R4" s="528"/>
      <c r="S4" s="528"/>
      <c r="T4" s="528"/>
      <c r="U4" s="528"/>
    </row>
    <row r="5" spans="8:154" ht="15.75">
      <c r="H5" s="529" t="str">
        <f>CompanyName</f>
        <v>Eli Lilly &amp; Co.</v>
      </c>
      <c r="I5" s="530"/>
      <c r="J5" s="530"/>
      <c r="K5" s="530"/>
      <c r="L5" s="531"/>
      <c r="M5" s="531"/>
      <c r="N5" s="531"/>
      <c r="O5" s="531"/>
      <c r="P5" s="532"/>
      <c r="Q5" s="533"/>
      <c r="R5" s="533"/>
      <c r="S5" s="533"/>
      <c r="T5" s="533"/>
    </row>
    <row r="6" spans="8:154" ht="15.75">
      <c r="H6" s="537" t="s">
        <v>277</v>
      </c>
      <c r="I6" s="538"/>
      <c r="J6" s="538"/>
      <c r="K6" s="538"/>
      <c r="L6" s="539"/>
      <c r="M6" s="539"/>
      <c r="N6" s="539"/>
      <c r="O6" s="539"/>
      <c r="P6" s="539"/>
      <c r="Q6" s="534"/>
      <c r="R6" s="534"/>
      <c r="S6" s="534"/>
      <c r="T6" s="534"/>
    </row>
    <row r="7" spans="8:154" ht="3" customHeight="1">
      <c r="H7" s="540"/>
      <c r="I7" s="540"/>
      <c r="J7" s="540"/>
      <c r="K7" s="540"/>
      <c r="L7" s="540"/>
      <c r="M7" s="540"/>
      <c r="N7" s="540"/>
      <c r="O7" s="540"/>
      <c r="P7" s="540"/>
      <c r="Q7" s="534"/>
      <c r="R7" s="534"/>
      <c r="S7" s="534"/>
      <c r="T7" s="534"/>
    </row>
    <row r="8" spans="8:154" ht="3" customHeight="1">
      <c r="H8" s="540"/>
      <c r="I8" s="540"/>
      <c r="J8" s="540"/>
      <c r="K8" s="540"/>
      <c r="L8" s="540"/>
      <c r="M8" s="540"/>
      <c r="N8" s="540"/>
      <c r="O8" s="540"/>
      <c r="P8" s="540"/>
      <c r="Q8" s="534"/>
      <c r="R8" s="534"/>
      <c r="S8" s="534"/>
      <c r="T8" s="534"/>
    </row>
    <row r="9" spans="8:154" ht="3" customHeight="1">
      <c r="H9" s="540"/>
      <c r="I9" s="540"/>
      <c r="J9" s="540"/>
      <c r="K9" s="540"/>
      <c r="L9" s="540"/>
      <c r="M9" s="540"/>
      <c r="N9" s="540"/>
      <c r="O9" s="540"/>
      <c r="P9" s="540"/>
      <c r="Q9" s="534"/>
      <c r="R9" s="534"/>
      <c r="S9" s="534"/>
      <c r="T9" s="534"/>
    </row>
    <row r="10" spans="8:154" ht="12.75" customHeight="1">
      <c r="H10" s="541" t="s">
        <v>1079</v>
      </c>
      <c r="I10" s="541"/>
      <c r="J10" s="541"/>
      <c r="K10" s="541"/>
      <c r="L10" s="542"/>
      <c r="M10" s="542"/>
      <c r="N10" s="542"/>
      <c r="O10" s="542"/>
      <c r="P10" s="542"/>
      <c r="Q10" s="534"/>
      <c r="R10" s="534"/>
      <c r="S10" s="534"/>
      <c r="T10" s="534"/>
    </row>
    <row r="11" spans="8:154" ht="12.75" customHeight="1">
      <c r="H11" s="543">
        <v>1</v>
      </c>
      <c r="I11" s="694" t="s">
        <v>1080</v>
      </c>
      <c r="J11" s="693"/>
      <c r="K11" s="693"/>
      <c r="L11" s="694"/>
      <c r="M11" s="694"/>
      <c r="N11" s="694"/>
      <c r="O11" s="694"/>
      <c r="P11" s="694"/>
      <c r="Q11" s="534"/>
      <c r="R11" s="534"/>
      <c r="S11" s="534"/>
      <c r="T11" s="534"/>
    </row>
    <row r="12" spans="8:154" ht="3" customHeight="1">
      <c r="H12" s="693"/>
      <c r="I12" s="693"/>
      <c r="J12" s="693"/>
      <c r="K12" s="693"/>
      <c r="L12" s="694"/>
      <c r="M12" s="694"/>
      <c r="N12" s="694"/>
      <c r="O12" s="694"/>
      <c r="P12" s="694"/>
      <c r="Q12" s="534"/>
      <c r="R12" s="534"/>
      <c r="S12" s="534"/>
      <c r="T12" s="534"/>
    </row>
    <row r="13" spans="8:154" ht="12.75" customHeight="1">
      <c r="H13" s="541" t="s">
        <v>1130</v>
      </c>
      <c r="I13" s="541"/>
      <c r="J13" s="541"/>
      <c r="K13" s="541"/>
      <c r="L13" s="542"/>
      <c r="M13" s="542"/>
      <c r="N13" s="542"/>
      <c r="O13" s="542"/>
      <c r="P13" s="542"/>
      <c r="Q13" s="534"/>
      <c r="R13" s="534"/>
      <c r="S13" s="534"/>
      <c r="T13" s="534"/>
      <c r="U13" s="536"/>
    </row>
    <row r="14" spans="8:154" ht="12.75" customHeight="1">
      <c r="H14" s="543">
        <v>1</v>
      </c>
      <c r="I14" s="540" t="s">
        <v>1077</v>
      </c>
      <c r="J14" s="693"/>
      <c r="K14" s="693"/>
      <c r="L14" s="694"/>
      <c r="M14" s="694"/>
      <c r="N14" s="694"/>
      <c r="O14" s="694"/>
      <c r="P14" s="694"/>
      <c r="Q14" s="534"/>
      <c r="R14" s="534"/>
      <c r="S14" s="534"/>
      <c r="T14" s="534"/>
      <c r="U14" s="536"/>
    </row>
    <row r="15" spans="8:154" ht="12.75" customHeight="1">
      <c r="H15" s="543">
        <v>2</v>
      </c>
      <c r="I15" s="540" t="s">
        <v>1140</v>
      </c>
      <c r="J15" s="693"/>
      <c r="K15" s="693"/>
      <c r="L15" s="694"/>
      <c r="M15" s="694"/>
      <c r="N15" s="694"/>
      <c r="O15" s="694"/>
      <c r="P15" s="694"/>
      <c r="Q15" s="534"/>
      <c r="R15" s="534"/>
      <c r="S15" s="534"/>
      <c r="T15" s="534"/>
      <c r="U15" s="536"/>
    </row>
    <row r="16" spans="8:154" ht="12.75" customHeight="1">
      <c r="H16" s="543">
        <v>3</v>
      </c>
      <c r="I16" s="540" t="s">
        <v>1138</v>
      </c>
      <c r="J16" s="693"/>
      <c r="K16" s="693"/>
      <c r="L16" s="694"/>
      <c r="M16" s="694"/>
      <c r="N16" s="694"/>
      <c r="O16" s="694"/>
      <c r="P16" s="694"/>
      <c r="Q16" s="534"/>
      <c r="R16" s="534"/>
      <c r="S16" s="534"/>
      <c r="T16" s="534"/>
      <c r="U16" s="536"/>
    </row>
    <row r="17" spans="8:21" ht="12.75" customHeight="1">
      <c r="H17" s="543">
        <v>4</v>
      </c>
      <c r="I17" s="540" t="s">
        <v>1141</v>
      </c>
      <c r="J17" s="693"/>
      <c r="K17" s="693"/>
      <c r="L17" s="694"/>
      <c r="M17" s="694"/>
      <c r="N17" s="694"/>
      <c r="O17" s="694"/>
      <c r="P17" s="694"/>
      <c r="Q17" s="534"/>
      <c r="R17" s="534"/>
      <c r="S17" s="534"/>
      <c r="T17" s="534"/>
      <c r="U17" s="536"/>
    </row>
    <row r="18" spans="8:21" ht="12.75" customHeight="1">
      <c r="H18" s="543">
        <v>5</v>
      </c>
      <c r="I18" s="540" t="s">
        <v>1142</v>
      </c>
      <c r="J18" s="693"/>
      <c r="K18" s="693"/>
      <c r="L18" s="694"/>
      <c r="M18" s="694"/>
      <c r="N18" s="694"/>
      <c r="O18" s="694"/>
      <c r="P18" s="694"/>
      <c r="Q18" s="534"/>
      <c r="R18" s="534"/>
      <c r="S18" s="534"/>
      <c r="T18" s="534"/>
      <c r="U18" s="536"/>
    </row>
    <row r="19" spans="8:21" ht="12.75" customHeight="1">
      <c r="H19" s="543">
        <v>6</v>
      </c>
      <c r="I19" s="540" t="s">
        <v>1143</v>
      </c>
      <c r="J19" s="693"/>
      <c r="K19" s="693"/>
      <c r="L19" s="694"/>
      <c r="M19" s="694"/>
      <c r="N19" s="694"/>
      <c r="O19" s="694"/>
      <c r="P19" s="694"/>
      <c r="Q19" s="534"/>
      <c r="R19" s="534"/>
      <c r="S19" s="534"/>
      <c r="T19" s="534"/>
      <c r="U19" s="536"/>
    </row>
    <row r="20" spans="8:21" ht="12.75" customHeight="1">
      <c r="H20" s="543">
        <v>7</v>
      </c>
      <c r="I20" s="1219" t="s">
        <v>1139</v>
      </c>
      <c r="J20" s="693"/>
      <c r="K20" s="693"/>
      <c r="L20" s="694"/>
      <c r="M20" s="694"/>
      <c r="N20" s="694"/>
      <c r="O20" s="694"/>
      <c r="P20" s="694"/>
      <c r="Q20" s="534"/>
      <c r="R20" s="534"/>
      <c r="S20" s="534"/>
      <c r="T20" s="534"/>
      <c r="U20" s="536"/>
    </row>
    <row r="21" spans="8:21" ht="12.75" customHeight="1">
      <c r="H21" s="543"/>
      <c r="I21" s="540"/>
      <c r="J21" s="693"/>
      <c r="K21" s="693"/>
      <c r="L21" s="694"/>
      <c r="M21" s="694"/>
      <c r="N21" s="694"/>
      <c r="O21" s="694"/>
      <c r="P21" s="694"/>
      <c r="Q21" s="534"/>
      <c r="R21" s="534"/>
      <c r="S21" s="534"/>
      <c r="T21" s="534"/>
      <c r="U21" s="536"/>
    </row>
    <row r="22" spans="8:21" ht="12.75" customHeight="1">
      <c r="H22" s="541" t="s">
        <v>1070</v>
      </c>
      <c r="I22" s="541"/>
      <c r="J22" s="541"/>
      <c r="K22" s="541"/>
      <c r="L22" s="542"/>
      <c r="M22" s="542"/>
      <c r="N22" s="542"/>
      <c r="O22" s="542"/>
      <c r="P22" s="542"/>
      <c r="Q22" s="534"/>
      <c r="R22" s="534"/>
      <c r="S22" s="534"/>
      <c r="T22" s="534"/>
      <c r="U22" s="536"/>
    </row>
    <row r="23" spans="8:21" ht="12.75" customHeight="1">
      <c r="H23" s="543">
        <v>1</v>
      </c>
      <c r="I23" s="540" t="s">
        <v>1077</v>
      </c>
      <c r="J23" s="693"/>
      <c r="K23" s="693"/>
      <c r="L23" s="694"/>
      <c r="M23" s="694"/>
      <c r="N23" s="694"/>
      <c r="O23" s="694"/>
      <c r="P23" s="694"/>
      <c r="Q23" s="534"/>
      <c r="R23" s="534"/>
      <c r="S23" s="534"/>
      <c r="T23" s="534"/>
      <c r="U23" s="536"/>
    </row>
    <row r="24" spans="8:21" ht="12.75" customHeight="1">
      <c r="H24" s="543">
        <v>2</v>
      </c>
      <c r="I24" s="540" t="s">
        <v>1078</v>
      </c>
      <c r="J24" s="693"/>
      <c r="K24" s="693"/>
      <c r="L24" s="694"/>
      <c r="M24" s="694"/>
      <c r="N24" s="694"/>
      <c r="O24" s="694"/>
      <c r="P24" s="694"/>
      <c r="Q24" s="534"/>
      <c r="R24" s="534"/>
      <c r="S24" s="534"/>
      <c r="T24" s="534"/>
      <c r="U24" s="536"/>
    </row>
    <row r="25" spans="8:21" ht="12.75" customHeight="1">
      <c r="H25" s="543">
        <v>3</v>
      </c>
      <c r="I25" s="540" t="s">
        <v>1076</v>
      </c>
      <c r="J25" s="693"/>
      <c r="K25" s="693"/>
      <c r="L25" s="694"/>
      <c r="M25" s="694"/>
      <c r="N25" s="694"/>
      <c r="O25" s="694"/>
      <c r="P25" s="694"/>
      <c r="Q25" s="534"/>
      <c r="R25" s="534"/>
      <c r="S25" s="534"/>
      <c r="T25" s="534"/>
      <c r="U25" s="536"/>
    </row>
    <row r="26" spans="8:21" ht="12.75" customHeight="1">
      <c r="H26" s="543">
        <v>4</v>
      </c>
      <c r="I26" s="540" t="s">
        <v>1088</v>
      </c>
      <c r="J26" s="693"/>
      <c r="K26" s="693"/>
      <c r="L26" s="694"/>
      <c r="M26" s="694"/>
      <c r="N26" s="694"/>
      <c r="O26" s="694"/>
      <c r="P26" s="694"/>
      <c r="Q26" s="534"/>
      <c r="R26" s="534"/>
      <c r="S26" s="534"/>
      <c r="T26" s="534"/>
      <c r="U26" s="536"/>
    </row>
    <row r="27" spans="8:21" ht="12.75" customHeight="1">
      <c r="H27" s="543">
        <v>5</v>
      </c>
      <c r="I27" s="540" t="s">
        <v>1084</v>
      </c>
      <c r="J27" s="693"/>
      <c r="K27" s="693"/>
      <c r="L27" s="694"/>
      <c r="M27" s="694"/>
      <c r="N27" s="694"/>
      <c r="O27" s="694"/>
      <c r="P27" s="694"/>
      <c r="Q27" s="534"/>
      <c r="R27" s="534"/>
      <c r="S27" s="534"/>
      <c r="T27" s="534"/>
      <c r="U27" s="536"/>
    </row>
    <row r="28" spans="8:21" ht="12.75" customHeight="1">
      <c r="H28" s="543">
        <v>6</v>
      </c>
      <c r="I28" s="540" t="s">
        <v>1085</v>
      </c>
      <c r="J28" s="693"/>
      <c r="K28" s="693"/>
      <c r="L28" s="694"/>
      <c r="M28" s="694"/>
      <c r="N28" s="694"/>
      <c r="O28" s="694"/>
      <c r="P28" s="694"/>
      <c r="Q28" s="534"/>
      <c r="R28" s="534"/>
      <c r="S28" s="534"/>
      <c r="T28" s="534"/>
      <c r="U28" s="536"/>
    </row>
    <row r="29" spans="8:21" ht="12.75" customHeight="1">
      <c r="H29" s="543">
        <v>7</v>
      </c>
      <c r="I29" s="1219" t="s">
        <v>1081</v>
      </c>
      <c r="J29" s="693"/>
      <c r="K29" s="693"/>
      <c r="L29" s="694"/>
      <c r="M29" s="694"/>
      <c r="N29" s="694"/>
      <c r="O29" s="694"/>
      <c r="P29" s="694"/>
      <c r="Q29" s="534"/>
      <c r="R29" s="534"/>
      <c r="S29" s="534"/>
      <c r="T29" s="534"/>
      <c r="U29" s="536"/>
    </row>
    <row r="30" spans="8:21" ht="12.75" customHeight="1">
      <c r="H30" s="543">
        <v>8</v>
      </c>
      <c r="I30" s="1219" t="s">
        <v>1083</v>
      </c>
      <c r="J30" s="693"/>
      <c r="K30" s="693"/>
      <c r="L30" s="694"/>
      <c r="M30" s="694"/>
      <c r="N30" s="694"/>
      <c r="O30" s="694"/>
      <c r="P30" s="694"/>
      <c r="Q30" s="534"/>
      <c r="R30" s="534"/>
      <c r="S30" s="534"/>
      <c r="T30" s="534"/>
      <c r="U30" s="536"/>
    </row>
    <row r="31" spans="8:21" ht="12.75" customHeight="1">
      <c r="H31" s="543">
        <v>9</v>
      </c>
      <c r="I31" s="1219" t="s">
        <v>1082</v>
      </c>
      <c r="J31" s="693"/>
      <c r="K31" s="693"/>
      <c r="L31" s="694"/>
      <c r="M31" s="694"/>
      <c r="N31" s="694"/>
      <c r="O31" s="694"/>
      <c r="P31" s="694"/>
      <c r="Q31" s="534"/>
      <c r="R31" s="534"/>
      <c r="S31" s="534"/>
      <c r="T31" s="534"/>
      <c r="U31" s="536"/>
    </row>
    <row r="32" spans="8:21" ht="12.75" customHeight="1">
      <c r="H32" s="543"/>
      <c r="I32" s="540"/>
      <c r="J32" s="693"/>
      <c r="K32" s="693"/>
      <c r="L32" s="694"/>
      <c r="M32" s="694"/>
      <c r="N32" s="694"/>
      <c r="O32" s="694"/>
      <c r="P32" s="694"/>
      <c r="Q32" s="534"/>
      <c r="R32" s="534"/>
      <c r="S32" s="534"/>
      <c r="T32" s="534"/>
      <c r="U32" s="536"/>
    </row>
    <row r="33" spans="8:21" ht="12.75" customHeight="1">
      <c r="H33" s="541" t="s">
        <v>1041</v>
      </c>
      <c r="I33" s="541"/>
      <c r="J33" s="541"/>
      <c r="K33" s="541"/>
      <c r="L33" s="542"/>
      <c r="M33" s="542"/>
      <c r="N33" s="542"/>
      <c r="O33" s="542"/>
      <c r="P33" s="542"/>
      <c r="Q33" s="534"/>
      <c r="R33" s="534"/>
      <c r="S33" s="534"/>
      <c r="T33" s="534"/>
      <c r="U33" s="536"/>
    </row>
    <row r="34" spans="8:21" ht="12.75" customHeight="1">
      <c r="H34" s="543">
        <v>1</v>
      </c>
      <c r="I34" s="540" t="s">
        <v>1044</v>
      </c>
      <c r="J34" s="693"/>
      <c r="K34" s="693"/>
      <c r="L34" s="694"/>
      <c r="M34" s="694"/>
      <c r="N34" s="694"/>
      <c r="O34" s="694"/>
      <c r="P34" s="694"/>
      <c r="Q34" s="534"/>
      <c r="R34" s="534"/>
      <c r="S34" s="534"/>
      <c r="T34" s="534"/>
      <c r="U34" s="536"/>
    </row>
    <row r="35" spans="8:21" ht="12.75" customHeight="1">
      <c r="H35" s="543">
        <v>2</v>
      </c>
      <c r="I35" s="540" t="s">
        <v>1045</v>
      </c>
      <c r="J35" s="693"/>
      <c r="K35" s="693"/>
      <c r="L35" s="694"/>
      <c r="M35" s="694"/>
      <c r="N35" s="694"/>
      <c r="O35" s="694"/>
      <c r="P35" s="694"/>
      <c r="Q35" s="534"/>
      <c r="R35" s="534"/>
      <c r="S35" s="534"/>
      <c r="T35" s="534"/>
      <c r="U35" s="536"/>
    </row>
    <row r="36" spans="8:21" ht="12.75" customHeight="1">
      <c r="H36" s="543">
        <v>3</v>
      </c>
      <c r="I36" s="540" t="s">
        <v>1046</v>
      </c>
      <c r="J36" s="693"/>
      <c r="K36" s="693"/>
      <c r="L36" s="694"/>
      <c r="M36" s="694"/>
      <c r="N36" s="694"/>
      <c r="O36" s="694"/>
      <c r="P36" s="694"/>
      <c r="Q36" s="534"/>
      <c r="R36" s="534"/>
      <c r="S36" s="534"/>
      <c r="T36" s="534"/>
      <c r="U36" s="536"/>
    </row>
    <row r="37" spans="8:21" ht="12.75" customHeight="1">
      <c r="H37" s="543">
        <v>4</v>
      </c>
      <c r="I37" s="1219" t="s">
        <v>1043</v>
      </c>
      <c r="J37" s="693"/>
      <c r="K37" s="693"/>
      <c r="L37" s="694"/>
      <c r="M37" s="694"/>
      <c r="N37" s="694"/>
      <c r="O37" s="694"/>
      <c r="P37" s="694"/>
      <c r="Q37" s="534"/>
      <c r="R37" s="534"/>
      <c r="S37" s="534"/>
      <c r="T37" s="534"/>
      <c r="U37" s="536"/>
    </row>
    <row r="38" spans="8:21" ht="12.75" customHeight="1">
      <c r="H38" s="543">
        <v>5</v>
      </c>
      <c r="I38" s="1219" t="s">
        <v>1048</v>
      </c>
      <c r="J38" s="693"/>
      <c r="K38" s="693"/>
      <c r="L38" s="694"/>
      <c r="M38" s="694"/>
      <c r="N38" s="694"/>
      <c r="O38" s="694"/>
      <c r="P38" s="694"/>
      <c r="Q38" s="534"/>
      <c r="R38" s="534"/>
      <c r="S38" s="534"/>
      <c r="T38" s="534"/>
      <c r="U38" s="536"/>
    </row>
    <row r="39" spans="8:21" ht="12.75" customHeight="1">
      <c r="H39" s="543">
        <v>6</v>
      </c>
      <c r="I39" s="1219" t="s">
        <v>1047</v>
      </c>
      <c r="J39" s="693"/>
      <c r="K39" s="693"/>
      <c r="L39" s="694"/>
      <c r="M39" s="694"/>
      <c r="N39" s="694"/>
      <c r="O39" s="694"/>
      <c r="P39" s="694"/>
      <c r="Q39" s="534"/>
      <c r="R39" s="534"/>
      <c r="S39" s="534"/>
      <c r="T39" s="534"/>
      <c r="U39" s="536"/>
    </row>
    <row r="40" spans="8:21" ht="12.75" customHeight="1">
      <c r="H40" s="543"/>
      <c r="I40" s="540"/>
      <c r="J40" s="693"/>
      <c r="K40" s="693"/>
      <c r="L40" s="694"/>
      <c r="M40" s="694"/>
      <c r="N40" s="694"/>
      <c r="O40" s="694"/>
      <c r="P40" s="694"/>
      <c r="Q40" s="534"/>
      <c r="R40" s="534"/>
      <c r="S40" s="534"/>
      <c r="T40" s="534"/>
      <c r="U40" s="536"/>
    </row>
    <row r="41" spans="8:21" ht="12.75" customHeight="1">
      <c r="H41" s="541" t="s">
        <v>1005</v>
      </c>
      <c r="I41" s="541"/>
      <c r="J41" s="541"/>
      <c r="K41" s="541"/>
      <c r="L41" s="542"/>
      <c r="M41" s="542"/>
      <c r="N41" s="542"/>
      <c r="O41" s="542"/>
      <c r="P41" s="542"/>
      <c r="Q41" s="534"/>
      <c r="R41" s="534"/>
      <c r="S41" s="534"/>
      <c r="T41" s="534"/>
      <c r="U41" s="536"/>
    </row>
    <row r="42" spans="8:21" ht="12.75" customHeight="1">
      <c r="H42" s="543">
        <v>1</v>
      </c>
      <c r="I42" s="540" t="s">
        <v>1010</v>
      </c>
      <c r="J42" s="693"/>
      <c r="K42" s="693"/>
      <c r="L42" s="694"/>
      <c r="M42" s="694"/>
      <c r="N42" s="694"/>
      <c r="O42" s="694"/>
      <c r="P42" s="694"/>
      <c r="Q42" s="534"/>
      <c r="R42" s="534"/>
      <c r="S42" s="534"/>
      <c r="T42" s="534"/>
      <c r="U42" s="536"/>
    </row>
    <row r="43" spans="8:21" ht="12.75" customHeight="1">
      <c r="H43" s="543">
        <v>2</v>
      </c>
      <c r="I43" s="540" t="s">
        <v>1009</v>
      </c>
      <c r="J43" s="693"/>
      <c r="K43" s="693"/>
      <c r="L43" s="694"/>
      <c r="M43" s="694"/>
      <c r="N43" s="694"/>
      <c r="O43" s="694"/>
      <c r="P43" s="694"/>
      <c r="Q43" s="534"/>
      <c r="R43" s="534"/>
      <c r="S43" s="534"/>
      <c r="T43" s="534"/>
      <c r="U43" s="536"/>
    </row>
    <row r="44" spans="8:21" ht="12.75" customHeight="1">
      <c r="H44" s="543">
        <v>3</v>
      </c>
      <c r="I44" s="540" t="s">
        <v>1008</v>
      </c>
      <c r="J44" s="693"/>
      <c r="K44" s="693"/>
      <c r="L44" s="694"/>
      <c r="M44" s="694"/>
      <c r="N44" s="694"/>
      <c r="O44" s="694"/>
      <c r="P44" s="694"/>
      <c r="Q44" s="534"/>
      <c r="R44" s="534"/>
      <c r="S44" s="534"/>
      <c r="T44" s="534"/>
      <c r="U44" s="536"/>
    </row>
    <row r="45" spans="8:21" ht="12.75" customHeight="1">
      <c r="H45" s="543">
        <v>4</v>
      </c>
      <c r="I45" s="540" t="s">
        <v>1014</v>
      </c>
      <c r="J45" s="693"/>
      <c r="K45" s="693"/>
      <c r="L45" s="694"/>
      <c r="M45" s="694"/>
      <c r="N45" s="694"/>
      <c r="O45" s="694"/>
      <c r="P45" s="694"/>
      <c r="Q45" s="534"/>
      <c r="R45" s="534"/>
      <c r="S45" s="534"/>
      <c r="T45" s="534"/>
      <c r="U45" s="536"/>
    </row>
    <row r="46" spans="8:21" ht="12.75" customHeight="1">
      <c r="H46" s="543">
        <v>5</v>
      </c>
      <c r="I46" s="1219" t="s">
        <v>1006</v>
      </c>
      <c r="J46" s="693"/>
      <c r="K46" s="693"/>
      <c r="L46" s="694"/>
      <c r="M46" s="694"/>
      <c r="N46" s="694"/>
      <c r="O46" s="694"/>
      <c r="P46" s="694"/>
      <c r="Q46" s="534"/>
      <c r="R46" s="534"/>
      <c r="S46" s="534"/>
      <c r="T46" s="534"/>
      <c r="U46" s="536"/>
    </row>
    <row r="47" spans="8:21" ht="12.75" customHeight="1">
      <c r="H47" s="543"/>
      <c r="I47" s="540"/>
      <c r="J47" s="693"/>
      <c r="K47" s="693"/>
      <c r="L47" s="694"/>
      <c r="M47" s="694"/>
      <c r="N47" s="694"/>
      <c r="O47" s="694"/>
      <c r="P47" s="694"/>
      <c r="Q47" s="534"/>
      <c r="R47" s="534"/>
      <c r="S47" s="534"/>
      <c r="T47" s="534"/>
      <c r="U47" s="536"/>
    </row>
    <row r="48" spans="8:21" ht="12.75" customHeight="1">
      <c r="H48" s="541" t="s">
        <v>980</v>
      </c>
      <c r="I48" s="541"/>
      <c r="J48" s="541"/>
      <c r="K48" s="541"/>
      <c r="L48" s="542"/>
      <c r="M48" s="542"/>
      <c r="N48" s="542"/>
      <c r="O48" s="542"/>
      <c r="P48" s="542"/>
      <c r="Q48" s="534"/>
      <c r="R48" s="534"/>
      <c r="S48" s="534"/>
      <c r="T48" s="534"/>
      <c r="U48" s="536"/>
    </row>
    <row r="49" spans="1:21" ht="12.75" customHeight="1">
      <c r="H49" s="543">
        <v>1</v>
      </c>
      <c r="I49" s="540" t="s">
        <v>982</v>
      </c>
      <c r="J49" s="693"/>
      <c r="K49" s="693"/>
      <c r="L49" s="694"/>
      <c r="M49" s="694"/>
      <c r="N49" s="694"/>
      <c r="O49" s="694"/>
      <c r="P49" s="694"/>
      <c r="Q49" s="534"/>
      <c r="R49" s="534"/>
      <c r="S49" s="534"/>
      <c r="T49" s="534"/>
      <c r="U49" s="536"/>
    </row>
    <row r="50" spans="1:21" ht="12.75" customHeight="1">
      <c r="H50" s="543">
        <v>2</v>
      </c>
      <c r="I50" s="540" t="s">
        <v>983</v>
      </c>
      <c r="J50" s="693"/>
      <c r="K50" s="693"/>
      <c r="L50" s="694"/>
      <c r="M50" s="694"/>
      <c r="N50" s="694"/>
      <c r="O50" s="694"/>
      <c r="P50" s="694"/>
      <c r="Q50" s="534"/>
      <c r="R50" s="534"/>
      <c r="S50" s="534"/>
      <c r="T50" s="534"/>
      <c r="U50" s="536"/>
    </row>
    <row r="51" spans="1:21" ht="12.75" customHeight="1">
      <c r="H51" s="543">
        <v>3</v>
      </c>
      <c r="I51" s="540" t="s">
        <v>984</v>
      </c>
      <c r="J51" s="693"/>
      <c r="K51" s="693"/>
      <c r="L51" s="694"/>
      <c r="M51" s="694"/>
      <c r="N51" s="694"/>
      <c r="O51" s="694"/>
      <c r="P51" s="694"/>
      <c r="Q51" s="534"/>
      <c r="R51" s="534"/>
      <c r="S51" s="534"/>
      <c r="T51" s="534"/>
      <c r="U51" s="536"/>
    </row>
    <row r="52" spans="1:21" ht="12.75" customHeight="1">
      <c r="H52" s="543">
        <v>4</v>
      </c>
      <c r="I52" s="540" t="s">
        <v>985</v>
      </c>
      <c r="J52" s="693"/>
      <c r="K52" s="693"/>
      <c r="L52" s="694"/>
      <c r="M52" s="694"/>
      <c r="N52" s="694"/>
      <c r="O52" s="694"/>
      <c r="P52" s="694"/>
      <c r="Q52" s="534"/>
      <c r="R52" s="534"/>
      <c r="S52" s="534"/>
      <c r="T52" s="534"/>
      <c r="U52" s="536"/>
    </row>
    <row r="53" spans="1:21" ht="12.75" customHeight="1">
      <c r="H53" s="543" t="s">
        <v>986</v>
      </c>
      <c r="I53" s="540" t="s">
        <v>989</v>
      </c>
      <c r="J53" s="693"/>
      <c r="K53" s="693"/>
      <c r="L53" s="694"/>
      <c r="M53" s="694"/>
      <c r="N53" s="694"/>
      <c r="O53" s="694"/>
      <c r="P53" s="694"/>
      <c r="Q53" s="534"/>
      <c r="R53" s="534"/>
      <c r="S53" s="534"/>
      <c r="T53" s="534"/>
      <c r="U53" s="536"/>
    </row>
    <row r="54" spans="1:21" ht="12.75" customHeight="1">
      <c r="H54" s="543">
        <v>6</v>
      </c>
      <c r="I54" s="540" t="s">
        <v>988</v>
      </c>
      <c r="J54" s="693"/>
      <c r="K54" s="693"/>
      <c r="L54" s="694"/>
      <c r="M54" s="694"/>
      <c r="N54" s="694"/>
      <c r="O54" s="694"/>
      <c r="P54" s="694"/>
      <c r="Q54" s="534"/>
      <c r="R54" s="534"/>
      <c r="S54" s="534"/>
      <c r="T54" s="534"/>
      <c r="U54" s="536"/>
    </row>
    <row r="55" spans="1:21" ht="12.75" customHeight="1">
      <c r="H55" s="543">
        <v>7</v>
      </c>
      <c r="I55" s="540" t="s">
        <v>987</v>
      </c>
      <c r="J55" s="693"/>
      <c r="K55" s="693"/>
      <c r="L55" s="694"/>
      <c r="M55" s="694"/>
      <c r="N55" s="694"/>
      <c r="O55" s="694"/>
      <c r="P55" s="694"/>
      <c r="Q55" s="534"/>
      <c r="R55" s="534"/>
      <c r="S55" s="534"/>
      <c r="T55" s="534"/>
      <c r="U55" s="536"/>
    </row>
    <row r="56" spans="1:21" ht="3" customHeight="1">
      <c r="A56" s="536"/>
      <c r="B56" s="536"/>
      <c r="C56" s="536"/>
      <c r="D56" s="536"/>
      <c r="E56" s="536"/>
      <c r="F56" s="536"/>
      <c r="G56" s="536"/>
      <c r="H56" s="543"/>
      <c r="I56" s="540"/>
      <c r="J56" s="693"/>
      <c r="K56" s="693"/>
      <c r="L56" s="694"/>
      <c r="M56" s="694"/>
      <c r="N56" s="694"/>
      <c r="O56" s="694"/>
      <c r="P56" s="694"/>
      <c r="Q56" s="534"/>
      <c r="R56" s="534"/>
      <c r="S56" s="534"/>
      <c r="T56" s="534"/>
      <c r="U56" s="536"/>
    </row>
    <row r="57" spans="1:21" ht="12.75" customHeight="1">
      <c r="H57" s="541" t="s">
        <v>959</v>
      </c>
      <c r="I57" s="541"/>
      <c r="J57" s="541"/>
      <c r="K57" s="541"/>
      <c r="L57" s="542"/>
      <c r="M57" s="542"/>
      <c r="N57" s="542"/>
      <c r="O57" s="542"/>
      <c r="P57" s="542"/>
      <c r="Q57" s="534"/>
      <c r="R57" s="534"/>
      <c r="S57" s="534"/>
      <c r="T57" s="534"/>
      <c r="U57" s="536"/>
    </row>
    <row r="58" spans="1:21" ht="12.75" customHeight="1">
      <c r="H58" s="543">
        <v>1</v>
      </c>
      <c r="I58" s="540" t="s">
        <v>961</v>
      </c>
      <c r="J58" s="693"/>
      <c r="K58" s="693"/>
      <c r="L58" s="694"/>
      <c r="M58" s="694"/>
      <c r="N58" s="694"/>
      <c r="O58" s="694"/>
      <c r="P58" s="694"/>
      <c r="Q58" s="534"/>
      <c r="R58" s="534"/>
      <c r="S58" s="534"/>
      <c r="T58" s="534"/>
      <c r="U58" s="536"/>
    </row>
    <row r="59" spans="1:21" ht="12.75" customHeight="1">
      <c r="H59" s="543">
        <v>2</v>
      </c>
      <c r="I59" s="540" t="s">
        <v>962</v>
      </c>
      <c r="J59" s="693"/>
      <c r="K59" s="693"/>
      <c r="L59" s="694"/>
      <c r="M59" s="694"/>
      <c r="N59" s="694"/>
      <c r="O59" s="694"/>
      <c r="P59" s="694"/>
      <c r="Q59" s="534"/>
      <c r="R59" s="534"/>
      <c r="S59" s="534"/>
      <c r="T59" s="534"/>
      <c r="U59" s="536"/>
    </row>
    <row r="60" spans="1:21" ht="12.75" customHeight="1">
      <c r="H60" s="543">
        <v>3</v>
      </c>
      <c r="I60" s="540" t="s">
        <v>960</v>
      </c>
      <c r="J60" s="693"/>
      <c r="K60" s="693"/>
      <c r="L60" s="694"/>
      <c r="M60" s="694"/>
      <c r="N60" s="694"/>
      <c r="O60" s="694"/>
      <c r="P60" s="694"/>
      <c r="Q60" s="534"/>
      <c r="R60" s="534"/>
      <c r="S60" s="534"/>
      <c r="T60" s="534"/>
      <c r="U60" s="536"/>
    </row>
    <row r="61" spans="1:21" ht="12.75" customHeight="1">
      <c r="H61" s="543">
        <v>4</v>
      </c>
      <c r="I61" s="540" t="s">
        <v>963</v>
      </c>
      <c r="J61" s="693"/>
      <c r="K61" s="693"/>
      <c r="L61" s="694"/>
      <c r="M61" s="694"/>
      <c r="N61" s="694"/>
      <c r="O61" s="694"/>
      <c r="P61" s="694"/>
      <c r="Q61" s="534"/>
      <c r="R61" s="534"/>
      <c r="S61" s="534"/>
      <c r="T61" s="534"/>
      <c r="U61" s="536"/>
    </row>
    <row r="62" spans="1:21" ht="12.75" customHeight="1">
      <c r="H62" s="543">
        <v>5</v>
      </c>
      <c r="I62" s="540" t="s">
        <v>965</v>
      </c>
      <c r="J62" s="693"/>
      <c r="K62" s="693"/>
      <c r="L62" s="694"/>
      <c r="M62" s="694"/>
      <c r="N62" s="694"/>
      <c r="O62" s="694"/>
      <c r="P62" s="694"/>
      <c r="Q62" s="534"/>
      <c r="R62" s="534"/>
      <c r="S62" s="534"/>
      <c r="T62" s="534"/>
      <c r="U62" s="536"/>
    </row>
    <row r="63" spans="1:21" ht="12.75" customHeight="1">
      <c r="H63" s="543">
        <v>6</v>
      </c>
      <c r="I63" s="540" t="s">
        <v>964</v>
      </c>
      <c r="J63" s="693"/>
      <c r="K63" s="693"/>
      <c r="L63" s="694"/>
      <c r="M63" s="694"/>
      <c r="N63" s="694"/>
      <c r="O63" s="694"/>
      <c r="P63" s="694"/>
      <c r="Q63" s="534"/>
      <c r="R63" s="534"/>
      <c r="S63" s="534"/>
      <c r="T63" s="534"/>
      <c r="U63" s="536"/>
    </row>
    <row r="64" spans="1:21" ht="12.75" customHeight="1">
      <c r="H64" s="543">
        <v>7</v>
      </c>
      <c r="I64" s="540" t="s">
        <v>1042</v>
      </c>
      <c r="J64" s="693"/>
      <c r="K64" s="693"/>
      <c r="L64" s="694"/>
      <c r="M64" s="694"/>
      <c r="N64" s="694"/>
      <c r="O64" s="694"/>
      <c r="P64" s="694"/>
      <c r="Q64" s="534"/>
      <c r="R64" s="534"/>
      <c r="S64" s="534"/>
      <c r="T64" s="534"/>
      <c r="U64" s="536"/>
    </row>
    <row r="65" spans="1:21" ht="3" customHeight="1">
      <c r="A65" s="536"/>
      <c r="B65" s="536"/>
      <c r="C65" s="536"/>
      <c r="D65" s="536"/>
      <c r="E65" s="536"/>
      <c r="F65" s="536"/>
      <c r="G65" s="536"/>
      <c r="H65" s="543"/>
      <c r="I65" s="540"/>
      <c r="J65" s="693"/>
      <c r="K65" s="693"/>
      <c r="L65" s="694"/>
      <c r="M65" s="694"/>
      <c r="N65" s="694"/>
      <c r="O65" s="694"/>
      <c r="P65" s="694"/>
      <c r="Q65" s="534"/>
      <c r="R65" s="534"/>
      <c r="S65" s="534"/>
      <c r="T65" s="534"/>
      <c r="U65" s="536"/>
    </row>
    <row r="66" spans="1:21" ht="12.75" customHeight="1">
      <c r="H66" s="541" t="s">
        <v>949</v>
      </c>
      <c r="I66" s="541"/>
      <c r="J66" s="541"/>
      <c r="K66" s="541"/>
      <c r="L66" s="542"/>
      <c r="M66" s="542"/>
      <c r="N66" s="542"/>
      <c r="O66" s="542"/>
      <c r="P66" s="542"/>
      <c r="Q66" s="534"/>
      <c r="R66" s="534"/>
      <c r="S66" s="534"/>
      <c r="T66" s="534"/>
      <c r="U66" s="536"/>
    </row>
    <row r="67" spans="1:21" ht="12.75" customHeight="1">
      <c r="H67" s="543">
        <v>1</v>
      </c>
      <c r="I67" s="540" t="s">
        <v>954</v>
      </c>
      <c r="J67" s="693"/>
      <c r="K67" s="693"/>
      <c r="L67" s="694"/>
      <c r="M67" s="694"/>
      <c r="N67" s="694"/>
      <c r="O67" s="694"/>
      <c r="P67" s="694"/>
      <c r="Q67" s="534"/>
      <c r="R67" s="534"/>
      <c r="S67" s="534"/>
      <c r="T67" s="534"/>
      <c r="U67" s="536"/>
    </row>
    <row r="68" spans="1:21" ht="12.75" customHeight="1">
      <c r="H68" s="543">
        <v>2</v>
      </c>
      <c r="I68" s="540" t="s">
        <v>955</v>
      </c>
      <c r="J68" s="693"/>
      <c r="K68" s="693"/>
      <c r="L68" s="694"/>
      <c r="M68" s="694"/>
      <c r="N68" s="694"/>
      <c r="O68" s="694"/>
      <c r="P68" s="694"/>
      <c r="Q68" s="534"/>
      <c r="R68" s="534"/>
      <c r="S68" s="534"/>
      <c r="T68" s="534"/>
      <c r="U68" s="536"/>
    </row>
    <row r="69" spans="1:21" ht="12.75" customHeight="1">
      <c r="H69" s="543">
        <v>3</v>
      </c>
      <c r="I69" s="540" t="s">
        <v>956</v>
      </c>
      <c r="J69" s="693"/>
      <c r="K69" s="693"/>
      <c r="L69" s="694"/>
      <c r="M69" s="694"/>
      <c r="N69" s="694"/>
      <c r="O69" s="694"/>
      <c r="P69" s="694"/>
      <c r="Q69" s="534"/>
      <c r="R69" s="534"/>
      <c r="S69" s="534"/>
      <c r="T69" s="534"/>
      <c r="U69" s="536"/>
    </row>
    <row r="70" spans="1:21" ht="12.75" customHeight="1">
      <c r="H70" s="543">
        <v>4</v>
      </c>
      <c r="I70" s="540" t="s">
        <v>812</v>
      </c>
      <c r="J70" s="693"/>
      <c r="K70" s="693"/>
      <c r="L70" s="694"/>
      <c r="M70" s="694"/>
      <c r="N70" s="694"/>
      <c r="O70" s="694"/>
      <c r="P70" s="694"/>
      <c r="Q70" s="534"/>
      <c r="R70" s="534"/>
      <c r="S70" s="534"/>
      <c r="T70" s="534"/>
      <c r="U70" s="536"/>
    </row>
    <row r="71" spans="1:21" ht="3" customHeight="1">
      <c r="A71" s="536"/>
      <c r="B71" s="536"/>
      <c r="C71" s="536"/>
      <c r="D71" s="536"/>
      <c r="E71" s="536"/>
      <c r="F71" s="536"/>
      <c r="G71" s="536"/>
      <c r="H71" s="543"/>
      <c r="I71" s="540"/>
      <c r="J71" s="693"/>
      <c r="K71" s="693"/>
      <c r="L71" s="694"/>
      <c r="M71" s="694"/>
      <c r="N71" s="694"/>
      <c r="O71" s="694"/>
      <c r="P71" s="694"/>
      <c r="Q71" s="534"/>
      <c r="R71" s="534"/>
      <c r="S71" s="534"/>
      <c r="T71" s="534"/>
      <c r="U71" s="536"/>
    </row>
    <row r="72" spans="1:21" ht="12.75" customHeight="1">
      <c r="H72" s="541" t="s">
        <v>919</v>
      </c>
      <c r="I72" s="541"/>
      <c r="J72" s="541"/>
      <c r="K72" s="541"/>
      <c r="L72" s="542"/>
      <c r="M72" s="542"/>
      <c r="N72" s="542"/>
      <c r="O72" s="542"/>
      <c r="P72" s="542"/>
      <c r="Q72" s="534"/>
      <c r="R72" s="534"/>
      <c r="S72" s="534"/>
      <c r="T72" s="534"/>
      <c r="U72" s="536"/>
    </row>
    <row r="73" spans="1:21" ht="12.75" customHeight="1">
      <c r="H73" s="543">
        <v>1</v>
      </c>
      <c r="I73" s="540" t="s">
        <v>921</v>
      </c>
      <c r="J73" s="693"/>
      <c r="K73" s="693"/>
      <c r="L73" s="694"/>
      <c r="M73" s="694"/>
      <c r="N73" s="694"/>
      <c r="O73" s="694"/>
      <c r="P73" s="694"/>
      <c r="Q73" s="534"/>
      <c r="R73" s="534"/>
      <c r="S73" s="534"/>
      <c r="T73" s="534"/>
      <c r="U73" s="536"/>
    </row>
    <row r="74" spans="1:21" ht="12.75" customHeight="1">
      <c r="H74" s="543">
        <v>2</v>
      </c>
      <c r="I74" s="540" t="s">
        <v>922</v>
      </c>
      <c r="J74" s="693"/>
      <c r="K74" s="693"/>
      <c r="L74" s="694"/>
      <c r="M74" s="694"/>
      <c r="N74" s="694"/>
      <c r="O74" s="694"/>
      <c r="P74" s="694"/>
      <c r="Q74" s="534"/>
      <c r="R74" s="534"/>
      <c r="S74" s="534"/>
      <c r="T74" s="534"/>
      <c r="U74" s="536"/>
    </row>
    <row r="75" spans="1:21" ht="12.75" customHeight="1">
      <c r="H75" s="543">
        <v>3</v>
      </c>
      <c r="I75" s="540" t="s">
        <v>923</v>
      </c>
      <c r="J75" s="693"/>
      <c r="K75" s="693"/>
      <c r="L75" s="694"/>
      <c r="M75" s="694"/>
      <c r="N75" s="694"/>
      <c r="O75" s="694"/>
      <c r="P75" s="694"/>
      <c r="Q75" s="534"/>
      <c r="R75" s="534"/>
      <c r="S75" s="534"/>
      <c r="T75" s="534"/>
      <c r="U75" s="536"/>
    </row>
    <row r="76" spans="1:21" ht="12.75" customHeight="1">
      <c r="H76" s="543">
        <v>4</v>
      </c>
      <c r="I76" s="540" t="s">
        <v>924</v>
      </c>
      <c r="J76" s="693"/>
      <c r="K76" s="693"/>
      <c r="L76" s="694"/>
      <c r="M76" s="694"/>
      <c r="N76" s="694"/>
      <c r="O76" s="694"/>
      <c r="P76" s="694"/>
      <c r="Q76" s="534"/>
      <c r="R76" s="534"/>
      <c r="S76" s="534"/>
      <c r="T76" s="534"/>
      <c r="U76" s="536"/>
    </row>
    <row r="77" spans="1:21" ht="12.75" customHeight="1">
      <c r="H77" s="543">
        <v>5</v>
      </c>
      <c r="I77" s="540" t="s">
        <v>926</v>
      </c>
      <c r="J77" s="693"/>
      <c r="K77" s="693"/>
      <c r="L77" s="694"/>
      <c r="M77" s="694"/>
      <c r="N77" s="694"/>
      <c r="O77" s="694"/>
      <c r="P77" s="694"/>
      <c r="Q77" s="534"/>
      <c r="R77" s="534"/>
      <c r="S77" s="534"/>
      <c r="T77" s="534"/>
      <c r="U77" s="536"/>
    </row>
    <row r="78" spans="1:21" ht="12.75" customHeight="1">
      <c r="H78" s="543">
        <v>6</v>
      </c>
      <c r="I78" s="540" t="s">
        <v>927</v>
      </c>
      <c r="J78" s="693"/>
      <c r="K78" s="693"/>
      <c r="L78" s="694"/>
      <c r="M78" s="694"/>
      <c r="N78" s="694"/>
      <c r="O78" s="694"/>
      <c r="P78" s="694"/>
      <c r="Q78" s="534"/>
      <c r="R78" s="534"/>
      <c r="S78" s="534"/>
      <c r="T78" s="534"/>
      <c r="U78" s="536"/>
    </row>
    <row r="79" spans="1:21" ht="12.75" customHeight="1">
      <c r="A79" s="536"/>
      <c r="B79" s="536"/>
      <c r="C79" s="536"/>
      <c r="D79" s="536"/>
      <c r="E79" s="536"/>
      <c r="F79" s="536"/>
      <c r="G79" s="536"/>
      <c r="H79" s="543">
        <v>7</v>
      </c>
      <c r="I79" s="540" t="s">
        <v>925</v>
      </c>
      <c r="J79" s="693"/>
      <c r="K79" s="693"/>
      <c r="L79" s="694"/>
      <c r="M79" s="694"/>
      <c r="N79" s="694"/>
      <c r="O79" s="694"/>
      <c r="P79" s="694"/>
      <c r="Q79" s="534"/>
      <c r="R79" s="534"/>
      <c r="S79" s="534"/>
      <c r="T79" s="534"/>
      <c r="U79" s="536"/>
    </row>
    <row r="80" spans="1:21" ht="12.75" customHeight="1">
      <c r="A80" s="536"/>
      <c r="B80" s="536"/>
      <c r="C80" s="536"/>
      <c r="D80" s="536"/>
      <c r="E80" s="536"/>
      <c r="F80" s="536"/>
      <c r="G80" s="536"/>
      <c r="H80" s="543">
        <v>8</v>
      </c>
      <c r="I80" s="540" t="s">
        <v>928</v>
      </c>
      <c r="J80" s="693"/>
      <c r="K80" s="693"/>
      <c r="L80" s="694"/>
      <c r="M80" s="694"/>
      <c r="N80" s="694"/>
      <c r="O80" s="694"/>
      <c r="P80" s="694"/>
      <c r="Q80" s="534"/>
      <c r="R80" s="534"/>
      <c r="S80" s="534"/>
      <c r="T80" s="534"/>
      <c r="U80" s="536"/>
    </row>
    <row r="81" spans="1:21" ht="12.75" customHeight="1">
      <c r="A81" s="536"/>
      <c r="B81" s="536"/>
      <c r="C81" s="536"/>
      <c r="D81" s="536"/>
      <c r="E81" s="536"/>
      <c r="F81" s="536"/>
      <c r="G81" s="536"/>
      <c r="H81" s="543"/>
      <c r="I81" s="540" t="s">
        <v>929</v>
      </c>
      <c r="J81" s="693"/>
      <c r="K81" s="693"/>
      <c r="L81" s="694"/>
      <c r="M81" s="694"/>
      <c r="N81" s="694"/>
      <c r="O81" s="694"/>
      <c r="P81" s="694"/>
      <c r="Q81" s="534"/>
      <c r="R81" s="534"/>
      <c r="S81" s="534"/>
      <c r="T81" s="534"/>
      <c r="U81" s="536"/>
    </row>
    <row r="82" spans="1:21" ht="12.75" customHeight="1">
      <c r="A82" s="536"/>
      <c r="B82" s="536"/>
      <c r="C82" s="536"/>
      <c r="D82" s="536"/>
      <c r="E82" s="536"/>
      <c r="F82" s="536"/>
      <c r="G82" s="536"/>
      <c r="H82" s="543"/>
      <c r="I82" s="540" t="s">
        <v>930</v>
      </c>
      <c r="J82" s="693"/>
      <c r="K82" s="693"/>
      <c r="L82" s="694"/>
      <c r="M82" s="694"/>
      <c r="N82" s="694"/>
      <c r="O82" s="694"/>
      <c r="P82" s="694"/>
      <c r="Q82" s="534"/>
      <c r="R82" s="534"/>
      <c r="S82" s="534"/>
      <c r="T82" s="534"/>
      <c r="U82" s="536"/>
    </row>
    <row r="83" spans="1:21" ht="3" customHeight="1">
      <c r="A83" s="536"/>
      <c r="B83" s="536"/>
      <c r="C83" s="536"/>
      <c r="D83" s="536"/>
      <c r="E83" s="536"/>
      <c r="F83" s="536"/>
      <c r="G83" s="536"/>
      <c r="H83" s="543"/>
      <c r="I83" s="540"/>
      <c r="J83" s="693"/>
      <c r="K83" s="693"/>
      <c r="L83" s="694"/>
      <c r="M83" s="694"/>
      <c r="N83" s="694"/>
      <c r="O83" s="694"/>
      <c r="P83" s="694"/>
      <c r="Q83" s="534"/>
      <c r="R83" s="534"/>
      <c r="S83" s="534"/>
      <c r="T83" s="534"/>
      <c r="U83" s="536"/>
    </row>
    <row r="84" spans="1:21" ht="12.75" customHeight="1">
      <c r="A84" s="536"/>
      <c r="B84" s="536"/>
      <c r="C84" s="536"/>
      <c r="D84" s="536"/>
      <c r="E84" s="536"/>
      <c r="F84" s="536"/>
      <c r="G84" s="536"/>
      <c r="H84" s="541" t="s">
        <v>883</v>
      </c>
      <c r="I84" s="541"/>
      <c r="J84" s="541"/>
      <c r="K84" s="541"/>
      <c r="L84" s="542"/>
      <c r="M84" s="542"/>
      <c r="N84" s="542"/>
      <c r="O84" s="542"/>
      <c r="P84" s="542"/>
      <c r="Q84" s="534"/>
      <c r="R84" s="534"/>
      <c r="S84" s="534"/>
      <c r="T84" s="534"/>
      <c r="U84" s="536"/>
    </row>
    <row r="85" spans="1:21" ht="12.75" customHeight="1">
      <c r="A85" s="536"/>
      <c r="B85" s="536"/>
      <c r="C85" s="536"/>
      <c r="D85" s="536"/>
      <c r="E85" s="536"/>
      <c r="F85" s="536"/>
      <c r="G85" s="536"/>
      <c r="H85" s="543">
        <v>1</v>
      </c>
      <c r="I85" s="540" t="s">
        <v>892</v>
      </c>
      <c r="J85" s="693"/>
      <c r="K85" s="693"/>
      <c r="L85" s="694"/>
      <c r="M85" s="694"/>
      <c r="N85" s="694"/>
      <c r="O85" s="694"/>
      <c r="P85" s="694"/>
      <c r="Q85" s="534"/>
      <c r="R85" s="534"/>
      <c r="S85" s="534"/>
      <c r="T85" s="534"/>
      <c r="U85" s="536"/>
    </row>
    <row r="86" spans="1:21" ht="12.75" customHeight="1">
      <c r="A86" s="536"/>
      <c r="B86" s="536"/>
      <c r="C86" s="536"/>
      <c r="D86" s="536"/>
      <c r="E86" s="536"/>
      <c r="F86" s="536"/>
      <c r="G86" s="536"/>
      <c r="H86" s="543">
        <v>2</v>
      </c>
      <c r="I86" s="540" t="s">
        <v>893</v>
      </c>
      <c r="J86" s="693"/>
      <c r="K86" s="693"/>
      <c r="L86" s="694"/>
      <c r="M86" s="694"/>
      <c r="N86" s="694"/>
      <c r="O86" s="694"/>
      <c r="P86" s="694"/>
      <c r="Q86" s="534"/>
      <c r="R86" s="534"/>
      <c r="S86" s="534"/>
      <c r="T86" s="534"/>
      <c r="U86" s="536"/>
    </row>
    <row r="87" spans="1:21" ht="12.75" customHeight="1">
      <c r="A87" s="536"/>
      <c r="B87" s="536"/>
      <c r="C87" s="536"/>
      <c r="D87" s="536"/>
      <c r="E87" s="536"/>
      <c r="F87" s="536"/>
      <c r="G87" s="536"/>
      <c r="H87" s="543">
        <v>3</v>
      </c>
      <c r="I87" s="540" t="s">
        <v>894</v>
      </c>
      <c r="J87" s="693"/>
      <c r="K87" s="693"/>
      <c r="L87" s="694"/>
      <c r="M87" s="694"/>
      <c r="N87" s="694"/>
      <c r="O87" s="694"/>
      <c r="P87" s="694"/>
      <c r="Q87" s="534"/>
      <c r="R87" s="534"/>
      <c r="S87" s="534"/>
      <c r="T87" s="534"/>
      <c r="U87" s="536"/>
    </row>
    <row r="88" spans="1:21" ht="12.75" customHeight="1">
      <c r="A88" s="536"/>
      <c r="B88" s="536"/>
      <c r="C88" s="536"/>
      <c r="D88" s="536"/>
      <c r="E88" s="536"/>
      <c r="F88" s="536"/>
      <c r="G88" s="536"/>
      <c r="H88" s="543">
        <v>4</v>
      </c>
      <c r="I88" s="540" t="s">
        <v>896</v>
      </c>
      <c r="J88" s="693"/>
      <c r="K88" s="693"/>
      <c r="L88" s="694"/>
      <c r="M88" s="694"/>
      <c r="N88" s="694"/>
      <c r="O88" s="694"/>
      <c r="P88" s="694"/>
      <c r="Q88" s="534"/>
      <c r="R88" s="534"/>
      <c r="S88" s="534"/>
      <c r="T88" s="534"/>
      <c r="U88" s="536"/>
    </row>
    <row r="89" spans="1:21" ht="12.75" customHeight="1">
      <c r="A89" s="536"/>
      <c r="B89" s="536"/>
      <c r="C89" s="536"/>
      <c r="D89" s="536"/>
      <c r="E89" s="536"/>
      <c r="F89" s="536"/>
      <c r="G89" s="536"/>
      <c r="H89" s="543">
        <v>5</v>
      </c>
      <c r="I89" s="540" t="s">
        <v>898</v>
      </c>
      <c r="J89" s="693"/>
      <c r="K89" s="693"/>
      <c r="L89" s="694"/>
      <c r="M89" s="694"/>
      <c r="N89" s="694"/>
      <c r="O89" s="694"/>
      <c r="P89" s="694"/>
      <c r="Q89" s="534"/>
      <c r="R89" s="534"/>
      <c r="S89" s="534"/>
      <c r="T89" s="534"/>
      <c r="U89" s="536"/>
    </row>
    <row r="90" spans="1:21" ht="12.75" customHeight="1">
      <c r="A90" s="536"/>
      <c r="B90" s="536"/>
      <c r="C90" s="536"/>
      <c r="D90" s="536"/>
      <c r="E90" s="536"/>
      <c r="F90" s="536"/>
      <c r="G90" s="536"/>
      <c r="H90" s="543">
        <v>6</v>
      </c>
      <c r="I90" s="540" t="s">
        <v>900</v>
      </c>
      <c r="J90" s="693"/>
      <c r="K90" s="693"/>
      <c r="L90" s="694"/>
      <c r="M90" s="694"/>
      <c r="N90" s="694"/>
      <c r="O90" s="694"/>
      <c r="P90" s="694"/>
      <c r="Q90" s="534"/>
      <c r="R90" s="534"/>
      <c r="S90" s="534"/>
      <c r="T90" s="534"/>
      <c r="U90" s="536"/>
    </row>
    <row r="91" spans="1:21" ht="12.75" customHeight="1">
      <c r="A91" s="536"/>
      <c r="B91" s="536"/>
      <c r="C91" s="536"/>
      <c r="D91" s="536"/>
      <c r="E91" s="536"/>
      <c r="F91" s="536"/>
      <c r="G91" s="536"/>
      <c r="H91" s="543">
        <v>7</v>
      </c>
      <c r="I91" s="540" t="s">
        <v>899</v>
      </c>
      <c r="J91" s="693"/>
      <c r="K91" s="693"/>
      <c r="L91" s="694"/>
      <c r="M91" s="694"/>
      <c r="N91" s="694"/>
      <c r="O91" s="694"/>
      <c r="P91" s="694"/>
      <c r="Q91" s="534"/>
      <c r="R91" s="534"/>
      <c r="S91" s="534"/>
      <c r="T91" s="534"/>
      <c r="U91" s="536"/>
    </row>
    <row r="92" spans="1:21" ht="12.75" customHeight="1">
      <c r="A92" s="536"/>
      <c r="B92" s="536"/>
      <c r="C92" s="536"/>
      <c r="D92" s="536"/>
      <c r="E92" s="536"/>
      <c r="F92" s="536"/>
      <c r="G92" s="536"/>
      <c r="H92" s="543">
        <v>8</v>
      </c>
      <c r="I92" s="540" t="s">
        <v>854</v>
      </c>
      <c r="J92" s="693"/>
      <c r="K92" s="693"/>
      <c r="L92" s="694"/>
      <c r="M92" s="694"/>
      <c r="N92" s="694"/>
      <c r="O92" s="694"/>
      <c r="P92" s="694"/>
      <c r="Q92" s="534"/>
      <c r="R92" s="534"/>
      <c r="S92" s="534"/>
      <c r="T92" s="534"/>
      <c r="U92" s="536"/>
    </row>
    <row r="93" spans="1:21" ht="12.75" customHeight="1">
      <c r="A93" s="536"/>
      <c r="B93" s="536"/>
      <c r="C93" s="536"/>
      <c r="D93" s="536"/>
      <c r="E93" s="536"/>
      <c r="F93" s="536"/>
      <c r="G93" s="536"/>
      <c r="H93" s="543">
        <v>9</v>
      </c>
      <c r="I93" s="540" t="s">
        <v>897</v>
      </c>
      <c r="J93" s="693"/>
      <c r="K93" s="693"/>
      <c r="L93" s="694"/>
      <c r="M93" s="694"/>
      <c r="N93" s="694"/>
      <c r="O93" s="694"/>
      <c r="P93" s="694"/>
      <c r="Q93" s="534"/>
      <c r="R93" s="534"/>
      <c r="S93" s="534"/>
      <c r="T93" s="534"/>
      <c r="U93" s="536"/>
    </row>
    <row r="94" spans="1:21" ht="3" customHeight="1">
      <c r="A94" s="536"/>
      <c r="B94" s="536"/>
      <c r="C94" s="536"/>
      <c r="D94" s="536"/>
      <c r="E94" s="536"/>
      <c r="F94" s="536"/>
      <c r="G94" s="536"/>
      <c r="H94" s="543"/>
      <c r="I94" s="540"/>
      <c r="J94" s="693"/>
      <c r="K94" s="693"/>
      <c r="L94" s="694"/>
      <c r="M94" s="694"/>
      <c r="N94" s="694"/>
      <c r="O94" s="694"/>
      <c r="P94" s="694"/>
      <c r="Q94" s="534"/>
      <c r="R94" s="534"/>
      <c r="S94" s="534"/>
      <c r="T94" s="534"/>
      <c r="U94" s="536"/>
    </row>
    <row r="95" spans="1:21" ht="12.75" customHeight="1">
      <c r="A95" s="536"/>
      <c r="B95" s="536"/>
      <c r="C95" s="536"/>
      <c r="D95" s="536"/>
      <c r="E95" s="536"/>
      <c r="F95" s="536"/>
      <c r="G95" s="536"/>
      <c r="H95" s="541" t="s">
        <v>826</v>
      </c>
      <c r="I95" s="541"/>
      <c r="J95" s="541"/>
      <c r="K95" s="541"/>
      <c r="L95" s="542"/>
      <c r="M95" s="542"/>
      <c r="N95" s="542"/>
      <c r="O95" s="542"/>
      <c r="P95" s="542"/>
      <c r="Q95" s="534"/>
      <c r="R95" s="534"/>
      <c r="S95" s="534"/>
      <c r="T95" s="534"/>
      <c r="U95" s="536"/>
    </row>
    <row r="96" spans="1:21" ht="12.75" customHeight="1">
      <c r="A96" s="536"/>
      <c r="B96" s="536"/>
      <c r="C96" s="536"/>
      <c r="D96" s="536"/>
      <c r="E96" s="536"/>
      <c r="F96" s="536"/>
      <c r="G96" s="536"/>
      <c r="H96" s="543">
        <v>1</v>
      </c>
      <c r="I96" s="540" t="s">
        <v>835</v>
      </c>
      <c r="J96" s="693"/>
      <c r="K96" s="693"/>
      <c r="L96" s="694"/>
      <c r="M96" s="694"/>
      <c r="N96" s="694"/>
      <c r="O96" s="694"/>
      <c r="P96" s="694"/>
      <c r="Q96" s="534"/>
      <c r="R96" s="534"/>
      <c r="S96" s="534"/>
      <c r="T96" s="534"/>
      <c r="U96" s="536"/>
    </row>
    <row r="97" spans="1:21" ht="12.75" customHeight="1">
      <c r="A97" s="536"/>
      <c r="B97" s="536"/>
      <c r="C97" s="536"/>
      <c r="D97" s="536"/>
      <c r="E97" s="536"/>
      <c r="F97" s="536"/>
      <c r="G97" s="536"/>
      <c r="H97" s="543">
        <v>2</v>
      </c>
      <c r="I97" s="540" t="s">
        <v>834</v>
      </c>
      <c r="J97" s="693"/>
      <c r="K97" s="693"/>
      <c r="L97" s="694"/>
      <c r="M97" s="694"/>
      <c r="N97" s="694"/>
      <c r="O97" s="694"/>
      <c r="P97" s="694"/>
      <c r="Q97" s="534"/>
      <c r="R97" s="534"/>
      <c r="S97" s="534"/>
      <c r="T97" s="534"/>
      <c r="U97" s="536"/>
    </row>
    <row r="98" spans="1:21" ht="12.75" customHeight="1">
      <c r="A98" s="536"/>
      <c r="B98" s="536"/>
      <c r="C98" s="536"/>
      <c r="D98" s="536"/>
      <c r="E98" s="536"/>
      <c r="F98" s="536"/>
      <c r="G98" s="536"/>
      <c r="H98" s="543">
        <v>3</v>
      </c>
      <c r="I98" s="540" t="s">
        <v>895</v>
      </c>
      <c r="J98" s="693"/>
      <c r="K98" s="693"/>
      <c r="L98" s="694"/>
      <c r="M98" s="694"/>
      <c r="N98" s="694"/>
      <c r="O98" s="694"/>
      <c r="P98" s="694"/>
      <c r="Q98" s="534"/>
      <c r="R98" s="534"/>
      <c r="S98" s="534"/>
      <c r="T98" s="534"/>
      <c r="U98" s="536"/>
    </row>
    <row r="99" spans="1:21" ht="12.75" customHeight="1">
      <c r="A99" s="536"/>
      <c r="B99" s="536"/>
      <c r="C99" s="536"/>
      <c r="D99" s="536"/>
      <c r="E99" s="536"/>
      <c r="F99" s="536"/>
      <c r="G99" s="536"/>
      <c r="H99" s="543"/>
      <c r="I99" s="540" t="s">
        <v>853</v>
      </c>
      <c r="J99" s="693"/>
      <c r="K99" s="693"/>
      <c r="L99" s="694"/>
      <c r="M99" s="694"/>
      <c r="N99" s="694"/>
      <c r="O99" s="694"/>
      <c r="P99" s="694"/>
      <c r="Q99" s="534"/>
      <c r="R99" s="534"/>
      <c r="S99" s="534"/>
      <c r="T99" s="534"/>
      <c r="U99" s="536"/>
    </row>
    <row r="100" spans="1:21" ht="12.75" customHeight="1">
      <c r="A100" s="536"/>
      <c r="B100" s="536"/>
      <c r="C100" s="536"/>
      <c r="D100" s="536"/>
      <c r="E100" s="536"/>
      <c r="F100" s="536"/>
      <c r="G100" s="536"/>
      <c r="H100" s="543">
        <v>4</v>
      </c>
      <c r="I100" s="540" t="s">
        <v>840</v>
      </c>
      <c r="J100" s="693"/>
      <c r="K100" s="693"/>
      <c r="L100" s="694"/>
      <c r="M100" s="694"/>
      <c r="N100" s="694"/>
      <c r="O100" s="694"/>
      <c r="P100" s="694"/>
      <c r="Q100" s="534"/>
      <c r="R100" s="534"/>
      <c r="S100" s="534"/>
      <c r="T100" s="534"/>
      <c r="U100" s="536"/>
    </row>
    <row r="101" spans="1:21" ht="12.75" customHeight="1">
      <c r="A101" s="536"/>
      <c r="B101" s="536"/>
      <c r="C101" s="536"/>
      <c r="D101" s="536"/>
      <c r="E101" s="536"/>
      <c r="F101" s="536"/>
      <c r="G101" s="536"/>
      <c r="H101" s="543">
        <v>5</v>
      </c>
      <c r="I101" s="540" t="s">
        <v>847</v>
      </c>
      <c r="J101" s="693"/>
      <c r="K101" s="693"/>
      <c r="L101" s="694"/>
      <c r="M101" s="694"/>
      <c r="N101" s="694"/>
      <c r="O101" s="694"/>
      <c r="P101" s="694"/>
      <c r="Q101" s="534"/>
      <c r="R101" s="534"/>
      <c r="S101" s="534"/>
      <c r="T101" s="534"/>
      <c r="U101" s="536"/>
    </row>
    <row r="102" spans="1:21" ht="12.75" customHeight="1">
      <c r="A102" s="536"/>
      <c r="B102" s="536"/>
      <c r="C102" s="536"/>
      <c r="D102" s="536"/>
      <c r="E102" s="536"/>
      <c r="F102" s="536"/>
      <c r="G102" s="536"/>
      <c r="H102" s="543">
        <v>6</v>
      </c>
      <c r="I102" s="540" t="s">
        <v>844</v>
      </c>
      <c r="J102" s="693"/>
      <c r="K102" s="693"/>
      <c r="L102" s="694"/>
      <c r="M102" s="694"/>
      <c r="N102" s="694"/>
      <c r="O102" s="694"/>
      <c r="P102" s="694"/>
      <c r="Q102" s="534"/>
      <c r="R102" s="534"/>
      <c r="S102" s="534"/>
      <c r="T102" s="534"/>
      <c r="U102" s="536"/>
    </row>
    <row r="103" spans="1:21" ht="12.75" customHeight="1">
      <c r="A103" s="536"/>
      <c r="B103" s="536"/>
      <c r="C103" s="536"/>
      <c r="D103" s="536"/>
      <c r="E103" s="536"/>
      <c r="F103" s="536"/>
      <c r="G103" s="536"/>
      <c r="H103" s="543">
        <v>7</v>
      </c>
      <c r="I103" s="540" t="s">
        <v>845</v>
      </c>
      <c r="J103" s="693"/>
      <c r="K103" s="693"/>
      <c r="L103" s="694"/>
      <c r="M103" s="694"/>
      <c r="N103" s="694"/>
      <c r="O103" s="694"/>
      <c r="P103" s="694"/>
      <c r="Q103" s="534"/>
      <c r="R103" s="534"/>
      <c r="S103" s="534"/>
      <c r="T103" s="534"/>
      <c r="U103" s="536"/>
    </row>
    <row r="104" spans="1:21" ht="12.75" customHeight="1">
      <c r="A104" s="536"/>
      <c r="B104" s="536"/>
      <c r="C104" s="536"/>
      <c r="D104" s="536"/>
      <c r="E104" s="536"/>
      <c r="F104" s="536"/>
      <c r="G104" s="536"/>
      <c r="H104" s="543">
        <v>8</v>
      </c>
      <c r="I104" s="540" t="s">
        <v>846</v>
      </c>
      <c r="J104" s="693"/>
      <c r="K104" s="693"/>
      <c r="L104" s="694"/>
      <c r="M104" s="694"/>
      <c r="N104" s="694"/>
      <c r="O104" s="694"/>
      <c r="P104" s="694"/>
      <c r="Q104" s="534"/>
      <c r="R104" s="534"/>
      <c r="S104" s="534"/>
      <c r="T104" s="534"/>
      <c r="U104" s="536"/>
    </row>
    <row r="105" spans="1:21" ht="12.75" customHeight="1">
      <c r="A105" s="536"/>
      <c r="B105" s="536"/>
      <c r="C105" s="536"/>
      <c r="D105" s="536"/>
      <c r="E105" s="536"/>
      <c r="F105" s="536"/>
      <c r="G105" s="536"/>
      <c r="H105" s="543">
        <v>9</v>
      </c>
      <c r="I105" s="540" t="s">
        <v>852</v>
      </c>
      <c r="J105" s="693"/>
      <c r="K105" s="693"/>
      <c r="L105" s="694"/>
      <c r="M105" s="694"/>
      <c r="N105" s="694"/>
      <c r="O105" s="694"/>
      <c r="P105" s="694"/>
      <c r="Q105" s="534"/>
      <c r="R105" s="534"/>
      <c r="S105" s="534"/>
      <c r="T105" s="534"/>
      <c r="U105" s="536"/>
    </row>
    <row r="106" spans="1:21" ht="3" customHeight="1">
      <c r="A106" s="536"/>
      <c r="B106" s="536"/>
      <c r="C106" s="536"/>
      <c r="D106" s="536"/>
      <c r="E106" s="536"/>
      <c r="F106" s="536"/>
      <c r="G106" s="536"/>
      <c r="H106" s="543"/>
      <c r="I106" s="540"/>
      <c r="J106" s="693"/>
      <c r="K106" s="693"/>
      <c r="L106" s="694"/>
      <c r="M106" s="694"/>
      <c r="N106" s="694"/>
      <c r="O106" s="694"/>
      <c r="P106" s="694"/>
      <c r="Q106" s="534"/>
      <c r="R106" s="534"/>
      <c r="S106" s="534"/>
      <c r="T106" s="534"/>
      <c r="U106" s="536"/>
    </row>
    <row r="107" spans="1:21" ht="12.75" customHeight="1">
      <c r="A107" s="536"/>
      <c r="B107" s="536"/>
      <c r="C107" s="536"/>
      <c r="D107" s="536"/>
      <c r="E107" s="536"/>
      <c r="F107" s="536"/>
      <c r="G107" s="536"/>
      <c r="H107" s="541" t="s">
        <v>817</v>
      </c>
      <c r="I107" s="541"/>
      <c r="J107" s="541"/>
      <c r="K107" s="541"/>
      <c r="L107" s="542"/>
      <c r="M107" s="542"/>
      <c r="N107" s="542"/>
      <c r="O107" s="542"/>
      <c r="P107" s="542"/>
      <c r="Q107" s="534"/>
      <c r="R107" s="534"/>
      <c r="S107" s="534"/>
      <c r="T107" s="534"/>
      <c r="U107" s="536"/>
    </row>
    <row r="108" spans="1:21" ht="12.75" customHeight="1">
      <c r="A108" s="536"/>
      <c r="B108" s="536"/>
      <c r="C108" s="536"/>
      <c r="D108" s="536"/>
      <c r="E108" s="536"/>
      <c r="F108" s="536"/>
      <c r="G108" s="536"/>
      <c r="H108" s="543">
        <v>1</v>
      </c>
      <c r="I108" s="540" t="s">
        <v>821</v>
      </c>
      <c r="J108" s="693"/>
      <c r="K108" s="693"/>
      <c r="L108" s="694"/>
      <c r="M108" s="694"/>
      <c r="N108" s="694"/>
      <c r="O108" s="694"/>
      <c r="P108" s="694"/>
      <c r="Q108" s="534"/>
      <c r="R108" s="534"/>
      <c r="S108" s="534"/>
      <c r="T108" s="534"/>
      <c r="U108" s="536"/>
    </row>
    <row r="109" spans="1:21" ht="12.75" customHeight="1">
      <c r="A109" s="536"/>
      <c r="B109" s="536"/>
      <c r="C109" s="536"/>
      <c r="D109" s="536"/>
      <c r="E109" s="536"/>
      <c r="F109" s="536"/>
      <c r="G109" s="536"/>
      <c r="H109" s="543">
        <v>2</v>
      </c>
      <c r="I109" s="540" t="s">
        <v>822</v>
      </c>
      <c r="J109" s="693"/>
      <c r="K109" s="693"/>
      <c r="L109" s="694"/>
      <c r="M109" s="694"/>
      <c r="N109" s="694"/>
      <c r="O109" s="694"/>
      <c r="P109" s="694"/>
      <c r="Q109" s="534"/>
      <c r="R109" s="534"/>
      <c r="S109" s="534"/>
      <c r="T109" s="534"/>
      <c r="U109" s="536"/>
    </row>
    <row r="110" spans="1:21" ht="12.75" customHeight="1">
      <c r="A110" s="536"/>
      <c r="B110" s="536"/>
      <c r="C110" s="536"/>
      <c r="D110" s="536"/>
      <c r="E110" s="536"/>
      <c r="F110" s="536"/>
      <c r="G110" s="536"/>
      <c r="H110" s="543">
        <v>3</v>
      </c>
      <c r="I110" s="540" t="s">
        <v>819</v>
      </c>
      <c r="J110" s="693"/>
      <c r="K110" s="693"/>
      <c r="L110" s="694"/>
      <c r="M110" s="694"/>
      <c r="N110" s="694"/>
      <c r="O110" s="694"/>
      <c r="P110" s="694"/>
      <c r="Q110" s="534"/>
      <c r="R110" s="534"/>
      <c r="S110" s="534"/>
      <c r="T110" s="534"/>
      <c r="U110" s="536"/>
    </row>
    <row r="111" spans="1:21" ht="12.75" customHeight="1">
      <c r="A111" s="536"/>
      <c r="B111" s="536"/>
      <c r="C111" s="536"/>
      <c r="D111" s="536"/>
      <c r="E111" s="536"/>
      <c r="F111" s="536"/>
      <c r="G111" s="536"/>
      <c r="H111" s="543">
        <v>4</v>
      </c>
      <c r="I111" s="540" t="s">
        <v>820</v>
      </c>
      <c r="J111" s="693"/>
      <c r="K111" s="693"/>
      <c r="L111" s="694"/>
      <c r="M111" s="694"/>
      <c r="N111" s="694"/>
      <c r="O111" s="694"/>
      <c r="P111" s="694"/>
      <c r="Q111" s="534"/>
      <c r="R111" s="534"/>
      <c r="S111" s="534"/>
      <c r="T111" s="534"/>
      <c r="U111" s="536"/>
    </row>
    <row r="112" spans="1:21" ht="12.75" customHeight="1">
      <c r="A112" s="536"/>
      <c r="B112" s="536"/>
      <c r="C112" s="536"/>
      <c r="D112" s="536"/>
      <c r="E112" s="536"/>
      <c r="F112" s="536"/>
      <c r="G112" s="536"/>
      <c r="H112" s="543">
        <v>5</v>
      </c>
      <c r="I112" s="540" t="s">
        <v>848</v>
      </c>
      <c r="J112" s="693"/>
      <c r="K112" s="693"/>
      <c r="L112" s="694"/>
      <c r="M112" s="694"/>
      <c r="N112" s="694"/>
      <c r="O112" s="694"/>
      <c r="P112" s="694"/>
      <c r="Q112" s="534"/>
      <c r="R112" s="534"/>
      <c r="S112" s="534"/>
      <c r="T112" s="534"/>
      <c r="U112" s="536"/>
    </row>
    <row r="113" spans="1:21" ht="12.75" customHeight="1">
      <c r="A113" s="536"/>
      <c r="B113" s="536"/>
      <c r="C113" s="536"/>
      <c r="D113" s="536"/>
      <c r="E113" s="536"/>
      <c r="F113" s="536"/>
      <c r="G113" s="536"/>
      <c r="H113" s="543">
        <v>6</v>
      </c>
      <c r="I113" s="540" t="s">
        <v>823</v>
      </c>
      <c r="J113" s="693"/>
      <c r="K113" s="693"/>
      <c r="L113" s="694"/>
      <c r="M113" s="694"/>
      <c r="N113" s="694"/>
      <c r="O113" s="694"/>
      <c r="P113" s="694"/>
      <c r="Q113" s="534"/>
      <c r="R113" s="534"/>
      <c r="S113" s="534"/>
      <c r="T113" s="534"/>
      <c r="U113" s="536"/>
    </row>
    <row r="114" spans="1:21" ht="12.75" customHeight="1">
      <c r="A114" s="536"/>
      <c r="B114" s="536"/>
      <c r="C114" s="536"/>
      <c r="D114" s="536"/>
      <c r="E114" s="536"/>
      <c r="F114" s="536"/>
      <c r="G114" s="536"/>
      <c r="H114" s="543">
        <v>7</v>
      </c>
      <c r="I114" s="540" t="s">
        <v>825</v>
      </c>
      <c r="J114" s="693"/>
      <c r="K114" s="693"/>
      <c r="L114" s="694"/>
      <c r="M114" s="694"/>
      <c r="N114" s="694"/>
      <c r="O114" s="694"/>
      <c r="P114" s="694"/>
      <c r="Q114" s="534"/>
      <c r="R114" s="534"/>
      <c r="S114" s="534"/>
      <c r="T114" s="534"/>
      <c r="U114" s="536"/>
    </row>
    <row r="115" spans="1:21" ht="13.5">
      <c r="A115" s="536"/>
      <c r="B115" s="536"/>
      <c r="C115" s="536"/>
      <c r="D115" s="536"/>
      <c r="E115" s="536"/>
      <c r="F115" s="536"/>
      <c r="G115" s="536"/>
      <c r="H115" s="543">
        <v>8</v>
      </c>
      <c r="I115" s="540" t="s">
        <v>824</v>
      </c>
      <c r="J115" s="693"/>
      <c r="K115" s="693"/>
      <c r="L115" s="694"/>
      <c r="M115" s="694"/>
      <c r="N115" s="694"/>
      <c r="O115" s="694"/>
      <c r="P115" s="694"/>
      <c r="Q115" s="534"/>
      <c r="R115" s="534"/>
      <c r="S115" s="534"/>
      <c r="T115" s="534"/>
      <c r="U115" s="536"/>
    </row>
    <row r="116" spans="1:21" ht="3" customHeight="1">
      <c r="A116" s="536"/>
      <c r="B116" s="536"/>
      <c r="C116" s="536"/>
      <c r="D116" s="536"/>
      <c r="E116" s="536"/>
      <c r="F116" s="536"/>
      <c r="G116" s="536"/>
      <c r="H116" s="543"/>
      <c r="I116" s="540"/>
      <c r="J116" s="693"/>
      <c r="K116" s="693"/>
      <c r="L116" s="694"/>
      <c r="M116" s="694"/>
      <c r="N116" s="694"/>
      <c r="O116" s="694"/>
      <c r="P116" s="694"/>
      <c r="Q116" s="534"/>
      <c r="R116" s="534"/>
      <c r="S116" s="534"/>
      <c r="T116" s="534"/>
      <c r="U116" s="536"/>
    </row>
    <row r="117" spans="1:21" ht="12.75" customHeight="1">
      <c r="A117" s="536"/>
      <c r="B117" s="536"/>
      <c r="C117" s="536"/>
      <c r="D117" s="536"/>
      <c r="E117" s="536"/>
      <c r="F117" s="536"/>
      <c r="G117" s="536"/>
      <c r="H117" s="541" t="s">
        <v>806</v>
      </c>
      <c r="I117" s="541"/>
      <c r="J117" s="541"/>
      <c r="K117" s="541"/>
      <c r="L117" s="542"/>
      <c r="M117" s="542"/>
      <c r="N117" s="542"/>
      <c r="O117" s="542"/>
      <c r="P117" s="542"/>
      <c r="Q117" s="534"/>
      <c r="R117" s="534"/>
      <c r="S117" s="534"/>
      <c r="T117" s="534"/>
      <c r="U117" s="536"/>
    </row>
    <row r="118" spans="1:21" ht="12.75" customHeight="1">
      <c r="A118" s="536"/>
      <c r="B118" s="536"/>
      <c r="C118" s="536"/>
      <c r="D118" s="536"/>
      <c r="E118" s="536"/>
      <c r="F118" s="536"/>
      <c r="G118" s="536"/>
      <c r="H118" s="543">
        <v>1</v>
      </c>
      <c r="I118" s="540" t="s">
        <v>807</v>
      </c>
      <c r="J118" s="693"/>
      <c r="K118" s="693"/>
      <c r="L118" s="694"/>
      <c r="M118" s="694"/>
      <c r="N118" s="694"/>
      <c r="O118" s="694"/>
      <c r="P118" s="694"/>
      <c r="Q118" s="534"/>
      <c r="R118" s="534"/>
      <c r="S118" s="534"/>
      <c r="T118" s="534"/>
      <c r="U118" s="536"/>
    </row>
    <row r="119" spans="1:21" ht="12.75" customHeight="1">
      <c r="A119" s="536"/>
      <c r="B119" s="536"/>
      <c r="C119" s="536"/>
      <c r="D119" s="536"/>
      <c r="E119" s="536"/>
      <c r="F119" s="536"/>
      <c r="G119" s="536"/>
      <c r="H119" s="543">
        <v>2</v>
      </c>
      <c r="I119" s="540" t="s">
        <v>808</v>
      </c>
      <c r="J119" s="693"/>
      <c r="K119" s="693"/>
      <c r="L119" s="694"/>
      <c r="M119" s="694"/>
      <c r="N119" s="694"/>
      <c r="O119" s="694"/>
      <c r="P119" s="694"/>
      <c r="Q119" s="534"/>
      <c r="R119" s="534"/>
      <c r="S119" s="534"/>
      <c r="T119" s="534"/>
      <c r="U119" s="536"/>
    </row>
    <row r="120" spans="1:21" ht="12.75" customHeight="1">
      <c r="A120" s="536"/>
      <c r="B120" s="536"/>
      <c r="C120" s="536"/>
      <c r="D120" s="536"/>
      <c r="E120" s="536"/>
      <c r="F120" s="536"/>
      <c r="G120" s="536"/>
      <c r="H120" s="543">
        <v>3</v>
      </c>
      <c r="I120" s="540" t="s">
        <v>809</v>
      </c>
      <c r="J120" s="693"/>
      <c r="K120" s="693"/>
      <c r="L120" s="694"/>
      <c r="M120" s="694"/>
      <c r="N120" s="694"/>
      <c r="O120" s="694"/>
      <c r="P120" s="694"/>
      <c r="Q120" s="534"/>
      <c r="R120" s="534"/>
      <c r="S120" s="534"/>
      <c r="T120" s="534"/>
      <c r="U120" s="536"/>
    </row>
    <row r="121" spans="1:21" ht="12.75" customHeight="1">
      <c r="A121" s="536"/>
      <c r="B121" s="536"/>
      <c r="C121" s="536"/>
      <c r="D121" s="536"/>
      <c r="E121" s="536"/>
      <c r="F121" s="536"/>
      <c r="G121" s="536"/>
      <c r="H121" s="543">
        <v>4</v>
      </c>
      <c r="I121" s="540" t="s">
        <v>810</v>
      </c>
      <c r="J121" s="693"/>
      <c r="K121" s="693"/>
      <c r="L121" s="694"/>
      <c r="M121" s="694"/>
      <c r="N121" s="694"/>
      <c r="O121" s="694"/>
      <c r="P121" s="694"/>
      <c r="Q121" s="534"/>
      <c r="R121" s="534"/>
      <c r="S121" s="534"/>
      <c r="T121" s="534"/>
      <c r="U121" s="536"/>
    </row>
    <row r="122" spans="1:21" ht="12.75" customHeight="1">
      <c r="A122" s="536"/>
      <c r="B122" s="536"/>
      <c r="C122" s="536"/>
      <c r="D122" s="536"/>
      <c r="E122" s="536"/>
      <c r="F122" s="536"/>
      <c r="G122" s="536"/>
      <c r="H122" s="543">
        <v>5</v>
      </c>
      <c r="I122" s="540" t="s">
        <v>811</v>
      </c>
      <c r="J122" s="693"/>
      <c r="K122" s="693"/>
      <c r="L122" s="694"/>
      <c r="M122" s="694"/>
      <c r="N122" s="694"/>
      <c r="O122" s="694"/>
      <c r="P122" s="694"/>
      <c r="Q122" s="534"/>
      <c r="R122" s="534"/>
      <c r="S122" s="534"/>
      <c r="T122" s="534"/>
      <c r="U122" s="536"/>
    </row>
    <row r="123" spans="1:21" ht="12.75" customHeight="1">
      <c r="H123" s="543">
        <v>6</v>
      </c>
      <c r="I123" s="540" t="s">
        <v>812</v>
      </c>
      <c r="J123" s="693"/>
      <c r="K123" s="693"/>
      <c r="L123" s="694"/>
      <c r="M123" s="694"/>
      <c r="N123" s="694"/>
      <c r="O123" s="694"/>
      <c r="P123" s="694"/>
      <c r="Q123" s="534"/>
      <c r="R123" s="534"/>
      <c r="S123" s="534"/>
      <c r="T123" s="534"/>
      <c r="U123" s="536"/>
    </row>
    <row r="124" spans="1:21" ht="12.75" customHeight="1">
      <c r="H124" s="543">
        <v>7</v>
      </c>
      <c r="I124" s="540" t="s">
        <v>813</v>
      </c>
      <c r="J124" s="693"/>
      <c r="K124" s="693"/>
      <c r="L124" s="694"/>
      <c r="M124" s="694"/>
      <c r="N124" s="694"/>
      <c r="O124" s="694"/>
      <c r="P124" s="694"/>
      <c r="Q124" s="534"/>
      <c r="R124" s="534"/>
      <c r="S124" s="534"/>
      <c r="T124" s="534"/>
      <c r="U124" s="536"/>
    </row>
    <row r="125" spans="1:21" ht="13.5">
      <c r="H125" s="543"/>
      <c r="I125" s="540" t="s">
        <v>814</v>
      </c>
      <c r="J125" s="693"/>
      <c r="K125" s="693"/>
      <c r="L125" s="694"/>
      <c r="M125" s="694"/>
      <c r="N125" s="694"/>
      <c r="O125" s="694"/>
      <c r="P125" s="694"/>
      <c r="Q125" s="534"/>
      <c r="R125" s="534"/>
      <c r="S125" s="534"/>
      <c r="T125" s="534"/>
      <c r="U125" s="536"/>
    </row>
    <row r="126" spans="1:21" ht="3" customHeight="1">
      <c r="H126" s="543"/>
      <c r="I126" s="540"/>
      <c r="J126" s="693"/>
      <c r="K126" s="693"/>
      <c r="L126" s="694"/>
      <c r="M126" s="694"/>
      <c r="N126" s="694"/>
      <c r="O126" s="694"/>
      <c r="P126" s="694"/>
      <c r="Q126" s="534"/>
      <c r="R126" s="534"/>
      <c r="S126" s="534"/>
      <c r="T126" s="534"/>
      <c r="U126" s="536"/>
    </row>
    <row r="127" spans="1:21" ht="12.75" customHeight="1">
      <c r="H127" s="541" t="s">
        <v>795</v>
      </c>
      <c r="I127" s="541"/>
      <c r="J127" s="541"/>
      <c r="K127" s="541"/>
      <c r="L127" s="542"/>
      <c r="M127" s="542"/>
      <c r="N127" s="542"/>
      <c r="O127" s="542"/>
      <c r="P127" s="542"/>
      <c r="Q127" s="534"/>
      <c r="R127" s="534"/>
      <c r="S127" s="534"/>
      <c r="T127" s="534"/>
      <c r="U127" s="536"/>
    </row>
    <row r="128" spans="1:21" ht="12.75" customHeight="1">
      <c r="H128" s="543">
        <v>1</v>
      </c>
      <c r="I128" s="540" t="s">
        <v>797</v>
      </c>
      <c r="J128" s="693"/>
      <c r="K128" s="693"/>
      <c r="L128" s="694"/>
      <c r="M128" s="694"/>
      <c r="N128" s="694"/>
      <c r="O128" s="694"/>
      <c r="P128" s="694"/>
      <c r="Q128" s="534"/>
      <c r="R128" s="534"/>
      <c r="S128" s="534"/>
      <c r="T128" s="534"/>
      <c r="U128" s="536"/>
    </row>
    <row r="129" spans="1:21" ht="12.75" customHeight="1">
      <c r="H129" s="543">
        <v>2</v>
      </c>
      <c r="I129" s="540" t="s">
        <v>798</v>
      </c>
      <c r="J129" s="693"/>
      <c r="K129" s="693"/>
      <c r="L129" s="694"/>
      <c r="M129" s="694"/>
      <c r="N129" s="694"/>
      <c r="O129" s="694"/>
      <c r="P129" s="694"/>
      <c r="Q129" s="534"/>
      <c r="R129" s="534"/>
      <c r="S129" s="534"/>
      <c r="T129" s="534"/>
      <c r="U129" s="536"/>
    </row>
    <row r="130" spans="1:21" ht="12.75" customHeight="1">
      <c r="H130" s="543">
        <v>3</v>
      </c>
      <c r="I130" s="540" t="s">
        <v>799</v>
      </c>
      <c r="J130" s="693"/>
      <c r="K130" s="693"/>
      <c r="L130" s="694"/>
      <c r="M130" s="694"/>
      <c r="N130" s="694"/>
      <c r="O130" s="694"/>
      <c r="P130" s="694"/>
      <c r="Q130" s="534"/>
      <c r="R130" s="534"/>
      <c r="S130" s="534"/>
      <c r="T130" s="534"/>
      <c r="U130" s="536"/>
    </row>
    <row r="131" spans="1:21" ht="12.75" customHeight="1">
      <c r="H131" s="543">
        <v>4</v>
      </c>
      <c r="I131" s="540" t="s">
        <v>800</v>
      </c>
      <c r="J131" s="693"/>
      <c r="K131" s="693"/>
      <c r="L131" s="694"/>
      <c r="M131" s="694"/>
      <c r="N131" s="694"/>
      <c r="O131" s="694"/>
      <c r="P131" s="694"/>
      <c r="Q131" s="534"/>
      <c r="R131" s="534"/>
      <c r="S131" s="534"/>
      <c r="T131" s="534"/>
      <c r="U131" s="536"/>
    </row>
    <row r="132" spans="1:21" ht="12.75" customHeight="1">
      <c r="H132" s="543">
        <v>5</v>
      </c>
      <c r="I132" s="540" t="s">
        <v>801</v>
      </c>
      <c r="J132" s="693"/>
      <c r="K132" s="693"/>
      <c r="L132" s="694"/>
      <c r="M132" s="694"/>
      <c r="N132" s="694"/>
      <c r="O132" s="694"/>
      <c r="P132" s="694"/>
      <c r="Q132" s="534"/>
      <c r="R132" s="534"/>
      <c r="S132" s="534"/>
      <c r="T132" s="534"/>
      <c r="U132" s="536"/>
    </row>
    <row r="133" spans="1:21" ht="12.75" customHeight="1">
      <c r="H133" s="543"/>
      <c r="I133" s="540" t="s">
        <v>802</v>
      </c>
      <c r="J133" s="693"/>
      <c r="K133" s="693"/>
      <c r="L133" s="694"/>
      <c r="M133" s="694"/>
      <c r="N133" s="694"/>
      <c r="O133" s="694"/>
      <c r="P133" s="694"/>
      <c r="Q133" s="534"/>
      <c r="R133" s="534"/>
      <c r="S133" s="534"/>
      <c r="T133" s="534"/>
      <c r="U133" s="536"/>
    </row>
    <row r="134" spans="1:21" ht="12.75" customHeight="1">
      <c r="H134" s="543">
        <v>6</v>
      </c>
      <c r="I134" s="540" t="s">
        <v>803</v>
      </c>
      <c r="J134" s="693"/>
      <c r="K134" s="693"/>
      <c r="L134" s="694"/>
      <c r="M134" s="694"/>
      <c r="N134" s="694"/>
      <c r="O134" s="694"/>
      <c r="P134" s="694"/>
      <c r="Q134" s="534"/>
      <c r="R134" s="534"/>
      <c r="S134" s="534"/>
      <c r="T134" s="534"/>
      <c r="U134" s="536"/>
    </row>
    <row r="135" spans="1:21" ht="6" customHeight="1">
      <c r="H135" s="543"/>
      <c r="I135" s="540"/>
      <c r="J135" s="693"/>
      <c r="K135" s="693"/>
      <c r="L135" s="694"/>
      <c r="M135" s="694"/>
      <c r="N135" s="694"/>
      <c r="O135" s="694"/>
      <c r="P135" s="694"/>
      <c r="Q135" s="534"/>
      <c r="R135" s="534"/>
      <c r="S135" s="534"/>
      <c r="T135" s="534"/>
      <c r="U135" s="536"/>
    </row>
    <row r="136" spans="1:21" ht="12.75" customHeight="1">
      <c r="H136" s="541" t="s">
        <v>780</v>
      </c>
      <c r="I136" s="541"/>
      <c r="J136" s="541"/>
      <c r="K136" s="541"/>
      <c r="L136" s="542"/>
      <c r="M136" s="542"/>
      <c r="N136" s="542"/>
      <c r="O136" s="542"/>
      <c r="P136" s="542"/>
      <c r="Q136" s="534"/>
      <c r="R136" s="534"/>
      <c r="S136" s="534"/>
      <c r="T136" s="534"/>
      <c r="U136" s="536"/>
    </row>
    <row r="137" spans="1:21" ht="12.75" customHeight="1">
      <c r="A137" s="527" t="s">
        <v>673</v>
      </c>
      <c r="H137" s="543">
        <v>1</v>
      </c>
      <c r="I137" s="540" t="s">
        <v>784</v>
      </c>
      <c r="J137" s="540"/>
      <c r="K137" s="540"/>
      <c r="L137" s="540"/>
      <c r="M137" s="540"/>
      <c r="N137" s="540"/>
      <c r="O137" s="540"/>
      <c r="P137" s="540"/>
      <c r="Q137" s="534"/>
      <c r="R137" s="534"/>
      <c r="S137" s="534"/>
      <c r="T137" s="534"/>
      <c r="U137" s="536"/>
    </row>
    <row r="138" spans="1:21" ht="12.75" customHeight="1">
      <c r="H138" s="543">
        <v>2</v>
      </c>
      <c r="I138" s="540" t="s">
        <v>783</v>
      </c>
      <c r="J138" s="540"/>
      <c r="K138" s="540"/>
      <c r="L138" s="540"/>
      <c r="M138" s="540"/>
      <c r="N138" s="540"/>
      <c r="O138" s="540"/>
      <c r="P138" s="540"/>
      <c r="Q138" s="534"/>
      <c r="R138" s="534"/>
      <c r="S138" s="534"/>
      <c r="T138" s="534"/>
      <c r="U138" s="536"/>
    </row>
    <row r="139" spans="1:21" ht="12.75" customHeight="1">
      <c r="H139" s="543">
        <v>3</v>
      </c>
      <c r="I139" s="540" t="s">
        <v>781</v>
      </c>
      <c r="J139" s="540"/>
      <c r="K139" s="540"/>
      <c r="L139" s="540"/>
      <c r="M139" s="540"/>
      <c r="N139" s="540"/>
      <c r="O139" s="540"/>
      <c r="P139" s="540"/>
      <c r="Q139" s="534"/>
      <c r="R139" s="534"/>
      <c r="S139" s="534"/>
      <c r="T139" s="534"/>
      <c r="U139" s="536"/>
    </row>
    <row r="140" spans="1:21" ht="12.75" customHeight="1">
      <c r="H140" s="543">
        <v>4</v>
      </c>
      <c r="I140" s="540" t="s">
        <v>782</v>
      </c>
      <c r="J140" s="540"/>
      <c r="K140" s="540"/>
      <c r="L140" s="540"/>
      <c r="M140" s="540"/>
      <c r="N140" s="540"/>
      <c r="O140" s="540"/>
      <c r="P140" s="540"/>
      <c r="Q140" s="534"/>
      <c r="R140" s="534"/>
      <c r="S140" s="534"/>
      <c r="T140" s="534"/>
      <c r="U140" s="536"/>
    </row>
    <row r="141" spans="1:21" ht="12.75" customHeight="1">
      <c r="H141" s="543">
        <v>5</v>
      </c>
      <c r="I141" s="540" t="s">
        <v>786</v>
      </c>
      <c r="J141" s="540"/>
      <c r="K141" s="540"/>
      <c r="L141" s="540"/>
      <c r="M141" s="540"/>
      <c r="N141" s="540"/>
      <c r="O141" s="540"/>
      <c r="P141" s="540"/>
      <c r="Q141" s="534"/>
      <c r="R141" s="534"/>
      <c r="S141" s="534"/>
      <c r="T141" s="534"/>
      <c r="U141" s="536"/>
    </row>
    <row r="142" spans="1:21" ht="12.75" customHeight="1">
      <c r="H142" s="543">
        <v>6</v>
      </c>
      <c r="I142" s="540" t="s">
        <v>785</v>
      </c>
      <c r="J142" s="540"/>
      <c r="K142" s="540"/>
      <c r="L142" s="540"/>
      <c r="M142" s="540"/>
      <c r="N142" s="540"/>
      <c r="O142" s="540"/>
      <c r="P142" s="540"/>
      <c r="Q142" s="534"/>
      <c r="R142" s="534"/>
      <c r="S142" s="534"/>
      <c r="T142" s="534"/>
      <c r="U142" s="536"/>
    </row>
    <row r="143" spans="1:21" ht="12.75" customHeight="1">
      <c r="H143" s="543">
        <v>7</v>
      </c>
      <c r="I143" s="540" t="s">
        <v>790</v>
      </c>
      <c r="J143" s="540"/>
      <c r="K143" s="540"/>
      <c r="L143" s="540"/>
      <c r="M143" s="540"/>
      <c r="N143" s="540"/>
      <c r="O143" s="540"/>
      <c r="P143" s="540"/>
      <c r="Q143" s="534"/>
      <c r="R143" s="534"/>
      <c r="S143" s="534"/>
      <c r="T143" s="534"/>
      <c r="U143" s="536"/>
    </row>
    <row r="144" spans="1:21" ht="3" customHeight="1">
      <c r="H144" s="540"/>
      <c r="I144" s="540"/>
      <c r="J144" s="540"/>
      <c r="K144" s="540"/>
      <c r="L144" s="540"/>
      <c r="M144" s="540"/>
      <c r="N144" s="540"/>
      <c r="O144" s="540"/>
      <c r="P144" s="540"/>
      <c r="Q144" s="534"/>
      <c r="R144" s="534"/>
      <c r="S144" s="534"/>
      <c r="T144" s="534"/>
      <c r="U144" s="536"/>
    </row>
    <row r="145" spans="1:21" ht="12.75" customHeight="1">
      <c r="H145" s="541" t="s">
        <v>766</v>
      </c>
      <c r="I145" s="541"/>
      <c r="J145" s="541"/>
      <c r="K145" s="541"/>
      <c r="L145" s="542"/>
      <c r="M145" s="542"/>
      <c r="N145" s="542"/>
      <c r="O145" s="542"/>
      <c r="P145" s="542"/>
      <c r="Q145" s="534"/>
      <c r="R145" s="534"/>
      <c r="S145" s="534"/>
      <c r="T145" s="534"/>
      <c r="U145" s="536"/>
    </row>
    <row r="146" spans="1:21" ht="12.75" customHeight="1">
      <c r="A146" s="527" t="s">
        <v>673</v>
      </c>
      <c r="H146" s="543">
        <v>1</v>
      </c>
      <c r="I146" s="540" t="s">
        <v>774</v>
      </c>
      <c r="J146" s="540"/>
      <c r="K146" s="540"/>
      <c r="L146" s="540"/>
      <c r="M146" s="540"/>
      <c r="N146" s="540"/>
      <c r="O146" s="540"/>
      <c r="P146" s="540"/>
      <c r="Q146" s="534"/>
      <c r="R146" s="534"/>
      <c r="S146" s="534"/>
      <c r="T146" s="534"/>
      <c r="U146" s="536"/>
    </row>
    <row r="147" spans="1:21" ht="12.75" customHeight="1">
      <c r="H147" s="543">
        <v>2</v>
      </c>
      <c r="I147" s="540" t="s">
        <v>773</v>
      </c>
      <c r="J147" s="540"/>
      <c r="K147" s="540"/>
      <c r="L147" s="540"/>
      <c r="M147" s="540"/>
      <c r="N147" s="540"/>
      <c r="O147" s="540"/>
      <c r="P147" s="540"/>
      <c r="Q147" s="534"/>
      <c r="R147" s="534"/>
      <c r="S147" s="534"/>
      <c r="T147" s="534"/>
      <c r="U147" s="536"/>
    </row>
    <row r="148" spans="1:21" ht="12.75" customHeight="1">
      <c r="H148" s="543">
        <v>3</v>
      </c>
      <c r="I148" s="540" t="s">
        <v>775</v>
      </c>
      <c r="J148" s="540"/>
      <c r="K148" s="540"/>
      <c r="L148" s="540"/>
      <c r="M148" s="540"/>
      <c r="N148" s="540"/>
      <c r="O148" s="540"/>
      <c r="P148" s="540"/>
      <c r="Q148" s="534"/>
      <c r="R148" s="534"/>
      <c r="S148" s="534"/>
      <c r="T148" s="534"/>
      <c r="U148" s="536"/>
    </row>
    <row r="149" spans="1:21" ht="12.75" customHeight="1">
      <c r="H149" s="543">
        <v>4</v>
      </c>
      <c r="I149" s="540" t="s">
        <v>778</v>
      </c>
      <c r="J149" s="540"/>
      <c r="K149" s="540"/>
      <c r="L149" s="540"/>
      <c r="M149" s="540"/>
      <c r="N149" s="540"/>
      <c r="O149" s="540"/>
      <c r="P149" s="540"/>
      <c r="Q149" s="534"/>
      <c r="R149" s="534"/>
      <c r="S149" s="534"/>
      <c r="T149" s="534"/>
      <c r="U149" s="536"/>
    </row>
    <row r="150" spans="1:21" ht="12.75" customHeight="1">
      <c r="H150" s="543">
        <v>5</v>
      </c>
      <c r="I150" s="540" t="s">
        <v>776</v>
      </c>
      <c r="J150" s="540"/>
      <c r="K150" s="540"/>
      <c r="L150" s="540"/>
      <c r="M150" s="540"/>
      <c r="N150" s="540"/>
      <c r="O150" s="540"/>
      <c r="P150" s="540"/>
      <c r="Q150" s="534"/>
      <c r="R150" s="534"/>
      <c r="S150" s="534"/>
      <c r="T150" s="534"/>
      <c r="U150" s="536"/>
    </row>
    <row r="151" spans="1:21" ht="12.75" customHeight="1">
      <c r="H151" s="543">
        <v>6</v>
      </c>
      <c r="I151" s="540" t="s">
        <v>779</v>
      </c>
      <c r="J151" s="540"/>
      <c r="K151" s="540"/>
      <c r="L151" s="540"/>
      <c r="M151" s="540"/>
      <c r="N151" s="540"/>
      <c r="O151" s="540"/>
      <c r="P151" s="540"/>
      <c r="Q151" s="534"/>
      <c r="R151" s="534"/>
      <c r="S151" s="534"/>
      <c r="T151" s="534"/>
      <c r="U151" s="536"/>
    </row>
    <row r="152" spans="1:21" ht="12.75" customHeight="1">
      <c r="H152" s="543">
        <v>7</v>
      </c>
      <c r="I152" s="540" t="s">
        <v>777</v>
      </c>
      <c r="J152" s="540"/>
      <c r="K152" s="540"/>
      <c r="L152" s="540"/>
      <c r="M152" s="540"/>
      <c r="N152" s="540"/>
      <c r="O152" s="540"/>
      <c r="P152" s="540"/>
      <c r="Q152" s="534"/>
      <c r="R152" s="534"/>
      <c r="S152" s="534"/>
      <c r="T152" s="534"/>
      <c r="U152" s="536"/>
    </row>
    <row r="153" spans="1:21" ht="3" customHeight="1">
      <c r="H153" s="540"/>
      <c r="I153" s="540"/>
      <c r="J153" s="540"/>
      <c r="K153" s="540"/>
      <c r="L153" s="540"/>
      <c r="M153" s="540"/>
      <c r="N153" s="540"/>
      <c r="O153" s="540"/>
      <c r="P153" s="540"/>
      <c r="Q153" s="534"/>
      <c r="R153" s="534"/>
      <c r="S153" s="534"/>
      <c r="T153" s="534"/>
      <c r="U153" s="536"/>
    </row>
    <row r="154" spans="1:21" ht="12.75" customHeight="1">
      <c r="H154" s="541" t="s">
        <v>473</v>
      </c>
      <c r="I154" s="541"/>
      <c r="J154" s="541"/>
      <c r="K154" s="541"/>
      <c r="L154" s="542"/>
      <c r="M154" s="542"/>
      <c r="N154" s="542"/>
      <c r="O154" s="542"/>
      <c r="P154" s="542"/>
      <c r="Q154" s="534"/>
      <c r="R154" s="534"/>
      <c r="S154" s="534"/>
      <c r="T154" s="534"/>
      <c r="U154" s="536"/>
    </row>
    <row r="155" spans="1:21" ht="12.75" customHeight="1">
      <c r="A155" s="527" t="s">
        <v>673</v>
      </c>
      <c r="H155" s="543">
        <v>1</v>
      </c>
      <c r="I155" s="540" t="s">
        <v>11</v>
      </c>
      <c r="J155" s="540"/>
      <c r="K155" s="540"/>
      <c r="L155" s="540"/>
      <c r="M155" s="540"/>
      <c r="N155" s="540"/>
      <c r="O155" s="540"/>
      <c r="P155" s="540"/>
      <c r="Q155" s="534"/>
      <c r="R155" s="534"/>
      <c r="S155" s="534"/>
      <c r="T155" s="534"/>
      <c r="U155" s="536"/>
    </row>
    <row r="156" spans="1:21" ht="12.75" customHeight="1">
      <c r="H156" s="543">
        <v>2</v>
      </c>
      <c r="I156" s="540" t="s">
        <v>12</v>
      </c>
      <c r="J156" s="540"/>
      <c r="K156" s="540"/>
      <c r="L156" s="540"/>
      <c r="M156" s="540"/>
      <c r="N156" s="540"/>
      <c r="O156" s="540"/>
      <c r="P156" s="540"/>
      <c r="Q156" s="534"/>
      <c r="R156" s="534"/>
      <c r="S156" s="534"/>
      <c r="T156" s="534"/>
      <c r="U156" s="536"/>
    </row>
    <row r="157" spans="1:21" ht="12.75" customHeight="1">
      <c r="H157" s="543">
        <v>3</v>
      </c>
      <c r="I157" s="540" t="s">
        <v>13</v>
      </c>
      <c r="J157" s="540"/>
      <c r="K157" s="540"/>
      <c r="L157" s="540"/>
      <c r="M157" s="540"/>
      <c r="N157" s="540"/>
      <c r="O157" s="540"/>
      <c r="P157" s="540"/>
      <c r="Q157" s="534"/>
      <c r="R157" s="534"/>
      <c r="S157" s="534"/>
      <c r="T157" s="534"/>
      <c r="U157" s="536"/>
    </row>
    <row r="158" spans="1:21" ht="12.75" customHeight="1">
      <c r="H158" s="543">
        <v>4</v>
      </c>
      <c r="I158" s="540" t="s">
        <v>79</v>
      </c>
      <c r="J158" s="540"/>
      <c r="K158" s="540"/>
      <c r="L158" s="540"/>
      <c r="M158" s="540"/>
      <c r="N158" s="540"/>
      <c r="O158" s="540"/>
      <c r="P158" s="540"/>
      <c r="Q158" s="534"/>
      <c r="R158" s="534"/>
      <c r="S158" s="534"/>
      <c r="T158" s="534"/>
      <c r="U158" s="536"/>
    </row>
    <row r="159" spans="1:21" ht="12.75" customHeight="1">
      <c r="H159" s="543">
        <v>5</v>
      </c>
      <c r="I159" s="540" t="s">
        <v>80</v>
      </c>
      <c r="J159" s="540"/>
      <c r="K159" s="540"/>
      <c r="L159" s="540"/>
      <c r="M159" s="540"/>
      <c r="N159" s="540"/>
      <c r="O159" s="540"/>
      <c r="P159" s="540"/>
      <c r="Q159" s="534"/>
      <c r="R159" s="534"/>
      <c r="S159" s="534"/>
      <c r="T159" s="534"/>
      <c r="U159" s="536"/>
    </row>
    <row r="160" spans="1:21" ht="12.75" customHeight="1">
      <c r="A160" s="536"/>
      <c r="B160" s="536"/>
      <c r="C160" s="536"/>
      <c r="D160" s="536"/>
      <c r="E160" s="536"/>
      <c r="F160" s="536"/>
      <c r="G160" s="536"/>
      <c r="H160" s="543">
        <v>6</v>
      </c>
      <c r="I160" s="540" t="s">
        <v>77</v>
      </c>
      <c r="J160" s="540"/>
      <c r="K160" s="540"/>
      <c r="L160" s="540"/>
      <c r="M160" s="540"/>
      <c r="N160" s="540"/>
      <c r="O160" s="540"/>
      <c r="P160" s="540"/>
      <c r="Q160" s="534"/>
      <c r="R160" s="534"/>
      <c r="S160" s="534"/>
      <c r="T160" s="534"/>
      <c r="U160" s="536"/>
    </row>
    <row r="161" spans="1:21" ht="12.75" customHeight="1">
      <c r="A161" s="536"/>
      <c r="B161" s="536"/>
      <c r="C161" s="536"/>
      <c r="D161" s="536"/>
      <c r="E161" s="536"/>
      <c r="F161" s="536"/>
      <c r="G161" s="536"/>
      <c r="H161" s="543">
        <v>7</v>
      </c>
      <c r="I161" s="540" t="s">
        <v>78</v>
      </c>
      <c r="J161" s="540"/>
      <c r="K161" s="540"/>
      <c r="L161" s="540"/>
      <c r="M161" s="540"/>
      <c r="N161" s="540"/>
      <c r="O161" s="540"/>
      <c r="P161" s="540"/>
      <c r="Q161" s="534"/>
      <c r="R161" s="534"/>
      <c r="S161" s="534"/>
      <c r="T161" s="534"/>
      <c r="U161" s="536"/>
    </row>
    <row r="162" spans="1:21" ht="12.75" customHeight="1">
      <c r="A162" s="536"/>
      <c r="B162" s="536"/>
      <c r="C162" s="536"/>
      <c r="D162" s="536"/>
      <c r="E162" s="536"/>
      <c r="F162" s="536"/>
      <c r="G162" s="536"/>
      <c r="H162" s="543">
        <v>8</v>
      </c>
      <c r="I162" s="540" t="s">
        <v>60</v>
      </c>
      <c r="J162" s="540"/>
      <c r="K162" s="540"/>
      <c r="L162" s="540"/>
      <c r="M162" s="540"/>
      <c r="N162" s="540"/>
      <c r="O162" s="540"/>
      <c r="P162" s="540"/>
      <c r="Q162" s="534"/>
      <c r="R162" s="534"/>
      <c r="S162" s="534"/>
      <c r="T162" s="534"/>
      <c r="U162" s="536"/>
    </row>
    <row r="163" spans="1:21" ht="3" customHeight="1">
      <c r="A163" s="536"/>
      <c r="B163" s="536"/>
      <c r="C163" s="536"/>
      <c r="D163" s="536"/>
      <c r="E163" s="536"/>
      <c r="F163" s="536"/>
      <c r="G163" s="536"/>
      <c r="H163" s="540"/>
      <c r="I163" s="540"/>
      <c r="J163" s="540"/>
      <c r="K163" s="540"/>
      <c r="L163" s="540"/>
      <c r="M163" s="540"/>
      <c r="N163" s="540"/>
      <c r="O163" s="540"/>
      <c r="P163" s="540"/>
      <c r="Q163" s="534"/>
      <c r="R163" s="534"/>
      <c r="S163" s="534"/>
      <c r="T163" s="534"/>
      <c r="U163" s="536"/>
    </row>
    <row r="164" spans="1:21" ht="12.75" customHeight="1">
      <c r="A164" s="536"/>
      <c r="B164" s="536"/>
      <c r="C164" s="536"/>
      <c r="D164" s="536"/>
      <c r="E164" s="536"/>
      <c r="F164" s="536"/>
      <c r="G164" s="536"/>
      <c r="H164" s="541" t="s">
        <v>95</v>
      </c>
      <c r="I164" s="541"/>
      <c r="J164" s="541"/>
      <c r="K164" s="541"/>
      <c r="L164" s="542"/>
      <c r="M164" s="542"/>
      <c r="N164" s="542"/>
      <c r="O164" s="542"/>
      <c r="P164" s="542"/>
      <c r="Q164" s="534"/>
      <c r="R164" s="534"/>
      <c r="S164" s="534"/>
      <c r="T164" s="534"/>
      <c r="U164" s="536"/>
    </row>
    <row r="165" spans="1:21" ht="12.75" customHeight="1">
      <c r="A165" s="536"/>
      <c r="B165" s="536"/>
      <c r="C165" s="536"/>
      <c r="D165" s="536"/>
      <c r="E165" s="536"/>
      <c r="F165" s="536"/>
      <c r="G165" s="536"/>
      <c r="H165" s="543">
        <v>1</v>
      </c>
      <c r="I165" s="540" t="s">
        <v>468</v>
      </c>
      <c r="J165" s="540"/>
      <c r="K165" s="540"/>
      <c r="L165" s="540"/>
      <c r="M165" s="540"/>
      <c r="N165" s="540"/>
      <c r="O165" s="540"/>
      <c r="P165" s="540"/>
      <c r="Q165" s="534"/>
      <c r="R165" s="534"/>
      <c r="S165" s="534"/>
      <c r="T165" s="534"/>
      <c r="U165" s="536"/>
    </row>
    <row r="166" spans="1:21" ht="12.75" customHeight="1">
      <c r="A166" s="536"/>
      <c r="B166" s="536"/>
      <c r="C166" s="536"/>
      <c r="D166" s="536"/>
      <c r="E166" s="536"/>
      <c r="F166" s="536"/>
      <c r="G166" s="536"/>
      <c r="H166" s="543">
        <v>2</v>
      </c>
      <c r="I166" s="540" t="s">
        <v>469</v>
      </c>
      <c r="J166" s="540"/>
      <c r="K166" s="540"/>
      <c r="L166" s="540"/>
      <c r="M166" s="540"/>
      <c r="N166" s="540"/>
      <c r="O166" s="540"/>
      <c r="P166" s="540"/>
      <c r="Q166" s="534"/>
      <c r="R166" s="534"/>
      <c r="S166" s="534"/>
      <c r="T166" s="534"/>
      <c r="U166" s="536"/>
    </row>
    <row r="167" spans="1:21" ht="12.75" customHeight="1">
      <c r="A167" s="536"/>
      <c r="B167" s="536"/>
      <c r="C167" s="536"/>
      <c r="D167" s="536"/>
      <c r="E167" s="536"/>
      <c r="F167" s="536"/>
      <c r="G167" s="536"/>
      <c r="H167" s="543">
        <v>3</v>
      </c>
      <c r="I167" s="540" t="s">
        <v>467</v>
      </c>
      <c r="J167" s="540"/>
      <c r="K167" s="540"/>
      <c r="L167" s="540"/>
      <c r="M167" s="540"/>
      <c r="N167" s="540"/>
      <c r="O167" s="540"/>
      <c r="P167" s="540"/>
      <c r="Q167" s="534"/>
      <c r="R167" s="534"/>
      <c r="S167" s="534"/>
      <c r="T167" s="534"/>
      <c r="U167" s="536"/>
    </row>
    <row r="168" spans="1:21" ht="12.75" customHeight="1">
      <c r="A168" s="536"/>
      <c r="B168" s="536"/>
      <c r="C168" s="536"/>
      <c r="D168" s="536"/>
      <c r="E168" s="536"/>
      <c r="F168" s="536"/>
      <c r="G168" s="536"/>
      <c r="H168" s="543">
        <v>4</v>
      </c>
      <c r="I168" s="540" t="s">
        <v>493</v>
      </c>
      <c r="J168" s="540"/>
      <c r="K168" s="540"/>
      <c r="L168" s="540"/>
      <c r="M168" s="540"/>
      <c r="N168" s="540"/>
      <c r="O168" s="540"/>
      <c r="P168" s="540"/>
      <c r="Q168" s="534"/>
      <c r="R168" s="534"/>
      <c r="S168" s="534"/>
      <c r="T168" s="534"/>
      <c r="U168" s="536"/>
    </row>
    <row r="169" spans="1:21" ht="4.5" customHeight="1">
      <c r="A169" s="536"/>
      <c r="B169" s="536"/>
      <c r="C169" s="536"/>
      <c r="D169" s="536"/>
      <c r="E169" s="536"/>
      <c r="F169" s="536"/>
      <c r="G169" s="536"/>
      <c r="H169" s="543"/>
      <c r="I169" s="540"/>
      <c r="J169" s="540"/>
      <c r="K169" s="540"/>
      <c r="L169" s="540"/>
      <c r="M169" s="540"/>
      <c r="N169" s="540"/>
      <c r="O169" s="540"/>
      <c r="P169" s="540"/>
      <c r="Q169" s="534"/>
      <c r="R169" s="534"/>
      <c r="S169" s="534"/>
      <c r="T169" s="534"/>
      <c r="U169" s="536"/>
    </row>
    <row r="170" spans="1:21" ht="12.75" customHeight="1">
      <c r="A170" s="536"/>
      <c r="B170" s="536"/>
      <c r="C170" s="536"/>
      <c r="D170" s="536"/>
      <c r="E170" s="536"/>
      <c r="F170" s="536"/>
      <c r="G170" s="536"/>
      <c r="H170" s="541" t="s">
        <v>731</v>
      </c>
      <c r="I170" s="541"/>
      <c r="J170" s="541"/>
      <c r="K170" s="541"/>
      <c r="L170" s="542"/>
      <c r="M170" s="542"/>
      <c r="N170" s="542"/>
      <c r="O170" s="542"/>
      <c r="P170" s="542"/>
      <c r="Q170" s="534"/>
      <c r="R170" s="534"/>
      <c r="S170" s="534"/>
      <c r="T170" s="534"/>
      <c r="U170" s="536"/>
    </row>
    <row r="171" spans="1:21" ht="12.75" customHeight="1">
      <c r="A171" s="536"/>
      <c r="B171" s="536"/>
      <c r="C171" s="536"/>
      <c r="D171" s="536"/>
      <c r="E171" s="536"/>
      <c r="F171" s="536"/>
      <c r="G171" s="536"/>
      <c r="H171" s="543">
        <v>1</v>
      </c>
      <c r="I171" s="540" t="s">
        <v>166</v>
      </c>
      <c r="J171" s="540"/>
      <c r="K171" s="540"/>
      <c r="L171" s="540"/>
      <c r="M171" s="540"/>
      <c r="N171" s="540"/>
      <c r="O171" s="540"/>
      <c r="P171" s="540"/>
      <c r="Q171" s="534"/>
      <c r="R171" s="534"/>
      <c r="S171" s="534"/>
      <c r="T171" s="534"/>
      <c r="U171" s="536"/>
    </row>
    <row r="172" spans="1:21" ht="12.75" customHeight="1">
      <c r="A172" s="536"/>
      <c r="B172" s="536"/>
      <c r="C172" s="536"/>
      <c r="D172" s="536"/>
      <c r="E172" s="536"/>
      <c r="F172" s="536"/>
      <c r="G172" s="536"/>
      <c r="H172" s="543">
        <v>2</v>
      </c>
      <c r="I172" s="540" t="s">
        <v>167</v>
      </c>
      <c r="J172" s="540"/>
      <c r="K172" s="540"/>
      <c r="L172" s="540"/>
      <c r="M172" s="540"/>
      <c r="N172" s="540"/>
      <c r="O172" s="540"/>
      <c r="P172" s="540"/>
      <c r="Q172" s="534"/>
      <c r="R172" s="534"/>
      <c r="S172" s="534"/>
      <c r="T172" s="534"/>
      <c r="U172" s="536"/>
    </row>
    <row r="173" spans="1:21" ht="12.75" customHeight="1">
      <c r="A173" s="536"/>
      <c r="B173" s="536"/>
      <c r="C173" s="536"/>
      <c r="D173" s="536"/>
      <c r="E173" s="536"/>
      <c r="F173" s="536"/>
      <c r="G173" s="536"/>
      <c r="H173" s="543">
        <v>3</v>
      </c>
      <c r="I173" s="540" t="s">
        <v>168</v>
      </c>
      <c r="J173" s="540"/>
      <c r="K173" s="540"/>
      <c r="L173" s="540"/>
      <c r="M173" s="540"/>
      <c r="N173" s="540"/>
      <c r="O173" s="540"/>
      <c r="P173" s="540"/>
      <c r="Q173" s="534"/>
      <c r="R173" s="534"/>
      <c r="S173" s="534"/>
      <c r="T173" s="534"/>
      <c r="U173" s="536"/>
    </row>
    <row r="174" spans="1:21" ht="12.75" customHeight="1">
      <c r="A174" s="536"/>
      <c r="B174" s="536"/>
      <c r="C174" s="536"/>
      <c r="D174" s="536"/>
      <c r="E174" s="536"/>
      <c r="F174" s="536"/>
      <c r="G174" s="536"/>
      <c r="H174" s="543">
        <v>4</v>
      </c>
      <c r="I174" s="540" t="s">
        <v>171</v>
      </c>
      <c r="J174" s="540"/>
      <c r="K174" s="540"/>
      <c r="L174" s="540"/>
      <c r="M174" s="540"/>
      <c r="N174" s="540"/>
      <c r="O174" s="540"/>
      <c r="P174" s="540"/>
      <c r="Q174" s="534"/>
      <c r="R174" s="534"/>
      <c r="S174" s="534"/>
      <c r="T174" s="534"/>
      <c r="U174" s="536"/>
    </row>
    <row r="175" spans="1:21" ht="12.75" customHeight="1">
      <c r="A175" s="536"/>
      <c r="B175" s="536"/>
      <c r="C175" s="536"/>
      <c r="D175" s="536"/>
      <c r="E175" s="536"/>
      <c r="F175" s="536"/>
      <c r="G175" s="536"/>
      <c r="H175" s="543">
        <v>5</v>
      </c>
      <c r="I175" s="540" t="s">
        <v>170</v>
      </c>
      <c r="J175" s="540"/>
      <c r="K175" s="540"/>
      <c r="L175" s="540"/>
      <c r="M175" s="540"/>
      <c r="N175" s="540"/>
      <c r="O175" s="540"/>
      <c r="P175" s="540"/>
      <c r="Q175" s="534"/>
      <c r="R175" s="534"/>
      <c r="S175" s="534"/>
      <c r="T175" s="534"/>
      <c r="U175" s="536"/>
    </row>
    <row r="176" spans="1:21" ht="12.75" customHeight="1">
      <c r="H176" s="543">
        <v>6</v>
      </c>
      <c r="I176" s="540" t="s">
        <v>763</v>
      </c>
      <c r="J176" s="540"/>
      <c r="K176" s="540"/>
      <c r="L176" s="540"/>
      <c r="M176" s="540"/>
      <c r="N176" s="540"/>
      <c r="O176" s="540"/>
      <c r="P176" s="540"/>
      <c r="Q176" s="534"/>
      <c r="R176" s="534"/>
      <c r="S176" s="534"/>
      <c r="T176" s="534"/>
      <c r="U176" s="536"/>
    </row>
    <row r="177" spans="1:21" ht="12.75" customHeight="1">
      <c r="H177" s="543">
        <v>7</v>
      </c>
      <c r="I177" s="540" t="s">
        <v>169</v>
      </c>
      <c r="J177" s="540"/>
      <c r="K177" s="540"/>
      <c r="L177" s="540"/>
      <c r="M177" s="540"/>
      <c r="N177" s="540"/>
      <c r="O177" s="540"/>
      <c r="P177" s="540"/>
      <c r="Q177" s="534"/>
      <c r="R177" s="534"/>
      <c r="S177" s="534"/>
      <c r="T177" s="534"/>
      <c r="U177" s="536"/>
    </row>
    <row r="178" spans="1:21" ht="3" customHeight="1">
      <c r="H178" s="540"/>
      <c r="I178" s="540"/>
      <c r="J178" s="540"/>
      <c r="K178" s="540"/>
      <c r="L178" s="540"/>
      <c r="M178" s="540"/>
      <c r="N178" s="540"/>
      <c r="O178" s="540"/>
      <c r="P178" s="540"/>
      <c r="Q178" s="534"/>
      <c r="R178" s="534"/>
      <c r="S178" s="534"/>
      <c r="T178" s="534"/>
      <c r="U178" s="536"/>
    </row>
    <row r="179" spans="1:21" ht="12.75" customHeight="1">
      <c r="H179" s="541" t="s">
        <v>228</v>
      </c>
      <c r="I179" s="541"/>
      <c r="J179" s="541"/>
      <c r="K179" s="541"/>
      <c r="L179" s="542"/>
      <c r="M179" s="542"/>
      <c r="N179" s="542"/>
      <c r="O179" s="542"/>
      <c r="P179" s="542"/>
      <c r="Q179" s="534"/>
      <c r="R179" s="534"/>
      <c r="S179" s="534"/>
      <c r="T179" s="534"/>
      <c r="U179" s="536"/>
    </row>
    <row r="180" spans="1:21" ht="12.75" customHeight="1">
      <c r="H180" s="543">
        <v>1</v>
      </c>
      <c r="I180" s="540" t="s">
        <v>392</v>
      </c>
      <c r="J180" s="540"/>
      <c r="K180" s="540"/>
      <c r="L180" s="540"/>
      <c r="M180" s="540"/>
      <c r="N180" s="540"/>
      <c r="O180" s="540"/>
      <c r="P180" s="540"/>
      <c r="Q180" s="534"/>
      <c r="R180" s="534"/>
      <c r="S180" s="534"/>
      <c r="T180" s="534"/>
      <c r="U180" s="536"/>
    </row>
    <row r="181" spans="1:21" ht="12.75" customHeight="1">
      <c r="H181" s="543">
        <v>2</v>
      </c>
      <c r="I181" s="540" t="s">
        <v>393</v>
      </c>
      <c r="J181" s="540"/>
      <c r="K181" s="540"/>
      <c r="L181" s="540"/>
      <c r="M181" s="540"/>
      <c r="N181" s="540"/>
      <c r="O181" s="540"/>
      <c r="P181" s="540"/>
      <c r="Q181" s="534"/>
      <c r="R181" s="534"/>
      <c r="S181" s="534"/>
      <c r="T181" s="534"/>
      <c r="U181" s="536"/>
    </row>
    <row r="182" spans="1:21" ht="12.75" customHeight="1">
      <c r="H182" s="543">
        <v>4</v>
      </c>
      <c r="I182" s="540" t="s">
        <v>394</v>
      </c>
      <c r="J182" s="540"/>
      <c r="K182" s="540"/>
      <c r="L182" s="540"/>
      <c r="M182" s="540"/>
      <c r="N182" s="540"/>
      <c r="O182" s="540"/>
      <c r="P182" s="540"/>
      <c r="Q182" s="534"/>
      <c r="R182" s="534"/>
      <c r="S182" s="534"/>
      <c r="T182" s="534"/>
      <c r="U182" s="536"/>
    </row>
    <row r="183" spans="1:21" ht="3" customHeight="1">
      <c r="H183" s="540"/>
      <c r="I183" s="540"/>
      <c r="J183" s="540"/>
      <c r="K183" s="540"/>
      <c r="L183" s="540"/>
      <c r="M183" s="540"/>
      <c r="N183" s="540"/>
      <c r="O183" s="540"/>
      <c r="P183" s="540"/>
      <c r="Q183" s="534"/>
      <c r="R183" s="534"/>
      <c r="S183" s="534"/>
      <c r="T183" s="534"/>
      <c r="U183" s="536"/>
    </row>
    <row r="184" spans="1:21" ht="12.75" customHeight="1">
      <c r="H184" s="541" t="s">
        <v>713</v>
      </c>
      <c r="I184" s="541"/>
      <c r="J184" s="541"/>
      <c r="K184" s="541"/>
      <c r="L184" s="542"/>
      <c r="M184" s="542"/>
      <c r="N184" s="542"/>
      <c r="O184" s="542"/>
      <c r="P184" s="542"/>
      <c r="Q184" s="534"/>
      <c r="R184" s="534"/>
      <c r="S184" s="534"/>
      <c r="T184" s="534"/>
      <c r="U184" s="536"/>
    </row>
    <row r="185" spans="1:21" ht="12.75" customHeight="1">
      <c r="H185" s="543">
        <v>1</v>
      </c>
      <c r="I185" s="540" t="s">
        <v>653</v>
      </c>
      <c r="J185" s="540"/>
      <c r="K185" s="540"/>
      <c r="L185" s="540"/>
      <c r="M185" s="540"/>
      <c r="N185" s="540"/>
      <c r="O185" s="540"/>
      <c r="P185" s="540"/>
      <c r="Q185" s="534"/>
      <c r="R185" s="534"/>
      <c r="S185" s="534"/>
      <c r="T185" s="534"/>
      <c r="U185" s="536"/>
    </row>
    <row r="186" spans="1:21" ht="12.75" customHeight="1">
      <c r="H186" s="543">
        <v>2</v>
      </c>
      <c r="I186" s="540" t="s">
        <v>654</v>
      </c>
      <c r="J186" s="540"/>
      <c r="K186" s="540"/>
      <c r="L186" s="540"/>
      <c r="M186" s="540"/>
      <c r="N186" s="540"/>
      <c r="O186" s="540"/>
      <c r="P186" s="540"/>
      <c r="Q186" s="534"/>
      <c r="R186" s="534"/>
      <c r="S186" s="534"/>
      <c r="T186" s="534"/>
      <c r="U186" s="536"/>
    </row>
    <row r="187" spans="1:21" ht="12.75" customHeight="1">
      <c r="H187" s="543">
        <v>3</v>
      </c>
      <c r="I187" s="540" t="s">
        <v>697</v>
      </c>
      <c r="J187" s="540"/>
      <c r="K187" s="540"/>
      <c r="L187" s="540"/>
      <c r="M187" s="540"/>
      <c r="N187" s="540"/>
      <c r="O187" s="540"/>
      <c r="P187" s="540"/>
      <c r="Q187" s="534"/>
      <c r="R187" s="534"/>
      <c r="S187" s="534"/>
      <c r="T187" s="534"/>
      <c r="U187" s="536"/>
    </row>
    <row r="188" spans="1:21" ht="12.75" customHeight="1">
      <c r="H188" s="543">
        <v>4</v>
      </c>
      <c r="I188" s="540" t="s">
        <v>457</v>
      </c>
      <c r="J188" s="540"/>
      <c r="K188" s="540"/>
      <c r="L188" s="540"/>
      <c r="M188" s="540"/>
      <c r="N188" s="540"/>
      <c r="O188" s="540"/>
      <c r="P188" s="540"/>
      <c r="Q188" s="534"/>
      <c r="R188" s="534"/>
      <c r="S188" s="534"/>
      <c r="T188" s="534"/>
      <c r="U188" s="536"/>
    </row>
    <row r="189" spans="1:21" ht="3.75" customHeight="1">
      <c r="H189" s="540"/>
      <c r="I189" s="540"/>
      <c r="J189" s="540"/>
      <c r="K189" s="540"/>
      <c r="L189" s="540"/>
      <c r="M189" s="540"/>
      <c r="N189" s="540"/>
      <c r="O189" s="540"/>
      <c r="P189" s="540"/>
      <c r="Q189" s="534"/>
      <c r="R189" s="534"/>
      <c r="S189" s="534"/>
      <c r="T189" s="534"/>
      <c r="U189" s="536"/>
    </row>
    <row r="190" spans="1:21" ht="12.75" customHeight="1">
      <c r="H190" s="925" t="s">
        <v>764</v>
      </c>
      <c r="I190" s="925"/>
      <c r="J190" s="925"/>
      <c r="K190" s="925"/>
      <c r="L190" s="926"/>
      <c r="M190" s="926"/>
      <c r="N190" s="926"/>
      <c r="O190" s="926"/>
      <c r="P190" s="926"/>
      <c r="Q190" s="534"/>
      <c r="R190" s="534"/>
      <c r="S190" s="534"/>
      <c r="T190" s="534"/>
      <c r="U190" s="536"/>
    </row>
    <row r="191" spans="1:21" ht="12.75" customHeight="1">
      <c r="A191" s="527" t="s">
        <v>673</v>
      </c>
      <c r="H191" s="931">
        <v>1</v>
      </c>
      <c r="I191" s="932" t="s">
        <v>765</v>
      </c>
      <c r="J191" s="932"/>
      <c r="K191" s="932"/>
      <c r="L191" s="932"/>
      <c r="M191" s="932"/>
      <c r="N191" s="932"/>
      <c r="O191" s="932"/>
      <c r="P191" s="932"/>
      <c r="Q191" s="534"/>
      <c r="R191" s="534"/>
      <c r="S191" s="534"/>
      <c r="T191" s="534"/>
      <c r="U191" s="536"/>
    </row>
    <row r="192" spans="1:21" ht="12.75" customHeight="1">
      <c r="A192" s="536"/>
      <c r="B192" s="536"/>
      <c r="C192" s="536"/>
      <c r="D192" s="536"/>
      <c r="E192" s="536"/>
      <c r="F192" s="536"/>
      <c r="G192" s="536"/>
      <c r="H192" s="931">
        <v>2</v>
      </c>
      <c r="I192" s="932" t="s">
        <v>160</v>
      </c>
      <c r="J192" s="932"/>
      <c r="K192" s="932"/>
      <c r="L192" s="932"/>
      <c r="M192" s="932"/>
      <c r="N192" s="932"/>
      <c r="O192" s="932"/>
      <c r="P192" s="932"/>
      <c r="Q192" s="534"/>
      <c r="R192" s="534"/>
      <c r="S192" s="534"/>
      <c r="T192" s="534"/>
      <c r="U192" s="536"/>
    </row>
    <row r="193" spans="1:21" ht="12.75" customHeight="1">
      <c r="A193" s="536"/>
      <c r="B193" s="536"/>
      <c r="C193" s="536"/>
      <c r="D193" s="536"/>
      <c r="E193" s="536"/>
      <c r="F193" s="536"/>
      <c r="G193" s="536"/>
      <c r="H193" s="931">
        <v>3</v>
      </c>
      <c r="I193" s="932" t="s">
        <v>161</v>
      </c>
      <c r="J193" s="932"/>
      <c r="K193" s="932"/>
      <c r="L193" s="932"/>
      <c r="M193" s="932"/>
      <c r="N193" s="932"/>
      <c r="O193" s="932"/>
      <c r="P193" s="932"/>
      <c r="Q193" s="534"/>
      <c r="R193" s="534"/>
      <c r="S193" s="534"/>
      <c r="T193" s="534"/>
      <c r="U193" s="536"/>
    </row>
    <row r="194" spans="1:21" ht="12.75" customHeight="1">
      <c r="A194" s="536"/>
      <c r="B194" s="536"/>
      <c r="C194" s="536"/>
      <c r="D194" s="536"/>
      <c r="E194" s="536"/>
      <c r="F194" s="536"/>
      <c r="G194" s="536"/>
      <c r="H194" s="931">
        <v>4</v>
      </c>
      <c r="I194" s="932" t="s">
        <v>489</v>
      </c>
      <c r="J194" s="932"/>
      <c r="K194" s="932"/>
      <c r="L194" s="932"/>
      <c r="M194" s="932"/>
      <c r="N194" s="932"/>
      <c r="O194" s="932"/>
      <c r="P194" s="932"/>
      <c r="Q194" s="534"/>
      <c r="R194" s="534"/>
      <c r="S194" s="534"/>
      <c r="T194" s="534"/>
      <c r="U194" s="536"/>
    </row>
    <row r="195" spans="1:21" ht="12.75" customHeight="1">
      <c r="A195" s="536"/>
      <c r="B195" s="536"/>
      <c r="C195" s="536"/>
      <c r="D195" s="536"/>
      <c r="E195" s="536"/>
      <c r="F195" s="536"/>
      <c r="G195" s="536"/>
      <c r="H195" s="931">
        <v>5</v>
      </c>
      <c r="I195" s="932" t="s">
        <v>490</v>
      </c>
      <c r="J195" s="932"/>
      <c r="K195" s="932"/>
      <c r="L195" s="932"/>
      <c r="M195" s="932"/>
      <c r="N195" s="932"/>
      <c r="O195" s="932"/>
      <c r="P195" s="932"/>
      <c r="Q195" s="534"/>
      <c r="R195" s="534"/>
      <c r="S195" s="534"/>
      <c r="T195" s="534"/>
      <c r="U195" s="536"/>
    </row>
    <row r="196" spans="1:21" ht="3.75" customHeight="1">
      <c r="A196" s="536"/>
      <c r="B196" s="536"/>
      <c r="C196" s="536"/>
      <c r="D196" s="536"/>
      <c r="E196" s="536"/>
      <c r="F196" s="536"/>
      <c r="G196" s="536"/>
      <c r="H196" s="932"/>
      <c r="I196" s="932"/>
      <c r="J196" s="932"/>
      <c r="K196" s="932"/>
      <c r="L196" s="932"/>
      <c r="M196" s="932"/>
      <c r="N196" s="932"/>
      <c r="O196" s="932"/>
      <c r="P196" s="932"/>
      <c r="Q196" s="534"/>
      <c r="R196" s="534"/>
      <c r="S196" s="534"/>
      <c r="T196" s="534"/>
      <c r="U196" s="536"/>
    </row>
    <row r="197" spans="1:21" ht="12.75" customHeight="1">
      <c r="A197" s="536"/>
      <c r="B197" s="536"/>
      <c r="C197" s="536"/>
      <c r="D197" s="536"/>
      <c r="E197" s="536"/>
      <c r="F197" s="536"/>
      <c r="G197" s="536"/>
      <c r="H197" s="925" t="s">
        <v>465</v>
      </c>
      <c r="I197" s="925"/>
      <c r="J197" s="925"/>
      <c r="K197" s="925"/>
      <c r="L197" s="926"/>
      <c r="M197" s="926"/>
      <c r="N197" s="926"/>
      <c r="O197" s="926"/>
      <c r="P197" s="926"/>
      <c r="Q197" s="534"/>
      <c r="R197" s="534"/>
      <c r="S197" s="534"/>
      <c r="T197" s="534"/>
      <c r="U197" s="536"/>
    </row>
    <row r="198" spans="1:21" ht="12.75" customHeight="1">
      <c r="A198" s="536"/>
      <c r="B198" s="536"/>
      <c r="C198" s="536"/>
      <c r="D198" s="536"/>
      <c r="E198" s="536"/>
      <c r="F198" s="536"/>
      <c r="G198" s="536"/>
      <c r="H198" s="931">
        <v>1</v>
      </c>
      <c r="I198" s="932" t="s">
        <v>341</v>
      </c>
      <c r="J198" s="932"/>
      <c r="K198" s="932"/>
      <c r="L198" s="932"/>
      <c r="M198" s="932"/>
      <c r="N198" s="932"/>
      <c r="O198" s="932"/>
      <c r="P198" s="932"/>
      <c r="Q198" s="534"/>
      <c r="R198" s="534"/>
      <c r="S198" s="534"/>
      <c r="T198" s="534"/>
      <c r="U198" s="536"/>
    </row>
    <row r="199" spans="1:21" ht="12.75" customHeight="1">
      <c r="A199" s="536"/>
      <c r="B199" s="536"/>
      <c r="C199" s="536"/>
      <c r="D199" s="536"/>
      <c r="E199" s="536"/>
      <c r="F199" s="536"/>
      <c r="G199" s="536"/>
      <c r="H199" s="931">
        <v>2</v>
      </c>
      <c r="I199" s="932" t="s">
        <v>595</v>
      </c>
      <c r="J199" s="932"/>
      <c r="K199" s="932"/>
      <c r="L199" s="932"/>
      <c r="M199" s="932"/>
      <c r="N199" s="932"/>
      <c r="O199" s="932"/>
      <c r="P199" s="932"/>
      <c r="Q199" s="534"/>
      <c r="R199" s="534"/>
      <c r="S199" s="534"/>
      <c r="T199" s="534"/>
      <c r="U199" s="536"/>
    </row>
    <row r="200" spans="1:21" ht="12.75" customHeight="1">
      <c r="A200" s="536"/>
      <c r="B200" s="536"/>
      <c r="C200" s="536"/>
      <c r="D200" s="536"/>
      <c r="E200" s="536"/>
      <c r="F200" s="536"/>
      <c r="G200" s="536"/>
      <c r="H200" s="931">
        <v>3</v>
      </c>
      <c r="I200" s="932" t="s">
        <v>340</v>
      </c>
      <c r="J200" s="932"/>
      <c r="K200" s="932"/>
      <c r="L200" s="932"/>
      <c r="M200" s="932"/>
      <c r="N200" s="932"/>
      <c r="O200" s="932"/>
      <c r="P200" s="932"/>
      <c r="Q200" s="534"/>
      <c r="R200" s="534"/>
      <c r="S200" s="534"/>
      <c r="T200" s="534"/>
      <c r="U200" s="536"/>
    </row>
    <row r="201" spans="1:21" ht="12.75" customHeight="1">
      <c r="A201" s="536"/>
      <c r="B201" s="536"/>
      <c r="C201" s="536"/>
      <c r="D201" s="536"/>
      <c r="E201" s="536"/>
      <c r="F201" s="536"/>
      <c r="G201" s="536"/>
      <c r="H201" s="931">
        <v>4</v>
      </c>
      <c r="I201" s="932" t="s">
        <v>342</v>
      </c>
      <c r="J201" s="932"/>
      <c r="K201" s="932"/>
      <c r="L201" s="932"/>
      <c r="M201" s="932"/>
      <c r="N201" s="932"/>
      <c r="O201" s="932"/>
      <c r="P201" s="932"/>
      <c r="Q201" s="534"/>
      <c r="R201" s="534"/>
      <c r="S201" s="534"/>
      <c r="T201" s="534"/>
      <c r="U201" s="536"/>
    </row>
    <row r="202" spans="1:21" ht="12.75" customHeight="1">
      <c r="A202" s="536"/>
      <c r="B202" s="536"/>
      <c r="C202" s="536"/>
      <c r="D202" s="536"/>
      <c r="E202" s="536"/>
      <c r="F202" s="536"/>
      <c r="G202" s="536"/>
      <c r="H202" s="931">
        <v>5</v>
      </c>
      <c r="I202" s="932" t="s">
        <v>174</v>
      </c>
      <c r="J202" s="932"/>
      <c r="K202" s="932"/>
      <c r="L202" s="932"/>
      <c r="M202" s="932"/>
      <c r="N202" s="932"/>
      <c r="O202" s="932"/>
      <c r="P202" s="932"/>
      <c r="Q202" s="534"/>
      <c r="R202" s="534"/>
      <c r="S202" s="534"/>
      <c r="T202" s="534"/>
      <c r="U202" s="536"/>
    </row>
    <row r="203" spans="1:21" ht="12.75" customHeight="1">
      <c r="A203" s="536"/>
      <c r="B203" s="536"/>
      <c r="C203" s="536"/>
      <c r="D203" s="536"/>
      <c r="E203" s="536"/>
      <c r="F203" s="536"/>
      <c r="G203" s="536"/>
      <c r="H203" s="931">
        <v>6</v>
      </c>
      <c r="I203" s="932" t="s">
        <v>147</v>
      </c>
      <c r="J203" s="932"/>
      <c r="K203" s="932"/>
      <c r="L203" s="932"/>
      <c r="M203" s="932"/>
      <c r="N203" s="932"/>
      <c r="O203" s="932"/>
      <c r="P203" s="932"/>
      <c r="Q203" s="534"/>
      <c r="R203" s="534"/>
      <c r="S203" s="534"/>
      <c r="T203" s="534"/>
      <c r="U203" s="536"/>
    </row>
    <row r="204" spans="1:21" ht="3.75" customHeight="1">
      <c r="A204" s="536"/>
      <c r="B204" s="536"/>
      <c r="C204" s="536"/>
      <c r="D204" s="536"/>
      <c r="E204" s="536"/>
      <c r="F204" s="536"/>
      <c r="G204" s="536"/>
      <c r="H204" s="932"/>
      <c r="I204" s="932"/>
      <c r="J204" s="932"/>
      <c r="K204" s="932"/>
      <c r="L204" s="932"/>
      <c r="M204" s="932"/>
      <c r="N204" s="932"/>
      <c r="O204" s="932"/>
      <c r="P204" s="932"/>
      <c r="Q204" s="534"/>
      <c r="R204" s="534"/>
      <c r="S204" s="534"/>
      <c r="T204" s="534"/>
      <c r="U204" s="536"/>
    </row>
    <row r="205" spans="1:21" ht="12.75" customHeight="1">
      <c r="A205" s="536"/>
      <c r="B205" s="536"/>
      <c r="C205" s="536"/>
      <c r="D205" s="536"/>
      <c r="E205" s="536"/>
      <c r="F205" s="536"/>
      <c r="G205" s="536"/>
      <c r="H205" s="925" t="s">
        <v>416</v>
      </c>
      <c r="I205" s="925"/>
      <c r="J205" s="925"/>
      <c r="K205" s="925"/>
      <c r="L205" s="926"/>
      <c r="M205" s="926"/>
      <c r="N205" s="926"/>
      <c r="O205" s="926"/>
      <c r="P205" s="926"/>
      <c r="Q205" s="534"/>
      <c r="R205" s="534"/>
      <c r="S205" s="534"/>
      <c r="T205" s="534"/>
      <c r="U205" s="536"/>
    </row>
    <row r="206" spans="1:21" ht="12.75" customHeight="1">
      <c r="A206" s="536"/>
      <c r="B206" s="536"/>
      <c r="C206" s="536"/>
      <c r="D206" s="536"/>
      <c r="E206" s="536"/>
      <c r="F206" s="536"/>
      <c r="G206" s="536"/>
      <c r="H206" s="931">
        <v>1</v>
      </c>
      <c r="I206" s="932" t="s">
        <v>266</v>
      </c>
      <c r="J206" s="932"/>
      <c r="K206" s="932"/>
      <c r="L206" s="932"/>
      <c r="M206" s="932"/>
      <c r="N206" s="932"/>
      <c r="O206" s="932"/>
      <c r="P206" s="932"/>
      <c r="Q206" s="534"/>
      <c r="R206" s="534"/>
      <c r="S206" s="534"/>
      <c r="T206" s="534"/>
      <c r="U206" s="536"/>
    </row>
    <row r="207" spans="1:21" ht="12.75" customHeight="1">
      <c r="A207" s="536"/>
      <c r="B207" s="536"/>
      <c r="C207" s="536"/>
      <c r="D207" s="536"/>
      <c r="E207" s="536"/>
      <c r="F207" s="536"/>
      <c r="G207" s="536"/>
      <c r="H207" s="931">
        <v>2</v>
      </c>
      <c r="I207" s="932" t="s">
        <v>267</v>
      </c>
      <c r="J207" s="932"/>
      <c r="K207" s="932"/>
      <c r="L207" s="932"/>
      <c r="M207" s="932"/>
      <c r="N207" s="932"/>
      <c r="O207" s="932"/>
      <c r="P207" s="932"/>
      <c r="Q207" s="534"/>
      <c r="R207" s="534"/>
      <c r="S207" s="534"/>
      <c r="T207" s="534"/>
      <c r="U207" s="536"/>
    </row>
    <row r="208" spans="1:21" ht="12.75" customHeight="1">
      <c r="A208" s="536"/>
      <c r="B208" s="536"/>
      <c r="C208" s="536"/>
      <c r="D208" s="536"/>
      <c r="E208" s="536"/>
      <c r="F208" s="536"/>
      <c r="G208" s="536"/>
      <c r="H208" s="931">
        <v>3</v>
      </c>
      <c r="I208" s="932" t="s">
        <v>268</v>
      </c>
      <c r="J208" s="932"/>
      <c r="K208" s="932"/>
      <c r="L208" s="932"/>
      <c r="M208" s="932"/>
      <c r="N208" s="932"/>
      <c r="O208" s="932"/>
      <c r="P208" s="932"/>
      <c r="Q208" s="534"/>
      <c r="R208" s="534"/>
      <c r="S208" s="534"/>
      <c r="T208" s="534"/>
      <c r="U208" s="536"/>
    </row>
    <row r="209" spans="1:21" ht="12.75" customHeight="1">
      <c r="A209" s="536"/>
      <c r="B209" s="536"/>
      <c r="C209" s="536"/>
      <c r="D209" s="536"/>
      <c r="E209" s="536"/>
      <c r="F209" s="536"/>
      <c r="G209" s="536"/>
      <c r="H209" s="931">
        <v>4</v>
      </c>
      <c r="I209" s="932" t="s">
        <v>732</v>
      </c>
      <c r="J209" s="932"/>
      <c r="K209" s="932"/>
      <c r="L209" s="932"/>
      <c r="M209" s="932"/>
      <c r="N209" s="932"/>
      <c r="O209" s="932"/>
      <c r="P209" s="932"/>
      <c r="Q209" s="534"/>
      <c r="R209" s="534"/>
      <c r="S209" s="534"/>
      <c r="T209" s="534"/>
      <c r="U209" s="536"/>
    </row>
    <row r="210" spans="1:21" ht="12.75" customHeight="1">
      <c r="A210" s="536"/>
      <c r="B210" s="536"/>
      <c r="C210" s="536"/>
      <c r="D210" s="536"/>
      <c r="E210" s="536"/>
      <c r="F210" s="536"/>
      <c r="G210" s="536"/>
      <c r="H210" s="931">
        <v>5</v>
      </c>
      <c r="I210" s="932" t="s">
        <v>707</v>
      </c>
      <c r="J210" s="932"/>
      <c r="K210" s="932"/>
      <c r="L210" s="932"/>
      <c r="M210" s="932"/>
      <c r="N210" s="932"/>
      <c r="O210" s="932"/>
      <c r="P210" s="932"/>
      <c r="Q210" s="534"/>
      <c r="R210" s="534"/>
      <c r="S210" s="534"/>
      <c r="T210" s="534"/>
      <c r="U210" s="536"/>
    </row>
    <row r="211" spans="1:21" ht="3.75" customHeight="1">
      <c r="A211" s="536"/>
      <c r="B211" s="536"/>
      <c r="C211" s="536"/>
      <c r="D211" s="536"/>
      <c r="E211" s="536"/>
      <c r="F211" s="536"/>
      <c r="G211" s="536"/>
      <c r="H211" s="932"/>
      <c r="I211" s="932"/>
      <c r="J211" s="932"/>
      <c r="K211" s="932"/>
      <c r="L211" s="932"/>
      <c r="M211" s="932"/>
      <c r="N211" s="932"/>
      <c r="O211" s="932"/>
      <c r="P211" s="932"/>
      <c r="Q211" s="534"/>
      <c r="R211" s="534"/>
      <c r="S211" s="534"/>
      <c r="T211" s="534"/>
      <c r="U211" s="536"/>
    </row>
    <row r="212" spans="1:21" ht="12.75" customHeight="1">
      <c r="A212" s="536"/>
      <c r="B212" s="536"/>
      <c r="C212" s="536"/>
      <c r="D212" s="536"/>
      <c r="E212" s="536"/>
      <c r="F212" s="536"/>
      <c r="G212" s="536"/>
      <c r="H212" s="925" t="s">
        <v>540</v>
      </c>
      <c r="I212" s="925"/>
      <c r="J212" s="925"/>
      <c r="K212" s="925"/>
      <c r="L212" s="926"/>
      <c r="M212" s="926"/>
      <c r="N212" s="926"/>
      <c r="O212" s="926"/>
      <c r="P212" s="926"/>
      <c r="Q212" s="534"/>
      <c r="R212" s="534"/>
      <c r="S212" s="534"/>
      <c r="T212" s="534"/>
      <c r="U212" s="536"/>
    </row>
    <row r="213" spans="1:21" ht="12.75" customHeight="1">
      <c r="A213" s="536"/>
      <c r="B213" s="536"/>
      <c r="C213" s="536"/>
      <c r="D213" s="536"/>
      <c r="E213" s="536"/>
      <c r="F213" s="536"/>
      <c r="G213" s="536"/>
      <c r="H213" s="931">
        <v>1</v>
      </c>
      <c r="I213" s="932" t="s">
        <v>215</v>
      </c>
      <c r="J213" s="932"/>
      <c r="K213" s="932"/>
      <c r="L213" s="932"/>
      <c r="M213" s="932"/>
      <c r="N213" s="932"/>
      <c r="O213" s="932"/>
      <c r="P213" s="932"/>
      <c r="Q213" s="534"/>
      <c r="R213" s="534"/>
      <c r="S213" s="534"/>
      <c r="T213" s="534"/>
      <c r="U213" s="536"/>
    </row>
    <row r="214" spans="1:21" ht="12.75" customHeight="1">
      <c r="A214" s="536"/>
      <c r="B214" s="536"/>
      <c r="C214" s="536"/>
      <c r="D214" s="536"/>
      <c r="E214" s="536"/>
      <c r="F214" s="536"/>
      <c r="G214" s="536"/>
      <c r="H214" s="931">
        <v>2</v>
      </c>
      <c r="I214" s="932" t="s">
        <v>395</v>
      </c>
      <c r="J214" s="932"/>
      <c r="K214" s="932"/>
      <c r="L214" s="932"/>
      <c r="M214" s="932"/>
      <c r="N214" s="932"/>
      <c r="O214" s="932"/>
      <c r="P214" s="932"/>
      <c r="Q214" s="534"/>
      <c r="R214" s="534"/>
      <c r="S214" s="534"/>
      <c r="T214" s="534"/>
      <c r="U214" s="536"/>
    </row>
    <row r="215" spans="1:21" ht="12.75" customHeight="1">
      <c r="A215" s="536"/>
      <c r="B215" s="536"/>
      <c r="C215" s="536"/>
      <c r="D215" s="536"/>
      <c r="E215" s="536"/>
      <c r="F215" s="536"/>
      <c r="G215" s="536"/>
      <c r="H215" s="931">
        <v>3</v>
      </c>
      <c r="I215" s="932" t="s">
        <v>396</v>
      </c>
      <c r="J215" s="932"/>
      <c r="K215" s="932"/>
      <c r="L215" s="932"/>
      <c r="M215" s="932"/>
      <c r="N215" s="932"/>
      <c r="O215" s="932"/>
      <c r="P215" s="932"/>
      <c r="Q215" s="534"/>
      <c r="R215" s="534"/>
      <c r="S215" s="534"/>
      <c r="T215" s="534"/>
      <c r="U215" s="536"/>
    </row>
    <row r="216" spans="1:21" ht="12.75" customHeight="1">
      <c r="A216" s="536"/>
      <c r="B216" s="536"/>
      <c r="C216" s="536"/>
      <c r="D216" s="536"/>
      <c r="E216" s="536"/>
      <c r="F216" s="536"/>
      <c r="G216" s="536"/>
      <c r="H216" s="931">
        <v>4</v>
      </c>
      <c r="I216" s="932" t="s">
        <v>55</v>
      </c>
      <c r="J216" s="932"/>
      <c r="K216" s="932"/>
      <c r="L216" s="932"/>
      <c r="M216" s="932"/>
      <c r="N216" s="932"/>
      <c r="O216" s="932"/>
      <c r="P216" s="932"/>
      <c r="Q216" s="534"/>
      <c r="R216" s="534"/>
      <c r="S216" s="534"/>
      <c r="T216" s="534"/>
      <c r="U216" s="536"/>
    </row>
    <row r="217" spans="1:21" ht="12.75" customHeight="1">
      <c r="A217" s="536"/>
      <c r="B217" s="536"/>
      <c r="C217" s="536"/>
      <c r="D217" s="536"/>
      <c r="E217" s="536"/>
      <c r="F217" s="536"/>
      <c r="G217" s="536"/>
      <c r="H217" s="931">
        <v>5</v>
      </c>
      <c r="I217" s="932" t="s">
        <v>56</v>
      </c>
      <c r="J217" s="932"/>
      <c r="K217" s="932"/>
      <c r="L217" s="932"/>
      <c r="M217" s="932"/>
      <c r="N217" s="932"/>
      <c r="O217" s="932"/>
      <c r="P217" s="932"/>
      <c r="Q217" s="534"/>
      <c r="R217" s="534"/>
      <c r="S217" s="534"/>
      <c r="T217" s="534"/>
      <c r="U217" s="536"/>
    </row>
    <row r="218" spans="1:21" ht="3.75" customHeight="1">
      <c r="A218" s="536"/>
      <c r="B218" s="536"/>
      <c r="C218" s="536"/>
      <c r="D218" s="536"/>
      <c r="E218" s="536"/>
      <c r="F218" s="536"/>
      <c r="G218" s="536"/>
      <c r="H218" s="932"/>
      <c r="I218" s="932"/>
      <c r="J218" s="932"/>
      <c r="K218" s="932"/>
      <c r="L218" s="932"/>
      <c r="M218" s="932"/>
      <c r="N218" s="932"/>
      <c r="O218" s="932"/>
      <c r="P218" s="932"/>
      <c r="Q218" s="534"/>
      <c r="R218" s="534"/>
      <c r="S218" s="534"/>
      <c r="T218" s="534"/>
      <c r="U218" s="536"/>
    </row>
    <row r="219" spans="1:21" ht="12.75" customHeight="1">
      <c r="A219" s="536"/>
      <c r="B219" s="536"/>
      <c r="C219" s="536"/>
      <c r="D219" s="536"/>
      <c r="E219" s="536"/>
      <c r="F219" s="536"/>
      <c r="G219" s="536"/>
      <c r="H219" s="925" t="s">
        <v>696</v>
      </c>
      <c r="I219" s="925"/>
      <c r="J219" s="925"/>
      <c r="K219" s="925"/>
      <c r="L219" s="926"/>
      <c r="M219" s="926"/>
      <c r="N219" s="926"/>
      <c r="O219" s="926"/>
      <c r="P219" s="926"/>
      <c r="Q219" s="534"/>
      <c r="R219" s="534"/>
      <c r="S219" s="534"/>
      <c r="T219" s="534"/>
      <c r="U219" s="536"/>
    </row>
    <row r="220" spans="1:21" ht="12.75" customHeight="1">
      <c r="A220" s="536"/>
      <c r="B220" s="536"/>
      <c r="C220" s="536"/>
      <c r="D220" s="536"/>
      <c r="E220" s="536"/>
      <c r="F220" s="536"/>
      <c r="G220" s="536"/>
      <c r="H220" s="931">
        <v>1</v>
      </c>
      <c r="I220" s="932" t="s">
        <v>620</v>
      </c>
      <c r="J220" s="932"/>
      <c r="K220" s="932"/>
      <c r="L220" s="932"/>
      <c r="M220" s="932"/>
      <c r="N220" s="932"/>
      <c r="O220" s="932"/>
      <c r="P220" s="932"/>
      <c r="Q220" s="534"/>
      <c r="R220" s="534"/>
      <c r="S220" s="534"/>
      <c r="T220" s="534"/>
      <c r="U220" s="536"/>
    </row>
    <row r="221" spans="1:21" ht="12.75" customHeight="1">
      <c r="A221" s="536"/>
      <c r="B221" s="536"/>
      <c r="C221" s="536"/>
      <c r="D221" s="536"/>
      <c r="E221" s="536"/>
      <c r="F221" s="536"/>
      <c r="G221" s="536"/>
      <c r="H221" s="931">
        <v>2</v>
      </c>
      <c r="I221" s="932" t="s">
        <v>121</v>
      </c>
      <c r="J221" s="932"/>
      <c r="K221" s="932"/>
      <c r="L221" s="932"/>
      <c r="M221" s="932"/>
      <c r="N221" s="932"/>
      <c r="O221" s="932"/>
      <c r="P221" s="932"/>
      <c r="Q221" s="534"/>
      <c r="R221" s="534"/>
      <c r="S221" s="534"/>
      <c r="T221" s="534"/>
      <c r="U221" s="536"/>
    </row>
    <row r="222" spans="1:21" ht="12.75" customHeight="1">
      <c r="A222" s="536"/>
      <c r="B222" s="536"/>
      <c r="C222" s="536"/>
      <c r="D222" s="536"/>
      <c r="E222" s="536"/>
      <c r="F222" s="536"/>
      <c r="G222" s="536"/>
      <c r="H222" s="931">
        <v>3</v>
      </c>
      <c r="I222" s="932" t="s">
        <v>657</v>
      </c>
      <c r="J222" s="932"/>
      <c r="K222" s="932"/>
      <c r="L222" s="932"/>
      <c r="M222" s="932"/>
      <c r="N222" s="932"/>
      <c r="O222" s="932"/>
      <c r="P222" s="932"/>
      <c r="Q222" s="534"/>
      <c r="R222" s="534"/>
      <c r="S222" s="534"/>
      <c r="T222" s="534"/>
      <c r="U222" s="536"/>
    </row>
    <row r="223" spans="1:21" ht="12.75" customHeight="1">
      <c r="A223" s="536"/>
      <c r="B223" s="536"/>
      <c r="C223" s="536"/>
      <c r="D223" s="536"/>
      <c r="E223" s="536"/>
      <c r="F223" s="536"/>
      <c r="G223" s="536"/>
      <c r="H223" s="931">
        <v>4</v>
      </c>
      <c r="I223" s="932" t="s">
        <v>330</v>
      </c>
      <c r="J223" s="932"/>
      <c r="K223" s="932"/>
      <c r="L223" s="932"/>
      <c r="M223" s="932"/>
      <c r="N223" s="932"/>
      <c r="O223" s="932"/>
      <c r="P223" s="932"/>
      <c r="Q223" s="534"/>
      <c r="R223" s="534"/>
      <c r="S223" s="534"/>
      <c r="T223" s="534"/>
      <c r="U223" s="536"/>
    </row>
    <row r="224" spans="1:21" ht="3" customHeight="1">
      <c r="A224" s="536"/>
      <c r="B224" s="536"/>
      <c r="C224" s="536"/>
      <c r="D224" s="536"/>
      <c r="E224" s="536"/>
      <c r="F224" s="536"/>
      <c r="G224" s="536"/>
      <c r="H224" s="932"/>
      <c r="I224" s="932"/>
      <c r="J224" s="932"/>
      <c r="K224" s="932"/>
      <c r="L224" s="932"/>
      <c r="M224" s="932"/>
      <c r="N224" s="932"/>
      <c r="O224" s="932"/>
      <c r="P224" s="932"/>
      <c r="Q224" s="534"/>
      <c r="R224" s="534"/>
      <c r="S224" s="534"/>
      <c r="T224" s="534"/>
      <c r="U224" s="536"/>
    </row>
    <row r="225" spans="1:21" ht="12.75" customHeight="1">
      <c r="A225" s="536"/>
      <c r="B225" s="536"/>
      <c r="C225" s="536"/>
      <c r="D225" s="536"/>
      <c r="E225" s="536"/>
      <c r="F225" s="536"/>
      <c r="G225" s="536"/>
      <c r="H225" s="925" t="s">
        <v>662</v>
      </c>
      <c r="I225" s="925"/>
      <c r="J225" s="925"/>
      <c r="K225" s="925"/>
      <c r="L225" s="926"/>
      <c r="M225" s="926"/>
      <c r="N225" s="926"/>
      <c r="O225" s="926"/>
      <c r="P225" s="926"/>
      <c r="Q225" s="534"/>
      <c r="R225" s="534"/>
      <c r="S225" s="534"/>
      <c r="T225" s="534"/>
      <c r="U225" s="536"/>
    </row>
    <row r="226" spans="1:21" ht="12.75" customHeight="1">
      <c r="A226" s="536"/>
      <c r="B226" s="536"/>
      <c r="C226" s="536"/>
      <c r="D226" s="536"/>
      <c r="E226" s="536"/>
      <c r="F226" s="536"/>
      <c r="G226" s="536"/>
      <c r="H226" s="931">
        <v>1</v>
      </c>
      <c r="I226" s="932" t="s">
        <v>119</v>
      </c>
      <c r="J226" s="932"/>
      <c r="K226" s="932"/>
      <c r="L226" s="932"/>
      <c r="M226" s="932"/>
      <c r="N226" s="932"/>
      <c r="O226" s="932"/>
      <c r="P226" s="932"/>
      <c r="Q226" s="534"/>
      <c r="R226" s="534"/>
      <c r="S226" s="534"/>
      <c r="T226" s="534"/>
      <c r="U226" s="536"/>
    </row>
    <row r="227" spans="1:21" ht="12.75" customHeight="1">
      <c r="A227" s="536"/>
      <c r="B227" s="536"/>
      <c r="C227" s="536"/>
      <c r="D227" s="536"/>
      <c r="E227" s="536"/>
      <c r="F227" s="536"/>
      <c r="G227" s="536"/>
      <c r="H227" s="931">
        <v>2</v>
      </c>
      <c r="I227" s="932" t="s">
        <v>164</v>
      </c>
      <c r="J227" s="932"/>
      <c r="K227" s="932"/>
      <c r="L227" s="932"/>
      <c r="M227" s="932"/>
      <c r="N227" s="932"/>
      <c r="O227" s="932"/>
      <c r="P227" s="932"/>
      <c r="Q227" s="534"/>
      <c r="R227" s="534"/>
      <c r="S227" s="534"/>
      <c r="T227" s="534"/>
      <c r="U227" s="536"/>
    </row>
    <row r="228" spans="1:21" ht="12.75" customHeight="1">
      <c r="A228" s="536"/>
      <c r="B228" s="536"/>
      <c r="C228" s="536"/>
      <c r="D228" s="536"/>
      <c r="E228" s="536"/>
      <c r="F228" s="536"/>
      <c r="G228" s="536"/>
      <c r="H228" s="931">
        <v>3</v>
      </c>
      <c r="I228" s="932" t="s">
        <v>610</v>
      </c>
      <c r="J228" s="932"/>
      <c r="K228" s="932"/>
      <c r="L228" s="932"/>
      <c r="M228" s="932"/>
      <c r="N228" s="932"/>
      <c r="O228" s="932"/>
      <c r="P228" s="932"/>
      <c r="Q228" s="534"/>
      <c r="R228" s="534"/>
      <c r="S228" s="534"/>
      <c r="T228" s="534"/>
      <c r="U228" s="536"/>
    </row>
    <row r="229" spans="1:21" ht="12.75" customHeight="1">
      <c r="A229" s="536"/>
      <c r="B229" s="536"/>
      <c r="C229" s="536"/>
      <c r="D229" s="536"/>
      <c r="E229" s="536"/>
      <c r="F229" s="536"/>
      <c r="G229" s="536"/>
      <c r="H229" s="931">
        <v>4</v>
      </c>
      <c r="I229" s="932" t="s">
        <v>675</v>
      </c>
      <c r="J229" s="932"/>
      <c r="K229" s="932"/>
      <c r="L229" s="932"/>
      <c r="M229" s="932"/>
      <c r="N229" s="932"/>
      <c r="O229" s="932"/>
      <c r="P229" s="932"/>
      <c r="Q229" s="534"/>
      <c r="R229" s="534"/>
      <c r="S229" s="534"/>
      <c r="T229" s="534"/>
      <c r="U229" s="536"/>
    </row>
    <row r="230" spans="1:21" ht="12.75" customHeight="1">
      <c r="A230" s="536"/>
      <c r="B230" s="536"/>
      <c r="C230" s="536"/>
      <c r="D230" s="536"/>
      <c r="E230" s="536"/>
      <c r="F230" s="536"/>
      <c r="G230" s="536"/>
      <c r="H230" s="931">
        <v>5</v>
      </c>
      <c r="I230" s="932" t="s">
        <v>422</v>
      </c>
      <c r="J230" s="932"/>
      <c r="K230" s="932"/>
      <c r="L230" s="932"/>
      <c r="M230" s="932"/>
      <c r="N230" s="932"/>
      <c r="O230" s="932"/>
      <c r="P230" s="932"/>
      <c r="Q230" s="534"/>
      <c r="R230" s="534"/>
      <c r="S230" s="534"/>
      <c r="T230" s="534"/>
      <c r="U230" s="536"/>
    </row>
    <row r="231" spans="1:21" ht="3" customHeight="1">
      <c r="A231" s="536"/>
      <c r="B231" s="536"/>
      <c r="C231" s="536"/>
      <c r="D231" s="536"/>
      <c r="E231" s="536"/>
      <c r="F231" s="536"/>
      <c r="G231" s="536"/>
      <c r="H231" s="932"/>
      <c r="I231" s="932"/>
      <c r="J231" s="932"/>
      <c r="K231" s="932"/>
      <c r="L231" s="932"/>
      <c r="M231" s="932"/>
      <c r="N231" s="932"/>
      <c r="O231" s="932"/>
      <c r="P231" s="932"/>
      <c r="Q231" s="534"/>
      <c r="R231" s="534"/>
      <c r="S231" s="534"/>
      <c r="T231" s="534"/>
      <c r="U231" s="536"/>
    </row>
    <row r="232" spans="1:21" ht="13.5">
      <c r="A232" s="536"/>
      <c r="B232" s="536"/>
      <c r="C232" s="536"/>
      <c r="D232" s="536"/>
      <c r="E232" s="536"/>
      <c r="F232" s="536"/>
      <c r="G232" s="536"/>
      <c r="H232" s="933" t="s">
        <v>637</v>
      </c>
      <c r="I232" s="925"/>
      <c r="J232" s="925"/>
      <c r="K232" s="925"/>
      <c r="L232" s="926"/>
      <c r="M232" s="926"/>
      <c r="N232" s="926"/>
      <c r="O232" s="926"/>
      <c r="P232" s="926"/>
      <c r="Q232" s="534"/>
      <c r="R232" s="534"/>
      <c r="S232" s="534"/>
      <c r="T232" s="534"/>
      <c r="U232" s="536"/>
    </row>
    <row r="233" spans="1:21" ht="13.5">
      <c r="A233" s="536"/>
      <c r="B233" s="536"/>
      <c r="C233" s="536"/>
      <c r="D233" s="536"/>
      <c r="E233" s="536"/>
      <c r="F233" s="536"/>
      <c r="G233" s="536"/>
      <c r="H233" s="931">
        <v>1</v>
      </c>
      <c r="I233" s="932" t="s">
        <v>602</v>
      </c>
      <c r="J233" s="932"/>
      <c r="K233" s="932"/>
      <c r="L233" s="932"/>
      <c r="M233" s="932"/>
      <c r="N233" s="932"/>
      <c r="O233" s="932"/>
      <c r="P233" s="932"/>
      <c r="Q233" s="534"/>
      <c r="R233" s="534"/>
      <c r="S233" s="534"/>
      <c r="T233" s="534"/>
      <c r="U233" s="536"/>
    </row>
    <row r="234" spans="1:21" ht="13.5">
      <c r="A234" s="536"/>
      <c r="B234" s="536"/>
      <c r="C234" s="536"/>
      <c r="D234" s="536"/>
      <c r="E234" s="536"/>
      <c r="F234" s="536"/>
      <c r="G234" s="536"/>
      <c r="H234" s="931">
        <v>2</v>
      </c>
      <c r="I234" s="932" t="s">
        <v>214</v>
      </c>
      <c r="J234" s="932"/>
      <c r="K234" s="932"/>
      <c r="L234" s="932"/>
      <c r="M234" s="932"/>
      <c r="N234" s="932"/>
      <c r="O234" s="932"/>
      <c r="P234" s="932"/>
      <c r="Q234" s="534"/>
      <c r="R234" s="534"/>
      <c r="S234" s="534"/>
      <c r="T234" s="534"/>
      <c r="U234" s="536"/>
    </row>
    <row r="235" spans="1:21" ht="13.5">
      <c r="A235" s="536"/>
      <c r="B235" s="536"/>
      <c r="C235" s="536"/>
      <c r="D235" s="536"/>
      <c r="E235" s="536"/>
      <c r="F235" s="536"/>
      <c r="G235" s="536"/>
      <c r="H235" s="931">
        <v>3</v>
      </c>
      <c r="I235" s="932" t="s">
        <v>674</v>
      </c>
      <c r="J235" s="932"/>
      <c r="K235" s="932"/>
      <c r="L235" s="932"/>
      <c r="M235" s="932"/>
      <c r="N235" s="932"/>
      <c r="O235" s="932"/>
      <c r="P235" s="932"/>
      <c r="Q235" s="534"/>
      <c r="R235" s="534"/>
      <c r="S235" s="534"/>
      <c r="T235" s="534"/>
      <c r="U235" s="536"/>
    </row>
    <row r="236" spans="1:21" ht="13.5">
      <c r="A236" s="536"/>
      <c r="B236" s="536"/>
      <c r="C236" s="536"/>
      <c r="D236" s="536"/>
      <c r="E236" s="536"/>
      <c r="F236" s="536"/>
      <c r="G236" s="536"/>
      <c r="H236" s="931">
        <v>4</v>
      </c>
      <c r="I236" s="932" t="s">
        <v>592</v>
      </c>
      <c r="J236" s="932"/>
      <c r="K236" s="932"/>
      <c r="L236" s="932"/>
      <c r="M236" s="932"/>
      <c r="N236" s="932"/>
      <c r="O236" s="932"/>
      <c r="P236" s="932"/>
      <c r="Q236" s="534"/>
      <c r="R236" s="534"/>
      <c r="S236" s="534"/>
      <c r="T236" s="534"/>
      <c r="U236" s="536"/>
    </row>
    <row r="237" spans="1:21" ht="13.5">
      <c r="A237" s="536"/>
      <c r="B237" s="536"/>
      <c r="C237" s="536"/>
      <c r="D237" s="536"/>
      <c r="E237" s="536"/>
      <c r="F237" s="536"/>
      <c r="G237" s="536"/>
      <c r="H237" s="931">
        <v>5</v>
      </c>
      <c r="I237" s="932" t="s">
        <v>601</v>
      </c>
      <c r="J237" s="932"/>
      <c r="K237" s="932"/>
      <c r="L237" s="932"/>
      <c r="M237" s="932"/>
      <c r="N237" s="932"/>
      <c r="O237" s="932"/>
      <c r="P237" s="932"/>
      <c r="Q237" s="534"/>
      <c r="R237" s="534"/>
      <c r="S237" s="534"/>
      <c r="T237" s="534"/>
      <c r="U237" s="536"/>
    </row>
    <row r="238" spans="1:21" ht="3" customHeight="1">
      <c r="A238" s="536"/>
      <c r="B238" s="536"/>
      <c r="C238" s="536"/>
      <c r="D238" s="536"/>
      <c r="E238" s="536"/>
      <c r="F238" s="536"/>
      <c r="G238" s="536"/>
      <c r="H238" s="932"/>
      <c r="I238" s="932"/>
      <c r="J238" s="932"/>
      <c r="K238" s="932"/>
      <c r="L238" s="932"/>
      <c r="M238" s="932"/>
      <c r="N238" s="932"/>
      <c r="O238" s="932"/>
      <c r="P238" s="932"/>
      <c r="Q238" s="534"/>
      <c r="R238" s="534"/>
      <c r="S238" s="534"/>
      <c r="T238" s="534"/>
      <c r="U238" s="536"/>
    </row>
    <row r="239" spans="1:21" ht="13.5">
      <c r="A239" s="536"/>
      <c r="B239" s="536"/>
      <c r="C239" s="536"/>
      <c r="D239" s="536"/>
      <c r="E239" s="536"/>
      <c r="F239" s="536"/>
      <c r="G239" s="536"/>
      <c r="H239" s="933" t="s">
        <v>309</v>
      </c>
      <c r="I239" s="925"/>
      <c r="J239" s="925"/>
      <c r="K239" s="925"/>
      <c r="L239" s="926"/>
      <c r="M239" s="926"/>
      <c r="N239" s="926"/>
      <c r="O239" s="926"/>
      <c r="P239" s="926"/>
      <c r="Q239" s="534"/>
      <c r="R239" s="534"/>
      <c r="S239" s="534"/>
      <c r="T239" s="534"/>
      <c r="U239" s="536"/>
    </row>
    <row r="240" spans="1:21" ht="13.5">
      <c r="A240" s="536"/>
      <c r="B240" s="536"/>
      <c r="C240" s="536"/>
      <c r="D240" s="536"/>
      <c r="E240" s="536"/>
      <c r="F240" s="536"/>
      <c r="G240" s="536"/>
      <c r="H240" s="931">
        <v>1</v>
      </c>
      <c r="I240" s="932" t="s">
        <v>383</v>
      </c>
      <c r="J240" s="932"/>
      <c r="K240" s="932"/>
      <c r="L240" s="932"/>
      <c r="M240" s="932"/>
      <c r="N240" s="932"/>
      <c r="O240" s="932"/>
      <c r="P240" s="932"/>
      <c r="Q240" s="534"/>
      <c r="R240" s="534"/>
      <c r="S240" s="534"/>
      <c r="T240" s="534"/>
      <c r="U240" s="536"/>
    </row>
    <row r="241" spans="1:21" ht="13.5">
      <c r="A241" s="536"/>
      <c r="B241" s="536"/>
      <c r="C241" s="536"/>
      <c r="D241" s="536"/>
      <c r="E241" s="536"/>
      <c r="F241" s="536"/>
      <c r="G241" s="536"/>
      <c r="H241" s="931">
        <v>2</v>
      </c>
      <c r="I241" s="932" t="s">
        <v>40</v>
      </c>
      <c r="J241" s="932"/>
      <c r="K241" s="932"/>
      <c r="L241" s="932"/>
      <c r="M241" s="932"/>
      <c r="N241" s="932"/>
      <c r="O241" s="932"/>
      <c r="P241" s="932"/>
      <c r="Q241" s="534"/>
      <c r="R241" s="534"/>
      <c r="S241" s="534"/>
      <c r="T241" s="534"/>
      <c r="U241" s="536"/>
    </row>
    <row r="242" spans="1:21" ht="13.5">
      <c r="A242" s="536"/>
      <c r="B242" s="536"/>
      <c r="C242" s="536"/>
      <c r="D242" s="536"/>
      <c r="E242" s="536"/>
      <c r="F242" s="536"/>
      <c r="G242" s="536"/>
      <c r="H242" s="931">
        <v>3</v>
      </c>
      <c r="I242" s="932" t="s">
        <v>211</v>
      </c>
      <c r="J242" s="932"/>
      <c r="K242" s="932"/>
      <c r="L242" s="932"/>
      <c r="M242" s="932"/>
      <c r="N242" s="932"/>
      <c r="O242" s="932"/>
      <c r="P242" s="932"/>
      <c r="Q242" s="534"/>
      <c r="R242" s="534"/>
      <c r="S242" s="534"/>
      <c r="T242" s="534"/>
      <c r="U242" s="536"/>
    </row>
    <row r="243" spans="1:21" ht="13.5">
      <c r="A243" s="536"/>
      <c r="B243" s="536"/>
      <c r="C243" s="536"/>
      <c r="D243" s="536"/>
      <c r="E243" s="536"/>
      <c r="F243" s="536"/>
      <c r="G243" s="536"/>
      <c r="H243" s="931">
        <v>4</v>
      </c>
      <c r="I243" s="932" t="s">
        <v>632</v>
      </c>
      <c r="J243" s="932"/>
      <c r="K243" s="932"/>
      <c r="L243" s="932"/>
      <c r="M243" s="932"/>
      <c r="N243" s="932"/>
      <c r="O243" s="932"/>
      <c r="P243" s="932"/>
      <c r="Q243" s="534"/>
      <c r="R243" s="534"/>
      <c r="S243" s="534"/>
      <c r="T243" s="534"/>
      <c r="U243" s="536"/>
    </row>
    <row r="244" spans="1:21" ht="13.5">
      <c r="A244" s="536"/>
      <c r="B244" s="536"/>
      <c r="C244" s="536"/>
      <c r="D244" s="536"/>
      <c r="E244" s="536"/>
      <c r="F244" s="536"/>
      <c r="G244" s="536"/>
      <c r="H244" s="931">
        <v>5</v>
      </c>
      <c r="I244" s="932" t="s">
        <v>61</v>
      </c>
      <c r="J244" s="932"/>
      <c r="K244" s="932"/>
      <c r="L244" s="932"/>
      <c r="M244" s="932"/>
      <c r="N244" s="932"/>
      <c r="O244" s="932"/>
      <c r="P244" s="932"/>
      <c r="Q244" s="534"/>
      <c r="R244" s="534"/>
      <c r="S244" s="534"/>
      <c r="T244" s="534"/>
      <c r="U244" s="536"/>
    </row>
    <row r="245" spans="1:21" ht="13.5">
      <c r="A245" s="536"/>
      <c r="B245" s="536"/>
      <c r="C245" s="536"/>
      <c r="D245" s="536"/>
      <c r="E245" s="536"/>
      <c r="F245" s="536"/>
      <c r="G245" s="536"/>
      <c r="H245" s="931">
        <v>6</v>
      </c>
      <c r="I245" s="932" t="s">
        <v>423</v>
      </c>
      <c r="J245" s="932"/>
      <c r="K245" s="932"/>
      <c r="L245" s="932"/>
      <c r="M245" s="932"/>
      <c r="N245" s="932"/>
      <c r="O245" s="932"/>
      <c r="P245" s="932"/>
      <c r="Q245" s="534"/>
      <c r="R245" s="534"/>
      <c r="S245" s="534"/>
      <c r="T245" s="534"/>
      <c r="U245" s="536"/>
    </row>
    <row r="246" spans="1:21" ht="13.5">
      <c r="A246" s="536"/>
      <c r="B246" s="536"/>
      <c r="C246" s="536"/>
      <c r="D246" s="536"/>
      <c r="E246" s="536"/>
      <c r="F246" s="536"/>
      <c r="G246" s="536"/>
      <c r="H246" s="931">
        <v>7</v>
      </c>
      <c r="I246" s="932" t="s">
        <v>599</v>
      </c>
      <c r="J246" s="932"/>
      <c r="K246" s="932"/>
      <c r="L246" s="932"/>
      <c r="M246" s="932"/>
      <c r="N246" s="932"/>
      <c r="O246" s="932"/>
      <c r="P246" s="932"/>
      <c r="Q246" s="534"/>
      <c r="R246" s="534"/>
      <c r="S246" s="534"/>
      <c r="T246" s="534"/>
      <c r="U246" s="536"/>
    </row>
    <row r="247" spans="1:21" ht="13.5">
      <c r="A247" s="536"/>
      <c r="B247" s="536"/>
      <c r="C247" s="536"/>
      <c r="D247" s="536"/>
      <c r="E247" s="536"/>
      <c r="F247" s="536"/>
      <c r="G247" s="536"/>
      <c r="H247" s="931">
        <v>8</v>
      </c>
      <c r="I247" s="932" t="s">
        <v>384</v>
      </c>
      <c r="J247" s="932"/>
      <c r="K247" s="932"/>
      <c r="L247" s="932"/>
      <c r="M247" s="932"/>
      <c r="N247" s="932"/>
      <c r="O247" s="932"/>
      <c r="P247" s="932"/>
      <c r="Q247" s="534"/>
      <c r="R247" s="534"/>
      <c r="S247" s="534"/>
      <c r="T247" s="534"/>
      <c r="U247" s="536"/>
    </row>
    <row r="248" spans="1:21" ht="3" customHeight="1">
      <c r="A248" s="536"/>
      <c r="B248" s="536"/>
      <c r="C248" s="536"/>
      <c r="D248" s="536"/>
      <c r="E248" s="536"/>
      <c r="F248" s="536"/>
      <c r="G248" s="536"/>
      <c r="H248" s="932"/>
      <c r="I248" s="932"/>
      <c r="J248" s="932"/>
      <c r="K248" s="932"/>
      <c r="L248" s="932"/>
      <c r="M248" s="932"/>
      <c r="N248" s="932"/>
      <c r="O248" s="932"/>
      <c r="P248" s="932"/>
      <c r="Q248" s="534"/>
      <c r="R248" s="534"/>
      <c r="S248" s="534"/>
      <c r="T248" s="534"/>
      <c r="U248" s="536"/>
    </row>
    <row r="249" spans="1:21" ht="13.5">
      <c r="A249" s="536"/>
      <c r="B249" s="536"/>
      <c r="C249" s="536"/>
      <c r="D249" s="536"/>
      <c r="E249" s="536"/>
      <c r="F249" s="536"/>
      <c r="G249" s="536"/>
      <c r="H249" s="933" t="s">
        <v>306</v>
      </c>
      <c r="I249" s="925"/>
      <c r="J249" s="925"/>
      <c r="K249" s="925"/>
      <c r="L249" s="926"/>
      <c r="M249" s="926"/>
      <c r="N249" s="926"/>
      <c r="O249" s="926"/>
      <c r="P249" s="926"/>
      <c r="Q249" s="534"/>
      <c r="R249" s="534"/>
      <c r="S249" s="534"/>
      <c r="T249" s="534"/>
      <c r="U249" s="536"/>
    </row>
    <row r="250" spans="1:21" ht="13.5">
      <c r="A250" s="536"/>
      <c r="B250" s="536"/>
      <c r="C250" s="536"/>
      <c r="D250" s="536"/>
      <c r="E250" s="536"/>
      <c r="F250" s="536"/>
      <c r="G250" s="536"/>
      <c r="H250" s="931">
        <v>1</v>
      </c>
      <c r="I250" s="932" t="s">
        <v>318</v>
      </c>
      <c r="J250" s="932"/>
      <c r="K250" s="932"/>
      <c r="L250" s="932"/>
      <c r="M250" s="932"/>
      <c r="N250" s="932"/>
      <c r="O250" s="932"/>
      <c r="P250" s="932"/>
      <c r="Q250" s="534"/>
      <c r="R250" s="534"/>
      <c r="S250" s="534"/>
      <c r="T250" s="534"/>
      <c r="U250" s="536"/>
    </row>
    <row r="251" spans="1:21" ht="13.5">
      <c r="A251" s="536"/>
      <c r="B251" s="536"/>
      <c r="C251" s="536"/>
      <c r="D251" s="536"/>
      <c r="E251" s="536"/>
      <c r="F251" s="536"/>
      <c r="G251" s="536"/>
      <c r="H251" s="931">
        <v>2</v>
      </c>
      <c r="I251" s="932" t="s">
        <v>148</v>
      </c>
      <c r="J251" s="932"/>
      <c r="K251" s="932"/>
      <c r="L251" s="932"/>
      <c r="M251" s="932"/>
      <c r="N251" s="932"/>
      <c r="O251" s="932"/>
      <c r="P251" s="932"/>
      <c r="Q251" s="534"/>
      <c r="R251" s="534"/>
      <c r="S251" s="534"/>
      <c r="T251" s="534"/>
      <c r="U251" s="536"/>
    </row>
    <row r="252" spans="1:21" ht="13.5">
      <c r="A252" s="536"/>
      <c r="B252" s="536"/>
      <c r="C252" s="536"/>
      <c r="D252" s="536"/>
      <c r="E252" s="536"/>
      <c r="F252" s="536"/>
      <c r="G252" s="536"/>
      <c r="H252" s="931">
        <v>3</v>
      </c>
      <c r="I252" s="932" t="s">
        <v>29</v>
      </c>
      <c r="J252" s="932"/>
      <c r="K252" s="932"/>
      <c r="L252" s="932"/>
      <c r="M252" s="932"/>
      <c r="N252" s="932"/>
      <c r="O252" s="932"/>
      <c r="P252" s="932"/>
      <c r="Q252" s="534"/>
      <c r="R252" s="534"/>
      <c r="S252" s="534"/>
      <c r="T252" s="534"/>
      <c r="U252" s="536"/>
    </row>
    <row r="253" spans="1:21" ht="13.5">
      <c r="A253" s="536"/>
      <c r="B253" s="536"/>
      <c r="C253" s="536"/>
      <c r="D253" s="536"/>
      <c r="E253" s="536"/>
      <c r="F253" s="536"/>
      <c r="G253" s="536"/>
      <c r="H253" s="931"/>
      <c r="I253" s="932" t="s">
        <v>344</v>
      </c>
      <c r="J253" s="932"/>
      <c r="K253" s="932"/>
      <c r="L253" s="932"/>
      <c r="M253" s="932"/>
      <c r="N253" s="932"/>
      <c r="O253" s="932"/>
      <c r="P253" s="932"/>
      <c r="Q253" s="534"/>
      <c r="R253" s="534"/>
      <c r="S253" s="534"/>
      <c r="T253" s="534"/>
      <c r="U253" s="536"/>
    </row>
    <row r="254" spans="1:21" ht="13.5">
      <c r="A254" s="536"/>
      <c r="B254" s="536"/>
      <c r="C254" s="536"/>
      <c r="D254" s="536"/>
      <c r="E254" s="536"/>
      <c r="F254" s="536"/>
      <c r="G254" s="536"/>
      <c r="H254" s="931">
        <v>4</v>
      </c>
      <c r="I254" s="932" t="s">
        <v>425</v>
      </c>
      <c r="J254" s="932"/>
      <c r="K254" s="932"/>
      <c r="L254" s="932"/>
      <c r="M254" s="932"/>
      <c r="N254" s="932"/>
      <c r="O254" s="932"/>
      <c r="P254" s="932"/>
      <c r="Q254" s="534"/>
      <c r="R254" s="534"/>
      <c r="S254" s="534"/>
      <c r="T254" s="534"/>
      <c r="U254" s="536"/>
    </row>
    <row r="255" spans="1:21" ht="13.5">
      <c r="A255" s="536"/>
      <c r="B255" s="536"/>
      <c r="C255" s="536"/>
      <c r="D255" s="536"/>
      <c r="E255" s="536"/>
      <c r="F255" s="536"/>
      <c r="G255" s="536"/>
      <c r="H255" s="931">
        <v>5</v>
      </c>
      <c r="I255" s="932" t="s">
        <v>556</v>
      </c>
      <c r="J255" s="932"/>
      <c r="K255" s="932"/>
      <c r="L255" s="932"/>
      <c r="M255" s="932"/>
      <c r="N255" s="932"/>
      <c r="O255" s="932"/>
      <c r="P255" s="932"/>
      <c r="Q255" s="534"/>
      <c r="R255" s="534"/>
      <c r="S255" s="534"/>
      <c r="T255" s="534"/>
      <c r="U255" s="536"/>
    </row>
    <row r="256" spans="1:21" ht="13.5">
      <c r="A256" s="536"/>
      <c r="B256" s="536"/>
      <c r="C256" s="536"/>
      <c r="D256" s="536"/>
      <c r="E256" s="536"/>
      <c r="F256" s="536"/>
      <c r="G256" s="536"/>
      <c r="H256" s="931">
        <v>6</v>
      </c>
      <c r="I256" s="932" t="s">
        <v>42</v>
      </c>
      <c r="J256" s="932"/>
      <c r="K256" s="932"/>
      <c r="L256" s="932"/>
      <c r="M256" s="932"/>
      <c r="N256" s="932"/>
      <c r="O256" s="932"/>
      <c r="P256" s="932"/>
      <c r="Q256" s="534"/>
      <c r="R256" s="534"/>
      <c r="S256" s="534"/>
      <c r="T256" s="534"/>
      <c r="U256" s="536"/>
    </row>
    <row r="257" spans="1:21" ht="13.5">
      <c r="A257" s="536"/>
      <c r="B257" s="536"/>
      <c r="C257" s="536"/>
      <c r="D257" s="536"/>
      <c r="E257" s="536"/>
      <c r="F257" s="536"/>
      <c r="G257" s="536"/>
      <c r="H257" s="931">
        <v>7</v>
      </c>
      <c r="I257" s="932" t="s">
        <v>555</v>
      </c>
      <c r="J257" s="932"/>
      <c r="K257" s="932"/>
      <c r="L257" s="932"/>
      <c r="M257" s="932"/>
      <c r="N257" s="932"/>
      <c r="O257" s="932"/>
      <c r="P257" s="932"/>
      <c r="Q257" s="534"/>
      <c r="R257" s="534"/>
      <c r="S257" s="534"/>
      <c r="T257" s="534"/>
      <c r="U257" s="536"/>
    </row>
    <row r="258" spans="1:21" ht="3" customHeight="1">
      <c r="A258" s="536"/>
      <c r="B258" s="536"/>
      <c r="C258" s="536"/>
      <c r="D258" s="536"/>
      <c r="E258" s="536"/>
      <c r="F258" s="536"/>
      <c r="G258" s="536"/>
      <c r="H258" s="932"/>
      <c r="I258" s="932"/>
      <c r="J258" s="932"/>
      <c r="K258" s="932"/>
      <c r="L258" s="932"/>
      <c r="M258" s="932"/>
      <c r="N258" s="932"/>
      <c r="O258" s="932"/>
      <c r="P258" s="932"/>
      <c r="Q258" s="534"/>
      <c r="R258" s="534"/>
      <c r="S258" s="534"/>
      <c r="T258" s="534"/>
      <c r="U258" s="536"/>
    </row>
    <row r="259" spans="1:21" ht="13.5" hidden="1">
      <c r="A259" s="536"/>
      <c r="B259" s="536"/>
      <c r="C259" s="536"/>
      <c r="D259" s="536"/>
      <c r="E259" s="536"/>
      <c r="F259" s="536"/>
      <c r="G259" s="536"/>
      <c r="H259" s="933" t="s">
        <v>305</v>
      </c>
      <c r="I259" s="925"/>
      <c r="J259" s="925"/>
      <c r="K259" s="925"/>
      <c r="L259" s="926"/>
      <c r="M259" s="926"/>
      <c r="N259" s="926"/>
      <c r="O259" s="926"/>
      <c r="P259" s="926"/>
      <c r="Q259" s="534"/>
      <c r="R259" s="534"/>
      <c r="S259" s="534"/>
      <c r="T259" s="534"/>
      <c r="U259" s="536"/>
    </row>
    <row r="260" spans="1:21" ht="13.5" hidden="1">
      <c r="A260" s="536"/>
      <c r="B260" s="536"/>
      <c r="C260" s="536"/>
      <c r="D260" s="536"/>
      <c r="E260" s="536"/>
      <c r="F260" s="536"/>
      <c r="G260" s="536"/>
      <c r="H260" s="931">
        <v>1</v>
      </c>
      <c r="I260" s="932" t="s">
        <v>191</v>
      </c>
      <c r="J260" s="932"/>
      <c r="K260" s="932"/>
      <c r="L260" s="932"/>
      <c r="M260" s="932"/>
      <c r="N260" s="932"/>
      <c r="O260" s="932"/>
      <c r="P260" s="932"/>
      <c r="Q260" s="534"/>
      <c r="R260" s="534"/>
      <c r="S260" s="534"/>
      <c r="T260" s="534"/>
      <c r="U260" s="536"/>
    </row>
    <row r="261" spans="1:21" ht="13.5" hidden="1">
      <c r="A261" s="536"/>
      <c r="B261" s="536"/>
      <c r="C261" s="536"/>
      <c r="D261" s="536"/>
      <c r="E261" s="536"/>
      <c r="F261" s="536"/>
      <c r="G261" s="536"/>
      <c r="H261" s="931">
        <v>2</v>
      </c>
      <c r="I261" s="932" t="s">
        <v>623</v>
      </c>
      <c r="J261" s="932"/>
      <c r="K261" s="932"/>
      <c r="L261" s="932"/>
      <c r="M261" s="932"/>
      <c r="N261" s="932"/>
      <c r="O261" s="932"/>
      <c r="P261" s="932"/>
      <c r="Q261" s="534"/>
      <c r="R261" s="534"/>
      <c r="S261" s="534"/>
      <c r="T261" s="534"/>
      <c r="U261" s="536"/>
    </row>
    <row r="262" spans="1:21" ht="13.5" hidden="1">
      <c r="A262" s="536"/>
      <c r="B262" s="536"/>
      <c r="C262" s="536"/>
      <c r="D262" s="536"/>
      <c r="E262" s="536"/>
      <c r="F262" s="536"/>
      <c r="G262" s="536"/>
      <c r="H262" s="931">
        <v>3</v>
      </c>
      <c r="I262" s="932" t="s">
        <v>192</v>
      </c>
      <c r="J262" s="932"/>
      <c r="K262" s="932"/>
      <c r="L262" s="932"/>
      <c r="M262" s="932"/>
      <c r="N262" s="932"/>
      <c r="O262" s="932"/>
      <c r="P262" s="932"/>
      <c r="Q262" s="534"/>
      <c r="R262" s="534"/>
      <c r="S262" s="534"/>
      <c r="T262" s="534"/>
      <c r="U262" s="536"/>
    </row>
    <row r="263" spans="1:21" ht="13.5" hidden="1">
      <c r="A263" s="536"/>
      <c r="B263" s="536"/>
      <c r="C263" s="536"/>
      <c r="D263" s="536"/>
      <c r="E263" s="536"/>
      <c r="F263" s="536"/>
      <c r="G263" s="536"/>
      <c r="H263" s="931">
        <v>4</v>
      </c>
      <c r="I263" s="932" t="s">
        <v>426</v>
      </c>
      <c r="J263" s="932"/>
      <c r="K263" s="932"/>
      <c r="L263" s="932"/>
      <c r="M263" s="932"/>
      <c r="N263" s="932"/>
      <c r="O263" s="932"/>
      <c r="P263" s="932"/>
      <c r="Q263" s="534"/>
      <c r="R263" s="534"/>
      <c r="S263" s="534"/>
      <c r="T263" s="534"/>
      <c r="U263" s="536"/>
    </row>
    <row r="264" spans="1:21" ht="3" hidden="1" customHeight="1">
      <c r="A264" s="536"/>
      <c r="B264" s="536"/>
      <c r="C264" s="536"/>
      <c r="D264" s="536"/>
      <c r="E264" s="536"/>
      <c r="F264" s="536"/>
      <c r="G264" s="536"/>
      <c r="H264" s="932"/>
      <c r="I264" s="932"/>
      <c r="J264" s="932"/>
      <c r="K264" s="932"/>
      <c r="L264" s="932"/>
      <c r="M264" s="932"/>
      <c r="N264" s="932"/>
      <c r="O264" s="932"/>
      <c r="P264" s="932"/>
      <c r="Q264" s="534"/>
      <c r="R264" s="534"/>
      <c r="S264" s="534"/>
      <c r="T264" s="534"/>
      <c r="U264" s="536"/>
    </row>
    <row r="265" spans="1:21" ht="12.75" customHeight="1">
      <c r="A265" s="536"/>
      <c r="B265" s="536"/>
      <c r="C265" s="536"/>
      <c r="D265" s="536"/>
      <c r="E265" s="536"/>
      <c r="F265" s="536"/>
      <c r="G265" s="536"/>
      <c r="H265" s="925" t="s">
        <v>291</v>
      </c>
      <c r="I265" s="925"/>
      <c r="J265" s="925"/>
      <c r="K265" s="925"/>
      <c r="L265" s="926"/>
      <c r="M265" s="926"/>
      <c r="N265" s="926"/>
      <c r="O265" s="926"/>
      <c r="P265" s="926"/>
      <c r="Q265" s="534"/>
      <c r="R265" s="534"/>
      <c r="S265" s="534"/>
      <c r="T265" s="534"/>
      <c r="U265" s="536"/>
    </row>
    <row r="266" spans="1:21" ht="12.75" customHeight="1">
      <c r="A266" s="536"/>
      <c r="B266" s="536"/>
      <c r="C266" s="536"/>
      <c r="D266" s="536"/>
      <c r="E266" s="536"/>
      <c r="F266" s="536"/>
      <c r="G266" s="536"/>
      <c r="H266" s="931" t="s">
        <v>626</v>
      </c>
      <c r="I266" s="932" t="s">
        <v>292</v>
      </c>
      <c r="J266" s="932"/>
      <c r="K266" s="932"/>
      <c r="L266" s="932"/>
      <c r="M266" s="932"/>
      <c r="N266" s="932"/>
      <c r="O266" s="932"/>
      <c r="P266" s="932"/>
      <c r="Q266" s="534"/>
      <c r="R266" s="534"/>
      <c r="S266" s="534"/>
      <c r="T266" s="534"/>
      <c r="U266" s="536"/>
    </row>
    <row r="267" spans="1:21" ht="12.75" customHeight="1">
      <c r="A267" s="536"/>
      <c r="B267" s="536"/>
      <c r="C267" s="536"/>
      <c r="D267" s="536"/>
      <c r="E267" s="536"/>
      <c r="F267" s="536"/>
      <c r="G267" s="536"/>
      <c r="H267" s="931"/>
      <c r="I267" s="932" t="s">
        <v>59</v>
      </c>
      <c r="J267" s="932"/>
      <c r="K267" s="932"/>
      <c r="L267" s="932"/>
      <c r="M267" s="932"/>
      <c r="N267" s="932"/>
      <c r="O267" s="932"/>
      <c r="P267" s="932"/>
      <c r="Q267" s="534"/>
      <c r="R267" s="534"/>
      <c r="S267" s="534"/>
      <c r="T267" s="534"/>
      <c r="U267" s="536"/>
    </row>
    <row r="268" spans="1:21" ht="3" customHeight="1">
      <c r="A268" s="536"/>
      <c r="B268" s="536"/>
      <c r="C268" s="536"/>
      <c r="D268" s="536"/>
      <c r="E268" s="536"/>
      <c r="F268" s="536"/>
      <c r="G268" s="536"/>
      <c r="H268" s="931"/>
      <c r="I268" s="932"/>
      <c r="J268" s="932"/>
      <c r="K268" s="932"/>
      <c r="L268" s="932"/>
      <c r="M268" s="932"/>
      <c r="N268" s="932"/>
      <c r="O268" s="932"/>
      <c r="P268" s="932"/>
      <c r="Q268" s="534"/>
      <c r="R268" s="534"/>
      <c r="S268" s="534"/>
      <c r="T268" s="534"/>
      <c r="U268" s="536"/>
    </row>
    <row r="269" spans="1:21" ht="12.75" customHeight="1">
      <c r="A269" s="536"/>
      <c r="B269" s="536"/>
      <c r="C269" s="536"/>
      <c r="D269" s="536"/>
      <c r="E269" s="536"/>
      <c r="F269" s="536"/>
      <c r="G269" s="536"/>
      <c r="H269" s="925" t="s">
        <v>463</v>
      </c>
      <c r="I269" s="925"/>
      <c r="J269" s="925"/>
      <c r="K269" s="925"/>
      <c r="L269" s="926"/>
      <c r="M269" s="926"/>
      <c r="N269" s="926"/>
      <c r="O269" s="926"/>
      <c r="P269" s="926"/>
      <c r="Q269" s="534"/>
      <c r="R269" s="534"/>
      <c r="S269" s="534"/>
      <c r="T269" s="534"/>
      <c r="U269" s="536"/>
    </row>
    <row r="270" spans="1:21" ht="12.75" customHeight="1">
      <c r="A270" s="536"/>
      <c r="B270" s="536"/>
      <c r="C270" s="536"/>
      <c r="D270" s="536"/>
      <c r="E270" s="536"/>
      <c r="F270" s="536"/>
      <c r="G270" s="536"/>
      <c r="H270" s="931">
        <v>1</v>
      </c>
      <c r="I270" s="932" t="s">
        <v>275</v>
      </c>
      <c r="J270" s="932"/>
      <c r="K270" s="932"/>
      <c r="L270" s="932"/>
      <c r="M270" s="932"/>
      <c r="N270" s="932"/>
      <c r="O270" s="932"/>
      <c r="P270" s="932"/>
      <c r="Q270" s="534"/>
      <c r="R270" s="534"/>
      <c r="S270" s="534"/>
      <c r="T270" s="534"/>
      <c r="U270" s="536"/>
    </row>
    <row r="271" spans="1:21" ht="12.75" customHeight="1">
      <c r="A271" s="536"/>
      <c r="B271" s="536"/>
      <c r="C271" s="536"/>
      <c r="D271" s="536"/>
      <c r="E271" s="536"/>
      <c r="F271" s="536"/>
      <c r="G271" s="536"/>
      <c r="H271" s="931">
        <v>2</v>
      </c>
      <c r="I271" s="932" t="s">
        <v>593</v>
      </c>
      <c r="J271" s="932"/>
      <c r="K271" s="932"/>
      <c r="L271" s="932"/>
      <c r="M271" s="932"/>
      <c r="N271" s="932"/>
      <c r="O271" s="932"/>
      <c r="P271" s="932"/>
      <c r="Q271" s="534"/>
      <c r="R271" s="534"/>
      <c r="S271" s="534"/>
      <c r="T271" s="534"/>
      <c r="U271" s="536"/>
    </row>
    <row r="272" spans="1:21" ht="12.75" customHeight="1">
      <c r="A272" s="536"/>
      <c r="B272" s="536"/>
      <c r="C272" s="536"/>
      <c r="D272" s="536"/>
      <c r="E272" s="536"/>
      <c r="F272" s="536"/>
      <c r="G272" s="536"/>
      <c r="H272" s="931">
        <v>3</v>
      </c>
      <c r="I272" s="932" t="s">
        <v>373</v>
      </c>
      <c r="J272" s="932"/>
      <c r="K272" s="932"/>
      <c r="L272" s="932"/>
      <c r="M272" s="932"/>
      <c r="N272" s="932"/>
      <c r="O272" s="932"/>
      <c r="P272" s="932"/>
      <c r="Q272" s="534"/>
      <c r="R272" s="534"/>
      <c r="S272" s="534"/>
      <c r="T272" s="534"/>
      <c r="U272" s="536"/>
    </row>
    <row r="273" spans="1:21" ht="12.75" customHeight="1">
      <c r="A273" s="536"/>
      <c r="B273" s="536"/>
      <c r="C273" s="536"/>
      <c r="D273" s="536"/>
      <c r="E273" s="536"/>
      <c r="F273" s="536"/>
      <c r="G273" s="536"/>
      <c r="H273" s="931">
        <v>4</v>
      </c>
      <c r="I273" s="932" t="s">
        <v>659</v>
      </c>
      <c r="J273" s="932"/>
      <c r="K273" s="932"/>
      <c r="L273" s="932"/>
      <c r="M273" s="932"/>
      <c r="N273" s="932"/>
      <c r="O273" s="932"/>
      <c r="P273" s="932"/>
      <c r="Q273" s="534"/>
      <c r="R273" s="534"/>
      <c r="S273" s="534"/>
      <c r="T273" s="534"/>
      <c r="U273" s="536"/>
    </row>
    <row r="274" spans="1:21" ht="12.75" customHeight="1">
      <c r="A274" s="536"/>
      <c r="B274" s="536"/>
      <c r="C274" s="536"/>
      <c r="D274" s="536"/>
      <c r="E274" s="536"/>
      <c r="F274" s="536"/>
      <c r="G274" s="536"/>
      <c r="H274" s="931"/>
      <c r="I274" s="932" t="s">
        <v>565</v>
      </c>
      <c r="J274" s="932"/>
      <c r="K274" s="932"/>
      <c r="L274" s="932"/>
      <c r="M274" s="932"/>
      <c r="N274" s="932"/>
      <c r="O274" s="932"/>
      <c r="P274" s="932"/>
      <c r="Q274" s="534"/>
      <c r="R274" s="534"/>
      <c r="S274" s="534"/>
      <c r="T274" s="534"/>
      <c r="U274" s="536"/>
    </row>
    <row r="275" spans="1:21" ht="12.75" customHeight="1">
      <c r="A275" s="536"/>
      <c r="B275" s="536"/>
      <c r="C275" s="536"/>
      <c r="D275" s="536"/>
      <c r="E275" s="536"/>
      <c r="F275" s="536"/>
      <c r="G275" s="536"/>
      <c r="H275" s="931">
        <v>5</v>
      </c>
      <c r="I275" s="932" t="s">
        <v>213</v>
      </c>
      <c r="J275" s="932"/>
      <c r="K275" s="932"/>
      <c r="L275" s="932"/>
      <c r="M275" s="932"/>
      <c r="N275" s="932"/>
      <c r="O275" s="932"/>
      <c r="P275" s="932"/>
      <c r="Q275" s="534"/>
      <c r="R275" s="534"/>
      <c r="S275" s="534"/>
      <c r="T275" s="534"/>
      <c r="U275" s="536"/>
    </row>
    <row r="276" spans="1:21" ht="6" customHeight="1">
      <c r="A276" s="536"/>
      <c r="B276" s="536"/>
      <c r="C276" s="536"/>
      <c r="D276" s="536"/>
      <c r="E276" s="536"/>
      <c r="F276" s="536"/>
      <c r="G276" s="536"/>
      <c r="H276" s="931"/>
      <c r="I276" s="932"/>
      <c r="J276" s="932"/>
      <c r="K276" s="932"/>
      <c r="L276" s="932"/>
      <c r="M276" s="932"/>
      <c r="N276" s="932"/>
      <c r="O276" s="932"/>
      <c r="P276" s="932"/>
      <c r="Q276" s="534"/>
      <c r="R276" s="534"/>
      <c r="S276" s="534"/>
      <c r="T276" s="534"/>
      <c r="U276" s="536"/>
    </row>
    <row r="277" spans="1:21" ht="12.75" customHeight="1">
      <c r="A277" s="536"/>
      <c r="B277" s="536"/>
      <c r="C277" s="536"/>
      <c r="D277" s="536"/>
      <c r="E277" s="536"/>
      <c r="F277" s="536"/>
      <c r="G277" s="536"/>
      <c r="H277" s="933" t="s">
        <v>462</v>
      </c>
      <c r="I277" s="925"/>
      <c r="J277" s="925"/>
      <c r="K277" s="925"/>
      <c r="L277" s="926"/>
      <c r="M277" s="926"/>
      <c r="N277" s="926"/>
      <c r="O277" s="926"/>
      <c r="P277" s="926"/>
      <c r="Q277" s="534"/>
      <c r="R277" s="534"/>
      <c r="S277" s="534"/>
      <c r="T277" s="534"/>
      <c r="U277" s="536"/>
    </row>
    <row r="278" spans="1:21" ht="12.75" customHeight="1">
      <c r="A278" s="536"/>
      <c r="B278" s="536"/>
      <c r="C278" s="536"/>
      <c r="D278" s="536"/>
      <c r="E278" s="536"/>
      <c r="F278" s="536"/>
      <c r="G278" s="536"/>
      <c r="H278" s="931">
        <v>1</v>
      </c>
      <c r="I278" s="932" t="s">
        <v>594</v>
      </c>
      <c r="J278" s="932"/>
      <c r="K278" s="932"/>
      <c r="L278" s="932"/>
      <c r="M278" s="932"/>
      <c r="N278" s="932"/>
      <c r="O278" s="932"/>
      <c r="P278" s="932"/>
      <c r="Q278" s="534"/>
      <c r="R278" s="534"/>
      <c r="S278" s="534"/>
      <c r="T278" s="534"/>
      <c r="U278" s="536"/>
    </row>
    <row r="279" spans="1:21" ht="12.75" customHeight="1">
      <c r="A279" s="536"/>
      <c r="B279" s="536"/>
      <c r="C279" s="536"/>
      <c r="D279" s="536"/>
      <c r="E279" s="536"/>
      <c r="F279" s="536"/>
      <c r="G279" s="536"/>
      <c r="H279" s="931"/>
      <c r="I279" s="932" t="s">
        <v>582</v>
      </c>
      <c r="J279" s="932"/>
      <c r="K279" s="932"/>
      <c r="L279" s="932"/>
      <c r="M279" s="932"/>
      <c r="N279" s="932"/>
      <c r="O279" s="932"/>
      <c r="P279" s="932"/>
      <c r="Q279" s="534"/>
      <c r="R279" s="534"/>
      <c r="S279" s="534"/>
      <c r="T279" s="534"/>
      <c r="U279" s="536"/>
    </row>
    <row r="280" spans="1:21" ht="12.75" customHeight="1">
      <c r="A280" s="536"/>
      <c r="B280" s="536"/>
      <c r="C280" s="536"/>
      <c r="D280" s="536"/>
      <c r="E280" s="536"/>
      <c r="F280" s="536"/>
      <c r="G280" s="536"/>
      <c r="H280" s="931">
        <v>2</v>
      </c>
      <c r="I280" s="932" t="s">
        <v>120</v>
      </c>
      <c r="J280" s="932"/>
      <c r="K280" s="932"/>
      <c r="L280" s="932"/>
      <c r="M280" s="932"/>
      <c r="N280" s="932"/>
      <c r="O280" s="932"/>
      <c r="P280" s="932"/>
      <c r="Q280" s="534"/>
      <c r="R280" s="534"/>
      <c r="S280" s="534"/>
      <c r="T280" s="534"/>
      <c r="U280" s="536"/>
    </row>
    <row r="281" spans="1:21" ht="12.75" customHeight="1">
      <c r="A281" s="536"/>
      <c r="B281" s="536"/>
      <c r="C281" s="536"/>
      <c r="D281" s="536"/>
      <c r="E281" s="536"/>
      <c r="F281" s="536"/>
      <c r="G281" s="536"/>
      <c r="H281" s="931">
        <v>3</v>
      </c>
      <c r="I281" s="932" t="s">
        <v>580</v>
      </c>
      <c r="J281" s="932"/>
      <c r="K281" s="932"/>
      <c r="L281" s="932"/>
      <c r="M281" s="932"/>
      <c r="N281" s="932"/>
      <c r="O281" s="932"/>
      <c r="P281" s="932"/>
      <c r="Q281" s="534"/>
      <c r="R281" s="534"/>
      <c r="S281" s="534"/>
      <c r="T281" s="534"/>
      <c r="U281" s="536"/>
    </row>
    <row r="282" spans="1:21" ht="12.75" customHeight="1">
      <c r="A282" s="536"/>
      <c r="B282" s="536"/>
      <c r="C282" s="536"/>
      <c r="D282" s="536"/>
      <c r="E282" s="536"/>
      <c r="F282" s="536"/>
      <c r="G282" s="536"/>
      <c r="H282" s="931">
        <v>4</v>
      </c>
      <c r="I282" s="932" t="s">
        <v>310</v>
      </c>
      <c r="J282" s="932"/>
      <c r="K282" s="932"/>
      <c r="L282" s="932"/>
      <c r="M282" s="932"/>
      <c r="N282" s="932"/>
      <c r="O282" s="932"/>
      <c r="P282" s="932"/>
      <c r="Q282" s="534"/>
      <c r="R282" s="534"/>
      <c r="S282" s="534"/>
      <c r="T282" s="534"/>
      <c r="U282" s="536"/>
    </row>
    <row r="283" spans="1:21" ht="12.75" customHeight="1">
      <c r="A283" s="536"/>
      <c r="B283" s="536"/>
      <c r="C283" s="536"/>
      <c r="D283" s="536"/>
      <c r="E283" s="536"/>
      <c r="F283" s="536"/>
      <c r="G283" s="536"/>
      <c r="H283" s="931">
        <v>5</v>
      </c>
      <c r="I283" s="932" t="s">
        <v>208</v>
      </c>
      <c r="J283" s="932"/>
      <c r="K283" s="932"/>
      <c r="L283" s="932"/>
      <c r="M283" s="932"/>
      <c r="N283" s="932"/>
      <c r="O283" s="932"/>
      <c r="P283" s="932"/>
      <c r="Q283" s="534"/>
      <c r="R283" s="534"/>
      <c r="S283" s="534"/>
      <c r="T283" s="534"/>
      <c r="U283" s="536"/>
    </row>
    <row r="284" spans="1:21" ht="3" customHeight="1">
      <c r="A284" s="536"/>
      <c r="B284" s="536"/>
      <c r="C284" s="536"/>
      <c r="D284" s="536"/>
      <c r="E284" s="536"/>
      <c r="F284" s="536"/>
      <c r="G284" s="536"/>
      <c r="H284" s="931"/>
      <c r="I284" s="934"/>
      <c r="J284" s="932"/>
      <c r="K284" s="932"/>
      <c r="L284" s="932"/>
      <c r="M284" s="932"/>
      <c r="N284" s="932"/>
      <c r="O284" s="932"/>
      <c r="P284" s="932"/>
      <c r="Q284" s="534"/>
      <c r="R284" s="534"/>
      <c r="S284" s="534"/>
      <c r="T284" s="534"/>
      <c r="U284" s="536"/>
    </row>
    <row r="285" spans="1:21" ht="13.5">
      <c r="A285" s="536"/>
      <c r="B285" s="536"/>
      <c r="C285" s="536"/>
      <c r="D285" s="536"/>
      <c r="E285" s="536"/>
      <c r="F285" s="536"/>
      <c r="G285" s="536"/>
      <c r="H285" s="933" t="s">
        <v>551</v>
      </c>
      <c r="I285" s="925"/>
      <c r="J285" s="925"/>
      <c r="K285" s="925"/>
      <c r="L285" s="925"/>
      <c r="M285" s="925"/>
      <c r="N285" s="925"/>
      <c r="O285" s="925"/>
      <c r="P285" s="925"/>
      <c r="Q285" s="534"/>
      <c r="R285" s="534"/>
      <c r="S285" s="534"/>
      <c r="T285" s="534"/>
      <c r="U285" s="536"/>
    </row>
    <row r="286" spans="1:21" ht="13.5">
      <c r="A286" s="536"/>
      <c r="B286" s="536"/>
      <c r="C286" s="536"/>
      <c r="D286" s="536"/>
      <c r="E286" s="536"/>
      <c r="F286" s="536"/>
      <c r="G286" s="536"/>
      <c r="H286" s="931">
        <v>1</v>
      </c>
      <c r="I286" s="932" t="s">
        <v>692</v>
      </c>
      <c r="J286" s="932"/>
      <c r="K286" s="932"/>
      <c r="L286" s="932"/>
      <c r="M286" s="932"/>
      <c r="N286" s="932"/>
      <c r="O286" s="932"/>
      <c r="P286" s="932"/>
      <c r="Q286" s="534"/>
      <c r="R286" s="534"/>
      <c r="S286" s="534"/>
      <c r="T286" s="534"/>
      <c r="U286" s="536"/>
    </row>
    <row r="287" spans="1:21" ht="13.5">
      <c r="A287" s="536"/>
      <c r="B287" s="536"/>
      <c r="C287" s="536"/>
      <c r="D287" s="536"/>
      <c r="E287" s="536"/>
      <c r="F287" s="536"/>
      <c r="G287" s="536"/>
      <c r="H287" s="931"/>
      <c r="I287" s="932" t="s">
        <v>694</v>
      </c>
      <c r="J287" s="932"/>
      <c r="K287" s="932"/>
      <c r="L287" s="932"/>
      <c r="M287" s="932"/>
      <c r="N287" s="932"/>
      <c r="O287" s="932"/>
      <c r="P287" s="932"/>
      <c r="Q287" s="534"/>
      <c r="R287" s="534"/>
      <c r="S287" s="534"/>
      <c r="T287" s="534"/>
      <c r="U287" s="536"/>
    </row>
    <row r="288" spans="1:21" ht="13.5">
      <c r="A288" s="536"/>
      <c r="B288" s="536"/>
      <c r="C288" s="536"/>
      <c r="D288" s="536"/>
      <c r="E288" s="536"/>
      <c r="F288" s="536"/>
      <c r="G288" s="536"/>
      <c r="H288" s="931">
        <v>2</v>
      </c>
      <c r="I288" s="932" t="s">
        <v>62</v>
      </c>
      <c r="J288" s="932"/>
      <c r="K288" s="932"/>
      <c r="L288" s="932"/>
      <c r="M288" s="932"/>
      <c r="N288" s="932"/>
      <c r="O288" s="932"/>
      <c r="P288" s="932"/>
      <c r="Q288" s="534"/>
      <c r="R288" s="534"/>
      <c r="S288" s="534"/>
      <c r="T288" s="534"/>
      <c r="U288" s="536"/>
    </row>
    <row r="289" spans="1:21" ht="13.5">
      <c r="A289" s="536"/>
      <c r="B289" s="536"/>
      <c r="C289" s="536"/>
      <c r="D289" s="536"/>
      <c r="E289" s="536"/>
      <c r="F289" s="536"/>
      <c r="G289" s="536"/>
      <c r="H289" s="931">
        <v>3</v>
      </c>
      <c r="I289" s="932" t="s">
        <v>612</v>
      </c>
      <c r="J289" s="932"/>
      <c r="K289" s="932"/>
      <c r="L289" s="932"/>
      <c r="M289" s="932"/>
      <c r="N289" s="932"/>
      <c r="O289" s="932"/>
      <c r="P289" s="932"/>
      <c r="Q289" s="534"/>
      <c r="R289" s="534"/>
      <c r="S289" s="534"/>
      <c r="T289" s="534"/>
      <c r="U289" s="536"/>
    </row>
    <row r="290" spans="1:21" ht="13.5">
      <c r="A290" s="536"/>
      <c r="B290" s="536"/>
      <c r="C290" s="536"/>
      <c r="D290" s="536"/>
      <c r="E290" s="536"/>
      <c r="F290" s="536"/>
      <c r="G290" s="536"/>
      <c r="H290" s="931">
        <v>4</v>
      </c>
      <c r="I290" s="932" t="s">
        <v>405</v>
      </c>
      <c r="J290" s="932"/>
      <c r="K290" s="932"/>
      <c r="L290" s="932"/>
      <c r="M290" s="932"/>
      <c r="N290" s="932"/>
      <c r="O290" s="932"/>
      <c r="P290" s="932"/>
      <c r="Q290" s="534"/>
      <c r="R290" s="534"/>
      <c r="S290" s="534"/>
      <c r="T290" s="534"/>
      <c r="U290" s="536"/>
    </row>
    <row r="291" spans="1:21" ht="13.5">
      <c r="A291" s="536"/>
      <c r="B291" s="536"/>
      <c r="C291" s="536"/>
      <c r="D291" s="536"/>
      <c r="E291" s="536"/>
      <c r="F291" s="536"/>
      <c r="G291" s="536"/>
      <c r="H291" s="931">
        <v>5</v>
      </c>
      <c r="I291" s="932" t="s">
        <v>1</v>
      </c>
      <c r="J291" s="932"/>
      <c r="K291" s="932"/>
      <c r="L291" s="932"/>
      <c r="M291" s="932"/>
      <c r="N291" s="932"/>
      <c r="O291" s="932"/>
      <c r="P291" s="932"/>
      <c r="Q291" s="534"/>
      <c r="R291" s="534"/>
      <c r="S291" s="534"/>
      <c r="T291" s="534"/>
      <c r="U291" s="536"/>
    </row>
    <row r="292" spans="1:21" ht="13.5">
      <c r="A292" s="536"/>
      <c r="B292" s="536"/>
      <c r="C292" s="536"/>
      <c r="D292" s="536"/>
      <c r="E292" s="536"/>
      <c r="F292" s="536"/>
      <c r="G292" s="536"/>
      <c r="H292" s="931">
        <v>6</v>
      </c>
      <c r="I292" s="932" t="s">
        <v>175</v>
      </c>
      <c r="J292" s="932"/>
      <c r="K292" s="932"/>
      <c r="L292" s="932"/>
      <c r="M292" s="932"/>
      <c r="N292" s="932"/>
      <c r="O292" s="932"/>
      <c r="P292" s="932"/>
      <c r="Q292" s="534"/>
      <c r="R292" s="534"/>
      <c r="S292" s="534"/>
      <c r="T292" s="534"/>
      <c r="U292" s="536"/>
    </row>
    <row r="293" spans="1:21" ht="13.5">
      <c r="A293" s="536"/>
      <c r="B293" s="536"/>
      <c r="C293" s="536"/>
      <c r="D293" s="536"/>
      <c r="E293" s="536"/>
      <c r="F293" s="536"/>
      <c r="G293" s="536"/>
      <c r="H293" s="931">
        <v>7</v>
      </c>
      <c r="I293" s="932" t="s">
        <v>691</v>
      </c>
      <c r="J293" s="932"/>
      <c r="K293" s="932"/>
      <c r="L293" s="932"/>
      <c r="M293" s="932"/>
      <c r="N293" s="932"/>
      <c r="O293" s="932"/>
      <c r="P293" s="932"/>
      <c r="Q293" s="534"/>
      <c r="R293" s="534"/>
      <c r="S293" s="534"/>
      <c r="T293" s="534"/>
      <c r="U293" s="536"/>
    </row>
    <row r="294" spans="1:21" ht="3" customHeight="1">
      <c r="A294" s="536"/>
      <c r="B294" s="536"/>
      <c r="C294" s="536"/>
      <c r="D294" s="536"/>
      <c r="E294" s="536"/>
      <c r="F294" s="536"/>
      <c r="G294" s="536"/>
      <c r="H294" s="931"/>
      <c r="I294" s="934"/>
      <c r="J294" s="932"/>
      <c r="K294" s="932"/>
      <c r="L294" s="932"/>
      <c r="M294" s="932"/>
      <c r="N294" s="932"/>
      <c r="O294" s="932"/>
      <c r="P294" s="932"/>
      <c r="Q294" s="534"/>
      <c r="R294" s="534"/>
      <c r="S294" s="534"/>
      <c r="T294" s="534"/>
      <c r="U294" s="536"/>
    </row>
    <row r="295" spans="1:21" ht="13.5">
      <c r="A295" s="536"/>
      <c r="B295" s="536"/>
      <c r="C295" s="536"/>
      <c r="D295" s="536"/>
      <c r="E295" s="536"/>
      <c r="F295" s="536"/>
      <c r="G295" s="536"/>
      <c r="H295" s="933" t="s">
        <v>444</v>
      </c>
      <c r="I295" s="925"/>
      <c r="J295" s="925"/>
      <c r="K295" s="925"/>
      <c r="L295" s="925"/>
      <c r="M295" s="925"/>
      <c r="N295" s="925"/>
      <c r="O295" s="925"/>
      <c r="P295" s="925"/>
      <c r="Q295" s="534"/>
      <c r="R295" s="534"/>
      <c r="S295" s="534"/>
      <c r="T295" s="534"/>
      <c r="U295" s="536"/>
    </row>
    <row r="296" spans="1:21" ht="13.5">
      <c r="A296" s="536"/>
      <c r="B296" s="536"/>
      <c r="C296" s="536"/>
      <c r="D296" s="536"/>
      <c r="E296" s="536"/>
      <c r="F296" s="536"/>
      <c r="G296" s="536"/>
      <c r="H296" s="931">
        <v>1</v>
      </c>
      <c r="I296" s="932" t="s">
        <v>57</v>
      </c>
      <c r="J296" s="932"/>
      <c r="K296" s="932"/>
      <c r="L296" s="932"/>
      <c r="M296" s="932"/>
      <c r="N296" s="932"/>
      <c r="O296" s="932"/>
      <c r="P296" s="932"/>
      <c r="Q296" s="534"/>
      <c r="R296" s="534"/>
      <c r="S296" s="534"/>
      <c r="T296" s="534"/>
      <c r="U296" s="536"/>
    </row>
    <row r="297" spans="1:21" ht="13.5">
      <c r="A297" s="536"/>
      <c r="B297" s="536"/>
      <c r="C297" s="536"/>
      <c r="D297" s="536"/>
      <c r="E297" s="536"/>
      <c r="F297" s="536"/>
      <c r="G297" s="536"/>
      <c r="H297" s="931"/>
      <c r="I297" s="932" t="s">
        <v>745</v>
      </c>
      <c r="J297" s="932"/>
      <c r="K297" s="932"/>
      <c r="L297" s="932"/>
      <c r="M297" s="932"/>
      <c r="N297" s="932"/>
      <c r="O297" s="932"/>
      <c r="P297" s="932"/>
      <c r="Q297" s="534"/>
      <c r="R297" s="534"/>
      <c r="S297" s="534"/>
      <c r="T297" s="534"/>
      <c r="U297" s="536"/>
    </row>
    <row r="298" spans="1:21" ht="13.5">
      <c r="A298" s="536"/>
      <c r="B298" s="536"/>
      <c r="C298" s="536"/>
      <c r="D298" s="536"/>
      <c r="E298" s="536"/>
      <c r="F298" s="536"/>
      <c r="G298" s="536"/>
      <c r="H298" s="931">
        <v>2</v>
      </c>
      <c r="I298" s="932" t="s">
        <v>579</v>
      </c>
      <c r="J298" s="932"/>
      <c r="K298" s="932"/>
      <c r="L298" s="932"/>
      <c r="M298" s="932"/>
      <c r="N298" s="932"/>
      <c r="O298" s="932"/>
      <c r="P298" s="932"/>
      <c r="Q298" s="534"/>
      <c r="R298" s="534"/>
      <c r="S298" s="534"/>
      <c r="T298" s="534"/>
      <c r="U298" s="536"/>
    </row>
    <row r="299" spans="1:21" ht="13.5">
      <c r="A299" s="536"/>
      <c r="B299" s="536"/>
      <c r="C299" s="536"/>
      <c r="D299" s="536"/>
      <c r="E299" s="536"/>
      <c r="F299" s="536"/>
      <c r="G299" s="536"/>
      <c r="H299" s="931">
        <v>3</v>
      </c>
      <c r="I299" s="932" t="s">
        <v>712</v>
      </c>
      <c r="J299" s="932"/>
      <c r="K299" s="932"/>
      <c r="L299" s="932"/>
      <c r="M299" s="932"/>
      <c r="N299" s="932"/>
      <c r="O299" s="932"/>
      <c r="P299" s="932"/>
      <c r="Q299" s="534"/>
      <c r="R299" s="534"/>
      <c r="S299" s="534"/>
      <c r="T299" s="534"/>
      <c r="U299" s="536"/>
    </row>
    <row r="300" spans="1:21" ht="13.5">
      <c r="A300" s="536"/>
      <c r="B300" s="536"/>
      <c r="C300" s="536"/>
      <c r="D300" s="536"/>
      <c r="E300" s="536"/>
      <c r="F300" s="536"/>
      <c r="G300" s="536"/>
      <c r="H300" s="931">
        <v>4</v>
      </c>
      <c r="I300" s="932" t="s">
        <v>550</v>
      </c>
      <c r="J300" s="932"/>
      <c r="K300" s="932"/>
      <c r="L300" s="932"/>
      <c r="M300" s="932"/>
      <c r="N300" s="932"/>
      <c r="O300" s="932"/>
      <c r="P300" s="932"/>
      <c r="Q300" s="534"/>
      <c r="R300" s="534"/>
      <c r="S300" s="534"/>
      <c r="T300" s="534"/>
      <c r="U300" s="536"/>
    </row>
    <row r="301" spans="1:21" ht="13.5">
      <c r="A301" s="536"/>
      <c r="B301" s="536"/>
      <c r="C301" s="536"/>
      <c r="D301" s="536"/>
      <c r="E301" s="536"/>
      <c r="F301" s="536"/>
      <c r="G301" s="536"/>
      <c r="H301" s="931">
        <v>5</v>
      </c>
      <c r="I301" s="932" t="s">
        <v>695</v>
      </c>
      <c r="J301" s="932"/>
      <c r="K301" s="932"/>
      <c r="L301" s="932"/>
      <c r="M301" s="932"/>
      <c r="N301" s="932"/>
      <c r="O301" s="932"/>
      <c r="P301" s="932"/>
      <c r="Q301" s="534"/>
      <c r="R301" s="534"/>
      <c r="S301" s="534"/>
      <c r="T301" s="534"/>
      <c r="U301" s="536"/>
    </row>
    <row r="302" spans="1:21" ht="13.5">
      <c r="A302" s="536"/>
      <c r="B302" s="536"/>
      <c r="C302" s="536"/>
      <c r="D302" s="536"/>
      <c r="E302" s="536"/>
      <c r="F302" s="536"/>
      <c r="G302" s="536"/>
      <c r="H302" s="931">
        <v>6</v>
      </c>
      <c r="I302" s="932" t="s">
        <v>307</v>
      </c>
      <c r="J302" s="932"/>
      <c r="K302" s="932"/>
      <c r="L302" s="932"/>
      <c r="M302" s="932"/>
      <c r="N302" s="932"/>
      <c r="O302" s="932"/>
      <c r="P302" s="932"/>
      <c r="Q302" s="534"/>
      <c r="R302" s="534"/>
      <c r="S302" s="534"/>
      <c r="T302" s="534"/>
      <c r="U302" s="536"/>
    </row>
    <row r="303" spans="1:21" ht="3" customHeight="1">
      <c r="A303" s="536"/>
      <c r="B303" s="536"/>
      <c r="C303" s="536"/>
      <c r="D303" s="536"/>
      <c r="E303" s="536"/>
      <c r="F303" s="536"/>
      <c r="G303" s="536"/>
      <c r="H303" s="931"/>
      <c r="I303" s="934"/>
      <c r="J303" s="932"/>
      <c r="K303" s="932"/>
      <c r="L303" s="932"/>
      <c r="M303" s="932"/>
      <c r="N303" s="932"/>
      <c r="O303" s="932"/>
      <c r="P303" s="932"/>
      <c r="Q303" s="534"/>
      <c r="R303" s="534"/>
      <c r="S303" s="534"/>
      <c r="T303" s="534"/>
      <c r="U303" s="536"/>
    </row>
    <row r="304" spans="1:21" ht="12.75" customHeight="1">
      <c r="H304" s="933" t="s">
        <v>600</v>
      </c>
      <c r="I304" s="925"/>
      <c r="J304" s="925"/>
      <c r="K304" s="925"/>
      <c r="L304" s="925"/>
      <c r="M304" s="925"/>
      <c r="N304" s="925"/>
      <c r="O304" s="925"/>
      <c r="P304" s="925"/>
      <c r="Q304" s="534"/>
      <c r="R304" s="534"/>
      <c r="S304" s="534"/>
      <c r="T304" s="534"/>
      <c r="U304" s="536"/>
    </row>
    <row r="305" spans="1:21" ht="12.75" customHeight="1">
      <c r="H305" s="931">
        <v>1</v>
      </c>
      <c r="I305" s="932" t="s">
        <v>135</v>
      </c>
      <c r="J305" s="932"/>
      <c r="K305" s="932"/>
      <c r="L305" s="932"/>
      <c r="M305" s="932"/>
      <c r="N305" s="932"/>
      <c r="O305" s="932"/>
      <c r="P305" s="932"/>
      <c r="Q305" s="534"/>
      <c r="R305" s="534"/>
      <c r="S305" s="534"/>
      <c r="T305" s="534"/>
      <c r="U305" s="536"/>
    </row>
    <row r="306" spans="1:21" ht="12.75" customHeight="1">
      <c r="H306" s="931"/>
      <c r="I306" s="932" t="s">
        <v>279</v>
      </c>
      <c r="J306" s="932"/>
      <c r="K306" s="932"/>
      <c r="L306" s="932"/>
      <c r="M306" s="932"/>
      <c r="N306" s="932"/>
      <c r="O306" s="932"/>
      <c r="P306" s="932"/>
      <c r="Q306" s="534"/>
      <c r="R306" s="534"/>
      <c r="S306" s="534"/>
      <c r="T306" s="534"/>
      <c r="U306" s="536"/>
    </row>
    <row r="307" spans="1:21" ht="12.75" customHeight="1">
      <c r="H307" s="931">
        <v>2</v>
      </c>
      <c r="I307" s="932" t="s">
        <v>516</v>
      </c>
      <c r="J307" s="932"/>
      <c r="K307" s="932"/>
      <c r="L307" s="932"/>
      <c r="M307" s="932"/>
      <c r="N307" s="932"/>
      <c r="O307" s="932"/>
      <c r="P307" s="932"/>
      <c r="Q307" s="534"/>
      <c r="R307" s="534"/>
      <c r="S307" s="534"/>
      <c r="T307" s="534"/>
      <c r="U307" s="536"/>
    </row>
    <row r="308" spans="1:21" ht="12.75" customHeight="1">
      <c r="H308" s="931">
        <v>3</v>
      </c>
      <c r="I308" s="932" t="s">
        <v>714</v>
      </c>
      <c r="J308" s="932"/>
      <c r="K308" s="932"/>
      <c r="L308" s="932"/>
      <c r="M308" s="932"/>
      <c r="N308" s="932"/>
      <c r="O308" s="932"/>
      <c r="P308" s="932"/>
      <c r="Q308" s="534"/>
      <c r="R308" s="534"/>
      <c r="S308" s="534"/>
      <c r="T308" s="534"/>
      <c r="U308" s="536"/>
    </row>
    <row r="309" spans="1:21" ht="12.75" customHeight="1">
      <c r="H309" s="931">
        <v>4</v>
      </c>
      <c r="I309" s="932" t="s">
        <v>698</v>
      </c>
      <c r="J309" s="932"/>
      <c r="K309" s="932"/>
      <c r="L309" s="932"/>
      <c r="M309" s="932"/>
      <c r="N309" s="932"/>
      <c r="O309" s="932"/>
      <c r="P309" s="932"/>
      <c r="Q309" s="534"/>
      <c r="R309" s="534"/>
      <c r="S309" s="534"/>
      <c r="T309" s="534"/>
      <c r="U309" s="536"/>
    </row>
    <row r="310" spans="1:21" ht="3" customHeight="1">
      <c r="H310" s="932"/>
      <c r="I310" s="932"/>
      <c r="J310" s="932"/>
      <c r="K310" s="932"/>
      <c r="L310" s="932"/>
      <c r="M310" s="932"/>
      <c r="N310" s="932"/>
      <c r="O310" s="932"/>
      <c r="P310" s="932"/>
      <c r="Q310" s="534"/>
      <c r="R310" s="534"/>
      <c r="S310" s="534"/>
      <c r="T310" s="534"/>
      <c r="U310" s="536"/>
    </row>
    <row r="311" spans="1:21" ht="12.75" customHeight="1">
      <c r="H311" s="925" t="s">
        <v>101</v>
      </c>
      <c r="I311" s="925"/>
      <c r="J311" s="925"/>
      <c r="K311" s="925"/>
      <c r="L311" s="926"/>
      <c r="M311" s="926"/>
      <c r="N311" s="926"/>
      <c r="O311" s="926"/>
      <c r="P311" s="926"/>
      <c r="Q311" s="534"/>
      <c r="R311" s="534"/>
      <c r="S311" s="534"/>
      <c r="T311" s="534"/>
      <c r="U311" s="536"/>
    </row>
    <row r="312" spans="1:21" ht="12.75" customHeight="1">
      <c r="A312" s="527" t="s">
        <v>673</v>
      </c>
      <c r="H312" s="931">
        <v>1</v>
      </c>
      <c r="I312" s="932" t="s">
        <v>251</v>
      </c>
      <c r="J312" s="932"/>
      <c r="K312" s="932"/>
      <c r="L312" s="932"/>
      <c r="M312" s="932"/>
      <c r="N312" s="932"/>
      <c r="O312" s="932"/>
      <c r="P312" s="932"/>
      <c r="Q312" s="534"/>
      <c r="R312" s="534"/>
      <c r="S312" s="534"/>
      <c r="T312" s="534"/>
      <c r="U312" s="536"/>
    </row>
    <row r="313" spans="1:21" ht="12.75" customHeight="1">
      <c r="H313" s="931"/>
      <c r="I313" s="932" t="s">
        <v>265</v>
      </c>
      <c r="J313" s="932"/>
      <c r="K313" s="932"/>
      <c r="L313" s="932"/>
      <c r="M313" s="932"/>
      <c r="N313" s="932"/>
      <c r="O313" s="932"/>
      <c r="P313" s="932"/>
      <c r="Q313" s="534"/>
      <c r="R313" s="534"/>
      <c r="S313" s="534"/>
      <c r="T313" s="534"/>
      <c r="U313" s="536"/>
    </row>
    <row r="314" spans="1:21" ht="3" customHeight="1">
      <c r="H314" s="931"/>
      <c r="I314" s="932"/>
      <c r="J314" s="932"/>
      <c r="K314" s="932"/>
      <c r="L314" s="932"/>
      <c r="M314" s="932"/>
      <c r="N314" s="932"/>
      <c r="O314" s="932"/>
      <c r="P314" s="932"/>
      <c r="Q314" s="534"/>
      <c r="R314" s="534"/>
      <c r="S314" s="534"/>
      <c r="T314" s="534"/>
      <c r="U314" s="536"/>
    </row>
    <row r="315" spans="1:21" ht="12.75" customHeight="1">
      <c r="H315" s="933" t="s">
        <v>366</v>
      </c>
      <c r="I315" s="925"/>
      <c r="J315" s="925"/>
      <c r="K315" s="925"/>
      <c r="L315" s="926"/>
      <c r="M315" s="926"/>
      <c r="N315" s="926"/>
      <c r="O315" s="926"/>
      <c r="P315" s="926"/>
      <c r="Q315" s="534"/>
      <c r="R315" s="534"/>
      <c r="S315" s="534"/>
      <c r="T315" s="534"/>
      <c r="U315" s="536"/>
    </row>
    <row r="316" spans="1:21" ht="12.75" customHeight="1">
      <c r="H316" s="931">
        <v>1</v>
      </c>
      <c r="I316" s="932" t="s">
        <v>346</v>
      </c>
      <c r="J316" s="932"/>
      <c r="K316" s="932"/>
      <c r="L316" s="932"/>
      <c r="M316" s="932"/>
      <c r="N316" s="932"/>
      <c r="O316" s="932"/>
      <c r="P316" s="932"/>
      <c r="Q316" s="534"/>
      <c r="R316" s="534"/>
      <c r="S316" s="534"/>
      <c r="T316" s="534"/>
      <c r="U316" s="536"/>
    </row>
    <row r="317" spans="1:21" ht="12.75" customHeight="1">
      <c r="H317" s="931"/>
      <c r="I317" s="932" t="s">
        <v>388</v>
      </c>
      <c r="J317" s="932"/>
      <c r="K317" s="932"/>
      <c r="L317" s="932"/>
      <c r="M317" s="932"/>
      <c r="N317" s="932"/>
      <c r="O317" s="932"/>
      <c r="P317" s="932"/>
      <c r="Q317" s="534"/>
      <c r="R317" s="534"/>
      <c r="S317" s="534"/>
      <c r="T317" s="534"/>
      <c r="U317" s="536"/>
    </row>
    <row r="318" spans="1:21" ht="12.75" customHeight="1">
      <c r="H318" s="931">
        <v>2</v>
      </c>
      <c r="I318" s="932" t="s">
        <v>130</v>
      </c>
      <c r="J318" s="932"/>
      <c r="K318" s="932"/>
      <c r="L318" s="932"/>
      <c r="M318" s="932"/>
      <c r="N318" s="932"/>
      <c r="O318" s="932"/>
      <c r="P318" s="932"/>
      <c r="Q318" s="534"/>
      <c r="R318" s="534"/>
      <c r="S318" s="534"/>
      <c r="T318" s="534"/>
      <c r="U318" s="536"/>
    </row>
    <row r="319" spans="1:21" ht="12.75" customHeight="1">
      <c r="H319" s="931">
        <v>3</v>
      </c>
      <c r="I319" s="932" t="s">
        <v>418</v>
      </c>
      <c r="J319" s="932"/>
      <c r="K319" s="932"/>
      <c r="L319" s="932"/>
      <c r="M319" s="932"/>
      <c r="N319" s="932"/>
      <c r="O319" s="932"/>
      <c r="P319" s="932"/>
      <c r="Q319" s="534"/>
      <c r="R319" s="534"/>
      <c r="S319" s="534"/>
      <c r="T319" s="534"/>
      <c r="U319" s="536"/>
    </row>
    <row r="320" spans="1:21" ht="3" customHeight="1">
      <c r="A320" s="536"/>
      <c r="B320" s="536"/>
      <c r="C320" s="536"/>
      <c r="D320" s="536"/>
      <c r="E320" s="536"/>
      <c r="F320" s="536"/>
      <c r="G320" s="536"/>
      <c r="H320" s="932"/>
      <c r="I320" s="932"/>
      <c r="J320" s="932"/>
      <c r="K320" s="932"/>
      <c r="L320" s="932"/>
      <c r="M320" s="932"/>
      <c r="N320" s="932"/>
      <c r="O320" s="932"/>
      <c r="P320" s="932"/>
      <c r="Q320" s="534"/>
      <c r="R320" s="534"/>
      <c r="S320" s="534"/>
      <c r="T320" s="534"/>
      <c r="U320" s="536"/>
    </row>
    <row r="321" spans="1:21" ht="12.75" customHeight="1">
      <c r="A321" s="536"/>
      <c r="B321" s="536"/>
      <c r="C321" s="536"/>
      <c r="D321" s="536"/>
      <c r="E321" s="536"/>
      <c r="F321" s="536"/>
      <c r="G321" s="536"/>
      <c r="H321" s="933" t="s">
        <v>613</v>
      </c>
      <c r="I321" s="925"/>
      <c r="J321" s="925"/>
      <c r="K321" s="925"/>
      <c r="L321" s="926"/>
      <c r="M321" s="926"/>
      <c r="N321" s="926"/>
      <c r="O321" s="926"/>
      <c r="P321" s="926"/>
      <c r="Q321" s="534"/>
      <c r="R321" s="534"/>
      <c r="S321" s="534"/>
      <c r="T321" s="534"/>
      <c r="U321" s="536"/>
    </row>
    <row r="322" spans="1:21" ht="12.75" customHeight="1">
      <c r="A322" s="536"/>
      <c r="B322" s="536"/>
      <c r="C322" s="536"/>
      <c r="D322" s="536"/>
      <c r="E322" s="536"/>
      <c r="F322" s="536"/>
      <c r="G322" s="536"/>
      <c r="H322" s="931">
        <v>1</v>
      </c>
      <c r="I322" s="932" t="s">
        <v>482</v>
      </c>
      <c r="J322" s="932"/>
      <c r="K322" s="932"/>
      <c r="L322" s="932"/>
      <c r="M322" s="932"/>
      <c r="N322" s="932"/>
      <c r="O322" s="932"/>
      <c r="P322" s="932"/>
      <c r="Q322" s="534"/>
      <c r="R322" s="534"/>
      <c r="S322" s="534"/>
      <c r="T322" s="534"/>
      <c r="U322" s="536"/>
    </row>
    <row r="323" spans="1:21" ht="12.75" customHeight="1">
      <c r="A323" s="536"/>
      <c r="B323" s="536"/>
      <c r="C323" s="536"/>
      <c r="D323" s="536"/>
      <c r="E323" s="536"/>
      <c r="F323" s="536"/>
      <c r="G323" s="536"/>
      <c r="H323" s="931">
        <v>2</v>
      </c>
      <c r="I323" s="932" t="s">
        <v>253</v>
      </c>
      <c r="J323" s="932"/>
      <c r="K323" s="932"/>
      <c r="L323" s="932"/>
      <c r="M323" s="932"/>
      <c r="N323" s="932"/>
      <c r="O323" s="932"/>
      <c r="P323" s="932"/>
      <c r="Q323" s="534"/>
      <c r="R323" s="534"/>
      <c r="S323" s="534"/>
      <c r="T323" s="534"/>
      <c r="U323" s="536"/>
    </row>
    <row r="324" spans="1:21" ht="3" customHeight="1">
      <c r="A324" s="536"/>
      <c r="B324" s="536"/>
      <c r="C324" s="536"/>
      <c r="D324" s="536"/>
      <c r="E324" s="536"/>
      <c r="F324" s="536"/>
      <c r="G324" s="536"/>
      <c r="H324" s="932"/>
      <c r="I324" s="932"/>
      <c r="J324" s="932"/>
      <c r="K324" s="932"/>
      <c r="L324" s="932"/>
      <c r="M324" s="932"/>
      <c r="N324" s="932"/>
      <c r="O324" s="932"/>
      <c r="P324" s="932"/>
      <c r="Q324" s="534"/>
      <c r="R324" s="534"/>
      <c r="S324" s="534"/>
      <c r="T324" s="534"/>
      <c r="U324" s="536"/>
    </row>
    <row r="325" spans="1:21" ht="12.75" customHeight="1">
      <c r="A325" s="536"/>
      <c r="B325" s="536"/>
      <c r="C325" s="536"/>
      <c r="D325" s="536"/>
      <c r="E325" s="536"/>
      <c r="F325" s="536"/>
      <c r="G325" s="536"/>
      <c r="H325" s="933" t="s">
        <v>276</v>
      </c>
      <c r="I325" s="925"/>
      <c r="J325" s="925"/>
      <c r="K325" s="925"/>
      <c r="L325" s="926"/>
      <c r="M325" s="926"/>
      <c r="N325" s="926"/>
      <c r="O325" s="926"/>
      <c r="P325" s="926"/>
      <c r="Q325" s="534"/>
      <c r="R325" s="534"/>
      <c r="S325" s="534"/>
      <c r="T325" s="534"/>
      <c r="U325" s="536"/>
    </row>
    <row r="326" spans="1:21" ht="12.75" customHeight="1">
      <c r="A326" s="536"/>
      <c r="B326" s="536"/>
      <c r="C326" s="536"/>
      <c r="D326" s="536"/>
      <c r="E326" s="536"/>
      <c r="F326" s="536"/>
      <c r="G326" s="536"/>
      <c r="H326" s="931">
        <v>1</v>
      </c>
      <c r="I326" s="932" t="s">
        <v>619</v>
      </c>
      <c r="J326" s="932"/>
      <c r="K326" s="932"/>
      <c r="L326" s="932"/>
      <c r="M326" s="932"/>
      <c r="N326" s="932"/>
      <c r="O326" s="932"/>
      <c r="P326" s="932"/>
      <c r="Q326" s="534"/>
      <c r="R326" s="534"/>
      <c r="S326" s="534"/>
      <c r="T326" s="534"/>
      <c r="U326" s="536"/>
    </row>
    <row r="327" spans="1:21" ht="12.75" customHeight="1">
      <c r="A327" s="536"/>
      <c r="B327" s="536"/>
      <c r="C327" s="536"/>
      <c r="D327" s="536"/>
      <c r="E327" s="536"/>
      <c r="F327" s="536"/>
      <c r="G327" s="536"/>
      <c r="H327" s="931">
        <v>2</v>
      </c>
      <c r="I327" s="932" t="s">
        <v>635</v>
      </c>
      <c r="J327" s="932"/>
      <c r="K327" s="932"/>
      <c r="L327" s="932"/>
      <c r="M327" s="932"/>
      <c r="N327" s="932"/>
      <c r="O327" s="932"/>
      <c r="P327" s="932"/>
      <c r="Q327" s="534"/>
      <c r="R327" s="534"/>
      <c r="S327" s="534"/>
      <c r="T327" s="534"/>
      <c r="U327" s="536"/>
    </row>
    <row r="328" spans="1:21" ht="12.75" customHeight="1">
      <c r="A328" s="536"/>
      <c r="B328" s="536"/>
      <c r="C328" s="536"/>
      <c r="D328" s="536"/>
      <c r="E328" s="536"/>
      <c r="F328" s="536"/>
      <c r="G328" s="536"/>
      <c r="H328" s="931">
        <v>3</v>
      </c>
      <c r="I328" s="932" t="s">
        <v>0</v>
      </c>
      <c r="J328" s="932"/>
      <c r="K328" s="932"/>
      <c r="L328" s="932"/>
      <c r="M328" s="932"/>
      <c r="N328" s="932"/>
      <c r="O328" s="932"/>
      <c r="P328" s="932"/>
      <c r="Q328" s="534"/>
      <c r="R328" s="534"/>
      <c r="S328" s="534"/>
      <c r="T328" s="534"/>
      <c r="U328" s="536"/>
    </row>
    <row r="329" spans="1:21" ht="6.75" customHeight="1">
      <c r="A329" s="536"/>
      <c r="B329" s="536"/>
      <c r="C329" s="536"/>
      <c r="D329" s="536"/>
      <c r="E329" s="536"/>
      <c r="F329" s="536"/>
      <c r="G329" s="536"/>
      <c r="H329" s="931"/>
      <c r="I329" s="932"/>
      <c r="J329" s="932"/>
      <c r="K329" s="932"/>
      <c r="L329" s="932"/>
      <c r="M329" s="932"/>
      <c r="N329" s="932"/>
      <c r="O329" s="932"/>
      <c r="P329" s="932"/>
      <c r="Q329" s="534"/>
      <c r="R329" s="534"/>
      <c r="S329" s="534"/>
      <c r="T329" s="534"/>
      <c r="U329" s="536"/>
    </row>
    <row r="330" spans="1:21" ht="12.75" customHeight="1">
      <c r="A330" s="536"/>
      <c r="B330" s="536"/>
      <c r="C330" s="536"/>
      <c r="D330" s="536"/>
      <c r="E330" s="536"/>
      <c r="F330" s="536"/>
      <c r="G330" s="536"/>
      <c r="H330" s="925" t="s">
        <v>485</v>
      </c>
      <c r="I330" s="925"/>
      <c r="J330" s="925"/>
      <c r="K330" s="925"/>
      <c r="L330" s="926"/>
      <c r="M330" s="926"/>
      <c r="N330" s="926"/>
      <c r="O330" s="926"/>
      <c r="P330" s="926"/>
      <c r="Q330" s="534"/>
      <c r="R330" s="534"/>
      <c r="S330" s="534"/>
      <c r="T330" s="534"/>
      <c r="U330" s="536"/>
    </row>
    <row r="331" spans="1:21" ht="12.75" customHeight="1">
      <c r="A331" s="536"/>
      <c r="B331" s="536"/>
      <c r="C331" s="536"/>
      <c r="D331" s="536"/>
      <c r="E331" s="536"/>
      <c r="F331" s="536"/>
      <c r="G331" s="536"/>
      <c r="H331" s="931">
        <v>1</v>
      </c>
      <c r="I331" s="932" t="s">
        <v>391</v>
      </c>
      <c r="J331" s="932"/>
      <c r="K331" s="932"/>
      <c r="L331" s="932"/>
      <c r="M331" s="932"/>
      <c r="N331" s="932"/>
      <c r="O331" s="932"/>
      <c r="P331" s="932"/>
      <c r="Q331" s="534"/>
      <c r="R331" s="534"/>
      <c r="S331" s="534"/>
      <c r="T331" s="534"/>
      <c r="U331" s="536"/>
    </row>
    <row r="332" spans="1:21" ht="12.75" customHeight="1">
      <c r="A332" s="536"/>
      <c r="B332" s="536"/>
      <c r="C332" s="536"/>
      <c r="D332" s="536"/>
      <c r="E332" s="536"/>
      <c r="F332" s="536"/>
      <c r="G332" s="536"/>
      <c r="H332" s="931">
        <v>2</v>
      </c>
      <c r="I332" s="932" t="s">
        <v>129</v>
      </c>
      <c r="J332" s="932"/>
      <c r="K332" s="932"/>
      <c r="L332" s="932"/>
      <c r="M332" s="932"/>
      <c r="N332" s="932"/>
      <c r="O332" s="932"/>
      <c r="P332" s="932"/>
      <c r="Q332" s="534"/>
      <c r="R332" s="534"/>
      <c r="S332" s="534"/>
      <c r="T332" s="534"/>
      <c r="U332" s="536"/>
    </row>
    <row r="333" spans="1:21" ht="12.75" customHeight="1">
      <c r="A333" s="536"/>
      <c r="B333" s="536"/>
      <c r="C333" s="536"/>
      <c r="D333" s="536"/>
      <c r="E333" s="536"/>
      <c r="F333" s="536"/>
      <c r="G333" s="536"/>
      <c r="H333" s="931">
        <v>3</v>
      </c>
      <c r="I333" s="932" t="s">
        <v>475</v>
      </c>
      <c r="J333" s="932"/>
      <c r="K333" s="932"/>
      <c r="L333" s="932"/>
      <c r="M333" s="932"/>
      <c r="N333" s="932"/>
      <c r="O333" s="932"/>
      <c r="P333" s="932"/>
      <c r="Q333" s="534"/>
      <c r="R333" s="534"/>
      <c r="S333" s="534"/>
      <c r="T333" s="534"/>
      <c r="U333" s="536"/>
    </row>
    <row r="334" spans="1:21" ht="6.75" customHeight="1">
      <c r="A334" s="536"/>
      <c r="B334" s="536"/>
      <c r="C334" s="536"/>
      <c r="D334" s="536"/>
      <c r="E334" s="536"/>
      <c r="F334" s="536"/>
      <c r="G334" s="536"/>
      <c r="H334" s="931"/>
      <c r="I334" s="932"/>
      <c r="J334" s="932"/>
      <c r="K334" s="932"/>
      <c r="L334" s="932"/>
      <c r="M334" s="932"/>
      <c r="N334" s="932"/>
      <c r="O334" s="932"/>
      <c r="P334" s="932"/>
      <c r="Q334" s="534"/>
      <c r="R334" s="534"/>
      <c r="S334" s="534"/>
      <c r="T334" s="534"/>
      <c r="U334" s="536"/>
    </row>
    <row r="335" spans="1:21" ht="12.75" customHeight="1">
      <c r="A335" s="536"/>
      <c r="B335" s="536"/>
      <c r="C335" s="536"/>
      <c r="D335" s="536"/>
      <c r="E335" s="536"/>
      <c r="F335" s="536"/>
      <c r="G335" s="536"/>
      <c r="H335" s="925" t="s">
        <v>598</v>
      </c>
      <c r="I335" s="925"/>
      <c r="J335" s="925"/>
      <c r="K335" s="925"/>
      <c r="L335" s="926"/>
      <c r="M335" s="926"/>
      <c r="N335" s="926"/>
      <c r="O335" s="926"/>
      <c r="P335" s="926"/>
      <c r="Q335" s="534"/>
      <c r="R335" s="534"/>
      <c r="S335" s="534"/>
      <c r="T335" s="534"/>
      <c r="U335" s="536"/>
    </row>
    <row r="336" spans="1:21" ht="12.75" customHeight="1">
      <c r="A336" s="536"/>
      <c r="B336" s="536"/>
      <c r="C336" s="536"/>
      <c r="D336" s="536"/>
      <c r="E336" s="536"/>
      <c r="F336" s="536"/>
      <c r="G336" s="536"/>
      <c r="H336" s="931" t="s">
        <v>626</v>
      </c>
      <c r="I336" s="932" t="s">
        <v>756</v>
      </c>
      <c r="J336" s="932"/>
      <c r="K336" s="932"/>
      <c r="L336" s="932"/>
      <c r="M336" s="932"/>
      <c r="N336" s="932"/>
      <c r="O336" s="932"/>
      <c r="P336" s="932"/>
      <c r="Q336" s="534"/>
      <c r="R336" s="534"/>
      <c r="S336" s="534"/>
      <c r="T336" s="534"/>
      <c r="U336" s="536"/>
    </row>
    <row r="337" spans="1:21" ht="12.75" customHeight="1">
      <c r="A337" s="536"/>
      <c r="B337" s="536"/>
      <c r="C337" s="536"/>
      <c r="D337" s="536"/>
      <c r="E337" s="536"/>
      <c r="F337" s="536"/>
      <c r="G337" s="536"/>
      <c r="H337" s="931">
        <v>2</v>
      </c>
      <c r="I337" s="932" t="s">
        <v>627</v>
      </c>
      <c r="J337" s="932"/>
      <c r="K337" s="932"/>
      <c r="L337" s="932"/>
      <c r="M337" s="932"/>
      <c r="N337" s="932"/>
      <c r="O337" s="932"/>
      <c r="P337" s="932"/>
      <c r="Q337" s="534"/>
      <c r="R337" s="534"/>
      <c r="S337" s="534"/>
      <c r="T337" s="534"/>
      <c r="U337" s="536"/>
    </row>
    <row r="338" spans="1:21" ht="6.75" customHeight="1">
      <c r="A338" s="536"/>
      <c r="B338" s="536"/>
      <c r="C338" s="536"/>
      <c r="D338" s="536"/>
      <c r="E338" s="536"/>
      <c r="F338" s="536"/>
      <c r="G338" s="536"/>
      <c r="H338" s="931"/>
      <c r="I338" s="932"/>
      <c r="J338" s="932"/>
      <c r="K338" s="932"/>
      <c r="L338" s="932"/>
      <c r="M338" s="932"/>
      <c r="N338" s="932"/>
      <c r="O338" s="932"/>
      <c r="P338" s="932"/>
      <c r="Q338" s="534"/>
      <c r="R338" s="534"/>
      <c r="S338" s="534"/>
      <c r="T338" s="534"/>
      <c r="U338" s="536"/>
    </row>
    <row r="339" spans="1:21" ht="12.75" customHeight="1">
      <c r="A339" s="536"/>
      <c r="B339" s="536"/>
      <c r="C339" s="536"/>
      <c r="D339" s="536"/>
      <c r="E339" s="536"/>
      <c r="F339" s="536"/>
      <c r="G339" s="536"/>
      <c r="H339" s="925" t="s">
        <v>597</v>
      </c>
      <c r="I339" s="925"/>
      <c r="J339" s="925"/>
      <c r="K339" s="925"/>
      <c r="L339" s="926"/>
      <c r="M339" s="926"/>
      <c r="N339" s="926"/>
      <c r="O339" s="926"/>
      <c r="P339" s="926"/>
      <c r="Q339" s="534"/>
      <c r="R339" s="534"/>
      <c r="S339" s="534"/>
      <c r="T339" s="534"/>
      <c r="U339" s="536"/>
    </row>
    <row r="340" spans="1:21" ht="12.75" customHeight="1">
      <c r="A340" s="536"/>
      <c r="B340" s="536"/>
      <c r="C340" s="536"/>
      <c r="D340" s="536"/>
      <c r="E340" s="536"/>
      <c r="F340" s="536"/>
      <c r="G340" s="536"/>
      <c r="H340" s="931" t="s">
        <v>626</v>
      </c>
      <c r="I340" s="932" t="s">
        <v>224</v>
      </c>
      <c r="J340" s="932"/>
      <c r="K340" s="932"/>
      <c r="L340" s="932"/>
      <c r="M340" s="932"/>
      <c r="N340" s="932"/>
      <c r="O340" s="932"/>
      <c r="P340" s="932"/>
      <c r="Q340" s="534"/>
      <c r="R340" s="534"/>
      <c r="S340" s="534"/>
      <c r="T340" s="534"/>
      <c r="U340" s="536"/>
    </row>
    <row r="341" spans="1:21" ht="12.75" customHeight="1">
      <c r="A341" s="536"/>
      <c r="B341" s="536"/>
      <c r="C341" s="536"/>
      <c r="D341" s="536"/>
      <c r="E341" s="536"/>
      <c r="F341" s="536"/>
      <c r="G341" s="536"/>
      <c r="H341" s="931">
        <v>2</v>
      </c>
      <c r="I341" s="932" t="s">
        <v>63</v>
      </c>
      <c r="J341" s="932"/>
      <c r="K341" s="932"/>
      <c r="L341" s="932"/>
      <c r="M341" s="932"/>
      <c r="N341" s="932"/>
      <c r="O341" s="932"/>
      <c r="P341" s="932"/>
      <c r="Q341" s="534"/>
      <c r="R341" s="534"/>
      <c r="S341" s="534"/>
      <c r="T341" s="534"/>
      <c r="U341" s="536"/>
    </row>
    <row r="342" spans="1:21" ht="3" customHeight="1">
      <c r="A342" s="536"/>
      <c r="B342" s="536"/>
      <c r="C342" s="536"/>
      <c r="D342" s="536"/>
      <c r="E342" s="536"/>
      <c r="F342" s="536"/>
      <c r="G342" s="536"/>
      <c r="H342" s="931"/>
      <c r="I342" s="932"/>
      <c r="J342" s="932"/>
      <c r="K342" s="932"/>
      <c r="L342" s="932"/>
      <c r="M342" s="932"/>
      <c r="N342" s="932"/>
      <c r="O342" s="932"/>
      <c r="P342" s="932"/>
      <c r="Q342" s="534"/>
      <c r="R342" s="534"/>
      <c r="S342" s="534"/>
      <c r="T342" s="534"/>
      <c r="U342" s="536"/>
    </row>
  </sheetData>
  <phoneticPr fontId="3" type="noConversion"/>
  <pageMargins left="0.5" right="0.5" top="0.5" bottom="0.5" header="0.5" footer="0.5"/>
  <pageSetup scale="95" orientation="portrait" r:id="rId1"/>
  <headerFooter alignWithMargins="0"/>
  <rowBreaks count="3" manualBreakCount="3">
    <brk id="82" max="15" man="1"/>
    <brk id="135" max="15" man="1"/>
    <brk id="310" max="17"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enableFormatConditionsCalculation="0">
    <tabColor indexed="56"/>
  </sheetPr>
  <dimension ref="A1:EX155"/>
  <sheetViews>
    <sheetView showGridLines="0" topLeftCell="H5" zoomScaleNormal="100" workbookViewId="0"/>
  </sheetViews>
  <sheetFormatPr defaultRowHeight="12.75" outlineLevelRow="1" outlineLevelCol="1"/>
  <cols>
    <col min="1" max="6" width="9.140625" style="522" hidden="1" customWidth="1" outlineLevel="1"/>
    <col min="7" max="7" width="2.7109375" style="522" hidden="1" customWidth="1" outlineLevel="1"/>
    <col min="8" max="8" width="2.7109375" style="522" customWidth="1" collapsed="1"/>
    <col min="9" max="9" width="34.5703125" style="522" customWidth="1"/>
    <col min="10" max="18" width="9.140625" style="522"/>
    <col min="19" max="19" width="9.140625" style="521"/>
    <col min="20" max="27" width="9.140625" style="518"/>
    <col min="28" max="16384" width="9.140625" style="522"/>
  </cols>
  <sheetData>
    <row r="1" spans="1:154" ht="13.5" hidden="1" outlineLevel="1">
      <c r="O1" s="204"/>
      <c r="P1" s="204"/>
      <c r="Q1" s="204"/>
      <c r="R1" s="204"/>
      <c r="EX1" s="522" t="s">
        <v>1120</v>
      </c>
    </row>
    <row r="2" spans="1:154" ht="13.5" hidden="1" outlineLevel="1">
      <c r="O2" s="204"/>
      <c r="P2" s="204"/>
      <c r="Q2" s="204"/>
      <c r="R2" s="204"/>
    </row>
    <row r="3" spans="1:154" ht="13.5" hidden="1" outlineLevel="1">
      <c r="O3" s="204"/>
      <c r="P3" s="204"/>
      <c r="Q3" s="204"/>
      <c r="R3" s="204"/>
      <c r="S3" s="750"/>
      <c r="AB3" s="544"/>
    </row>
    <row r="4" spans="1:154" ht="13.5" hidden="1" collapsed="1">
      <c r="O4" s="204"/>
      <c r="P4" s="204"/>
      <c r="Q4" s="204"/>
      <c r="R4" s="204"/>
      <c r="S4" s="750"/>
      <c r="AB4" s="544"/>
    </row>
    <row r="5" spans="1:154" ht="15.75">
      <c r="H5" s="64" t="str">
        <f>CompanyName</f>
        <v>Eli Lilly &amp; Co.</v>
      </c>
      <c r="I5" s="519"/>
      <c r="J5" s="519"/>
      <c r="K5" s="519"/>
      <c r="L5" s="13"/>
      <c r="M5" s="13"/>
      <c r="N5" s="13"/>
      <c r="O5" s="13"/>
      <c r="P5" s="13"/>
      <c r="Q5" s="13"/>
      <c r="R5" s="13"/>
      <c r="S5" s="525"/>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row>
    <row r="6" spans="1:154" ht="15.75">
      <c r="H6" s="523" t="s">
        <v>278</v>
      </c>
      <c r="I6" s="524"/>
      <c r="J6" s="524"/>
      <c r="K6" s="524"/>
      <c r="L6" s="525"/>
      <c r="M6" s="525"/>
      <c r="N6" s="525"/>
      <c r="O6" s="525"/>
      <c r="P6" s="525"/>
      <c r="Q6" s="525"/>
      <c r="R6" s="525"/>
      <c r="S6" s="525"/>
      <c r="AB6" s="520"/>
      <c r="AC6" s="520"/>
      <c r="AD6" s="520"/>
      <c r="AE6" s="520"/>
      <c r="AF6" s="520"/>
      <c r="AG6" s="520"/>
      <c r="AH6" s="520"/>
      <c r="AI6" s="520"/>
      <c r="AJ6" s="520"/>
      <c r="AK6" s="520"/>
      <c r="AL6" s="520"/>
      <c r="AM6" s="520"/>
      <c r="AN6" s="520"/>
      <c r="AO6" s="520"/>
      <c r="AP6" s="520"/>
      <c r="AQ6" s="520"/>
      <c r="AR6" s="520"/>
      <c r="AS6" s="520"/>
      <c r="AT6" s="520"/>
      <c r="AU6" s="520"/>
      <c r="AV6" s="520"/>
      <c r="AW6" s="520"/>
      <c r="AX6" s="520"/>
      <c r="AY6" s="520"/>
      <c r="AZ6" s="520"/>
      <c r="BA6" s="520"/>
      <c r="BB6" s="520"/>
      <c r="BC6" s="520"/>
      <c r="BD6" s="520"/>
    </row>
    <row r="7" spans="1:154" ht="3" customHeight="1">
      <c r="H7" s="14"/>
      <c r="I7" s="14"/>
      <c r="J7" s="14"/>
      <c r="K7" s="14"/>
      <c r="L7" s="14"/>
      <c r="M7" s="14"/>
      <c r="N7" s="14"/>
      <c r="O7" s="14"/>
      <c r="P7" s="14"/>
      <c r="Q7" s="14"/>
      <c r="R7" s="14"/>
      <c r="S7" s="225"/>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row>
    <row r="8" spans="1:154" ht="3" customHeight="1">
      <c r="H8" s="14"/>
      <c r="I8" s="14"/>
      <c r="J8" s="14"/>
      <c r="K8" s="14"/>
      <c r="L8" s="14"/>
      <c r="M8" s="14"/>
      <c r="N8" s="14"/>
      <c r="O8" s="14"/>
      <c r="P8" s="14"/>
      <c r="Q8" s="14"/>
      <c r="R8" s="14"/>
      <c r="S8" s="225"/>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row>
    <row r="9" spans="1:154" ht="3" customHeight="1">
      <c r="H9" s="14"/>
      <c r="I9" s="14"/>
      <c r="J9" s="14"/>
      <c r="K9" s="14"/>
      <c r="L9" s="14"/>
      <c r="M9" s="14"/>
      <c r="N9" s="14"/>
      <c r="O9" s="14"/>
      <c r="P9" s="14"/>
      <c r="Q9" s="14"/>
      <c r="R9" s="14"/>
      <c r="S9" s="225"/>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row>
    <row r="10" spans="1:154" s="521" customFormat="1" ht="13.5">
      <c r="A10" s="522"/>
      <c r="B10" s="522"/>
      <c r="C10" s="522"/>
      <c r="D10" s="522"/>
      <c r="E10" s="522"/>
      <c r="F10" s="522"/>
      <c r="G10" s="522"/>
      <c r="H10" s="545" t="s">
        <v>839</v>
      </c>
      <c r="I10" s="545"/>
      <c r="J10" s="545"/>
      <c r="K10" s="545"/>
      <c r="L10" s="526"/>
      <c r="M10" s="526"/>
      <c r="N10" s="526"/>
      <c r="O10" s="526"/>
      <c r="P10" s="526"/>
      <c r="Q10" s="526"/>
      <c r="R10" s="526"/>
      <c r="S10" s="526"/>
      <c r="T10" s="518"/>
      <c r="U10" s="518"/>
      <c r="V10" s="518"/>
      <c r="W10" s="518"/>
      <c r="X10" s="518"/>
      <c r="Y10" s="518"/>
      <c r="Z10" s="518"/>
      <c r="AA10" s="518"/>
      <c r="AB10" s="520"/>
      <c r="AC10" s="520"/>
      <c r="AD10" s="520"/>
      <c r="AE10" s="520"/>
      <c r="AF10" s="520"/>
      <c r="AG10" s="520"/>
      <c r="AH10" s="520"/>
      <c r="AI10" s="520"/>
      <c r="AJ10" s="520"/>
      <c r="AK10" s="520"/>
      <c r="AL10" s="520"/>
      <c r="AM10" s="520"/>
      <c r="AN10" s="520"/>
      <c r="AO10" s="520"/>
      <c r="AP10" s="520"/>
      <c r="AQ10" s="520"/>
      <c r="AR10" s="520"/>
      <c r="AS10" s="520"/>
      <c r="AT10" s="520"/>
      <c r="AU10" s="520"/>
      <c r="AV10" s="520"/>
      <c r="AW10" s="520"/>
      <c r="AX10" s="520"/>
      <c r="AY10" s="520"/>
      <c r="AZ10" s="520"/>
      <c r="BA10" s="520"/>
      <c r="BB10" s="520"/>
      <c r="BC10" s="520"/>
      <c r="BD10" s="520"/>
    </row>
    <row r="11" spans="1:154" s="521" customFormat="1" ht="13.5">
      <c r="A11" s="522"/>
      <c r="B11" s="522"/>
      <c r="C11" s="522"/>
      <c r="D11" s="522"/>
      <c r="E11" s="522"/>
      <c r="F11" s="522"/>
      <c r="G11" s="522"/>
      <c r="H11" s="692" t="s">
        <v>626</v>
      </c>
      <c r="I11" s="548" t="s">
        <v>838</v>
      </c>
      <c r="J11" s="548"/>
      <c r="K11" s="548"/>
      <c r="L11" s="14"/>
      <c r="M11" s="14"/>
      <c r="N11" s="14"/>
      <c r="O11" s="14"/>
      <c r="P11" s="14"/>
      <c r="Q11" s="14"/>
      <c r="R11" s="14"/>
      <c r="S11" s="225"/>
      <c r="T11" s="518"/>
      <c r="U11" s="518"/>
      <c r="V11" s="518"/>
      <c r="W11" s="518"/>
      <c r="X11" s="518"/>
      <c r="Y11" s="518"/>
      <c r="Z11" s="518"/>
      <c r="AA11" s="518"/>
      <c r="AB11" s="520"/>
      <c r="AC11" s="520"/>
      <c r="AD11" s="520"/>
      <c r="AE11" s="520"/>
      <c r="AF11" s="520"/>
      <c r="AG11" s="520"/>
      <c r="AH11" s="520"/>
      <c r="AI11" s="520"/>
      <c r="AJ11" s="520"/>
      <c r="AK11" s="520"/>
      <c r="AL11" s="520"/>
      <c r="AM11" s="520"/>
      <c r="AN11" s="520"/>
      <c r="AO11" s="520"/>
      <c r="AP11" s="520"/>
      <c r="AQ11" s="520"/>
      <c r="AR11" s="520"/>
      <c r="AS11" s="520"/>
      <c r="AT11" s="520"/>
      <c r="AU11" s="520"/>
      <c r="AV11" s="520"/>
      <c r="AW11" s="520"/>
      <c r="AX11" s="520"/>
      <c r="AY11" s="520"/>
      <c r="AZ11" s="520"/>
      <c r="BA11" s="520"/>
      <c r="BB11" s="520"/>
      <c r="BC11" s="520"/>
      <c r="BD11" s="520"/>
    </row>
    <row r="12" spans="1:154" s="521" customFormat="1" ht="13.5">
      <c r="A12" s="522"/>
      <c r="B12" s="522"/>
      <c r="C12" s="522"/>
      <c r="D12" s="522"/>
      <c r="E12" s="522"/>
      <c r="F12" s="522"/>
      <c r="G12" s="522"/>
      <c r="H12" s="692">
        <v>2</v>
      </c>
      <c r="I12" s="548" t="s">
        <v>837</v>
      </c>
      <c r="J12" s="548"/>
      <c r="K12" s="548"/>
      <c r="L12" s="14"/>
      <c r="M12" s="14"/>
      <c r="N12" s="14"/>
      <c r="O12" s="14"/>
      <c r="P12" s="14"/>
      <c r="Q12" s="14"/>
      <c r="R12" s="14"/>
      <c r="S12" s="225"/>
      <c r="T12" s="518"/>
      <c r="U12" s="518"/>
      <c r="V12" s="518"/>
      <c r="W12" s="518"/>
      <c r="X12" s="518"/>
      <c r="Y12" s="518"/>
      <c r="Z12" s="518"/>
      <c r="AA12" s="518"/>
      <c r="AB12" s="520"/>
      <c r="AC12" s="520"/>
      <c r="AD12" s="520"/>
      <c r="AE12" s="520"/>
      <c r="AF12" s="520"/>
      <c r="AG12" s="520"/>
      <c r="AH12" s="520"/>
      <c r="AI12" s="520"/>
      <c r="AJ12" s="520"/>
      <c r="AK12" s="520"/>
      <c r="AL12" s="520"/>
      <c r="AM12" s="520"/>
      <c r="AN12" s="520"/>
      <c r="AO12" s="520"/>
      <c r="AP12" s="520"/>
      <c r="AQ12" s="520"/>
      <c r="AR12" s="520"/>
      <c r="AS12" s="520"/>
      <c r="AT12" s="520"/>
      <c r="AU12" s="520"/>
      <c r="AV12" s="520"/>
      <c r="AW12" s="520"/>
      <c r="AX12" s="520"/>
      <c r="AY12" s="520"/>
      <c r="AZ12" s="520"/>
      <c r="BA12" s="520"/>
      <c r="BB12" s="520"/>
      <c r="BC12" s="520"/>
      <c r="BD12" s="520"/>
    </row>
    <row r="13" spans="1:154" s="521" customFormat="1" ht="13.5">
      <c r="A13" s="522"/>
      <c r="B13" s="522"/>
      <c r="C13" s="522"/>
      <c r="D13" s="522"/>
      <c r="E13" s="522"/>
      <c r="F13" s="522"/>
      <c r="G13" s="522"/>
      <c r="H13" s="692">
        <v>3</v>
      </c>
      <c r="I13" s="548" t="s">
        <v>841</v>
      </c>
      <c r="J13" s="548"/>
      <c r="K13" s="548"/>
      <c r="L13" s="14"/>
      <c r="M13" s="14"/>
      <c r="N13" s="14"/>
      <c r="O13" s="14"/>
      <c r="P13" s="14"/>
      <c r="Q13" s="14"/>
      <c r="R13" s="14"/>
      <c r="S13" s="225"/>
      <c r="T13" s="518"/>
      <c r="U13" s="518"/>
      <c r="V13" s="518"/>
      <c r="W13" s="518"/>
      <c r="X13" s="518"/>
      <c r="Y13" s="518"/>
      <c r="Z13" s="518"/>
      <c r="AA13" s="518"/>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0"/>
      <c r="BD13" s="520"/>
    </row>
    <row r="14" spans="1:154" s="521" customFormat="1" ht="13.5">
      <c r="A14" s="522"/>
      <c r="B14" s="522"/>
      <c r="C14" s="522"/>
      <c r="D14" s="522"/>
      <c r="E14" s="522"/>
      <c r="F14" s="522"/>
      <c r="G14" s="522"/>
      <c r="H14" s="692"/>
      <c r="I14" s="548" t="s">
        <v>842</v>
      </c>
      <c r="J14" s="548"/>
      <c r="K14" s="548"/>
      <c r="L14" s="14"/>
      <c r="M14" s="14"/>
      <c r="N14" s="14"/>
      <c r="O14" s="14"/>
      <c r="P14" s="14"/>
      <c r="Q14" s="14"/>
      <c r="R14" s="14"/>
      <c r="S14" s="225"/>
      <c r="T14" s="518"/>
      <c r="U14" s="518"/>
      <c r="V14" s="518"/>
      <c r="W14" s="518"/>
      <c r="X14" s="518"/>
      <c r="Y14" s="518"/>
      <c r="Z14" s="518"/>
      <c r="AA14" s="518"/>
      <c r="AB14" s="520"/>
      <c r="AC14" s="520"/>
      <c r="AD14" s="520"/>
      <c r="AE14" s="520"/>
      <c r="AF14" s="520"/>
      <c r="AG14" s="520"/>
      <c r="AH14" s="520"/>
      <c r="AI14" s="520"/>
      <c r="AJ14" s="520"/>
      <c r="AK14" s="520"/>
      <c r="AL14" s="520"/>
      <c r="AM14" s="520"/>
      <c r="AN14" s="520"/>
      <c r="AO14" s="520"/>
      <c r="AP14" s="520"/>
      <c r="AQ14" s="520"/>
      <c r="AR14" s="520"/>
      <c r="AS14" s="520"/>
      <c r="AT14" s="520"/>
      <c r="AU14" s="520"/>
      <c r="AV14" s="520"/>
      <c r="AW14" s="520"/>
      <c r="AX14" s="520"/>
      <c r="AY14" s="520"/>
      <c r="AZ14" s="520"/>
      <c r="BA14" s="520"/>
      <c r="BB14" s="520"/>
      <c r="BC14" s="520"/>
      <c r="BD14" s="520"/>
    </row>
    <row r="15" spans="1:154" s="521" customFormat="1" ht="13.5">
      <c r="A15" s="522"/>
      <c r="B15" s="522"/>
      <c r="C15" s="522"/>
      <c r="D15" s="522"/>
      <c r="E15" s="522"/>
      <c r="F15" s="522"/>
      <c r="G15" s="522"/>
      <c r="H15" s="692">
        <v>4</v>
      </c>
      <c r="I15" s="548" t="s">
        <v>843</v>
      </c>
      <c r="J15" s="548"/>
      <c r="K15" s="548"/>
      <c r="L15" s="14"/>
      <c r="M15" s="14"/>
      <c r="N15" s="14"/>
      <c r="O15" s="14"/>
      <c r="P15" s="14"/>
      <c r="Q15" s="14"/>
      <c r="R15" s="14"/>
      <c r="S15" s="225"/>
      <c r="T15" s="518"/>
      <c r="U15" s="518"/>
      <c r="V15" s="518"/>
      <c r="W15" s="518"/>
      <c r="X15" s="518"/>
      <c r="Y15" s="518"/>
      <c r="Z15" s="518"/>
      <c r="AA15" s="518"/>
      <c r="AB15" s="520"/>
      <c r="AC15" s="520"/>
      <c r="AD15" s="520"/>
      <c r="AE15" s="520"/>
      <c r="AF15" s="520"/>
      <c r="AG15" s="520"/>
      <c r="AH15" s="520"/>
      <c r="AI15" s="520"/>
      <c r="AJ15" s="520"/>
      <c r="AK15" s="520"/>
      <c r="AL15" s="520"/>
      <c r="AM15" s="520"/>
      <c r="AN15" s="520"/>
      <c r="AO15" s="520"/>
      <c r="AP15" s="520"/>
      <c r="AQ15" s="520"/>
      <c r="AR15" s="520"/>
      <c r="AS15" s="520"/>
      <c r="AT15" s="520"/>
      <c r="AU15" s="520"/>
      <c r="AV15" s="520"/>
      <c r="AW15" s="520"/>
      <c r="AX15" s="520"/>
      <c r="AY15" s="520"/>
      <c r="AZ15" s="520"/>
      <c r="BA15" s="520"/>
      <c r="BB15" s="520"/>
      <c r="BC15" s="520"/>
      <c r="BD15" s="520"/>
    </row>
    <row r="16" spans="1:154" s="521" customFormat="1" ht="13.5">
      <c r="A16" s="522"/>
      <c r="B16" s="522"/>
      <c r="C16" s="522"/>
      <c r="D16" s="522"/>
      <c r="E16" s="522"/>
      <c r="F16" s="522"/>
      <c r="G16" s="522"/>
      <c r="H16" s="692">
        <v>5</v>
      </c>
      <c r="I16" s="548" t="s">
        <v>343</v>
      </c>
      <c r="J16" s="548"/>
      <c r="K16" s="548"/>
      <c r="L16" s="14"/>
      <c r="M16" s="14"/>
      <c r="N16" s="14"/>
      <c r="O16" s="14"/>
      <c r="P16" s="14"/>
      <c r="Q16" s="14"/>
      <c r="R16" s="14"/>
      <c r="S16" s="225"/>
      <c r="T16" s="518"/>
      <c r="U16" s="518"/>
      <c r="V16" s="518"/>
      <c r="W16" s="518"/>
      <c r="X16" s="518"/>
      <c r="Y16" s="518"/>
      <c r="Z16" s="518"/>
      <c r="AA16" s="518"/>
      <c r="AB16" s="520"/>
      <c r="AC16" s="520"/>
      <c r="AD16" s="520"/>
      <c r="AE16" s="520"/>
      <c r="AF16" s="520"/>
      <c r="AG16" s="520"/>
      <c r="AH16" s="520"/>
      <c r="AI16" s="520"/>
      <c r="AJ16" s="520"/>
      <c r="AK16" s="520"/>
      <c r="AL16" s="520"/>
      <c r="AM16" s="520"/>
      <c r="AN16" s="520"/>
      <c r="AO16" s="520"/>
      <c r="AP16" s="520"/>
      <c r="AQ16" s="520"/>
      <c r="AR16" s="520"/>
      <c r="AS16" s="520"/>
      <c r="AT16" s="520"/>
      <c r="AU16" s="520"/>
      <c r="AV16" s="520"/>
      <c r="AW16" s="520"/>
      <c r="AX16" s="520"/>
      <c r="AY16" s="520"/>
      <c r="AZ16" s="520"/>
      <c r="BA16" s="520"/>
      <c r="BB16" s="520"/>
      <c r="BC16" s="520"/>
      <c r="BD16" s="520"/>
    </row>
    <row r="17" spans="1:56" s="521" customFormat="1" ht="13.5">
      <c r="A17" s="522"/>
      <c r="B17" s="522"/>
      <c r="C17" s="522"/>
      <c r="D17" s="522"/>
      <c r="E17" s="522"/>
      <c r="F17" s="522"/>
      <c r="G17" s="522"/>
      <c r="H17" s="692">
        <v>6</v>
      </c>
      <c r="I17" s="548" t="s">
        <v>406</v>
      </c>
      <c r="J17" s="548"/>
      <c r="K17" s="548"/>
      <c r="L17" s="14"/>
      <c r="M17" s="14"/>
      <c r="N17" s="14"/>
      <c r="O17" s="14"/>
      <c r="P17" s="14"/>
      <c r="Q17" s="14"/>
      <c r="R17" s="14"/>
      <c r="S17" s="225"/>
      <c r="T17" s="518"/>
      <c r="U17" s="518"/>
      <c r="V17" s="518"/>
      <c r="W17" s="518"/>
      <c r="X17" s="518"/>
      <c r="Y17" s="518"/>
      <c r="Z17" s="518"/>
      <c r="AA17" s="518"/>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520"/>
      <c r="AX17" s="520"/>
      <c r="AY17" s="520"/>
      <c r="AZ17" s="520"/>
      <c r="BA17" s="520"/>
      <c r="BB17" s="520"/>
      <c r="BC17" s="520"/>
      <c r="BD17" s="520"/>
    </row>
    <row r="18" spans="1:56" s="521" customFormat="1" ht="13.5">
      <c r="A18" s="522"/>
      <c r="B18" s="522"/>
      <c r="C18" s="522"/>
      <c r="D18" s="522"/>
      <c r="E18" s="522"/>
      <c r="F18" s="522"/>
      <c r="G18" s="522"/>
      <c r="H18" s="692">
        <v>7</v>
      </c>
      <c r="I18" s="548" t="s">
        <v>219</v>
      </c>
      <c r="J18" s="548"/>
      <c r="K18" s="548"/>
      <c r="L18" s="14"/>
      <c r="M18" s="14"/>
      <c r="N18" s="14"/>
      <c r="O18" s="14"/>
      <c r="P18" s="14"/>
      <c r="Q18" s="14"/>
      <c r="R18" s="14"/>
      <c r="S18" s="225"/>
      <c r="T18" s="518"/>
      <c r="U18" s="518"/>
      <c r="V18" s="518"/>
      <c r="W18" s="518"/>
      <c r="X18" s="518"/>
      <c r="Y18" s="518"/>
      <c r="Z18" s="518"/>
      <c r="AA18" s="518"/>
      <c r="AB18" s="520"/>
      <c r="AC18" s="520"/>
      <c r="AD18" s="520"/>
      <c r="AE18" s="520"/>
      <c r="AF18" s="520"/>
      <c r="AG18" s="520"/>
      <c r="AH18" s="520"/>
      <c r="AI18" s="520"/>
      <c r="AJ18" s="520"/>
      <c r="AK18" s="520"/>
      <c r="AL18" s="520"/>
      <c r="AM18" s="520"/>
      <c r="AN18" s="520"/>
      <c r="AO18" s="520"/>
      <c r="AP18" s="520"/>
      <c r="AQ18" s="520"/>
      <c r="AR18" s="520"/>
      <c r="AS18" s="520"/>
      <c r="AT18" s="520"/>
      <c r="AU18" s="520"/>
      <c r="AV18" s="520"/>
      <c r="AW18" s="520"/>
      <c r="AX18" s="520"/>
      <c r="AY18" s="520"/>
      <c r="AZ18" s="520"/>
      <c r="BA18" s="520"/>
      <c r="BB18" s="520"/>
      <c r="BC18" s="520"/>
      <c r="BD18" s="520"/>
    </row>
    <row r="19" spans="1:56" s="521" customFormat="1" ht="13.5">
      <c r="A19" s="522"/>
      <c r="B19" s="522"/>
      <c r="C19" s="522"/>
      <c r="D19" s="522"/>
      <c r="E19" s="522"/>
      <c r="F19" s="522"/>
      <c r="G19" s="522"/>
      <c r="H19" s="692">
        <v>8</v>
      </c>
      <c r="I19" s="548" t="s">
        <v>711</v>
      </c>
      <c r="J19" s="548"/>
      <c r="K19" s="548"/>
      <c r="L19" s="14"/>
      <c r="M19" s="14"/>
      <c r="N19" s="14"/>
      <c r="O19" s="14"/>
      <c r="P19" s="14"/>
      <c r="Q19" s="14"/>
      <c r="R19" s="14"/>
      <c r="S19" s="225"/>
      <c r="T19" s="518"/>
      <c r="U19" s="518"/>
      <c r="V19" s="518"/>
      <c r="W19" s="518"/>
      <c r="X19" s="518"/>
      <c r="Y19" s="518"/>
      <c r="Z19" s="518"/>
      <c r="AA19" s="518"/>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0"/>
      <c r="BD19" s="520"/>
    </row>
    <row r="20" spans="1:56" s="521" customFormat="1" ht="13.5">
      <c r="A20" s="522"/>
      <c r="B20" s="522"/>
      <c r="C20" s="522"/>
      <c r="D20" s="522"/>
      <c r="E20" s="522"/>
      <c r="F20" s="522"/>
      <c r="G20" s="522"/>
      <c r="H20" s="692">
        <v>8</v>
      </c>
      <c r="I20" s="548" t="s">
        <v>651</v>
      </c>
      <c r="J20" s="548"/>
      <c r="K20" s="548"/>
      <c r="L20" s="14"/>
      <c r="M20" s="14"/>
      <c r="N20" s="14"/>
      <c r="O20" s="14"/>
      <c r="P20" s="14"/>
      <c r="Q20" s="14"/>
      <c r="R20" s="14"/>
      <c r="S20" s="225"/>
      <c r="T20" s="518"/>
      <c r="U20" s="518"/>
      <c r="V20" s="518"/>
      <c r="W20" s="518"/>
      <c r="X20" s="518"/>
      <c r="Y20" s="518"/>
      <c r="Z20" s="518"/>
      <c r="AA20" s="518"/>
      <c r="AB20" s="520"/>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0"/>
      <c r="BD20" s="520"/>
    </row>
    <row r="21" spans="1:56" s="521" customFormat="1" ht="13.5">
      <c r="A21" s="522"/>
      <c r="B21" s="522"/>
      <c r="C21" s="522"/>
      <c r="D21" s="522"/>
      <c r="E21" s="522"/>
      <c r="F21" s="522"/>
      <c r="G21" s="522"/>
      <c r="H21" s="692">
        <v>9</v>
      </c>
      <c r="I21" s="548" t="s">
        <v>836</v>
      </c>
      <c r="J21" s="548"/>
      <c r="K21" s="548"/>
      <c r="L21" s="14"/>
      <c r="M21" s="14"/>
      <c r="N21" s="14"/>
      <c r="O21" s="14"/>
      <c r="P21" s="14"/>
      <c r="Q21" s="14"/>
      <c r="R21" s="14"/>
      <c r="S21" s="225"/>
      <c r="T21" s="518"/>
      <c r="U21" s="518"/>
      <c r="V21" s="518"/>
      <c r="W21" s="518"/>
      <c r="X21" s="518"/>
      <c r="Y21" s="518"/>
      <c r="Z21" s="518"/>
      <c r="AA21" s="518"/>
      <c r="AB21" s="520"/>
      <c r="AC21" s="520"/>
      <c r="AD21" s="520"/>
      <c r="AE21" s="520"/>
      <c r="AF21" s="520"/>
      <c r="AG21" s="520"/>
      <c r="AH21" s="520"/>
      <c r="AI21" s="520"/>
      <c r="AJ21" s="520"/>
      <c r="AK21" s="520"/>
      <c r="AL21" s="520"/>
      <c r="AM21" s="520"/>
      <c r="AN21" s="520"/>
      <c r="AO21" s="520"/>
      <c r="AP21" s="520"/>
      <c r="AQ21" s="520"/>
      <c r="AR21" s="520"/>
      <c r="AS21" s="520"/>
      <c r="AT21" s="520"/>
      <c r="AU21" s="520"/>
      <c r="AV21" s="520"/>
      <c r="AW21" s="520"/>
      <c r="AX21" s="520"/>
      <c r="AY21" s="520"/>
      <c r="AZ21" s="520"/>
      <c r="BA21" s="520"/>
      <c r="BB21" s="520"/>
      <c r="BC21" s="520"/>
      <c r="BD21" s="520"/>
    </row>
    <row r="22" spans="1:56" s="521" customFormat="1" ht="3" customHeight="1">
      <c r="A22" s="522"/>
      <c r="B22" s="522"/>
      <c r="C22" s="522"/>
      <c r="D22" s="522"/>
      <c r="E22" s="522"/>
      <c r="F22" s="522"/>
      <c r="G22" s="522"/>
      <c r="H22" s="546"/>
      <c r="I22" s="548"/>
      <c r="J22" s="548"/>
      <c r="K22" s="548"/>
      <c r="L22" s="14"/>
      <c r="M22" s="14"/>
      <c r="N22" s="14"/>
      <c r="O22" s="14"/>
      <c r="P22" s="14"/>
      <c r="Q22" s="14"/>
      <c r="R22" s="14"/>
      <c r="S22" s="225"/>
      <c r="T22" s="518"/>
      <c r="U22" s="518"/>
      <c r="V22" s="518"/>
      <c r="W22" s="518"/>
      <c r="X22" s="518"/>
      <c r="Y22" s="518"/>
      <c r="Z22" s="518"/>
      <c r="AA22" s="518"/>
      <c r="AB22" s="520"/>
      <c r="AC22" s="520"/>
      <c r="AD22" s="520"/>
      <c r="AE22" s="520"/>
      <c r="AF22" s="520"/>
      <c r="AG22" s="520"/>
      <c r="AH22" s="520"/>
      <c r="AI22" s="520"/>
      <c r="AJ22" s="520"/>
      <c r="AK22" s="520"/>
      <c r="AL22" s="520"/>
      <c r="AM22" s="520"/>
      <c r="AN22" s="520"/>
      <c r="AO22" s="520"/>
      <c r="AP22" s="520"/>
      <c r="AQ22" s="520"/>
      <c r="AR22" s="520"/>
      <c r="AS22" s="520"/>
      <c r="AT22" s="520"/>
      <c r="AU22" s="520"/>
      <c r="AV22" s="520"/>
      <c r="AW22" s="520"/>
      <c r="AX22" s="520"/>
      <c r="AY22" s="520"/>
      <c r="AZ22" s="520"/>
      <c r="BA22" s="520"/>
      <c r="BB22" s="520"/>
      <c r="BC22" s="520"/>
      <c r="BD22" s="520"/>
    </row>
    <row r="23" spans="1:56" s="521" customFormat="1" ht="13.5">
      <c r="A23" s="522"/>
      <c r="B23" s="522"/>
      <c r="C23" s="522"/>
      <c r="D23" s="522"/>
      <c r="E23" s="522"/>
      <c r="F23" s="522"/>
      <c r="G23" s="522"/>
      <c r="H23" s="545" t="s">
        <v>791</v>
      </c>
      <c r="I23" s="545"/>
      <c r="J23" s="545"/>
      <c r="K23" s="545"/>
      <c r="L23" s="526"/>
      <c r="M23" s="526"/>
      <c r="N23" s="526"/>
      <c r="O23" s="526"/>
      <c r="P23" s="526"/>
      <c r="Q23" s="526"/>
      <c r="R23" s="526"/>
      <c r="S23" s="526"/>
      <c r="T23" s="518"/>
      <c r="U23" s="518"/>
      <c r="V23" s="518"/>
      <c r="W23" s="518"/>
      <c r="X23" s="518"/>
      <c r="Y23" s="518"/>
      <c r="Z23" s="518"/>
      <c r="AA23" s="518"/>
      <c r="AB23" s="520"/>
      <c r="AC23" s="520"/>
      <c r="AD23" s="520"/>
      <c r="AE23" s="520"/>
      <c r="AF23" s="520"/>
      <c r="AG23" s="520"/>
      <c r="AH23" s="520"/>
      <c r="AI23" s="520"/>
      <c r="AJ23" s="520"/>
      <c r="AK23" s="520"/>
      <c r="AL23" s="520"/>
      <c r="AM23" s="520"/>
      <c r="AN23" s="520"/>
      <c r="AO23" s="520"/>
      <c r="AP23" s="520"/>
      <c r="AQ23" s="520"/>
      <c r="AR23" s="520"/>
      <c r="AS23" s="520"/>
      <c r="AT23" s="520"/>
      <c r="AU23" s="520"/>
      <c r="AV23" s="520"/>
      <c r="AW23" s="520"/>
      <c r="AX23" s="520"/>
      <c r="AY23" s="520"/>
      <c r="AZ23" s="520"/>
      <c r="BA23" s="520"/>
      <c r="BB23" s="520"/>
      <c r="BC23" s="520"/>
      <c r="BD23" s="520"/>
    </row>
    <row r="24" spans="1:56" s="521" customFormat="1" ht="13.5">
      <c r="A24" s="522"/>
      <c r="B24" s="522"/>
      <c r="C24" s="522"/>
      <c r="D24" s="522"/>
      <c r="E24" s="522"/>
      <c r="F24" s="522"/>
      <c r="G24" s="522"/>
      <c r="H24" s="692" t="s">
        <v>626</v>
      </c>
      <c r="I24" s="548" t="s">
        <v>792</v>
      </c>
      <c r="J24" s="548"/>
      <c r="K24" s="548"/>
      <c r="L24" s="14"/>
      <c r="M24" s="14"/>
      <c r="N24" s="14"/>
      <c r="O24" s="14"/>
      <c r="P24" s="14"/>
      <c r="Q24" s="14"/>
      <c r="R24" s="14"/>
      <c r="S24" s="225"/>
      <c r="T24" s="518"/>
      <c r="U24" s="518"/>
      <c r="V24" s="518"/>
      <c r="W24" s="518"/>
      <c r="X24" s="518"/>
      <c r="Y24" s="518"/>
      <c r="Z24" s="518"/>
      <c r="AA24" s="518"/>
      <c r="AB24" s="520"/>
      <c r="AC24" s="520"/>
      <c r="AD24" s="520"/>
      <c r="AE24" s="520"/>
      <c r="AF24" s="520"/>
      <c r="AG24" s="520"/>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0"/>
      <c r="BD24" s="520"/>
    </row>
    <row r="25" spans="1:56" s="521" customFormat="1" ht="13.5">
      <c r="A25" s="522"/>
      <c r="B25" s="522"/>
      <c r="C25" s="522"/>
      <c r="D25" s="522"/>
      <c r="E25" s="522"/>
      <c r="F25" s="522"/>
      <c r="G25" s="522"/>
      <c r="H25" s="692">
        <v>2</v>
      </c>
      <c r="I25" s="548" t="s">
        <v>793</v>
      </c>
      <c r="J25" s="548"/>
      <c r="K25" s="548"/>
      <c r="L25" s="14"/>
      <c r="M25" s="14"/>
      <c r="N25" s="14"/>
      <c r="O25" s="14"/>
      <c r="P25" s="14"/>
      <c r="Q25" s="14"/>
      <c r="R25" s="14"/>
      <c r="S25" s="225"/>
      <c r="T25" s="518"/>
      <c r="U25" s="518"/>
      <c r="V25" s="518"/>
      <c r="W25" s="518"/>
      <c r="X25" s="518"/>
      <c r="Y25" s="518"/>
      <c r="Z25" s="518"/>
      <c r="AA25" s="518"/>
      <c r="AB25" s="520"/>
      <c r="AC25" s="520"/>
      <c r="AD25" s="520"/>
      <c r="AE25" s="520"/>
      <c r="AF25" s="520"/>
      <c r="AG25" s="520"/>
      <c r="AH25" s="520"/>
      <c r="AI25" s="520"/>
      <c r="AJ25" s="520"/>
      <c r="AK25" s="520"/>
      <c r="AL25" s="520"/>
      <c r="AM25" s="520"/>
      <c r="AN25" s="520"/>
      <c r="AO25" s="520"/>
      <c r="AP25" s="520"/>
      <c r="AQ25" s="520"/>
      <c r="AR25" s="520"/>
      <c r="AS25" s="520"/>
      <c r="AT25" s="520"/>
      <c r="AU25" s="520"/>
      <c r="AV25" s="520"/>
      <c r="AW25" s="520"/>
      <c r="AX25" s="520"/>
      <c r="AY25" s="520"/>
      <c r="AZ25" s="520"/>
      <c r="BA25" s="520"/>
      <c r="BB25" s="520"/>
      <c r="BC25" s="520"/>
      <c r="BD25" s="520"/>
    </row>
    <row r="26" spans="1:56" s="521" customFormat="1" ht="3" customHeight="1">
      <c r="A26" s="522"/>
      <c r="B26" s="522"/>
      <c r="C26" s="522"/>
      <c r="D26" s="522"/>
      <c r="E26" s="522"/>
      <c r="F26" s="522"/>
      <c r="G26" s="522"/>
      <c r="H26" s="546"/>
      <c r="I26" s="548"/>
      <c r="J26" s="548"/>
      <c r="K26" s="548"/>
      <c r="L26" s="14"/>
      <c r="M26" s="14"/>
      <c r="N26" s="14"/>
      <c r="O26" s="14"/>
      <c r="P26" s="14"/>
      <c r="Q26" s="14"/>
      <c r="R26" s="14"/>
      <c r="S26" s="225"/>
      <c r="T26" s="518"/>
      <c r="U26" s="518"/>
      <c r="V26" s="518"/>
      <c r="W26" s="518"/>
      <c r="X26" s="518"/>
      <c r="Y26" s="518"/>
      <c r="Z26" s="518"/>
      <c r="AA26" s="518"/>
      <c r="AB26" s="520"/>
      <c r="AC26" s="520"/>
      <c r="AD26" s="520"/>
      <c r="AE26" s="520"/>
      <c r="AF26" s="520"/>
      <c r="AG26" s="520"/>
      <c r="AH26" s="520"/>
      <c r="AI26" s="520"/>
      <c r="AJ26" s="520"/>
      <c r="AK26" s="520"/>
      <c r="AL26" s="520"/>
      <c r="AM26" s="520"/>
      <c r="AN26" s="520"/>
      <c r="AO26" s="520"/>
      <c r="AP26" s="520"/>
      <c r="AQ26" s="520"/>
      <c r="AR26" s="520"/>
      <c r="AS26" s="520"/>
      <c r="AT26" s="520"/>
      <c r="AU26" s="520"/>
      <c r="AV26" s="520"/>
      <c r="AW26" s="520"/>
      <c r="AX26" s="520"/>
      <c r="AY26" s="520"/>
      <c r="AZ26" s="520"/>
      <c r="BA26" s="520"/>
      <c r="BB26" s="520"/>
      <c r="BC26" s="520"/>
      <c r="BD26" s="520"/>
    </row>
    <row r="27" spans="1:56" s="1087" customFormat="1" ht="13.5">
      <c r="H27" s="1088" t="s">
        <v>850</v>
      </c>
      <c r="I27" s="1089"/>
      <c r="J27" s="1089"/>
      <c r="K27" s="1089"/>
      <c r="L27" s="1089"/>
      <c r="M27" s="1089"/>
      <c r="N27" s="1089"/>
      <c r="O27" s="1089"/>
      <c r="P27" s="1089"/>
      <c r="Q27" s="1089"/>
      <c r="R27" s="1089"/>
      <c r="S27" s="1089"/>
    </row>
    <row r="28" spans="1:56" s="1087" customFormat="1" ht="13.5">
      <c r="H28" s="698">
        <v>1</v>
      </c>
      <c r="I28" s="1090" t="s">
        <v>851</v>
      </c>
      <c r="J28" s="1089"/>
      <c r="K28" s="1089"/>
      <c r="L28" s="1089"/>
      <c r="M28" s="1089"/>
      <c r="N28" s="1089"/>
      <c r="O28" s="1089"/>
      <c r="P28" s="1089"/>
      <c r="Q28" s="1089"/>
      <c r="R28" s="1089"/>
      <c r="S28" s="1089"/>
    </row>
    <row r="29" spans="1:56" s="1087" customFormat="1" ht="13.5">
      <c r="H29" s="698">
        <v>2</v>
      </c>
      <c r="I29" s="1090" t="s">
        <v>1027</v>
      </c>
      <c r="J29" s="1089"/>
      <c r="K29" s="1089"/>
      <c r="L29" s="1089"/>
      <c r="M29" s="1089"/>
      <c r="N29" s="1089"/>
      <c r="O29" s="1089"/>
      <c r="P29" s="1089"/>
      <c r="Q29" s="1089"/>
      <c r="R29" s="1089"/>
      <c r="S29" s="1089"/>
    </row>
    <row r="30" spans="1:56" s="1087" customFormat="1" ht="13.5">
      <c r="H30" s="698">
        <v>3</v>
      </c>
      <c r="I30" s="1090" t="s">
        <v>918</v>
      </c>
      <c r="J30" s="1089"/>
      <c r="K30" s="1089"/>
      <c r="L30" s="1089"/>
      <c r="M30" s="1089"/>
      <c r="N30" s="1089"/>
      <c r="O30" s="1089"/>
      <c r="P30" s="1089"/>
      <c r="Q30" s="1089"/>
      <c r="R30" s="1089"/>
      <c r="S30" s="1089"/>
    </row>
    <row r="31" spans="1:56" s="1087" customFormat="1" ht="13.5">
      <c r="H31" s="698">
        <v>4</v>
      </c>
      <c r="I31" s="1090" t="s">
        <v>849</v>
      </c>
      <c r="J31" s="1089"/>
      <c r="K31" s="1089"/>
      <c r="L31" s="1089"/>
      <c r="M31" s="1089"/>
      <c r="N31" s="1089"/>
      <c r="O31" s="1089"/>
      <c r="P31" s="1089"/>
      <c r="Q31" s="1089"/>
      <c r="R31" s="1089"/>
      <c r="S31" s="1089"/>
    </row>
    <row r="32" spans="1:56" s="1087" customFormat="1" ht="3" customHeight="1">
      <c r="H32" s="1089"/>
      <c r="I32" s="1089"/>
      <c r="J32" s="1089"/>
      <c r="K32" s="1089"/>
      <c r="L32" s="1089"/>
      <c r="M32" s="1089"/>
      <c r="N32" s="1089"/>
      <c r="O32" s="1089"/>
      <c r="P32" s="1089"/>
      <c r="Q32" s="1089"/>
      <c r="R32" s="1089"/>
      <c r="S32" s="1089"/>
    </row>
    <row r="33" spans="1:56" s="521" customFormat="1" ht="13.5">
      <c r="A33" s="522"/>
      <c r="B33" s="522"/>
      <c r="C33" s="522"/>
      <c r="D33" s="522"/>
      <c r="E33" s="522"/>
      <c r="F33" s="522"/>
      <c r="G33" s="522"/>
      <c r="H33" s="545" t="s">
        <v>671</v>
      </c>
      <c r="I33" s="545"/>
      <c r="J33" s="545"/>
      <c r="K33" s="545"/>
      <c r="L33" s="526"/>
      <c r="M33" s="526"/>
      <c r="N33" s="526"/>
      <c r="O33" s="526"/>
      <c r="P33" s="526"/>
      <c r="Q33" s="526"/>
      <c r="R33" s="526"/>
      <c r="S33" s="526"/>
      <c r="T33" s="518"/>
      <c r="U33" s="518"/>
      <c r="V33" s="518"/>
      <c r="W33" s="518"/>
      <c r="X33" s="518"/>
      <c r="Y33" s="518"/>
      <c r="Z33" s="518"/>
      <c r="AA33" s="518"/>
      <c r="AB33" s="520"/>
      <c r="AC33" s="520"/>
      <c r="AD33" s="520"/>
      <c r="AE33" s="520"/>
      <c r="AF33" s="520"/>
      <c r="AG33" s="520"/>
      <c r="AH33" s="520"/>
      <c r="AI33" s="520"/>
      <c r="AJ33" s="520"/>
      <c r="AK33" s="520"/>
      <c r="AL33" s="520"/>
      <c r="AM33" s="520"/>
      <c r="AN33" s="520"/>
      <c r="AO33" s="520"/>
      <c r="AP33" s="520"/>
      <c r="AQ33" s="520"/>
      <c r="AR33" s="520"/>
      <c r="AS33" s="520"/>
      <c r="AT33" s="520"/>
      <c r="AU33" s="520"/>
      <c r="AV33" s="520"/>
      <c r="AW33" s="520"/>
      <c r="AX33" s="520"/>
      <c r="AY33" s="520"/>
      <c r="AZ33" s="520"/>
      <c r="BA33" s="520"/>
      <c r="BB33" s="520"/>
      <c r="BC33" s="520"/>
      <c r="BD33" s="520"/>
    </row>
    <row r="34" spans="1:56" s="521" customFormat="1" ht="13.5">
      <c r="A34" s="522"/>
      <c r="B34" s="522"/>
      <c r="C34" s="522"/>
      <c r="D34" s="522"/>
      <c r="E34" s="522"/>
      <c r="F34" s="522"/>
      <c r="G34" s="522"/>
      <c r="H34" s="692" t="s">
        <v>626</v>
      </c>
      <c r="I34" s="548" t="s">
        <v>648</v>
      </c>
      <c r="J34" s="548"/>
      <c r="K34" s="548"/>
      <c r="L34" s="14"/>
      <c r="M34" s="14"/>
      <c r="N34" s="14"/>
      <c r="O34" s="14"/>
      <c r="P34" s="14"/>
      <c r="Q34" s="14"/>
      <c r="R34" s="14"/>
      <c r="S34" s="225"/>
      <c r="T34" s="518"/>
      <c r="U34" s="518"/>
      <c r="V34" s="518"/>
      <c r="W34" s="518"/>
      <c r="X34" s="518"/>
      <c r="Y34" s="518"/>
      <c r="Z34" s="518"/>
      <c r="AA34" s="518"/>
      <c r="AB34" s="520"/>
      <c r="AC34" s="520"/>
      <c r="AD34" s="520"/>
      <c r="AE34" s="520"/>
      <c r="AF34" s="520"/>
      <c r="AG34" s="520"/>
      <c r="AH34" s="520"/>
      <c r="AI34" s="520"/>
      <c r="AJ34" s="520"/>
      <c r="AK34" s="520"/>
      <c r="AL34" s="520"/>
      <c r="AM34" s="520"/>
      <c r="AN34" s="520"/>
      <c r="AO34" s="520"/>
      <c r="AP34" s="520"/>
      <c r="AQ34" s="520"/>
      <c r="AR34" s="520"/>
      <c r="AS34" s="520"/>
      <c r="AT34" s="520"/>
      <c r="AU34" s="520"/>
      <c r="AV34" s="520"/>
      <c r="AW34" s="520"/>
      <c r="AX34" s="520"/>
      <c r="AY34" s="520"/>
      <c r="AZ34" s="520"/>
      <c r="BA34" s="520"/>
      <c r="BB34" s="520"/>
      <c r="BC34" s="520"/>
      <c r="BD34" s="520"/>
    </row>
    <row r="35" spans="1:56" s="521" customFormat="1" ht="13.5">
      <c r="A35" s="522"/>
      <c r="B35" s="522"/>
      <c r="C35" s="522"/>
      <c r="D35" s="522"/>
      <c r="E35" s="522"/>
      <c r="F35" s="522"/>
      <c r="G35" s="522"/>
      <c r="H35" s="692">
        <v>2</v>
      </c>
      <c r="I35" s="548" t="s">
        <v>270</v>
      </c>
      <c r="J35" s="548"/>
      <c r="K35" s="548"/>
      <c r="L35" s="14"/>
      <c r="M35" s="14"/>
      <c r="N35" s="14"/>
      <c r="O35" s="14"/>
      <c r="P35" s="14"/>
      <c r="Q35" s="14"/>
      <c r="R35" s="14"/>
      <c r="S35" s="225"/>
      <c r="T35" s="518"/>
      <c r="U35" s="518"/>
      <c r="V35" s="518"/>
      <c r="W35" s="518"/>
      <c r="X35" s="518"/>
      <c r="Y35" s="518"/>
      <c r="Z35" s="518"/>
      <c r="AA35" s="518"/>
      <c r="AB35" s="520"/>
      <c r="AC35" s="520"/>
      <c r="AD35" s="520"/>
      <c r="AE35" s="520"/>
      <c r="AF35" s="520"/>
      <c r="AG35" s="520"/>
      <c r="AH35" s="520"/>
      <c r="AI35" s="520"/>
      <c r="AJ35" s="520"/>
      <c r="AK35" s="520"/>
      <c r="AL35" s="520"/>
      <c r="AM35" s="520"/>
      <c r="AN35" s="520"/>
      <c r="AO35" s="520"/>
      <c r="AP35" s="520"/>
      <c r="AQ35" s="520"/>
      <c r="AR35" s="520"/>
      <c r="AS35" s="520"/>
      <c r="AT35" s="520"/>
      <c r="AU35" s="520"/>
      <c r="AV35" s="520"/>
      <c r="AW35" s="520"/>
      <c r="AX35" s="520"/>
      <c r="AY35" s="520"/>
      <c r="AZ35" s="520"/>
      <c r="BA35" s="520"/>
      <c r="BB35" s="520"/>
      <c r="BC35" s="520"/>
      <c r="BD35" s="520"/>
    </row>
    <row r="36" spans="1:56" s="521" customFormat="1" ht="13.5">
      <c r="A36" s="522"/>
      <c r="B36" s="522"/>
      <c r="C36" s="522"/>
      <c r="D36" s="522"/>
      <c r="E36" s="522"/>
      <c r="F36" s="522"/>
      <c r="G36" s="522"/>
      <c r="H36" s="692">
        <v>3</v>
      </c>
      <c r="I36" s="548" t="s">
        <v>445</v>
      </c>
      <c r="J36" s="548"/>
      <c r="K36" s="548"/>
      <c r="L36" s="14"/>
      <c r="M36" s="14"/>
      <c r="N36" s="14"/>
      <c r="O36" s="14"/>
      <c r="P36" s="14"/>
      <c r="Q36" s="14"/>
      <c r="R36" s="14"/>
      <c r="S36" s="225"/>
      <c r="T36" s="518"/>
      <c r="U36" s="518"/>
      <c r="V36" s="518"/>
      <c r="W36" s="518"/>
      <c r="X36" s="518"/>
      <c r="Y36" s="518"/>
      <c r="Z36" s="518"/>
      <c r="AA36" s="518"/>
      <c r="AB36" s="520"/>
      <c r="AC36" s="520"/>
      <c r="AD36" s="520"/>
      <c r="AE36" s="520"/>
      <c r="AF36" s="520"/>
      <c r="AG36" s="520"/>
      <c r="AH36" s="520"/>
      <c r="AI36" s="520"/>
      <c r="AJ36" s="520"/>
      <c r="AK36" s="520"/>
      <c r="AL36" s="520"/>
      <c r="AM36" s="520"/>
      <c r="AN36" s="520"/>
      <c r="AO36" s="520"/>
      <c r="AP36" s="520"/>
      <c r="AQ36" s="520"/>
      <c r="AR36" s="520"/>
      <c r="AS36" s="520"/>
      <c r="AT36" s="520"/>
      <c r="AU36" s="520"/>
      <c r="AV36" s="520"/>
      <c r="AW36" s="520"/>
      <c r="AX36" s="520"/>
      <c r="AY36" s="520"/>
      <c r="AZ36" s="520"/>
      <c r="BA36" s="520"/>
      <c r="BB36" s="520"/>
      <c r="BC36" s="520"/>
      <c r="BD36" s="520"/>
    </row>
    <row r="37" spans="1:56" s="521" customFormat="1" ht="3" customHeight="1">
      <c r="A37" s="522"/>
      <c r="B37" s="522"/>
      <c r="C37" s="522"/>
      <c r="D37" s="522"/>
      <c r="E37" s="522"/>
      <c r="F37" s="522"/>
      <c r="G37" s="522"/>
      <c r="H37" s="546"/>
      <c r="I37" s="548"/>
      <c r="J37" s="548"/>
      <c r="K37" s="548"/>
      <c r="L37" s="14"/>
      <c r="M37" s="14"/>
      <c r="N37" s="14"/>
      <c r="O37" s="14"/>
      <c r="P37" s="14"/>
      <c r="Q37" s="14"/>
      <c r="R37" s="14"/>
      <c r="S37" s="225"/>
      <c r="T37" s="518"/>
      <c r="U37" s="518"/>
      <c r="V37" s="518"/>
      <c r="W37" s="518"/>
      <c r="X37" s="518"/>
      <c r="Y37" s="518"/>
      <c r="Z37" s="518"/>
      <c r="AA37" s="518"/>
      <c r="AB37" s="520"/>
      <c r="AC37" s="520"/>
      <c r="AD37" s="520"/>
      <c r="AE37" s="520"/>
      <c r="AF37" s="520"/>
      <c r="AG37" s="520"/>
      <c r="AH37" s="520"/>
      <c r="AI37" s="520"/>
      <c r="AJ37" s="520"/>
      <c r="AK37" s="520"/>
      <c r="AL37" s="520"/>
      <c r="AM37" s="520"/>
      <c r="AN37" s="520"/>
      <c r="AO37" s="520"/>
      <c r="AP37" s="520"/>
      <c r="AQ37" s="520"/>
      <c r="AR37" s="520"/>
      <c r="AS37" s="520"/>
      <c r="AT37" s="520"/>
      <c r="AU37" s="520"/>
      <c r="AV37" s="520"/>
      <c r="AW37" s="520"/>
      <c r="AX37" s="520"/>
      <c r="AY37" s="520"/>
      <c r="AZ37" s="520"/>
      <c r="BA37" s="520"/>
      <c r="BB37" s="520"/>
      <c r="BC37" s="520"/>
      <c r="BD37" s="520"/>
    </row>
    <row r="38" spans="1:56" ht="13.5">
      <c r="H38" s="545" t="s">
        <v>434</v>
      </c>
      <c r="I38" s="545"/>
      <c r="J38" s="545"/>
      <c r="K38" s="545"/>
      <c r="L38" s="526"/>
      <c r="M38" s="526"/>
      <c r="N38" s="526"/>
      <c r="O38" s="526"/>
      <c r="P38" s="526"/>
      <c r="Q38" s="526"/>
      <c r="R38" s="526"/>
      <c r="S38" s="526"/>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row>
    <row r="39" spans="1:56" ht="13.5">
      <c r="H39" s="546">
        <v>1</v>
      </c>
      <c r="I39" s="14" t="s">
        <v>432</v>
      </c>
      <c r="J39" s="14"/>
      <c r="K39" s="14"/>
      <c r="L39" s="14"/>
      <c r="M39" s="14"/>
      <c r="N39" s="14"/>
      <c r="O39" s="14"/>
      <c r="P39" s="14"/>
      <c r="Q39" s="14"/>
      <c r="R39" s="14"/>
      <c r="S39" s="225"/>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row>
    <row r="40" spans="1:56" ht="13.5">
      <c r="H40" s="546">
        <v>2</v>
      </c>
      <c r="I40" s="14" t="s">
        <v>433</v>
      </c>
      <c r="J40" s="14"/>
      <c r="K40" s="14"/>
      <c r="L40" s="14"/>
      <c r="M40" s="14"/>
      <c r="N40" s="14"/>
      <c r="O40" s="14"/>
      <c r="P40" s="14"/>
      <c r="Q40" s="14"/>
      <c r="R40" s="14"/>
      <c r="S40" s="225"/>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row>
    <row r="41" spans="1:56" s="521" customFormat="1" ht="3" customHeight="1">
      <c r="A41" s="522"/>
      <c r="B41" s="522"/>
      <c r="C41" s="522"/>
      <c r="D41" s="522"/>
      <c r="E41" s="522"/>
      <c r="F41" s="522"/>
      <c r="G41" s="522"/>
      <c r="H41" s="546"/>
      <c r="I41" s="548"/>
      <c r="J41" s="548"/>
      <c r="K41" s="548"/>
      <c r="L41" s="14"/>
      <c r="M41" s="14"/>
      <c r="N41" s="14"/>
      <c r="O41" s="14"/>
      <c r="P41" s="14"/>
      <c r="Q41" s="14"/>
      <c r="R41" s="14"/>
      <c r="S41" s="225"/>
      <c r="T41" s="518"/>
      <c r="U41" s="518"/>
      <c r="V41" s="518"/>
      <c r="W41" s="518"/>
      <c r="X41" s="518"/>
      <c r="Y41" s="518"/>
      <c r="Z41" s="518"/>
      <c r="AA41" s="518"/>
      <c r="AB41" s="520"/>
      <c r="AC41" s="520"/>
      <c r="AD41" s="520"/>
      <c r="AE41" s="520"/>
      <c r="AF41" s="520"/>
      <c r="AG41" s="520"/>
      <c r="AH41" s="520"/>
      <c r="AI41" s="520"/>
      <c r="AJ41" s="520"/>
      <c r="AK41" s="520"/>
      <c r="AL41" s="520"/>
      <c r="AM41" s="520"/>
      <c r="AN41" s="520"/>
      <c r="AO41" s="520"/>
      <c r="AP41" s="520"/>
      <c r="AQ41" s="520"/>
      <c r="AR41" s="520"/>
      <c r="AS41" s="520"/>
      <c r="AT41" s="520"/>
      <c r="AU41" s="520"/>
      <c r="AV41" s="520"/>
      <c r="AW41" s="520"/>
      <c r="AX41" s="520"/>
      <c r="AY41" s="520"/>
      <c r="AZ41" s="520"/>
      <c r="BA41" s="520"/>
      <c r="BB41" s="520"/>
      <c r="BC41" s="520"/>
      <c r="BD41" s="520"/>
    </row>
    <row r="42" spans="1:56" s="521" customFormat="1" ht="13.5" hidden="1">
      <c r="A42" s="522"/>
      <c r="B42" s="522"/>
      <c r="C42" s="522"/>
      <c r="D42" s="522"/>
      <c r="E42" s="522"/>
      <c r="F42" s="522"/>
      <c r="G42" s="522"/>
      <c r="H42" s="545" t="s">
        <v>710</v>
      </c>
      <c r="I42" s="545"/>
      <c r="J42" s="545"/>
      <c r="K42" s="545"/>
      <c r="L42" s="526"/>
      <c r="M42" s="526"/>
      <c r="N42" s="526"/>
      <c r="O42" s="526"/>
      <c r="P42" s="526"/>
      <c r="Q42" s="526"/>
      <c r="R42" s="526"/>
      <c r="S42" s="526"/>
      <c r="T42" s="518"/>
      <c r="U42" s="518"/>
      <c r="V42" s="518"/>
      <c r="W42" s="518"/>
      <c r="X42" s="518"/>
      <c r="Y42" s="518"/>
      <c r="Z42" s="518"/>
      <c r="AA42" s="518"/>
      <c r="AB42" s="520"/>
      <c r="AC42" s="520"/>
      <c r="AD42" s="520"/>
      <c r="AE42" s="520"/>
      <c r="AF42" s="520"/>
      <c r="AG42" s="520"/>
      <c r="AH42" s="520"/>
      <c r="AI42" s="520"/>
      <c r="AJ42" s="520"/>
      <c r="AK42" s="520"/>
      <c r="AL42" s="520"/>
      <c r="AM42" s="520"/>
      <c r="AN42" s="520"/>
      <c r="AO42" s="520"/>
      <c r="AP42" s="520"/>
      <c r="AQ42" s="520"/>
      <c r="AR42" s="520"/>
      <c r="AS42" s="520"/>
      <c r="AT42" s="520"/>
      <c r="AU42" s="520"/>
      <c r="AV42" s="520"/>
      <c r="AW42" s="520"/>
      <c r="AX42" s="520"/>
      <c r="AY42" s="520"/>
      <c r="AZ42" s="520"/>
      <c r="BA42" s="520"/>
      <c r="BB42" s="520"/>
      <c r="BC42" s="520"/>
      <c r="BD42" s="520"/>
    </row>
    <row r="43" spans="1:56" s="521" customFormat="1" ht="13.5" hidden="1">
      <c r="A43" s="522"/>
      <c r="B43" s="522"/>
      <c r="C43" s="522"/>
      <c r="D43" s="522"/>
      <c r="E43" s="522"/>
      <c r="F43" s="522"/>
      <c r="G43" s="522"/>
      <c r="H43" s="546">
        <v>1</v>
      </c>
      <c r="I43" s="14" t="s">
        <v>156</v>
      </c>
      <c r="J43" s="14"/>
      <c r="K43" s="14"/>
      <c r="L43" s="14"/>
      <c r="M43" s="14"/>
      <c r="N43" s="14"/>
      <c r="O43" s="14"/>
      <c r="P43" s="14"/>
      <c r="Q43" s="14"/>
      <c r="R43" s="14"/>
      <c r="S43" s="225"/>
      <c r="T43" s="518"/>
      <c r="U43" s="518"/>
      <c r="V43" s="518"/>
      <c r="W43" s="518"/>
      <c r="X43" s="518"/>
      <c r="Y43" s="518"/>
      <c r="Z43" s="518"/>
      <c r="AA43" s="518"/>
      <c r="AB43" s="520"/>
      <c r="AC43" s="520"/>
      <c r="AD43" s="520"/>
      <c r="AE43" s="520"/>
      <c r="AF43" s="520"/>
      <c r="AG43" s="520"/>
      <c r="AH43" s="520"/>
      <c r="AI43" s="520"/>
      <c r="AJ43" s="520"/>
      <c r="AK43" s="520"/>
      <c r="AL43" s="520"/>
      <c r="AM43" s="520"/>
      <c r="AN43" s="520"/>
      <c r="AO43" s="520"/>
      <c r="AP43" s="520"/>
      <c r="AQ43" s="520"/>
      <c r="AR43" s="520"/>
      <c r="AS43" s="520"/>
      <c r="AT43" s="520"/>
      <c r="AU43" s="520"/>
      <c r="AV43" s="520"/>
      <c r="AW43" s="520"/>
      <c r="AX43" s="520"/>
      <c r="AY43" s="520"/>
      <c r="AZ43" s="520"/>
      <c r="BA43" s="520"/>
      <c r="BB43" s="520"/>
      <c r="BC43" s="520"/>
      <c r="BD43" s="520"/>
    </row>
    <row r="44" spans="1:56" s="521" customFormat="1" ht="13.5" hidden="1">
      <c r="A44" s="522"/>
      <c r="B44" s="522"/>
      <c r="C44" s="522"/>
      <c r="D44" s="522"/>
      <c r="E44" s="522"/>
      <c r="F44" s="522"/>
      <c r="G44" s="522"/>
      <c r="H44" s="546">
        <v>2</v>
      </c>
      <c r="I44" s="14" t="s">
        <v>448</v>
      </c>
      <c r="J44" s="14"/>
      <c r="K44" s="14"/>
      <c r="L44" s="14"/>
      <c r="M44" s="14"/>
      <c r="N44" s="14"/>
      <c r="O44" s="14"/>
      <c r="P44" s="14"/>
      <c r="Q44" s="14"/>
      <c r="R44" s="14"/>
      <c r="S44" s="225"/>
      <c r="T44" s="518"/>
      <c r="U44" s="518"/>
      <c r="V44" s="518"/>
      <c r="W44" s="518"/>
      <c r="X44" s="518"/>
      <c r="Y44" s="518"/>
      <c r="Z44" s="518"/>
      <c r="AA44" s="518"/>
      <c r="AB44" s="520"/>
      <c r="AC44" s="520"/>
      <c r="AD44" s="520"/>
      <c r="AE44" s="520"/>
      <c r="AF44" s="520"/>
      <c r="AG44" s="520"/>
      <c r="AH44" s="520"/>
      <c r="AI44" s="520"/>
      <c r="AJ44" s="520"/>
      <c r="AK44" s="520"/>
      <c r="AL44" s="520"/>
      <c r="AM44" s="520"/>
      <c r="AN44" s="520"/>
      <c r="AO44" s="520"/>
      <c r="AP44" s="520"/>
      <c r="AQ44" s="520"/>
      <c r="AR44" s="520"/>
      <c r="AS44" s="520"/>
      <c r="AT44" s="520"/>
      <c r="AU44" s="520"/>
      <c r="AV44" s="520"/>
      <c r="AW44" s="520"/>
      <c r="AX44" s="520"/>
      <c r="AY44" s="520"/>
      <c r="AZ44" s="520"/>
      <c r="BA44" s="520"/>
      <c r="BB44" s="520"/>
      <c r="BC44" s="520"/>
      <c r="BD44" s="520"/>
    </row>
    <row r="45" spans="1:56" s="521" customFormat="1" ht="13.5" hidden="1">
      <c r="A45" s="522"/>
      <c r="B45" s="522"/>
      <c r="C45" s="522"/>
      <c r="D45" s="522"/>
      <c r="E45" s="522"/>
      <c r="F45" s="522"/>
      <c r="G45" s="522"/>
      <c r="H45" s="546"/>
      <c r="I45" s="14" t="s">
        <v>412</v>
      </c>
      <c r="J45" s="14"/>
      <c r="K45" s="14"/>
      <c r="L45" s="14"/>
      <c r="M45" s="14"/>
      <c r="N45" s="14"/>
      <c r="O45" s="14"/>
      <c r="P45" s="14"/>
      <c r="Q45" s="14"/>
      <c r="R45" s="14"/>
      <c r="S45" s="225"/>
      <c r="T45" s="518"/>
      <c r="U45" s="518"/>
      <c r="V45" s="518"/>
      <c r="W45" s="518"/>
      <c r="X45" s="518"/>
      <c r="Y45" s="518"/>
      <c r="Z45" s="518"/>
      <c r="AA45" s="518"/>
      <c r="AB45" s="520"/>
      <c r="AC45" s="520"/>
      <c r="AD45" s="520"/>
      <c r="AE45" s="520"/>
      <c r="AF45" s="520"/>
      <c r="AG45" s="520"/>
      <c r="AH45" s="520"/>
      <c r="AI45" s="520"/>
      <c r="AJ45" s="520"/>
      <c r="AK45" s="520"/>
      <c r="AL45" s="520"/>
      <c r="AM45" s="520"/>
      <c r="AN45" s="520"/>
      <c r="AO45" s="520"/>
      <c r="AP45" s="520"/>
      <c r="AQ45" s="520"/>
      <c r="AR45" s="520"/>
      <c r="AS45" s="520"/>
      <c r="AT45" s="520"/>
      <c r="AU45" s="520"/>
      <c r="AV45" s="520"/>
      <c r="AW45" s="520"/>
      <c r="AX45" s="520"/>
      <c r="AY45" s="520"/>
      <c r="AZ45" s="520"/>
      <c r="BA45" s="520"/>
      <c r="BB45" s="520"/>
      <c r="BC45" s="520"/>
      <c r="BD45" s="520"/>
    </row>
    <row r="46" spans="1:56" s="521" customFormat="1" ht="13.5" hidden="1">
      <c r="A46" s="522"/>
      <c r="B46" s="522"/>
      <c r="C46" s="522"/>
      <c r="D46" s="522"/>
      <c r="E46" s="522"/>
      <c r="F46" s="522"/>
      <c r="G46" s="522"/>
      <c r="H46" s="546">
        <v>3</v>
      </c>
      <c r="I46" s="14" t="s">
        <v>264</v>
      </c>
      <c r="J46" s="14"/>
      <c r="K46" s="14"/>
      <c r="L46" s="14"/>
      <c r="M46" s="14"/>
      <c r="N46" s="14"/>
      <c r="O46" s="14"/>
      <c r="P46" s="14"/>
      <c r="Q46" s="14"/>
      <c r="R46" s="14"/>
      <c r="S46" s="225"/>
      <c r="T46" s="518"/>
      <c r="U46" s="518"/>
      <c r="V46" s="518"/>
      <c r="W46" s="518"/>
      <c r="X46" s="518"/>
      <c r="Y46" s="518"/>
      <c r="Z46" s="518"/>
      <c r="AA46" s="518"/>
      <c r="AB46" s="520"/>
      <c r="AC46" s="520"/>
      <c r="AD46" s="520"/>
      <c r="AE46" s="520"/>
      <c r="AF46" s="520"/>
      <c r="AG46" s="520"/>
      <c r="AH46" s="520"/>
      <c r="AI46" s="520"/>
      <c r="AJ46" s="520"/>
      <c r="AK46" s="520"/>
      <c r="AL46" s="520"/>
      <c r="AM46" s="520"/>
      <c r="AN46" s="520"/>
      <c r="AO46" s="520"/>
      <c r="AP46" s="520"/>
      <c r="AQ46" s="520"/>
      <c r="AR46" s="520"/>
      <c r="AS46" s="520"/>
      <c r="AT46" s="520"/>
      <c r="AU46" s="520"/>
      <c r="AV46" s="520"/>
      <c r="AW46" s="520"/>
      <c r="AX46" s="520"/>
      <c r="AY46" s="520"/>
      <c r="AZ46" s="520"/>
      <c r="BA46" s="520"/>
      <c r="BB46" s="520"/>
      <c r="BC46" s="520"/>
      <c r="BD46" s="520"/>
    </row>
    <row r="47" spans="1:56" s="521" customFormat="1" ht="13.5" hidden="1">
      <c r="A47" s="522"/>
      <c r="B47" s="522"/>
      <c r="C47" s="522"/>
      <c r="D47" s="522"/>
      <c r="E47" s="522"/>
      <c r="F47" s="522"/>
      <c r="G47" s="522"/>
      <c r="H47" s="546">
        <v>4</v>
      </c>
      <c r="I47" s="14" t="s">
        <v>263</v>
      </c>
      <c r="J47" s="14"/>
      <c r="K47" s="14"/>
      <c r="L47" s="14"/>
      <c r="M47" s="14"/>
      <c r="N47" s="14"/>
      <c r="O47" s="14"/>
      <c r="P47" s="14"/>
      <c r="Q47" s="14"/>
      <c r="R47" s="14"/>
      <c r="S47" s="225"/>
      <c r="T47" s="518"/>
      <c r="U47" s="518"/>
      <c r="V47" s="518"/>
      <c r="W47" s="518"/>
      <c r="X47" s="518"/>
      <c r="Y47" s="518"/>
      <c r="Z47" s="518"/>
      <c r="AA47" s="518"/>
      <c r="AB47" s="520"/>
      <c r="AC47" s="520"/>
      <c r="AD47" s="520"/>
      <c r="AE47" s="520"/>
      <c r="AF47" s="520"/>
      <c r="AG47" s="520"/>
      <c r="AH47" s="520"/>
      <c r="AI47" s="520"/>
      <c r="AJ47" s="520"/>
      <c r="AK47" s="520"/>
      <c r="AL47" s="520"/>
      <c r="AM47" s="520"/>
      <c r="AN47" s="520"/>
      <c r="AO47" s="520"/>
      <c r="AP47" s="520"/>
      <c r="AQ47" s="520"/>
      <c r="AR47" s="520"/>
      <c r="AS47" s="520"/>
      <c r="AT47" s="520"/>
      <c r="AU47" s="520"/>
      <c r="AV47" s="520"/>
      <c r="AW47" s="520"/>
      <c r="AX47" s="520"/>
      <c r="AY47" s="520"/>
      <c r="AZ47" s="520"/>
      <c r="BA47" s="520"/>
      <c r="BB47" s="520"/>
      <c r="BC47" s="520"/>
      <c r="BD47" s="520"/>
    </row>
    <row r="48" spans="1:56" s="521" customFormat="1" ht="13.5" hidden="1">
      <c r="A48" s="522"/>
      <c r="B48" s="522"/>
      <c r="C48" s="522"/>
      <c r="D48" s="522"/>
      <c r="E48" s="522"/>
      <c r="F48" s="522"/>
      <c r="G48" s="522"/>
      <c r="H48" s="546">
        <v>5</v>
      </c>
      <c r="I48" s="14" t="s">
        <v>116</v>
      </c>
      <c r="J48" s="14"/>
      <c r="K48" s="14"/>
      <c r="L48" s="14"/>
      <c r="M48" s="14"/>
      <c r="N48" s="14"/>
      <c r="O48" s="14"/>
      <c r="P48" s="14"/>
      <c r="Q48" s="14"/>
      <c r="R48" s="14"/>
      <c r="S48" s="225"/>
      <c r="T48" s="518"/>
      <c r="U48" s="518"/>
      <c r="V48" s="518"/>
      <c r="W48" s="518"/>
      <c r="X48" s="518"/>
      <c r="Y48" s="518"/>
      <c r="Z48" s="518"/>
      <c r="AA48" s="518"/>
      <c r="AB48" s="520"/>
      <c r="AC48" s="520"/>
      <c r="AD48" s="520"/>
      <c r="AE48" s="520"/>
      <c r="AF48" s="520"/>
      <c r="AG48" s="520"/>
      <c r="AH48" s="520"/>
      <c r="AI48" s="520"/>
      <c r="AJ48" s="520"/>
      <c r="AK48" s="520"/>
      <c r="AL48" s="520"/>
      <c r="AM48" s="520"/>
      <c r="AN48" s="520"/>
      <c r="AO48" s="520"/>
      <c r="AP48" s="520"/>
      <c r="AQ48" s="520"/>
      <c r="AR48" s="520"/>
      <c r="AS48" s="520"/>
      <c r="AT48" s="520"/>
      <c r="AU48" s="520"/>
      <c r="AV48" s="520"/>
      <c r="AW48" s="520"/>
      <c r="AX48" s="520"/>
      <c r="AY48" s="520"/>
      <c r="AZ48" s="520"/>
      <c r="BA48" s="520"/>
      <c r="BB48" s="520"/>
      <c r="BC48" s="520"/>
      <c r="BD48" s="520"/>
    </row>
    <row r="49" spans="1:56" s="521" customFormat="1" ht="13.5" hidden="1">
      <c r="A49" s="522"/>
      <c r="B49" s="522"/>
      <c r="C49" s="522"/>
      <c r="D49" s="522"/>
      <c r="E49" s="522"/>
      <c r="F49" s="522"/>
      <c r="G49" s="522"/>
      <c r="H49" s="546">
        <v>6</v>
      </c>
      <c r="I49" s="14" t="s">
        <v>157</v>
      </c>
      <c r="J49" s="14"/>
      <c r="K49" s="14"/>
      <c r="L49" s="14"/>
      <c r="M49" s="14"/>
      <c r="N49" s="14"/>
      <c r="O49" s="14"/>
      <c r="P49" s="14"/>
      <c r="Q49" s="14"/>
      <c r="R49" s="14"/>
      <c r="S49" s="225"/>
      <c r="T49" s="518"/>
      <c r="U49" s="518"/>
      <c r="V49" s="518"/>
      <c r="W49" s="518"/>
      <c r="X49" s="518"/>
      <c r="Y49" s="518"/>
      <c r="Z49" s="518"/>
      <c r="AA49" s="518"/>
      <c r="AB49" s="520"/>
      <c r="AC49" s="520"/>
      <c r="AD49" s="520"/>
      <c r="AE49" s="520"/>
      <c r="AF49" s="520"/>
      <c r="AG49" s="520"/>
      <c r="AH49" s="520"/>
      <c r="AI49" s="520"/>
      <c r="AJ49" s="520"/>
      <c r="AK49" s="520"/>
      <c r="AL49" s="520"/>
      <c r="AM49" s="520"/>
      <c r="AN49" s="520"/>
      <c r="AO49" s="520"/>
      <c r="AP49" s="520"/>
      <c r="AQ49" s="520"/>
      <c r="AR49" s="520"/>
      <c r="AS49" s="520"/>
      <c r="AT49" s="520"/>
      <c r="AU49" s="520"/>
      <c r="AV49" s="520"/>
      <c r="AW49" s="520"/>
      <c r="AX49" s="520"/>
      <c r="AY49" s="520"/>
      <c r="AZ49" s="520"/>
      <c r="BA49" s="520"/>
      <c r="BB49" s="520"/>
      <c r="BC49" s="520"/>
      <c r="BD49" s="520"/>
    </row>
    <row r="50" spans="1:56" s="521" customFormat="1" ht="13.5" hidden="1">
      <c r="A50" s="522"/>
      <c r="B50" s="522"/>
      <c r="C50" s="522"/>
      <c r="D50" s="522"/>
      <c r="E50" s="522"/>
      <c r="F50" s="522"/>
      <c r="G50" s="522"/>
      <c r="H50" s="692"/>
      <c r="I50" s="548" t="s">
        <v>746</v>
      </c>
      <c r="J50" s="548"/>
      <c r="K50" s="548"/>
      <c r="L50" s="14"/>
      <c r="M50" s="14"/>
      <c r="N50" s="14"/>
      <c r="O50" s="14"/>
      <c r="P50" s="14"/>
      <c r="Q50" s="14"/>
      <c r="R50" s="14"/>
      <c r="S50" s="225"/>
      <c r="T50" s="518"/>
      <c r="U50" s="518"/>
      <c r="V50" s="518"/>
      <c r="W50" s="518"/>
      <c r="X50" s="518"/>
      <c r="Y50" s="518"/>
      <c r="Z50" s="518"/>
      <c r="AA50" s="518"/>
      <c r="AB50" s="520"/>
      <c r="AC50" s="520"/>
      <c r="AD50" s="520"/>
      <c r="AE50" s="520"/>
      <c r="AF50" s="520"/>
      <c r="AG50" s="520"/>
      <c r="AH50" s="520"/>
      <c r="AI50" s="520"/>
      <c r="AJ50" s="520"/>
      <c r="AK50" s="520"/>
      <c r="AL50" s="520"/>
      <c r="AM50" s="520"/>
      <c r="AN50" s="520"/>
      <c r="AO50" s="520"/>
      <c r="AP50" s="520"/>
      <c r="AQ50" s="520"/>
      <c r="AR50" s="520"/>
      <c r="AS50" s="520"/>
      <c r="AT50" s="520"/>
      <c r="AU50" s="520"/>
      <c r="AV50" s="520"/>
      <c r="AW50" s="520"/>
      <c r="AX50" s="520"/>
      <c r="AY50" s="520"/>
      <c r="AZ50" s="520"/>
      <c r="BA50" s="520"/>
      <c r="BB50" s="520"/>
      <c r="BC50" s="520"/>
      <c r="BD50" s="520"/>
    </row>
    <row r="51" spans="1:56" s="521" customFormat="1" ht="13.5" hidden="1">
      <c r="A51" s="522"/>
      <c r="B51" s="522"/>
      <c r="C51" s="522"/>
      <c r="D51" s="522"/>
      <c r="E51" s="522"/>
      <c r="F51" s="522"/>
      <c r="G51" s="522"/>
      <c r="H51" s="692"/>
      <c r="I51" s="547" t="s">
        <v>323</v>
      </c>
      <c r="J51" s="548"/>
      <c r="K51" s="548"/>
      <c r="L51" s="14"/>
      <c r="M51" s="14"/>
      <c r="N51" s="14"/>
      <c r="O51" s="14"/>
      <c r="P51" s="14"/>
      <c r="Q51" s="14"/>
      <c r="R51" s="14"/>
      <c r="S51" s="225"/>
      <c r="T51" s="518"/>
      <c r="U51" s="518"/>
      <c r="V51" s="518"/>
      <c r="W51" s="518"/>
      <c r="X51" s="518"/>
      <c r="Y51" s="518"/>
      <c r="Z51" s="518"/>
      <c r="AA51" s="518"/>
      <c r="AB51" s="520"/>
      <c r="AC51" s="520"/>
      <c r="AD51" s="520"/>
      <c r="AE51" s="520"/>
      <c r="AF51" s="520"/>
      <c r="AG51" s="520"/>
      <c r="AH51" s="520"/>
      <c r="AI51" s="520"/>
      <c r="AJ51" s="520"/>
      <c r="AK51" s="520"/>
      <c r="AL51" s="520"/>
      <c r="AM51" s="520"/>
      <c r="AN51" s="520"/>
      <c r="AO51" s="520"/>
      <c r="AP51" s="520"/>
      <c r="AQ51" s="520"/>
      <c r="AR51" s="520"/>
      <c r="AS51" s="520"/>
      <c r="AT51" s="520"/>
      <c r="AU51" s="520"/>
      <c r="AV51" s="520"/>
      <c r="AW51" s="520"/>
      <c r="AX51" s="520"/>
      <c r="AY51" s="520"/>
      <c r="AZ51" s="520"/>
      <c r="BA51" s="520"/>
      <c r="BB51" s="520"/>
      <c r="BC51" s="520"/>
      <c r="BD51" s="520"/>
    </row>
    <row r="52" spans="1:56" s="521" customFormat="1" ht="13.5" hidden="1">
      <c r="A52" s="522"/>
      <c r="B52" s="522"/>
      <c r="C52" s="522"/>
      <c r="D52" s="522"/>
      <c r="E52" s="522"/>
      <c r="F52" s="522"/>
      <c r="G52" s="522"/>
      <c r="H52" s="692"/>
      <c r="I52" s="547" t="s">
        <v>30</v>
      </c>
      <c r="J52" s="548"/>
      <c r="K52" s="548"/>
      <c r="L52" s="14"/>
      <c r="M52" s="14"/>
      <c r="N52" s="14"/>
      <c r="O52" s="14"/>
      <c r="P52" s="14"/>
      <c r="Q52" s="14"/>
      <c r="R52" s="14"/>
      <c r="S52" s="225"/>
      <c r="T52" s="518"/>
      <c r="U52" s="518"/>
      <c r="V52" s="518"/>
      <c r="W52" s="518"/>
      <c r="X52" s="518"/>
      <c r="Y52" s="518"/>
      <c r="Z52" s="518"/>
      <c r="AA52" s="518"/>
      <c r="AB52" s="520"/>
      <c r="AC52" s="520"/>
      <c r="AD52" s="520"/>
      <c r="AE52" s="520"/>
      <c r="AF52" s="520"/>
      <c r="AG52" s="520"/>
      <c r="AH52" s="520"/>
      <c r="AI52" s="520"/>
      <c r="AJ52" s="520"/>
      <c r="AK52" s="520"/>
      <c r="AL52" s="520"/>
      <c r="AM52" s="520"/>
      <c r="AN52" s="520"/>
      <c r="AO52" s="520"/>
      <c r="AP52" s="520"/>
      <c r="AQ52" s="520"/>
      <c r="AR52" s="520"/>
      <c r="AS52" s="520"/>
      <c r="AT52" s="520"/>
      <c r="AU52" s="520"/>
      <c r="AV52" s="520"/>
      <c r="AW52" s="520"/>
      <c r="AX52" s="520"/>
      <c r="AY52" s="520"/>
      <c r="AZ52" s="520"/>
      <c r="BA52" s="520"/>
      <c r="BB52" s="520"/>
      <c r="BC52" s="520"/>
      <c r="BD52" s="520"/>
    </row>
    <row r="53" spans="1:56" s="521" customFormat="1" ht="13.5" hidden="1">
      <c r="A53" s="522"/>
      <c r="B53" s="522"/>
      <c r="C53" s="522"/>
      <c r="D53" s="522"/>
      <c r="E53" s="522"/>
      <c r="F53" s="522"/>
      <c r="G53" s="522"/>
      <c r="H53" s="692"/>
      <c r="I53" s="548" t="s">
        <v>727</v>
      </c>
      <c r="J53" s="548"/>
      <c r="K53" s="548"/>
      <c r="L53" s="14"/>
      <c r="M53" s="14"/>
      <c r="N53" s="14"/>
      <c r="O53" s="14"/>
      <c r="P53" s="14"/>
      <c r="Q53" s="14"/>
      <c r="R53" s="14"/>
      <c r="S53" s="225"/>
      <c r="T53" s="518"/>
      <c r="U53" s="518"/>
      <c r="V53" s="518"/>
      <c r="W53" s="518"/>
      <c r="X53" s="518"/>
      <c r="Y53" s="518"/>
      <c r="Z53" s="518"/>
      <c r="AA53" s="518"/>
      <c r="AB53" s="520"/>
      <c r="AC53" s="520"/>
      <c r="AD53" s="520"/>
      <c r="AE53" s="520"/>
      <c r="AF53" s="520"/>
      <c r="AG53" s="520"/>
      <c r="AH53" s="520"/>
      <c r="AI53" s="520"/>
      <c r="AJ53" s="520"/>
      <c r="AK53" s="520"/>
      <c r="AL53" s="520"/>
      <c r="AM53" s="520"/>
      <c r="AN53" s="520"/>
      <c r="AO53" s="520"/>
      <c r="AP53" s="520"/>
      <c r="AQ53" s="520"/>
      <c r="AR53" s="520"/>
      <c r="AS53" s="520"/>
      <c r="AT53" s="520"/>
      <c r="AU53" s="520"/>
      <c r="AV53" s="520"/>
      <c r="AW53" s="520"/>
      <c r="AX53" s="520"/>
      <c r="AY53" s="520"/>
      <c r="AZ53" s="520"/>
      <c r="BA53" s="520"/>
      <c r="BB53" s="520"/>
      <c r="BC53" s="520"/>
      <c r="BD53" s="520"/>
    </row>
    <row r="54" spans="1:56" s="521" customFormat="1" ht="13.5" hidden="1">
      <c r="A54" s="522"/>
      <c r="B54" s="522"/>
      <c r="C54" s="522"/>
      <c r="D54" s="522"/>
      <c r="E54" s="522"/>
      <c r="F54" s="522"/>
      <c r="G54" s="522"/>
      <c r="H54" s="692"/>
      <c r="I54" s="548" t="s">
        <v>186</v>
      </c>
      <c r="J54" s="548"/>
      <c r="K54" s="548"/>
      <c r="L54" s="14"/>
      <c r="M54" s="14"/>
      <c r="N54" s="14"/>
      <c r="O54" s="14"/>
      <c r="P54" s="14"/>
      <c r="Q54" s="14"/>
      <c r="R54" s="14"/>
      <c r="S54" s="225"/>
      <c r="T54" s="518"/>
      <c r="U54" s="518"/>
      <c r="V54" s="518"/>
      <c r="W54" s="518"/>
      <c r="X54" s="518"/>
      <c r="Y54" s="518"/>
      <c r="Z54" s="518"/>
      <c r="AA54" s="518"/>
      <c r="AB54" s="520"/>
      <c r="AC54" s="520"/>
      <c r="AD54" s="520"/>
      <c r="AE54" s="520"/>
      <c r="AF54" s="520"/>
      <c r="AG54" s="520"/>
      <c r="AH54" s="520"/>
      <c r="AI54" s="520"/>
      <c r="AJ54" s="520"/>
      <c r="AK54" s="520"/>
      <c r="AL54" s="520"/>
      <c r="AM54" s="520"/>
      <c r="AN54" s="520"/>
      <c r="AO54" s="520"/>
      <c r="AP54" s="520"/>
      <c r="AQ54" s="520"/>
      <c r="AR54" s="520"/>
      <c r="AS54" s="520"/>
      <c r="AT54" s="520"/>
      <c r="AU54" s="520"/>
      <c r="AV54" s="520"/>
      <c r="AW54" s="520"/>
      <c r="AX54" s="520"/>
      <c r="AY54" s="520"/>
      <c r="AZ54" s="520"/>
      <c r="BA54" s="520"/>
      <c r="BB54" s="520"/>
      <c r="BC54" s="520"/>
      <c r="BD54" s="520"/>
    </row>
    <row r="55" spans="1:56" s="521" customFormat="1" ht="13.5" hidden="1">
      <c r="A55" s="522"/>
      <c r="B55" s="522"/>
      <c r="C55" s="522"/>
      <c r="D55" s="522"/>
      <c r="E55" s="522"/>
      <c r="F55" s="522"/>
      <c r="G55" s="522"/>
      <c r="H55" s="546"/>
      <c r="I55" s="548" t="s">
        <v>98</v>
      </c>
      <c r="J55" s="548"/>
      <c r="K55" s="548"/>
      <c r="L55" s="14"/>
      <c r="M55" s="14"/>
      <c r="N55" s="14"/>
      <c r="O55" s="14"/>
      <c r="P55" s="14"/>
      <c r="Q55" s="14"/>
      <c r="R55" s="14"/>
      <c r="S55" s="225"/>
      <c r="T55" s="518"/>
      <c r="U55" s="518"/>
      <c r="V55" s="518"/>
      <c r="W55" s="518"/>
      <c r="X55" s="518"/>
      <c r="Y55" s="518"/>
      <c r="Z55" s="518"/>
      <c r="AA55" s="518"/>
      <c r="AB55" s="520"/>
      <c r="AC55" s="520"/>
      <c r="AD55" s="520"/>
      <c r="AE55" s="520"/>
      <c r="AF55" s="520"/>
      <c r="AG55" s="520"/>
      <c r="AH55" s="520"/>
      <c r="AI55" s="520"/>
      <c r="AJ55" s="520"/>
      <c r="AK55" s="520"/>
      <c r="AL55" s="520"/>
      <c r="AM55" s="520"/>
      <c r="AN55" s="520"/>
      <c r="AO55" s="520"/>
      <c r="AP55" s="520"/>
      <c r="AQ55" s="520"/>
      <c r="AR55" s="520"/>
      <c r="AS55" s="520"/>
      <c r="AT55" s="520"/>
      <c r="AU55" s="520"/>
      <c r="AV55" s="520"/>
      <c r="AW55" s="520"/>
      <c r="AX55" s="520"/>
      <c r="AY55" s="520"/>
      <c r="AZ55" s="520"/>
      <c r="BA55" s="520"/>
      <c r="BB55" s="520"/>
      <c r="BC55" s="520"/>
      <c r="BD55" s="520"/>
    </row>
    <row r="56" spans="1:56" s="521" customFormat="1" ht="13.5" hidden="1">
      <c r="A56" s="522"/>
      <c r="B56" s="522"/>
      <c r="C56" s="522"/>
      <c r="D56" s="522"/>
      <c r="E56" s="522"/>
      <c r="F56" s="522"/>
      <c r="G56" s="522"/>
      <c r="H56" s="692"/>
      <c r="I56" s="548" t="s">
        <v>31</v>
      </c>
      <c r="J56" s="548"/>
      <c r="K56" s="548"/>
      <c r="L56" s="14"/>
      <c r="M56" s="14"/>
      <c r="N56" s="14"/>
      <c r="O56" s="14"/>
      <c r="P56" s="14"/>
      <c r="Q56" s="14"/>
      <c r="R56" s="14"/>
      <c r="S56" s="225"/>
      <c r="T56" s="518"/>
      <c r="U56" s="518"/>
      <c r="V56" s="518"/>
      <c r="W56" s="518"/>
      <c r="X56" s="518"/>
      <c r="Y56" s="518"/>
      <c r="Z56" s="518"/>
      <c r="AA56" s="518"/>
      <c r="AB56" s="520"/>
      <c r="AC56" s="520"/>
      <c r="AD56" s="520"/>
      <c r="AE56" s="520"/>
      <c r="AF56" s="520"/>
      <c r="AG56" s="520"/>
      <c r="AH56" s="520"/>
      <c r="AI56" s="520"/>
      <c r="AJ56" s="520"/>
      <c r="AK56" s="520"/>
      <c r="AL56" s="520"/>
      <c r="AM56" s="520"/>
      <c r="AN56" s="520"/>
      <c r="AO56" s="520"/>
      <c r="AP56" s="520"/>
      <c r="AQ56" s="520"/>
      <c r="AR56" s="520"/>
      <c r="AS56" s="520"/>
      <c r="AT56" s="520"/>
      <c r="AU56" s="520"/>
      <c r="AV56" s="520"/>
      <c r="AW56" s="520"/>
      <c r="AX56" s="520"/>
      <c r="AY56" s="520"/>
      <c r="AZ56" s="520"/>
      <c r="BA56" s="520"/>
      <c r="BB56" s="520"/>
      <c r="BC56" s="520"/>
      <c r="BD56" s="520"/>
    </row>
    <row r="57" spans="1:56" s="521" customFormat="1" ht="13.5" hidden="1">
      <c r="A57" s="522"/>
      <c r="B57" s="522"/>
      <c r="C57" s="522"/>
      <c r="D57" s="522"/>
      <c r="E57" s="522"/>
      <c r="F57" s="522"/>
      <c r="G57" s="522"/>
      <c r="H57" s="546"/>
      <c r="I57" s="548" t="s">
        <v>429</v>
      </c>
      <c r="J57" s="548"/>
      <c r="K57" s="548"/>
      <c r="L57" s="14"/>
      <c r="M57" s="14"/>
      <c r="N57" s="14"/>
      <c r="O57" s="14"/>
      <c r="P57" s="14"/>
      <c r="Q57" s="14"/>
      <c r="R57" s="14"/>
      <c r="S57" s="225"/>
      <c r="T57" s="518"/>
      <c r="U57" s="518"/>
      <c r="V57" s="518"/>
      <c r="W57" s="518"/>
      <c r="X57" s="518"/>
      <c r="Y57" s="518"/>
      <c r="Z57" s="518"/>
      <c r="AA57" s="518"/>
      <c r="AB57" s="520"/>
      <c r="AC57" s="520"/>
      <c r="AD57" s="520"/>
      <c r="AE57" s="520"/>
      <c r="AF57" s="520"/>
      <c r="AG57" s="520"/>
      <c r="AH57" s="520"/>
      <c r="AI57" s="520"/>
      <c r="AJ57" s="520"/>
      <c r="AK57" s="520"/>
      <c r="AL57" s="520"/>
      <c r="AM57" s="520"/>
      <c r="AN57" s="520"/>
      <c r="AO57" s="520"/>
      <c r="AP57" s="520"/>
      <c r="AQ57" s="520"/>
      <c r="AR57" s="520"/>
      <c r="AS57" s="520"/>
      <c r="AT57" s="520"/>
      <c r="AU57" s="520"/>
      <c r="AV57" s="520"/>
      <c r="AW57" s="520"/>
      <c r="AX57" s="520"/>
      <c r="AY57" s="520"/>
      <c r="AZ57" s="520"/>
      <c r="BA57" s="520"/>
      <c r="BB57" s="520"/>
      <c r="BC57" s="520"/>
      <c r="BD57" s="520"/>
    </row>
    <row r="58" spans="1:56" s="521" customFormat="1" ht="3" hidden="1" customHeight="1">
      <c r="A58" s="522"/>
      <c r="B58" s="522"/>
      <c r="C58" s="522"/>
      <c r="D58" s="522"/>
      <c r="E58" s="522"/>
      <c r="F58" s="522"/>
      <c r="G58" s="522"/>
      <c r="H58" s="546"/>
      <c r="I58" s="14"/>
      <c r="J58" s="14"/>
      <c r="K58" s="14"/>
      <c r="L58" s="14"/>
      <c r="M58" s="14"/>
      <c r="N58" s="14"/>
      <c r="O58" s="14"/>
      <c r="P58" s="14"/>
      <c r="Q58" s="14"/>
      <c r="R58" s="14"/>
      <c r="S58" s="225"/>
      <c r="T58" s="518"/>
      <c r="U58" s="518"/>
      <c r="V58" s="518"/>
      <c r="W58" s="518"/>
      <c r="X58" s="518"/>
      <c r="Y58" s="518"/>
      <c r="Z58" s="518"/>
      <c r="AA58" s="518"/>
      <c r="AB58" s="520"/>
      <c r="AC58" s="520"/>
      <c r="AD58" s="520"/>
      <c r="AE58" s="520"/>
      <c r="AF58" s="520"/>
      <c r="AG58" s="520"/>
      <c r="AH58" s="520"/>
      <c r="AI58" s="520"/>
      <c r="AJ58" s="520"/>
      <c r="AK58" s="520"/>
      <c r="AL58" s="520"/>
      <c r="AM58" s="520"/>
      <c r="AN58" s="520"/>
      <c r="AO58" s="520"/>
      <c r="AP58" s="520"/>
      <c r="AQ58" s="520"/>
      <c r="AR58" s="520"/>
      <c r="AS58" s="520"/>
      <c r="AT58" s="520"/>
      <c r="AU58" s="520"/>
      <c r="AV58" s="520"/>
      <c r="AW58" s="520"/>
      <c r="AX58" s="520"/>
      <c r="AY58" s="520"/>
      <c r="AZ58" s="520"/>
      <c r="BA58" s="520"/>
      <c r="BB58" s="520"/>
      <c r="BC58" s="520"/>
      <c r="BD58" s="520"/>
    </row>
    <row r="59" spans="1:56" s="521" customFormat="1" ht="13.5">
      <c r="A59" s="522"/>
      <c r="B59" s="522"/>
      <c r="C59" s="522"/>
      <c r="D59" s="522"/>
      <c r="E59" s="522"/>
      <c r="F59" s="522"/>
      <c r="G59" s="522"/>
      <c r="H59" s="545" t="s">
        <v>656</v>
      </c>
      <c r="I59" s="545"/>
      <c r="J59" s="545"/>
      <c r="K59" s="545"/>
      <c r="L59" s="526"/>
      <c r="M59" s="526"/>
      <c r="N59" s="526"/>
      <c r="O59" s="526"/>
      <c r="P59" s="526"/>
      <c r="Q59" s="526"/>
      <c r="R59" s="526"/>
      <c r="S59" s="526"/>
      <c r="T59" s="518"/>
      <c r="U59" s="518"/>
      <c r="V59" s="518"/>
      <c r="W59" s="518"/>
      <c r="X59" s="518"/>
      <c r="Y59" s="518"/>
      <c r="Z59" s="518"/>
      <c r="AA59" s="518"/>
      <c r="AB59" s="520"/>
      <c r="AC59" s="520"/>
      <c r="AD59" s="520"/>
      <c r="AE59" s="520"/>
      <c r="AF59" s="520"/>
      <c r="AG59" s="520"/>
      <c r="AH59" s="520"/>
      <c r="AI59" s="520"/>
      <c r="AJ59" s="520"/>
      <c r="AK59" s="520"/>
      <c r="AL59" s="520"/>
      <c r="AM59" s="520"/>
      <c r="AN59" s="520"/>
      <c r="AO59" s="520"/>
      <c r="AP59" s="520"/>
      <c r="AQ59" s="520"/>
      <c r="AR59" s="520"/>
      <c r="AS59" s="520"/>
      <c r="AT59" s="520"/>
      <c r="AU59" s="520"/>
      <c r="AV59" s="520"/>
      <c r="AW59" s="520"/>
      <c r="AX59" s="520"/>
      <c r="AY59" s="520"/>
      <c r="AZ59" s="520"/>
      <c r="BA59" s="520"/>
      <c r="BB59" s="520"/>
      <c r="BC59" s="520"/>
      <c r="BD59" s="520"/>
    </row>
    <row r="60" spans="1:56" s="521" customFormat="1" ht="13.5">
      <c r="A60" s="522"/>
      <c r="B60" s="522"/>
      <c r="C60" s="522"/>
      <c r="D60" s="522"/>
      <c r="E60" s="522"/>
      <c r="F60" s="522"/>
      <c r="G60" s="522"/>
      <c r="H60" s="692" t="s">
        <v>626</v>
      </c>
      <c r="I60" s="548" t="s">
        <v>446</v>
      </c>
      <c r="J60" s="548"/>
      <c r="K60" s="548"/>
      <c r="L60" s="14"/>
      <c r="M60" s="14"/>
      <c r="N60" s="14"/>
      <c r="O60" s="14"/>
      <c r="P60" s="14"/>
      <c r="Q60" s="14"/>
      <c r="R60" s="14"/>
      <c r="S60" s="225"/>
      <c r="T60" s="518"/>
      <c r="U60" s="518"/>
      <c r="V60" s="518"/>
      <c r="W60" s="518"/>
      <c r="X60" s="518"/>
      <c r="Y60" s="518"/>
      <c r="Z60" s="518"/>
      <c r="AA60" s="518"/>
      <c r="AB60" s="520"/>
      <c r="AC60" s="520"/>
      <c r="AD60" s="520"/>
      <c r="AE60" s="520"/>
      <c r="AF60" s="520"/>
      <c r="AG60" s="520"/>
      <c r="AH60" s="520"/>
      <c r="AI60" s="520"/>
      <c r="AJ60" s="520"/>
      <c r="AK60" s="520"/>
      <c r="AL60" s="520"/>
      <c r="AM60" s="520"/>
      <c r="AN60" s="520"/>
      <c r="AO60" s="520"/>
      <c r="AP60" s="520"/>
      <c r="AQ60" s="520"/>
      <c r="AR60" s="520"/>
      <c r="AS60" s="520"/>
      <c r="AT60" s="520"/>
      <c r="AU60" s="520"/>
      <c r="AV60" s="520"/>
      <c r="AW60" s="520"/>
      <c r="AX60" s="520"/>
      <c r="AY60" s="520"/>
      <c r="AZ60" s="520"/>
      <c r="BA60" s="520"/>
      <c r="BB60" s="520"/>
      <c r="BC60" s="520"/>
      <c r="BD60" s="520"/>
    </row>
    <row r="61" spans="1:56" s="521" customFormat="1" ht="13.5">
      <c r="A61" s="522"/>
      <c r="B61" s="522"/>
      <c r="C61" s="522"/>
      <c r="D61" s="522"/>
      <c r="E61" s="522"/>
      <c r="F61" s="522"/>
      <c r="G61" s="522"/>
      <c r="H61" s="546"/>
      <c r="I61" s="548" t="s">
        <v>757</v>
      </c>
      <c r="J61" s="548"/>
      <c r="K61" s="548"/>
      <c r="L61" s="14"/>
      <c r="M61" s="14"/>
      <c r="N61" s="14"/>
      <c r="O61" s="14"/>
      <c r="P61" s="14"/>
      <c r="Q61" s="14"/>
      <c r="R61" s="14"/>
      <c r="S61" s="225"/>
      <c r="T61" s="518"/>
      <c r="U61" s="518"/>
      <c r="V61" s="518"/>
      <c r="W61" s="518"/>
      <c r="X61" s="518"/>
      <c r="Y61" s="518"/>
      <c r="Z61" s="518"/>
      <c r="AA61" s="518"/>
      <c r="AB61" s="520"/>
      <c r="AC61" s="520"/>
      <c r="AD61" s="520"/>
      <c r="AE61" s="520"/>
      <c r="AF61" s="520"/>
      <c r="AG61" s="520"/>
      <c r="AH61" s="520"/>
      <c r="AI61" s="520"/>
      <c r="AJ61" s="520"/>
      <c r="AK61" s="520"/>
      <c r="AL61" s="520"/>
      <c r="AM61" s="520"/>
      <c r="AN61" s="520"/>
      <c r="AO61" s="520"/>
      <c r="AP61" s="520"/>
      <c r="AQ61" s="520"/>
      <c r="AR61" s="520"/>
      <c r="AS61" s="520"/>
      <c r="AT61" s="520"/>
      <c r="AU61" s="520"/>
      <c r="AV61" s="520"/>
      <c r="AW61" s="520"/>
      <c r="AX61" s="520"/>
      <c r="AY61" s="520"/>
      <c r="AZ61" s="520"/>
      <c r="BA61" s="520"/>
      <c r="BB61" s="520"/>
      <c r="BC61" s="520"/>
      <c r="BD61" s="520"/>
    </row>
    <row r="62" spans="1:56" s="521" customFormat="1" ht="13.5">
      <c r="A62" s="522"/>
      <c r="B62" s="522"/>
      <c r="C62" s="522"/>
      <c r="D62" s="522"/>
      <c r="E62" s="522"/>
      <c r="F62" s="522"/>
      <c r="G62" s="522"/>
      <c r="H62" s="546"/>
      <c r="I62" s="548" t="s">
        <v>758</v>
      </c>
      <c r="J62" s="548"/>
      <c r="K62" s="548"/>
      <c r="L62" s="14"/>
      <c r="M62" s="14"/>
      <c r="N62" s="14"/>
      <c r="O62" s="14"/>
      <c r="P62" s="14"/>
      <c r="Q62" s="14"/>
      <c r="R62" s="14"/>
      <c r="S62" s="225"/>
      <c r="T62" s="518"/>
      <c r="U62" s="518"/>
      <c r="V62" s="518"/>
      <c r="W62" s="518"/>
      <c r="X62" s="518"/>
      <c r="Y62" s="518"/>
      <c r="Z62" s="518"/>
      <c r="AA62" s="518"/>
      <c r="AB62" s="520"/>
      <c r="AC62" s="520"/>
      <c r="AD62" s="520"/>
      <c r="AE62" s="520"/>
      <c r="AF62" s="520"/>
      <c r="AG62" s="520"/>
      <c r="AH62" s="520"/>
      <c r="AI62" s="520"/>
      <c r="AJ62" s="520"/>
      <c r="AK62" s="520"/>
      <c r="AL62" s="520"/>
      <c r="AM62" s="520"/>
      <c r="AN62" s="520"/>
      <c r="AO62" s="520"/>
      <c r="AP62" s="520"/>
      <c r="AQ62" s="520"/>
      <c r="AR62" s="520"/>
      <c r="AS62" s="520"/>
      <c r="AT62" s="520"/>
      <c r="AU62" s="520"/>
      <c r="AV62" s="520"/>
      <c r="AW62" s="520"/>
      <c r="AX62" s="520"/>
      <c r="AY62" s="520"/>
      <c r="AZ62" s="520"/>
      <c r="BA62" s="520"/>
      <c r="BB62" s="520"/>
      <c r="BC62" s="520"/>
      <c r="BD62" s="520"/>
    </row>
    <row r="63" spans="1:56" s="521" customFormat="1" ht="13.5">
      <c r="A63" s="522"/>
      <c r="B63" s="522"/>
      <c r="C63" s="522"/>
      <c r="D63" s="522"/>
      <c r="E63" s="522"/>
      <c r="F63" s="522"/>
      <c r="G63" s="522"/>
      <c r="H63" s="546"/>
      <c r="I63" s="548" t="s">
        <v>272</v>
      </c>
      <c r="J63" s="548"/>
      <c r="K63" s="548"/>
      <c r="L63" s="14"/>
      <c r="M63" s="14"/>
      <c r="N63" s="14"/>
      <c r="O63" s="14"/>
      <c r="P63" s="14"/>
      <c r="Q63" s="14"/>
      <c r="R63" s="14"/>
      <c r="S63" s="225"/>
      <c r="T63" s="518"/>
      <c r="U63" s="518"/>
      <c r="V63" s="518"/>
      <c r="W63" s="518"/>
      <c r="X63" s="518"/>
      <c r="Y63" s="518"/>
      <c r="Z63" s="518"/>
      <c r="AA63" s="518"/>
      <c r="AB63" s="520"/>
      <c r="AC63" s="520"/>
      <c r="AD63" s="520"/>
      <c r="AE63" s="520"/>
      <c r="AF63" s="520"/>
      <c r="AG63" s="520"/>
      <c r="AH63" s="520"/>
      <c r="AI63" s="520"/>
      <c r="AJ63" s="520"/>
      <c r="AK63" s="520"/>
      <c r="AL63" s="520"/>
      <c r="AM63" s="520"/>
      <c r="AN63" s="520"/>
      <c r="AO63" s="520"/>
      <c r="AP63" s="520"/>
      <c r="AQ63" s="520"/>
      <c r="AR63" s="520"/>
      <c r="AS63" s="520"/>
      <c r="AT63" s="520"/>
      <c r="AU63" s="520"/>
      <c r="AV63" s="520"/>
      <c r="AW63" s="520"/>
      <c r="AX63" s="520"/>
      <c r="AY63" s="520"/>
      <c r="AZ63" s="520"/>
      <c r="BA63" s="520"/>
      <c r="BB63" s="520"/>
      <c r="BC63" s="520"/>
      <c r="BD63" s="520"/>
    </row>
    <row r="64" spans="1:56" s="521" customFormat="1" ht="13.5">
      <c r="A64" s="522"/>
      <c r="B64" s="522"/>
      <c r="C64" s="522"/>
      <c r="D64" s="522"/>
      <c r="E64" s="522"/>
      <c r="F64" s="522"/>
      <c r="G64" s="522"/>
      <c r="H64" s="546"/>
      <c r="I64" s="548" t="s">
        <v>539</v>
      </c>
      <c r="J64" s="548"/>
      <c r="K64" s="548"/>
      <c r="L64" s="14"/>
      <c r="M64" s="14"/>
      <c r="N64" s="14"/>
      <c r="O64" s="14"/>
      <c r="P64" s="14"/>
      <c r="Q64" s="14"/>
      <c r="R64" s="14"/>
      <c r="S64" s="225"/>
      <c r="T64" s="518"/>
      <c r="U64" s="518"/>
      <c r="V64" s="518"/>
      <c r="W64" s="518"/>
      <c r="X64" s="518"/>
      <c r="Y64" s="518"/>
      <c r="Z64" s="518"/>
      <c r="AA64" s="518"/>
      <c r="AB64" s="520"/>
      <c r="AC64" s="520"/>
      <c r="AD64" s="520"/>
      <c r="AE64" s="520"/>
      <c r="AF64" s="520"/>
      <c r="AG64" s="520"/>
      <c r="AH64" s="520"/>
      <c r="AI64" s="520"/>
      <c r="AJ64" s="520"/>
      <c r="AK64" s="520"/>
      <c r="AL64" s="520"/>
      <c r="AM64" s="520"/>
      <c r="AN64" s="520"/>
      <c r="AO64" s="520"/>
      <c r="AP64" s="520"/>
      <c r="AQ64" s="520"/>
      <c r="AR64" s="520"/>
      <c r="AS64" s="520"/>
      <c r="AT64" s="520"/>
      <c r="AU64" s="520"/>
      <c r="AV64" s="520"/>
      <c r="AW64" s="520"/>
      <c r="AX64" s="520"/>
      <c r="AY64" s="520"/>
      <c r="AZ64" s="520"/>
      <c r="BA64" s="520"/>
      <c r="BB64" s="520"/>
      <c r="BC64" s="520"/>
      <c r="BD64" s="520"/>
    </row>
    <row r="65" spans="1:56" s="521" customFormat="1" ht="13.5" hidden="1">
      <c r="A65" s="522"/>
      <c r="B65" s="522"/>
      <c r="C65" s="522"/>
      <c r="D65" s="522"/>
      <c r="E65" s="522"/>
      <c r="F65" s="522"/>
      <c r="G65" s="522"/>
      <c r="H65" s="546">
        <v>2</v>
      </c>
      <c r="I65" s="548" t="s">
        <v>584</v>
      </c>
      <c r="J65" s="548"/>
      <c r="K65" s="548"/>
      <c r="L65" s="14"/>
      <c r="M65" s="14"/>
      <c r="N65" s="14"/>
      <c r="O65" s="14"/>
      <c r="P65" s="14"/>
      <c r="Q65" s="14"/>
      <c r="R65" s="14"/>
      <c r="S65" s="225"/>
      <c r="T65" s="518"/>
      <c r="U65" s="518"/>
      <c r="V65" s="518"/>
      <c r="W65" s="518"/>
      <c r="X65" s="518"/>
      <c r="Y65" s="518"/>
      <c r="Z65" s="518"/>
      <c r="AA65" s="518"/>
      <c r="AB65" s="520"/>
      <c r="AC65" s="520"/>
      <c r="AD65" s="520"/>
      <c r="AE65" s="520"/>
      <c r="AF65" s="520"/>
      <c r="AG65" s="520"/>
      <c r="AH65" s="520"/>
      <c r="AI65" s="520"/>
      <c r="AJ65" s="520"/>
      <c r="AK65" s="520"/>
      <c r="AL65" s="520"/>
      <c r="AM65" s="520"/>
      <c r="AN65" s="520"/>
      <c r="AO65" s="520"/>
      <c r="AP65" s="520"/>
      <c r="AQ65" s="520"/>
      <c r="AR65" s="520"/>
      <c r="AS65" s="520"/>
      <c r="AT65" s="520"/>
      <c r="AU65" s="520"/>
      <c r="AV65" s="520"/>
      <c r="AW65" s="520"/>
      <c r="AX65" s="520"/>
      <c r="AY65" s="520"/>
      <c r="AZ65" s="520"/>
      <c r="BA65" s="520"/>
      <c r="BB65" s="520"/>
      <c r="BC65" s="520"/>
      <c r="BD65" s="520"/>
    </row>
    <row r="66" spans="1:56" s="521" customFormat="1" ht="13.5" hidden="1">
      <c r="A66" s="522"/>
      <c r="B66" s="522"/>
      <c r="C66" s="522"/>
      <c r="D66" s="522"/>
      <c r="E66" s="522"/>
      <c r="F66" s="522"/>
      <c r="G66" s="522"/>
      <c r="H66" s="546"/>
      <c r="I66" s="548" t="s">
        <v>136</v>
      </c>
      <c r="J66" s="548"/>
      <c r="K66" s="548"/>
      <c r="L66" s="14"/>
      <c r="M66" s="14"/>
      <c r="N66" s="14"/>
      <c r="O66" s="14"/>
      <c r="P66" s="14"/>
      <c r="Q66" s="14"/>
      <c r="R66" s="14"/>
      <c r="S66" s="225"/>
      <c r="T66" s="518"/>
      <c r="U66" s="518"/>
      <c r="V66" s="518"/>
      <c r="W66" s="518"/>
      <c r="X66" s="518"/>
      <c r="Y66" s="518"/>
      <c r="Z66" s="518"/>
      <c r="AA66" s="518"/>
      <c r="AB66" s="520"/>
      <c r="AC66" s="520"/>
      <c r="AD66" s="520"/>
      <c r="AE66" s="520"/>
      <c r="AF66" s="520"/>
      <c r="AG66" s="520"/>
      <c r="AH66" s="520"/>
      <c r="AI66" s="520"/>
      <c r="AJ66" s="520"/>
      <c r="AK66" s="520"/>
      <c r="AL66" s="520"/>
      <c r="AM66" s="520"/>
      <c r="AN66" s="520"/>
      <c r="AO66" s="520"/>
      <c r="AP66" s="520"/>
      <c r="AQ66" s="520"/>
      <c r="AR66" s="520"/>
      <c r="AS66" s="520"/>
      <c r="AT66" s="520"/>
      <c r="AU66" s="520"/>
      <c r="AV66" s="520"/>
      <c r="AW66" s="520"/>
      <c r="AX66" s="520"/>
      <c r="AY66" s="520"/>
      <c r="AZ66" s="520"/>
      <c r="BA66" s="520"/>
      <c r="BB66" s="520"/>
      <c r="BC66" s="520"/>
      <c r="BD66" s="520"/>
    </row>
    <row r="67" spans="1:56" s="521" customFormat="1" ht="13.5" hidden="1">
      <c r="A67" s="522"/>
      <c r="B67" s="522"/>
      <c r="C67" s="522"/>
      <c r="D67" s="522"/>
      <c r="E67" s="522"/>
      <c r="F67" s="522"/>
      <c r="G67" s="522"/>
      <c r="H67" s="546"/>
      <c r="I67" s="548" t="s">
        <v>104</v>
      </c>
      <c r="J67" s="548"/>
      <c r="K67" s="548"/>
      <c r="L67" s="14"/>
      <c r="M67" s="14"/>
      <c r="N67" s="14"/>
      <c r="O67" s="14"/>
      <c r="P67" s="14"/>
      <c r="Q67" s="14"/>
      <c r="R67" s="14"/>
      <c r="S67" s="225"/>
      <c r="T67" s="518"/>
      <c r="U67" s="518"/>
      <c r="V67" s="518"/>
      <c r="W67" s="518"/>
      <c r="X67" s="518"/>
      <c r="Y67" s="518"/>
      <c r="Z67" s="518"/>
      <c r="AA67" s="518"/>
      <c r="AB67" s="520"/>
      <c r="AC67" s="520"/>
      <c r="AD67" s="520"/>
      <c r="AE67" s="520"/>
      <c r="AF67" s="520"/>
      <c r="AG67" s="520"/>
      <c r="AH67" s="520"/>
      <c r="AI67" s="520"/>
      <c r="AJ67" s="520"/>
      <c r="AK67" s="520"/>
      <c r="AL67" s="520"/>
      <c r="AM67" s="520"/>
      <c r="AN67" s="520"/>
      <c r="AO67" s="520"/>
      <c r="AP67" s="520"/>
      <c r="AQ67" s="520"/>
      <c r="AR67" s="520"/>
      <c r="AS67" s="520"/>
      <c r="AT67" s="520"/>
      <c r="AU67" s="520"/>
      <c r="AV67" s="520"/>
      <c r="AW67" s="520"/>
      <c r="AX67" s="520"/>
      <c r="AY67" s="520"/>
      <c r="AZ67" s="520"/>
      <c r="BA67" s="520"/>
      <c r="BB67" s="520"/>
      <c r="BC67" s="520"/>
      <c r="BD67" s="520"/>
    </row>
    <row r="68" spans="1:56" s="521" customFormat="1" ht="13.5" hidden="1">
      <c r="A68" s="522"/>
      <c r="B68" s="522"/>
      <c r="C68" s="522"/>
      <c r="D68" s="522"/>
      <c r="E68" s="522"/>
      <c r="F68" s="522"/>
      <c r="G68" s="522"/>
      <c r="H68" s="546"/>
      <c r="I68" s="548" t="s">
        <v>605</v>
      </c>
      <c r="J68" s="548"/>
      <c r="K68" s="548"/>
      <c r="L68" s="14"/>
      <c r="M68" s="14"/>
      <c r="N68" s="14"/>
      <c r="O68" s="14"/>
      <c r="P68" s="14"/>
      <c r="Q68" s="14"/>
      <c r="R68" s="14"/>
      <c r="S68" s="225"/>
      <c r="T68" s="518"/>
      <c r="U68" s="518"/>
      <c r="V68" s="518"/>
      <c r="W68" s="518"/>
      <c r="X68" s="518"/>
      <c r="Y68" s="518"/>
      <c r="Z68" s="518"/>
      <c r="AA68" s="518"/>
      <c r="AB68" s="520"/>
      <c r="AC68" s="520"/>
      <c r="AD68" s="520"/>
      <c r="AE68" s="520"/>
      <c r="AF68" s="520"/>
      <c r="AG68" s="520"/>
      <c r="AH68" s="520"/>
      <c r="AI68" s="520"/>
      <c r="AJ68" s="520"/>
      <c r="AK68" s="520"/>
      <c r="AL68" s="520"/>
      <c r="AM68" s="520"/>
      <c r="AN68" s="520"/>
      <c r="AO68" s="520"/>
      <c r="AP68" s="520"/>
      <c r="AQ68" s="520"/>
      <c r="AR68" s="520"/>
      <c r="AS68" s="520"/>
      <c r="AT68" s="520"/>
      <c r="AU68" s="520"/>
      <c r="AV68" s="520"/>
      <c r="AW68" s="520"/>
      <c r="AX68" s="520"/>
      <c r="AY68" s="520"/>
      <c r="AZ68" s="520"/>
      <c r="BA68" s="520"/>
      <c r="BB68" s="520"/>
      <c r="BC68" s="520"/>
      <c r="BD68" s="520"/>
    </row>
    <row r="69" spans="1:56" s="521" customFormat="1" ht="13.5" hidden="1">
      <c r="A69" s="522"/>
      <c r="B69" s="522"/>
      <c r="C69" s="522"/>
      <c r="D69" s="522"/>
      <c r="E69" s="522"/>
      <c r="F69" s="522"/>
      <c r="G69" s="522"/>
      <c r="H69" s="692" t="s">
        <v>143</v>
      </c>
      <c r="I69" s="548" t="s">
        <v>225</v>
      </c>
      <c r="J69" s="548"/>
      <c r="K69" s="548"/>
      <c r="L69" s="14"/>
      <c r="M69" s="14"/>
      <c r="N69" s="14"/>
      <c r="O69" s="14"/>
      <c r="P69" s="14"/>
      <c r="Q69" s="14"/>
      <c r="R69" s="14"/>
      <c r="S69" s="225"/>
      <c r="T69" s="518"/>
      <c r="U69" s="518"/>
      <c r="V69" s="518"/>
      <c r="W69" s="518"/>
      <c r="X69" s="518"/>
      <c r="Y69" s="518"/>
      <c r="Z69" s="518"/>
      <c r="AA69" s="518"/>
      <c r="AB69" s="520"/>
      <c r="AC69" s="520"/>
      <c r="AD69" s="520"/>
      <c r="AE69" s="520"/>
      <c r="AF69" s="520"/>
      <c r="AG69" s="520"/>
      <c r="AH69" s="520"/>
      <c r="AI69" s="520"/>
      <c r="AJ69" s="520"/>
      <c r="AK69" s="520"/>
      <c r="AL69" s="520"/>
      <c r="AM69" s="520"/>
      <c r="AN69" s="520"/>
      <c r="AO69" s="520"/>
      <c r="AP69" s="520"/>
      <c r="AQ69" s="520"/>
      <c r="AR69" s="520"/>
      <c r="AS69" s="520"/>
      <c r="AT69" s="520"/>
      <c r="AU69" s="520"/>
      <c r="AV69" s="520"/>
      <c r="AW69" s="520"/>
      <c r="AX69" s="520"/>
      <c r="AY69" s="520"/>
      <c r="AZ69" s="520"/>
      <c r="BA69" s="520"/>
      <c r="BB69" s="520"/>
      <c r="BC69" s="520"/>
      <c r="BD69" s="520"/>
    </row>
    <row r="70" spans="1:56" s="521" customFormat="1" ht="3" customHeight="1">
      <c r="A70" s="522"/>
      <c r="B70" s="522"/>
      <c r="C70" s="522"/>
      <c r="D70" s="522"/>
      <c r="E70" s="522"/>
      <c r="F70" s="522"/>
      <c r="G70" s="522"/>
      <c r="H70" s="692"/>
      <c r="I70" s="548"/>
      <c r="J70" s="548"/>
      <c r="K70" s="548"/>
      <c r="L70" s="14"/>
      <c r="M70" s="14"/>
      <c r="N70" s="14"/>
      <c r="O70" s="14"/>
      <c r="P70" s="14"/>
      <c r="Q70" s="14"/>
      <c r="R70" s="14"/>
      <c r="S70" s="225"/>
      <c r="T70" s="518"/>
      <c r="U70" s="518"/>
      <c r="V70" s="518"/>
      <c r="W70" s="518"/>
      <c r="X70" s="518"/>
      <c r="Y70" s="518"/>
      <c r="Z70" s="518"/>
      <c r="AA70" s="518"/>
      <c r="AB70" s="520"/>
      <c r="AC70" s="520"/>
      <c r="AD70" s="520"/>
      <c r="AE70" s="520"/>
      <c r="AF70" s="520"/>
      <c r="AG70" s="520"/>
      <c r="AH70" s="520"/>
      <c r="AI70" s="520"/>
      <c r="AJ70" s="520"/>
      <c r="AK70" s="520"/>
      <c r="AL70" s="520"/>
      <c r="AM70" s="520"/>
      <c r="AN70" s="520"/>
      <c r="AO70" s="520"/>
      <c r="AP70" s="520"/>
      <c r="AQ70" s="520"/>
      <c r="AR70" s="520"/>
      <c r="AS70" s="520"/>
      <c r="AT70" s="520"/>
      <c r="AU70" s="520"/>
      <c r="AV70" s="520"/>
      <c r="AW70" s="520"/>
      <c r="AX70" s="520"/>
      <c r="AY70" s="520"/>
      <c r="AZ70" s="520"/>
      <c r="BA70" s="520"/>
      <c r="BB70" s="520"/>
      <c r="BC70" s="520"/>
      <c r="BD70" s="520"/>
    </row>
    <row r="71" spans="1:56" s="521" customFormat="1" ht="13.5">
      <c r="A71" s="522"/>
      <c r="B71" s="522"/>
      <c r="C71" s="522"/>
      <c r="D71" s="522"/>
      <c r="E71" s="522"/>
      <c r="F71" s="522"/>
      <c r="G71" s="522"/>
      <c r="H71" s="545" t="s">
        <v>103</v>
      </c>
      <c r="I71" s="545"/>
      <c r="J71" s="545"/>
      <c r="K71" s="545"/>
      <c r="L71" s="526"/>
      <c r="M71" s="526"/>
      <c r="N71" s="526"/>
      <c r="O71" s="526"/>
      <c r="P71" s="526"/>
      <c r="Q71" s="526"/>
      <c r="R71" s="526"/>
      <c r="S71" s="225"/>
      <c r="T71" s="518"/>
      <c r="U71" s="518"/>
      <c r="V71" s="518"/>
      <c r="W71" s="518"/>
      <c r="X71" s="518"/>
      <c r="Y71" s="518"/>
      <c r="Z71" s="518"/>
      <c r="AA71" s="518"/>
      <c r="AB71" s="520"/>
      <c r="AC71" s="520"/>
      <c r="AD71" s="520"/>
      <c r="AE71" s="520"/>
      <c r="AF71" s="520"/>
      <c r="AG71" s="520"/>
      <c r="AH71" s="520"/>
      <c r="AI71" s="520"/>
      <c r="AJ71" s="520"/>
      <c r="AK71" s="520"/>
      <c r="AL71" s="520"/>
      <c r="AM71" s="520"/>
      <c r="AN71" s="520"/>
      <c r="AO71" s="520"/>
      <c r="AP71" s="520"/>
      <c r="AQ71" s="520"/>
      <c r="AR71" s="520"/>
      <c r="AS71" s="520"/>
      <c r="AT71" s="520"/>
      <c r="AU71" s="520"/>
      <c r="AV71" s="520"/>
      <c r="AW71" s="520"/>
      <c r="AX71" s="520"/>
      <c r="AY71" s="520"/>
      <c r="AZ71" s="520"/>
      <c r="BA71" s="520"/>
      <c r="BB71" s="520"/>
      <c r="BC71" s="520"/>
      <c r="BD71" s="520"/>
    </row>
    <row r="72" spans="1:56" s="521" customFormat="1" ht="13.5">
      <c r="A72" s="522"/>
      <c r="B72" s="522"/>
      <c r="C72" s="522"/>
      <c r="D72" s="522"/>
      <c r="E72" s="522"/>
      <c r="F72" s="522"/>
      <c r="G72" s="522"/>
      <c r="H72" s="546">
        <v>1</v>
      </c>
      <c r="I72" s="14" t="s">
        <v>608</v>
      </c>
      <c r="J72" s="14"/>
      <c r="K72" s="14"/>
      <c r="L72" s="14"/>
      <c r="M72" s="14"/>
      <c r="N72" s="14"/>
      <c r="O72" s="14"/>
      <c r="P72" s="14"/>
      <c r="Q72" s="14"/>
      <c r="R72" s="14"/>
      <c r="S72" s="225"/>
      <c r="T72" s="518"/>
      <c r="U72" s="518"/>
      <c r="V72" s="518"/>
      <c r="W72" s="518"/>
      <c r="X72" s="518"/>
      <c r="Y72" s="518"/>
      <c r="Z72" s="518"/>
      <c r="AA72" s="518"/>
      <c r="AB72" s="520"/>
      <c r="AC72" s="520"/>
      <c r="AD72" s="520"/>
      <c r="AE72" s="520"/>
      <c r="AF72" s="520"/>
      <c r="AG72" s="520"/>
      <c r="AH72" s="520"/>
      <c r="AI72" s="520"/>
      <c r="AJ72" s="520"/>
      <c r="AK72" s="520"/>
      <c r="AL72" s="520"/>
      <c r="AM72" s="520"/>
      <c r="AN72" s="520"/>
      <c r="AO72" s="520"/>
      <c r="AP72" s="520"/>
      <c r="AQ72" s="520"/>
      <c r="AR72" s="520"/>
      <c r="AS72" s="520"/>
      <c r="AT72" s="520"/>
      <c r="AU72" s="520"/>
      <c r="AV72" s="520"/>
      <c r="AW72" s="520"/>
      <c r="AX72" s="520"/>
      <c r="AY72" s="520"/>
      <c r="AZ72" s="520"/>
      <c r="BA72" s="520"/>
      <c r="BB72" s="520"/>
      <c r="BC72" s="520"/>
      <c r="BD72" s="520"/>
    </row>
    <row r="73" spans="1:56" s="521" customFormat="1" ht="13.5">
      <c r="A73" s="522"/>
      <c r="B73" s="522"/>
      <c r="C73" s="522"/>
      <c r="D73" s="522"/>
      <c r="E73" s="522"/>
      <c r="F73" s="522"/>
      <c r="G73" s="522"/>
      <c r="H73" s="546"/>
      <c r="I73" s="14" t="s">
        <v>609</v>
      </c>
      <c r="J73" s="14"/>
      <c r="K73" s="14"/>
      <c r="L73" s="14"/>
      <c r="M73" s="14"/>
      <c r="N73" s="14"/>
      <c r="O73" s="14"/>
      <c r="P73" s="14"/>
      <c r="Q73" s="14"/>
      <c r="R73" s="14"/>
      <c r="S73" s="225"/>
      <c r="T73" s="518"/>
      <c r="U73" s="518"/>
      <c r="V73" s="518"/>
      <c r="W73" s="518"/>
      <c r="X73" s="518"/>
      <c r="Y73" s="518"/>
      <c r="Z73" s="518"/>
      <c r="AA73" s="518"/>
      <c r="AB73" s="520"/>
      <c r="AC73" s="520"/>
      <c r="AD73" s="520"/>
      <c r="AE73" s="520"/>
      <c r="AF73" s="520"/>
      <c r="AG73" s="520"/>
      <c r="AH73" s="520"/>
      <c r="AI73" s="520"/>
      <c r="AJ73" s="520"/>
      <c r="AK73" s="520"/>
      <c r="AL73" s="520"/>
      <c r="AM73" s="520"/>
      <c r="AN73" s="520"/>
      <c r="AO73" s="520"/>
      <c r="AP73" s="520"/>
      <c r="AQ73" s="520"/>
      <c r="AR73" s="520"/>
      <c r="AS73" s="520"/>
      <c r="AT73" s="520"/>
      <c r="AU73" s="520"/>
      <c r="AV73" s="520"/>
      <c r="AW73" s="520"/>
      <c r="AX73" s="520"/>
      <c r="AY73" s="520"/>
      <c r="AZ73" s="520"/>
      <c r="BA73" s="520"/>
      <c r="BB73" s="520"/>
      <c r="BC73" s="520"/>
      <c r="BD73" s="520"/>
    </row>
    <row r="74" spans="1:56" s="521" customFormat="1" ht="13.5">
      <c r="A74" s="522"/>
      <c r="B74" s="522"/>
      <c r="C74" s="522"/>
      <c r="D74" s="522"/>
      <c r="E74" s="522"/>
      <c r="F74" s="522"/>
      <c r="G74" s="522"/>
      <c r="H74" s="240"/>
      <c r="I74" s="511" t="s">
        <v>494</v>
      </c>
      <c r="J74" s="547"/>
      <c r="K74" s="547"/>
      <c r="L74" s="14"/>
      <c r="M74" s="14"/>
      <c r="N74" s="14"/>
      <c r="O74" s="14"/>
      <c r="P74" s="14"/>
      <c r="Q74" s="14"/>
      <c r="R74" s="14"/>
      <c r="S74" s="225"/>
      <c r="T74" s="518"/>
      <c r="U74" s="518"/>
      <c r="V74" s="518"/>
      <c r="W74" s="518"/>
      <c r="X74" s="518"/>
      <c r="Y74" s="518"/>
      <c r="Z74" s="518"/>
      <c r="AA74" s="518"/>
      <c r="AB74" s="520"/>
      <c r="AC74" s="520"/>
      <c r="AD74" s="520"/>
      <c r="AE74" s="520"/>
      <c r="AF74" s="520"/>
      <c r="AG74" s="520"/>
      <c r="AH74" s="520"/>
      <c r="AI74" s="520"/>
      <c r="AJ74" s="520"/>
      <c r="AK74" s="520"/>
      <c r="AL74" s="520"/>
      <c r="AM74" s="520"/>
      <c r="AN74" s="520"/>
      <c r="AO74" s="520"/>
      <c r="AP74" s="520"/>
      <c r="AQ74" s="520"/>
      <c r="AR74" s="520"/>
      <c r="AS74" s="520"/>
      <c r="AT74" s="520"/>
      <c r="AU74" s="520"/>
      <c r="AV74" s="520"/>
      <c r="AW74" s="520"/>
      <c r="AX74" s="520"/>
      <c r="AY74" s="520"/>
      <c r="AZ74" s="520"/>
      <c r="BA74" s="520"/>
      <c r="BB74" s="520"/>
      <c r="BC74" s="520"/>
      <c r="BD74" s="520"/>
    </row>
    <row r="75" spans="1:56" s="521" customFormat="1" ht="13.5">
      <c r="A75" s="522"/>
      <c r="B75" s="522"/>
      <c r="C75" s="522"/>
      <c r="D75" s="522"/>
      <c r="E75" s="522"/>
      <c r="F75" s="522"/>
      <c r="G75" s="522"/>
      <c r="H75" s="240"/>
      <c r="I75" s="511" t="s">
        <v>495</v>
      </c>
      <c r="J75" s="547"/>
      <c r="K75" s="547"/>
      <c r="L75" s="14"/>
      <c r="M75" s="14"/>
      <c r="N75" s="14"/>
      <c r="O75" s="14"/>
      <c r="P75" s="14"/>
      <c r="Q75" s="14"/>
      <c r="R75" s="14"/>
      <c r="S75" s="225"/>
      <c r="T75" s="518"/>
      <c r="U75" s="518"/>
      <c r="V75" s="518"/>
      <c r="W75" s="518"/>
      <c r="X75" s="518"/>
      <c r="Y75" s="518"/>
      <c r="Z75" s="518"/>
      <c r="AA75" s="518"/>
      <c r="AB75" s="520"/>
      <c r="AC75" s="520"/>
      <c r="AD75" s="520"/>
      <c r="AE75" s="520"/>
      <c r="AF75" s="520"/>
      <c r="AG75" s="520"/>
      <c r="AH75" s="520"/>
      <c r="AI75" s="520"/>
      <c r="AJ75" s="520"/>
      <c r="AK75" s="520"/>
      <c r="AL75" s="520"/>
      <c r="AM75" s="520"/>
      <c r="AN75" s="520"/>
      <c r="AO75" s="520"/>
      <c r="AP75" s="520"/>
      <c r="AQ75" s="520"/>
      <c r="AR75" s="520"/>
      <c r="AS75" s="520"/>
      <c r="AT75" s="520"/>
      <c r="AU75" s="520"/>
      <c r="AV75" s="520"/>
      <c r="AW75" s="520"/>
      <c r="AX75" s="520"/>
      <c r="AY75" s="520"/>
      <c r="AZ75" s="520"/>
      <c r="BA75" s="520"/>
      <c r="BB75" s="520"/>
      <c r="BC75" s="520"/>
      <c r="BD75" s="520"/>
    </row>
    <row r="76" spans="1:56" s="521" customFormat="1" ht="13.5">
      <c r="A76" s="522"/>
      <c r="B76" s="522"/>
      <c r="C76" s="522"/>
      <c r="D76" s="522"/>
      <c r="E76" s="522"/>
      <c r="F76" s="522"/>
      <c r="G76" s="522"/>
      <c r="H76" s="240"/>
      <c r="I76" s="511" t="s">
        <v>294</v>
      </c>
      <c r="J76" s="547"/>
      <c r="K76" s="547"/>
      <c r="L76" s="14"/>
      <c r="M76" s="14"/>
      <c r="N76" s="14"/>
      <c r="O76" s="14"/>
      <c r="P76" s="14"/>
      <c r="Q76" s="14"/>
      <c r="R76" s="14"/>
      <c r="S76" s="225"/>
      <c r="T76" s="518"/>
      <c r="U76" s="518"/>
      <c r="V76" s="518"/>
      <c r="W76" s="518"/>
      <c r="X76" s="518"/>
      <c r="Y76" s="518"/>
      <c r="Z76" s="518"/>
      <c r="AA76" s="518"/>
      <c r="AB76" s="520"/>
      <c r="AC76" s="520"/>
      <c r="AD76" s="520"/>
      <c r="AE76" s="520"/>
      <c r="AF76" s="520"/>
      <c r="AG76" s="520"/>
      <c r="AH76" s="520"/>
      <c r="AI76" s="520"/>
      <c r="AJ76" s="520"/>
      <c r="AK76" s="520"/>
      <c r="AL76" s="520"/>
      <c r="AM76" s="520"/>
      <c r="AN76" s="520"/>
      <c r="AO76" s="520"/>
      <c r="AP76" s="520"/>
      <c r="AQ76" s="520"/>
      <c r="AR76" s="520"/>
      <c r="AS76" s="520"/>
      <c r="AT76" s="520"/>
      <c r="AU76" s="520"/>
      <c r="AV76" s="520"/>
      <c r="AW76" s="520"/>
      <c r="AX76" s="520"/>
      <c r="AY76" s="520"/>
      <c r="AZ76" s="520"/>
      <c r="BA76" s="520"/>
      <c r="BB76" s="520"/>
      <c r="BC76" s="520"/>
      <c r="BD76" s="520"/>
    </row>
    <row r="77" spans="1:56" s="521" customFormat="1" ht="3" customHeight="1">
      <c r="A77" s="522"/>
      <c r="B77" s="522"/>
      <c r="C77" s="522"/>
      <c r="D77" s="522"/>
      <c r="E77" s="522"/>
      <c r="F77" s="522"/>
      <c r="G77" s="522"/>
      <c r="H77" s="14"/>
      <c r="I77" s="14"/>
      <c r="J77" s="14"/>
      <c r="K77" s="14"/>
      <c r="L77" s="14"/>
      <c r="M77" s="14"/>
      <c r="N77" s="14"/>
      <c r="O77" s="14"/>
      <c r="P77" s="14"/>
      <c r="Q77" s="14"/>
      <c r="R77" s="14"/>
      <c r="S77" s="225"/>
      <c r="T77" s="518"/>
      <c r="U77" s="518"/>
      <c r="V77" s="518"/>
      <c r="W77" s="518"/>
      <c r="X77" s="518"/>
      <c r="Y77" s="518"/>
      <c r="Z77" s="518"/>
      <c r="AA77" s="518"/>
      <c r="AB77" s="520"/>
      <c r="AC77" s="520"/>
      <c r="AD77" s="520"/>
      <c r="AE77" s="520"/>
      <c r="AF77" s="520"/>
      <c r="AG77" s="520"/>
      <c r="AH77" s="520"/>
      <c r="AI77" s="520"/>
      <c r="AJ77" s="520"/>
      <c r="AK77" s="520"/>
      <c r="AL77" s="520"/>
      <c r="AM77" s="520"/>
      <c r="AN77" s="520"/>
      <c r="AO77" s="520"/>
      <c r="AP77" s="520"/>
      <c r="AQ77" s="520"/>
      <c r="AR77" s="520"/>
      <c r="AS77" s="520"/>
      <c r="AT77" s="520"/>
      <c r="AU77" s="520"/>
      <c r="AV77" s="520"/>
      <c r="AW77" s="520"/>
      <c r="AX77" s="520"/>
      <c r="AY77" s="520"/>
      <c r="AZ77" s="520"/>
      <c r="BA77" s="520"/>
      <c r="BB77" s="520"/>
      <c r="BC77" s="520"/>
      <c r="BD77" s="520"/>
    </row>
    <row r="78" spans="1:56" s="521" customFormat="1" ht="13.5">
      <c r="A78" s="522"/>
      <c r="B78" s="522"/>
      <c r="C78" s="522"/>
      <c r="D78" s="522"/>
      <c r="E78" s="522"/>
      <c r="F78" s="522"/>
      <c r="G78" s="522"/>
      <c r="H78" s="545" t="s">
        <v>499</v>
      </c>
      <c r="I78" s="545"/>
      <c r="J78" s="545"/>
      <c r="K78" s="545"/>
      <c r="L78" s="526"/>
      <c r="M78" s="526"/>
      <c r="N78" s="526"/>
      <c r="O78" s="526"/>
      <c r="P78" s="526"/>
      <c r="Q78" s="526"/>
      <c r="R78" s="526"/>
      <c r="S78" s="526"/>
      <c r="T78" s="518"/>
      <c r="U78" s="518"/>
      <c r="V78" s="518"/>
      <c r="W78" s="518"/>
      <c r="X78" s="518"/>
      <c r="Y78" s="518"/>
      <c r="Z78" s="518"/>
      <c r="AA78" s="518"/>
      <c r="AB78" s="520"/>
      <c r="AC78" s="520"/>
      <c r="AD78" s="520"/>
      <c r="AE78" s="520"/>
      <c r="AF78" s="520"/>
      <c r="AG78" s="520"/>
      <c r="AH78" s="520"/>
      <c r="AI78" s="520"/>
      <c r="AJ78" s="520"/>
      <c r="AK78" s="520"/>
      <c r="AL78" s="520"/>
      <c r="AM78" s="520"/>
      <c r="AN78" s="520"/>
      <c r="AO78" s="520"/>
      <c r="AP78" s="520"/>
      <c r="AQ78" s="520"/>
      <c r="AR78" s="520"/>
      <c r="AS78" s="520"/>
      <c r="AT78" s="520"/>
      <c r="AU78" s="520"/>
      <c r="AV78" s="520"/>
      <c r="AW78" s="520"/>
      <c r="AX78" s="520"/>
      <c r="AY78" s="520"/>
      <c r="AZ78" s="520"/>
      <c r="BA78" s="520"/>
      <c r="BB78" s="520"/>
      <c r="BC78" s="520"/>
      <c r="BD78" s="520"/>
    </row>
    <row r="79" spans="1:56" s="521" customFormat="1" ht="13.5">
      <c r="A79" s="522"/>
      <c r="B79" s="522"/>
      <c r="C79" s="522"/>
      <c r="D79" s="522"/>
      <c r="E79" s="522"/>
      <c r="F79" s="522"/>
      <c r="G79" s="522"/>
      <c r="H79" s="546">
        <v>1</v>
      </c>
      <c r="I79" s="14" t="s">
        <v>679</v>
      </c>
      <c r="J79" s="14"/>
      <c r="K79" s="14"/>
      <c r="L79" s="14"/>
      <c r="M79" s="14"/>
      <c r="N79" s="14"/>
      <c r="O79" s="14"/>
      <c r="P79" s="14"/>
      <c r="Q79" s="14"/>
      <c r="R79" s="14"/>
      <c r="S79" s="225"/>
      <c r="T79" s="518"/>
      <c r="U79" s="518"/>
      <c r="V79" s="518"/>
      <c r="W79" s="518"/>
      <c r="X79" s="518"/>
      <c r="Y79" s="518"/>
      <c r="Z79" s="518"/>
      <c r="AA79" s="518"/>
      <c r="AB79" s="520"/>
      <c r="AC79" s="520"/>
      <c r="AD79" s="520"/>
      <c r="AE79" s="520"/>
      <c r="AF79" s="520"/>
      <c r="AG79" s="520"/>
      <c r="AH79" s="520"/>
      <c r="AI79" s="520"/>
      <c r="AJ79" s="520"/>
      <c r="AK79" s="520"/>
      <c r="AL79" s="520"/>
      <c r="AM79" s="520"/>
      <c r="AN79" s="520"/>
      <c r="AO79" s="520"/>
      <c r="AP79" s="520"/>
      <c r="AQ79" s="520"/>
      <c r="AR79" s="520"/>
      <c r="AS79" s="520"/>
      <c r="AT79" s="520"/>
      <c r="AU79" s="520"/>
      <c r="AV79" s="520"/>
      <c r="AW79" s="520"/>
      <c r="AX79" s="520"/>
      <c r="AY79" s="520"/>
      <c r="AZ79" s="520"/>
      <c r="BA79" s="520"/>
      <c r="BB79" s="520"/>
      <c r="BC79" s="520"/>
      <c r="BD79" s="520"/>
    </row>
    <row r="80" spans="1:56" s="521" customFormat="1" ht="13.5">
      <c r="A80" s="522"/>
      <c r="B80" s="522"/>
      <c r="C80" s="522"/>
      <c r="D80" s="522"/>
      <c r="E80" s="522"/>
      <c r="F80" s="522"/>
      <c r="G80" s="522"/>
      <c r="H80" s="546"/>
      <c r="I80" s="511" t="s">
        <v>308</v>
      </c>
      <c r="J80" s="547"/>
      <c r="K80" s="547"/>
      <c r="L80" s="14"/>
      <c r="M80" s="14"/>
      <c r="N80" s="14"/>
      <c r="O80" s="14"/>
      <c r="P80" s="14"/>
      <c r="Q80" s="14"/>
      <c r="R80" s="14"/>
      <c r="S80" s="225"/>
      <c r="T80" s="518"/>
      <c r="U80" s="518"/>
      <c r="V80" s="518"/>
      <c r="W80" s="518"/>
      <c r="X80" s="518"/>
      <c r="Y80" s="518"/>
      <c r="Z80" s="518"/>
      <c r="AA80" s="518"/>
      <c r="AB80" s="520"/>
      <c r="AC80" s="520"/>
      <c r="AD80" s="520"/>
      <c r="AE80" s="520"/>
      <c r="AF80" s="520"/>
      <c r="AG80" s="520"/>
      <c r="AH80" s="520"/>
      <c r="AI80" s="520"/>
      <c r="AJ80" s="520"/>
      <c r="AK80" s="520"/>
      <c r="AL80" s="520"/>
      <c r="AM80" s="520"/>
      <c r="AN80" s="520"/>
      <c r="AO80" s="520"/>
      <c r="AP80" s="520"/>
      <c r="AQ80" s="520"/>
      <c r="AR80" s="520"/>
      <c r="AS80" s="520"/>
      <c r="AT80" s="520"/>
      <c r="AU80" s="520"/>
      <c r="AV80" s="520"/>
      <c r="AW80" s="520"/>
      <c r="AX80" s="520"/>
      <c r="AY80" s="520"/>
      <c r="AZ80" s="520"/>
      <c r="BA80" s="520"/>
      <c r="BB80" s="520"/>
      <c r="BC80" s="520"/>
      <c r="BD80" s="520"/>
    </row>
    <row r="81" spans="1:56" s="521" customFormat="1" ht="13.5">
      <c r="A81" s="522"/>
      <c r="B81" s="522"/>
      <c r="C81" s="522"/>
      <c r="D81" s="522"/>
      <c r="E81" s="522"/>
      <c r="F81" s="522"/>
      <c r="G81" s="522"/>
      <c r="H81" s="546"/>
      <c r="I81" s="511" t="s">
        <v>420</v>
      </c>
      <c r="J81" s="549"/>
      <c r="K81" s="549"/>
      <c r="L81" s="14"/>
      <c r="M81" s="14"/>
      <c r="N81" s="14"/>
      <c r="O81" s="14"/>
      <c r="P81" s="14"/>
      <c r="Q81" s="14"/>
      <c r="R81" s="14"/>
      <c r="S81" s="225"/>
      <c r="T81" s="518"/>
      <c r="U81" s="518"/>
      <c r="V81" s="518"/>
      <c r="W81" s="518"/>
      <c r="X81" s="518"/>
      <c r="Y81" s="518"/>
      <c r="Z81" s="518"/>
      <c r="AA81" s="518"/>
      <c r="AB81" s="520"/>
      <c r="AC81" s="520"/>
      <c r="AD81" s="520"/>
      <c r="AE81" s="520"/>
      <c r="AF81" s="520"/>
      <c r="AG81" s="520"/>
      <c r="AH81" s="520"/>
      <c r="AI81" s="520"/>
      <c r="AJ81" s="520"/>
      <c r="AK81" s="520"/>
      <c r="AL81" s="520"/>
      <c r="AM81" s="520"/>
      <c r="AN81" s="520"/>
      <c r="AO81" s="520"/>
      <c r="AP81" s="520"/>
      <c r="AQ81" s="520"/>
      <c r="AR81" s="520"/>
      <c r="AS81" s="520"/>
      <c r="AT81" s="520"/>
      <c r="AU81" s="520"/>
      <c r="AV81" s="520"/>
      <c r="AW81" s="520"/>
      <c r="AX81" s="520"/>
      <c r="AY81" s="520"/>
      <c r="AZ81" s="520"/>
      <c r="BA81" s="520"/>
      <c r="BB81" s="520"/>
      <c r="BC81" s="520"/>
      <c r="BD81" s="520"/>
    </row>
    <row r="82" spans="1:56" s="521" customFormat="1" ht="13.5">
      <c r="A82" s="522"/>
      <c r="B82" s="522"/>
      <c r="C82" s="522"/>
      <c r="D82" s="522"/>
      <c r="E82" s="522"/>
      <c r="F82" s="522"/>
      <c r="G82" s="522"/>
      <c r="H82" s="546">
        <v>2</v>
      </c>
      <c r="I82" s="511" t="s">
        <v>558</v>
      </c>
      <c r="J82" s="549"/>
      <c r="K82" s="549"/>
      <c r="L82" s="14"/>
      <c r="M82" s="14"/>
      <c r="N82" s="14"/>
      <c r="O82" s="14"/>
      <c r="P82" s="14"/>
      <c r="Q82" s="14"/>
      <c r="R82" s="14"/>
      <c r="S82" s="225"/>
      <c r="T82" s="518"/>
      <c r="U82" s="518"/>
      <c r="V82" s="518"/>
      <c r="W82" s="518"/>
      <c r="X82" s="518"/>
      <c r="Y82" s="518"/>
      <c r="Z82" s="518"/>
      <c r="AA82" s="518"/>
      <c r="AB82" s="520"/>
      <c r="AC82" s="520"/>
      <c r="AD82" s="520"/>
      <c r="AE82" s="520"/>
      <c r="AF82" s="520"/>
      <c r="AG82" s="520"/>
      <c r="AH82" s="520"/>
      <c r="AI82" s="520"/>
      <c r="AJ82" s="520"/>
      <c r="AK82" s="520"/>
      <c r="AL82" s="520"/>
      <c r="AM82" s="520"/>
      <c r="AN82" s="520"/>
      <c r="AO82" s="520"/>
      <c r="AP82" s="520"/>
      <c r="AQ82" s="520"/>
      <c r="AR82" s="520"/>
      <c r="AS82" s="520"/>
      <c r="AT82" s="520"/>
      <c r="AU82" s="520"/>
      <c r="AV82" s="520"/>
      <c r="AW82" s="520"/>
      <c r="AX82" s="520"/>
      <c r="AY82" s="520"/>
      <c r="AZ82" s="520"/>
      <c r="BA82" s="520"/>
      <c r="BB82" s="520"/>
      <c r="BC82" s="520"/>
      <c r="BD82" s="520"/>
    </row>
    <row r="83" spans="1:56" s="521" customFormat="1" ht="3" customHeight="1">
      <c r="A83" s="522"/>
      <c r="B83" s="522"/>
      <c r="C83" s="522"/>
      <c r="D83" s="522"/>
      <c r="E83" s="522"/>
      <c r="F83" s="522"/>
      <c r="G83" s="522"/>
      <c r="H83" s="546"/>
      <c r="I83" s="511"/>
      <c r="J83" s="549"/>
      <c r="K83" s="549"/>
      <c r="L83" s="14"/>
      <c r="M83" s="14"/>
      <c r="N83" s="14"/>
      <c r="O83" s="14"/>
      <c r="P83" s="14"/>
      <c r="Q83" s="14"/>
      <c r="R83" s="14"/>
      <c r="S83" s="225"/>
      <c r="T83" s="518"/>
      <c r="U83" s="518"/>
      <c r="V83" s="518"/>
      <c r="W83" s="518"/>
      <c r="X83" s="518"/>
      <c r="Y83" s="518"/>
      <c r="Z83" s="518"/>
      <c r="AA83" s="518"/>
      <c r="AB83" s="520"/>
      <c r="AC83" s="520"/>
      <c r="AD83" s="520"/>
      <c r="AE83" s="520"/>
      <c r="AF83" s="520"/>
      <c r="AG83" s="520"/>
      <c r="AH83" s="520"/>
      <c r="AI83" s="520"/>
      <c r="AJ83" s="520"/>
      <c r="AK83" s="520"/>
      <c r="AL83" s="520"/>
      <c r="AM83" s="520"/>
      <c r="AN83" s="520"/>
      <c r="AO83" s="520"/>
      <c r="AP83" s="520"/>
      <c r="AQ83" s="520"/>
      <c r="AR83" s="520"/>
      <c r="AS83" s="520"/>
      <c r="AT83" s="520"/>
      <c r="AU83" s="520"/>
      <c r="AV83" s="520"/>
      <c r="AW83" s="520"/>
      <c r="AX83" s="520"/>
      <c r="AY83" s="520"/>
      <c r="AZ83" s="520"/>
      <c r="BA83" s="520"/>
      <c r="BB83" s="520"/>
      <c r="BC83" s="520"/>
      <c r="BD83" s="520"/>
    </row>
    <row r="84" spans="1:56" s="521" customFormat="1" ht="13.5">
      <c r="A84" s="522"/>
      <c r="B84" s="522"/>
      <c r="C84" s="522"/>
      <c r="D84" s="522"/>
      <c r="E84" s="522"/>
      <c r="F84" s="522"/>
      <c r="G84" s="522"/>
      <c r="H84" s="545" t="s">
        <v>326</v>
      </c>
      <c r="I84" s="545"/>
      <c r="J84" s="545"/>
      <c r="K84" s="545"/>
      <c r="L84" s="526"/>
      <c r="M84" s="526"/>
      <c r="N84" s="526"/>
      <c r="O84" s="526"/>
      <c r="P84" s="526"/>
      <c r="Q84" s="526"/>
      <c r="R84" s="526"/>
      <c r="S84" s="526"/>
      <c r="T84" s="518"/>
      <c r="U84" s="518"/>
      <c r="V84" s="518"/>
      <c r="W84" s="518"/>
      <c r="X84" s="518"/>
      <c r="Y84" s="518"/>
      <c r="Z84" s="518"/>
      <c r="AA84" s="518"/>
      <c r="AB84" s="520"/>
      <c r="AC84" s="520"/>
      <c r="AD84" s="520"/>
      <c r="AE84" s="520"/>
      <c r="AF84" s="520"/>
      <c r="AG84" s="520"/>
      <c r="AH84" s="520"/>
      <c r="AI84" s="520"/>
      <c r="AJ84" s="520"/>
      <c r="AK84" s="520"/>
      <c r="AL84" s="520"/>
      <c r="AM84" s="520"/>
      <c r="AN84" s="520"/>
      <c r="AO84" s="520"/>
      <c r="AP84" s="520"/>
      <c r="AQ84" s="520"/>
      <c r="AR84" s="520"/>
      <c r="AS84" s="520"/>
      <c r="AT84" s="520"/>
      <c r="AU84" s="520"/>
      <c r="AV84" s="520"/>
      <c r="AW84" s="520"/>
      <c r="AX84" s="520"/>
      <c r="AY84" s="520"/>
      <c r="AZ84" s="520"/>
      <c r="BA84" s="520"/>
      <c r="BB84" s="520"/>
      <c r="BC84" s="520"/>
      <c r="BD84" s="520"/>
    </row>
    <row r="85" spans="1:56" s="521" customFormat="1" ht="13.5">
      <c r="A85" s="522"/>
      <c r="B85" s="522"/>
      <c r="C85" s="522"/>
      <c r="D85" s="522"/>
      <c r="E85" s="522"/>
      <c r="F85" s="522"/>
      <c r="G85" s="522"/>
      <c r="H85" s="692" t="s">
        <v>626</v>
      </c>
      <c r="I85" s="548" t="s">
        <v>638</v>
      </c>
      <c r="J85" s="548"/>
      <c r="K85" s="548"/>
      <c r="L85" s="14"/>
      <c r="M85" s="14"/>
      <c r="N85" s="14"/>
      <c r="O85" s="14"/>
      <c r="P85" s="14"/>
      <c r="Q85" s="14"/>
      <c r="R85" s="14"/>
      <c r="S85" s="225"/>
      <c r="T85" s="518"/>
      <c r="U85" s="518"/>
      <c r="V85" s="518"/>
      <c r="W85" s="518"/>
      <c r="X85" s="518"/>
      <c r="Y85" s="518"/>
      <c r="Z85" s="518"/>
      <c r="AA85" s="518"/>
      <c r="AB85" s="520"/>
      <c r="AC85" s="520"/>
      <c r="AD85" s="520"/>
      <c r="AE85" s="520"/>
      <c r="AF85" s="520"/>
      <c r="AG85" s="520"/>
      <c r="AH85" s="520"/>
      <c r="AI85" s="520"/>
      <c r="AJ85" s="520"/>
      <c r="AK85" s="520"/>
      <c r="AL85" s="520"/>
      <c r="AM85" s="520"/>
      <c r="AN85" s="520"/>
      <c r="AO85" s="520"/>
      <c r="AP85" s="520"/>
      <c r="AQ85" s="520"/>
      <c r="AR85" s="520"/>
      <c r="AS85" s="520"/>
      <c r="AT85" s="520"/>
      <c r="AU85" s="520"/>
      <c r="AV85" s="520"/>
      <c r="AW85" s="520"/>
      <c r="AX85" s="520"/>
      <c r="AY85" s="520"/>
      <c r="AZ85" s="520"/>
      <c r="BA85" s="520"/>
      <c r="BB85" s="520"/>
      <c r="BC85" s="520"/>
      <c r="BD85" s="520"/>
    </row>
    <row r="86" spans="1:56" s="521" customFormat="1" ht="13.5">
      <c r="A86" s="522"/>
      <c r="B86" s="522"/>
      <c r="C86" s="522"/>
      <c r="D86" s="522"/>
      <c r="E86" s="522"/>
      <c r="F86" s="522"/>
      <c r="G86" s="522"/>
      <c r="H86" s="692" t="s">
        <v>142</v>
      </c>
      <c r="I86" s="548" t="s">
        <v>115</v>
      </c>
      <c r="J86" s="548"/>
      <c r="K86" s="548"/>
      <c r="L86" s="14"/>
      <c r="M86" s="14"/>
      <c r="N86" s="14"/>
      <c r="O86" s="14"/>
      <c r="P86" s="14"/>
      <c r="Q86" s="14"/>
      <c r="R86" s="14"/>
      <c r="S86" s="225"/>
      <c r="T86" s="518"/>
      <c r="U86" s="518"/>
      <c r="V86" s="518"/>
      <c r="W86" s="518"/>
      <c r="X86" s="518"/>
      <c r="Y86" s="518"/>
      <c r="Z86" s="518"/>
      <c r="AA86" s="518"/>
      <c r="AB86" s="520"/>
      <c r="AC86" s="520"/>
      <c r="AD86" s="520"/>
      <c r="AE86" s="520"/>
      <c r="AF86" s="520"/>
      <c r="AG86" s="520"/>
      <c r="AH86" s="520"/>
      <c r="AI86" s="520"/>
      <c r="AJ86" s="520"/>
      <c r="AK86" s="520"/>
      <c r="AL86" s="520"/>
      <c r="AM86" s="520"/>
      <c r="AN86" s="520"/>
      <c r="AO86" s="520"/>
      <c r="AP86" s="520"/>
      <c r="AQ86" s="520"/>
      <c r="AR86" s="520"/>
      <c r="AS86" s="520"/>
      <c r="AT86" s="520"/>
      <c r="AU86" s="520"/>
      <c r="AV86" s="520"/>
      <c r="AW86" s="520"/>
      <c r="AX86" s="520"/>
      <c r="AY86" s="520"/>
      <c r="AZ86" s="520"/>
      <c r="BA86" s="520"/>
      <c r="BB86" s="520"/>
      <c r="BC86" s="520"/>
      <c r="BD86" s="520"/>
    </row>
    <row r="87" spans="1:56" s="521" customFormat="1" ht="13.5">
      <c r="A87" s="522"/>
      <c r="B87" s="522"/>
      <c r="C87" s="522"/>
      <c r="D87" s="522"/>
      <c r="E87" s="522"/>
      <c r="F87" s="522"/>
      <c r="G87" s="522"/>
      <c r="H87" s="692"/>
      <c r="I87" s="548" t="s">
        <v>227</v>
      </c>
      <c r="J87" s="548"/>
      <c r="K87" s="548"/>
      <c r="L87" s="14"/>
      <c r="M87" s="14"/>
      <c r="N87" s="14"/>
      <c r="O87" s="14"/>
      <c r="P87" s="14"/>
      <c r="Q87" s="14"/>
      <c r="R87" s="14"/>
      <c r="S87" s="225"/>
      <c r="T87" s="518"/>
      <c r="U87" s="518"/>
      <c r="V87" s="518"/>
      <c r="W87" s="518"/>
      <c r="X87" s="518"/>
      <c r="Y87" s="518"/>
      <c r="Z87" s="518"/>
      <c r="AA87" s="518"/>
      <c r="AB87" s="520"/>
      <c r="AC87" s="520"/>
      <c r="AD87" s="520"/>
      <c r="AE87" s="520"/>
      <c r="AF87" s="520"/>
      <c r="AG87" s="520"/>
      <c r="AH87" s="520"/>
      <c r="AI87" s="520"/>
      <c r="AJ87" s="520"/>
      <c r="AK87" s="520"/>
      <c r="AL87" s="520"/>
      <c r="AM87" s="520"/>
      <c r="AN87" s="520"/>
      <c r="AO87" s="520"/>
      <c r="AP87" s="520"/>
      <c r="AQ87" s="520"/>
      <c r="AR87" s="520"/>
      <c r="AS87" s="520"/>
      <c r="AT87" s="520"/>
      <c r="AU87" s="520"/>
      <c r="AV87" s="520"/>
      <c r="AW87" s="520"/>
      <c r="AX87" s="520"/>
      <c r="AY87" s="520"/>
      <c r="AZ87" s="520"/>
      <c r="BA87" s="520"/>
      <c r="BB87" s="520"/>
      <c r="BC87" s="520"/>
      <c r="BD87" s="520"/>
    </row>
    <row r="88" spans="1:56" s="521" customFormat="1" ht="13.5">
      <c r="A88" s="522"/>
      <c r="B88" s="522"/>
      <c r="C88" s="522"/>
      <c r="D88" s="522"/>
      <c r="E88" s="522"/>
      <c r="F88" s="522"/>
      <c r="G88" s="522"/>
      <c r="H88" s="692" t="s">
        <v>143</v>
      </c>
      <c r="I88" s="548" t="s">
        <v>114</v>
      </c>
      <c r="J88" s="548"/>
      <c r="K88" s="548"/>
      <c r="L88" s="14"/>
      <c r="M88" s="14"/>
      <c r="N88" s="14"/>
      <c r="O88" s="14"/>
      <c r="P88" s="14"/>
      <c r="Q88" s="14"/>
      <c r="R88" s="14"/>
      <c r="S88" s="225"/>
      <c r="T88" s="518"/>
      <c r="U88" s="518"/>
      <c r="V88" s="518"/>
      <c r="W88" s="518"/>
      <c r="X88" s="518"/>
      <c r="Y88" s="518"/>
      <c r="Z88" s="518"/>
      <c r="AA88" s="518"/>
      <c r="AB88" s="520"/>
      <c r="AC88" s="520"/>
      <c r="AD88" s="520"/>
      <c r="AE88" s="520"/>
      <c r="AF88" s="520"/>
      <c r="AG88" s="520"/>
      <c r="AH88" s="520"/>
      <c r="AI88" s="520"/>
      <c r="AJ88" s="520"/>
      <c r="AK88" s="520"/>
      <c r="AL88" s="520"/>
      <c r="AM88" s="520"/>
      <c r="AN88" s="520"/>
      <c r="AO88" s="520"/>
      <c r="AP88" s="520"/>
      <c r="AQ88" s="520"/>
      <c r="AR88" s="520"/>
      <c r="AS88" s="520"/>
      <c r="AT88" s="520"/>
      <c r="AU88" s="520"/>
      <c r="AV88" s="520"/>
      <c r="AW88" s="520"/>
      <c r="AX88" s="520"/>
      <c r="AY88" s="520"/>
      <c r="AZ88" s="520"/>
      <c r="BA88" s="520"/>
      <c r="BB88" s="520"/>
      <c r="BC88" s="520"/>
      <c r="BD88" s="520"/>
    </row>
    <row r="89" spans="1:56" s="521" customFormat="1" ht="3" customHeight="1">
      <c r="A89" s="522"/>
      <c r="B89" s="522"/>
      <c r="C89" s="522"/>
      <c r="D89" s="522"/>
      <c r="E89" s="522"/>
      <c r="F89" s="522"/>
      <c r="G89" s="522"/>
      <c r="H89" s="546"/>
      <c r="I89" s="548"/>
      <c r="J89" s="548"/>
      <c r="K89" s="548"/>
      <c r="L89" s="14"/>
      <c r="M89" s="14"/>
      <c r="N89" s="14"/>
      <c r="O89" s="14"/>
      <c r="P89" s="14"/>
      <c r="Q89" s="14"/>
      <c r="R89" s="14"/>
      <c r="S89" s="225"/>
      <c r="T89" s="518"/>
      <c r="U89" s="518"/>
      <c r="V89" s="518"/>
      <c r="W89" s="518"/>
      <c r="X89" s="518"/>
      <c r="Y89" s="518"/>
      <c r="Z89" s="518"/>
      <c r="AA89" s="518"/>
      <c r="AB89" s="520"/>
      <c r="AC89" s="520"/>
      <c r="AD89" s="520"/>
      <c r="AE89" s="520"/>
      <c r="AF89" s="520"/>
      <c r="AG89" s="520"/>
      <c r="AH89" s="520"/>
      <c r="AI89" s="520"/>
      <c r="AJ89" s="520"/>
      <c r="AK89" s="520"/>
      <c r="AL89" s="520"/>
      <c r="AM89" s="520"/>
      <c r="AN89" s="520"/>
      <c r="AO89" s="520"/>
      <c r="AP89" s="520"/>
      <c r="AQ89" s="520"/>
      <c r="AR89" s="520"/>
      <c r="AS89" s="520"/>
      <c r="AT89" s="520"/>
      <c r="AU89" s="520"/>
      <c r="AV89" s="520"/>
      <c r="AW89" s="520"/>
      <c r="AX89" s="520"/>
      <c r="AY89" s="520"/>
      <c r="AZ89" s="520"/>
      <c r="BA89" s="520"/>
      <c r="BB89" s="520"/>
      <c r="BC89" s="520"/>
      <c r="BD89" s="520"/>
    </row>
    <row r="90" spans="1:56" s="521" customFormat="1" ht="13.5">
      <c r="A90" s="522"/>
      <c r="B90" s="522"/>
      <c r="C90" s="522"/>
      <c r="D90" s="522"/>
      <c r="E90" s="522"/>
      <c r="F90" s="522"/>
      <c r="G90" s="522"/>
      <c r="H90" s="545" t="s">
        <v>1020</v>
      </c>
      <c r="I90" s="545"/>
      <c r="J90" s="545"/>
      <c r="K90" s="545"/>
      <c r="L90" s="526"/>
      <c r="M90" s="526"/>
      <c r="N90" s="526"/>
      <c r="O90" s="526"/>
      <c r="P90" s="526"/>
      <c r="Q90" s="526"/>
      <c r="R90" s="526"/>
      <c r="S90" s="526"/>
      <c r="T90" s="518"/>
      <c r="U90" s="518"/>
      <c r="V90" s="518"/>
      <c r="W90" s="518"/>
      <c r="X90" s="518"/>
      <c r="Y90" s="518"/>
      <c r="Z90" s="518"/>
      <c r="AA90" s="518"/>
      <c r="AB90" s="520"/>
      <c r="AC90" s="520"/>
      <c r="AD90" s="520"/>
      <c r="AE90" s="520"/>
      <c r="AF90" s="520"/>
      <c r="AG90" s="520"/>
      <c r="AH90" s="520"/>
      <c r="AI90" s="520"/>
      <c r="AJ90" s="520"/>
      <c r="AK90" s="520"/>
      <c r="AL90" s="520"/>
      <c r="AM90" s="520"/>
      <c r="AN90" s="520"/>
      <c r="AO90" s="520"/>
      <c r="AP90" s="520"/>
      <c r="AQ90" s="520"/>
      <c r="AR90" s="520"/>
      <c r="AS90" s="520"/>
      <c r="AT90" s="520"/>
      <c r="AU90" s="520"/>
      <c r="AV90" s="520"/>
      <c r="AW90" s="520"/>
      <c r="AX90" s="520"/>
      <c r="AY90" s="520"/>
      <c r="AZ90" s="520"/>
      <c r="BA90" s="520"/>
      <c r="BB90" s="520"/>
      <c r="BC90" s="520"/>
      <c r="BD90" s="520"/>
    </row>
    <row r="91" spans="1:56" s="521" customFormat="1" ht="13.5">
      <c r="A91" s="522"/>
      <c r="B91" s="522"/>
      <c r="C91" s="522"/>
      <c r="D91" s="522"/>
      <c r="E91" s="522"/>
      <c r="F91" s="522"/>
      <c r="G91" s="522"/>
      <c r="H91" s="692" t="s">
        <v>626</v>
      </c>
      <c r="I91" s="548" t="s">
        <v>1021</v>
      </c>
      <c r="J91" s="548"/>
      <c r="K91" s="548"/>
      <c r="L91" s="14"/>
      <c r="M91" s="14"/>
      <c r="N91" s="14"/>
      <c r="O91" s="14"/>
      <c r="P91" s="14"/>
      <c r="Q91" s="14"/>
      <c r="R91" s="14"/>
      <c r="S91" s="225"/>
      <c r="T91" s="518"/>
      <c r="U91" s="518"/>
      <c r="V91" s="518"/>
      <c r="W91" s="518"/>
      <c r="X91" s="518"/>
      <c r="Y91" s="518"/>
      <c r="Z91" s="518"/>
      <c r="AA91" s="518"/>
      <c r="AB91" s="520"/>
      <c r="AC91" s="520"/>
      <c r="AD91" s="520"/>
      <c r="AE91" s="520"/>
      <c r="AF91" s="520"/>
      <c r="AG91" s="520"/>
      <c r="AH91" s="520"/>
      <c r="AI91" s="520"/>
      <c r="AJ91" s="520"/>
      <c r="AK91" s="520"/>
      <c r="AL91" s="520"/>
      <c r="AM91" s="520"/>
      <c r="AN91" s="520"/>
      <c r="AO91" s="520"/>
      <c r="AP91" s="520"/>
      <c r="AQ91" s="520"/>
      <c r="AR91" s="520"/>
      <c r="AS91" s="520"/>
      <c r="AT91" s="520"/>
      <c r="AU91" s="520"/>
      <c r="AV91" s="520"/>
      <c r="AW91" s="520"/>
      <c r="AX91" s="520"/>
      <c r="AY91" s="520"/>
      <c r="AZ91" s="520"/>
      <c r="BA91" s="520"/>
      <c r="BB91" s="520"/>
      <c r="BC91" s="520"/>
      <c r="BD91" s="520"/>
    </row>
    <row r="92" spans="1:56" s="521" customFormat="1" ht="13.5">
      <c r="A92" s="522"/>
      <c r="B92" s="522"/>
      <c r="C92" s="522"/>
      <c r="D92" s="522"/>
      <c r="E92" s="522"/>
      <c r="F92" s="522"/>
      <c r="G92" s="522"/>
      <c r="H92" s="692" t="s">
        <v>142</v>
      </c>
      <c r="I92" s="548" t="s">
        <v>1022</v>
      </c>
      <c r="J92" s="548"/>
      <c r="K92" s="548"/>
      <c r="L92" s="14"/>
      <c r="M92" s="14"/>
      <c r="N92" s="14"/>
      <c r="O92" s="14"/>
      <c r="P92" s="14"/>
      <c r="Q92" s="14"/>
      <c r="R92" s="14"/>
      <c r="S92" s="225"/>
      <c r="T92" s="518"/>
      <c r="U92" s="518"/>
      <c r="V92" s="518"/>
      <c r="W92" s="518"/>
      <c r="X92" s="518"/>
      <c r="Y92" s="518"/>
      <c r="Z92" s="518"/>
      <c r="AA92" s="518"/>
      <c r="AB92" s="520"/>
      <c r="AC92" s="520"/>
      <c r="AD92" s="520"/>
      <c r="AE92" s="520"/>
      <c r="AF92" s="520"/>
      <c r="AG92" s="520"/>
      <c r="AH92" s="520"/>
      <c r="AI92" s="520"/>
      <c r="AJ92" s="520"/>
      <c r="AK92" s="520"/>
      <c r="AL92" s="520"/>
      <c r="AM92" s="520"/>
      <c r="AN92" s="520"/>
      <c r="AO92" s="520"/>
      <c r="AP92" s="520"/>
      <c r="AQ92" s="520"/>
      <c r="AR92" s="520"/>
      <c r="AS92" s="520"/>
      <c r="AT92" s="520"/>
      <c r="AU92" s="520"/>
      <c r="AV92" s="520"/>
      <c r="AW92" s="520"/>
      <c r="AX92" s="520"/>
      <c r="AY92" s="520"/>
      <c r="AZ92" s="520"/>
      <c r="BA92" s="520"/>
      <c r="BB92" s="520"/>
      <c r="BC92" s="520"/>
      <c r="BD92" s="520"/>
    </row>
    <row r="93" spans="1:56" s="521" customFormat="1" ht="3" customHeight="1">
      <c r="A93" s="522"/>
      <c r="B93" s="522"/>
      <c r="C93" s="522"/>
      <c r="D93" s="522"/>
      <c r="E93" s="522"/>
      <c r="F93" s="522"/>
      <c r="G93" s="522"/>
      <c r="H93" s="546"/>
      <c r="I93" s="548"/>
      <c r="J93" s="548"/>
      <c r="K93" s="548"/>
      <c r="L93" s="14"/>
      <c r="M93" s="14"/>
      <c r="N93" s="14"/>
      <c r="O93" s="14"/>
      <c r="P93" s="14"/>
      <c r="Q93" s="14"/>
      <c r="R93" s="14"/>
      <c r="S93" s="225"/>
      <c r="T93" s="518"/>
      <c r="U93" s="518"/>
      <c r="V93" s="518"/>
      <c r="W93" s="518"/>
      <c r="X93" s="518"/>
      <c r="Y93" s="518"/>
      <c r="Z93" s="518"/>
      <c r="AA93" s="518"/>
      <c r="AB93" s="520"/>
      <c r="AC93" s="520"/>
      <c r="AD93" s="520"/>
      <c r="AE93" s="520"/>
      <c r="AF93" s="520"/>
      <c r="AG93" s="520"/>
      <c r="AH93" s="520"/>
      <c r="AI93" s="520"/>
      <c r="AJ93" s="520"/>
      <c r="AK93" s="520"/>
      <c r="AL93" s="520"/>
      <c r="AM93" s="520"/>
      <c r="AN93" s="520"/>
      <c r="AO93" s="520"/>
      <c r="AP93" s="520"/>
      <c r="AQ93" s="520"/>
      <c r="AR93" s="520"/>
      <c r="AS93" s="520"/>
      <c r="AT93" s="520"/>
      <c r="AU93" s="520"/>
      <c r="AV93" s="520"/>
      <c r="AW93" s="520"/>
      <c r="AX93" s="520"/>
      <c r="AY93" s="520"/>
      <c r="AZ93" s="520"/>
      <c r="BA93" s="520"/>
      <c r="BB93" s="520"/>
      <c r="BC93" s="520"/>
      <c r="BD93" s="520"/>
    </row>
    <row r="94" spans="1:56" s="521" customFormat="1" ht="13.5">
      <c r="A94" s="522"/>
      <c r="B94" s="522"/>
      <c r="C94" s="522"/>
      <c r="D94" s="522"/>
      <c r="E94" s="522"/>
      <c r="F94" s="522"/>
      <c r="G94" s="522"/>
      <c r="H94" s="545" t="s">
        <v>64</v>
      </c>
      <c r="I94" s="545"/>
      <c r="J94" s="545"/>
      <c r="K94" s="545"/>
      <c r="L94" s="526"/>
      <c r="M94" s="526"/>
      <c r="N94" s="526"/>
      <c r="O94" s="526"/>
      <c r="P94" s="526"/>
      <c r="Q94" s="526"/>
      <c r="R94" s="526"/>
      <c r="S94" s="526"/>
      <c r="T94" s="518"/>
      <c r="U94" s="518"/>
      <c r="V94" s="518"/>
      <c r="W94" s="518"/>
      <c r="X94" s="518"/>
      <c r="Y94" s="518"/>
      <c r="Z94" s="518"/>
      <c r="AA94" s="518"/>
      <c r="AB94" s="520"/>
      <c r="AC94" s="520"/>
      <c r="AD94" s="520"/>
      <c r="AE94" s="520"/>
      <c r="AF94" s="520"/>
      <c r="AG94" s="520"/>
      <c r="AH94" s="520"/>
      <c r="AI94" s="520"/>
      <c r="AJ94" s="520"/>
      <c r="AK94" s="520"/>
      <c r="AL94" s="520"/>
      <c r="AM94" s="520"/>
      <c r="AN94" s="520"/>
      <c r="AO94" s="520"/>
      <c r="AP94" s="520"/>
      <c r="AQ94" s="520"/>
      <c r="AR94" s="520"/>
      <c r="AS94" s="520"/>
      <c r="AT94" s="520"/>
      <c r="AU94" s="520"/>
      <c r="AV94" s="520"/>
      <c r="AW94" s="520"/>
      <c r="AX94" s="520"/>
      <c r="AY94" s="520"/>
      <c r="AZ94" s="520"/>
      <c r="BA94" s="520"/>
      <c r="BB94" s="520"/>
      <c r="BC94" s="520"/>
      <c r="BD94" s="520"/>
    </row>
    <row r="95" spans="1:56" s="521" customFormat="1" ht="13.5">
      <c r="A95" s="522"/>
      <c r="B95" s="522"/>
      <c r="C95" s="522"/>
      <c r="D95" s="522"/>
      <c r="E95" s="522"/>
      <c r="F95" s="522"/>
      <c r="G95" s="522"/>
      <c r="H95" s="692" t="s">
        <v>626</v>
      </c>
      <c r="I95" s="548" t="s">
        <v>289</v>
      </c>
      <c r="J95" s="548"/>
      <c r="K95" s="548"/>
      <c r="L95" s="14"/>
      <c r="M95" s="14"/>
      <c r="N95" s="14"/>
      <c r="O95" s="14"/>
      <c r="P95" s="14"/>
      <c r="Q95" s="14"/>
      <c r="R95" s="14"/>
      <c r="S95" s="225"/>
      <c r="T95" s="518"/>
      <c r="U95" s="518"/>
      <c r="V95" s="518"/>
      <c r="W95" s="518"/>
      <c r="X95" s="518"/>
      <c r="Y95" s="518"/>
      <c r="Z95" s="518"/>
      <c r="AA95" s="518"/>
      <c r="AB95" s="520"/>
      <c r="AC95" s="520"/>
      <c r="AD95" s="520"/>
      <c r="AE95" s="520"/>
      <c r="AF95" s="520"/>
      <c r="AG95" s="520"/>
      <c r="AH95" s="520"/>
      <c r="AI95" s="520"/>
      <c r="AJ95" s="520"/>
      <c r="AK95" s="520"/>
      <c r="AL95" s="520"/>
      <c r="AM95" s="520"/>
      <c r="AN95" s="520"/>
      <c r="AO95" s="520"/>
      <c r="AP95" s="520"/>
      <c r="AQ95" s="520"/>
      <c r="AR95" s="520"/>
      <c r="AS95" s="520"/>
      <c r="AT95" s="520"/>
      <c r="AU95" s="520"/>
      <c r="AV95" s="520"/>
      <c r="AW95" s="520"/>
      <c r="AX95" s="520"/>
      <c r="AY95" s="520"/>
      <c r="AZ95" s="520"/>
      <c r="BA95" s="520"/>
      <c r="BB95" s="520"/>
      <c r="BC95" s="520"/>
      <c r="BD95" s="520"/>
    </row>
    <row r="96" spans="1:56" s="521" customFormat="1" ht="13.5">
      <c r="A96" s="522"/>
      <c r="B96" s="522"/>
      <c r="C96" s="522"/>
      <c r="D96" s="522"/>
      <c r="E96" s="522"/>
      <c r="F96" s="522"/>
      <c r="G96" s="522"/>
      <c r="H96" s="692">
        <v>2</v>
      </c>
      <c r="I96" s="548" t="s">
        <v>537</v>
      </c>
      <c r="J96" s="548"/>
      <c r="K96" s="548"/>
      <c r="L96" s="14"/>
      <c r="M96" s="14"/>
      <c r="N96" s="14"/>
      <c r="O96" s="14"/>
      <c r="P96" s="14"/>
      <c r="Q96" s="14"/>
      <c r="R96" s="14"/>
      <c r="S96" s="225"/>
      <c r="T96" s="518"/>
      <c r="U96" s="518"/>
      <c r="V96" s="518"/>
      <c r="W96" s="518"/>
      <c r="X96" s="518"/>
      <c r="Y96" s="518"/>
      <c r="Z96" s="518"/>
      <c r="AA96" s="518"/>
      <c r="AB96" s="520"/>
      <c r="AC96" s="520"/>
      <c r="AD96" s="520"/>
      <c r="AE96" s="520"/>
      <c r="AF96" s="520"/>
      <c r="AG96" s="520"/>
      <c r="AH96" s="520"/>
      <c r="AI96" s="520"/>
      <c r="AJ96" s="520"/>
      <c r="AK96" s="520"/>
      <c r="AL96" s="520"/>
      <c r="AM96" s="520"/>
      <c r="AN96" s="520"/>
      <c r="AO96" s="520"/>
      <c r="AP96" s="520"/>
      <c r="AQ96" s="520"/>
      <c r="AR96" s="520"/>
      <c r="AS96" s="520"/>
      <c r="AT96" s="520"/>
      <c r="AU96" s="520"/>
      <c r="AV96" s="520"/>
      <c r="AW96" s="520"/>
      <c r="AX96" s="520"/>
      <c r="AY96" s="520"/>
      <c r="AZ96" s="520"/>
      <c r="BA96" s="520"/>
      <c r="BB96" s="520"/>
      <c r="BC96" s="520"/>
      <c r="BD96" s="520"/>
    </row>
    <row r="97" spans="1:56" s="521" customFormat="1" ht="13.5">
      <c r="A97" s="522"/>
      <c r="B97" s="522"/>
      <c r="C97" s="522"/>
      <c r="D97" s="522"/>
      <c r="E97" s="522"/>
      <c r="F97" s="522"/>
      <c r="G97" s="522"/>
      <c r="H97" s="692">
        <v>3</v>
      </c>
      <c r="I97" s="548" t="s">
        <v>202</v>
      </c>
      <c r="J97" s="548"/>
      <c r="K97" s="548"/>
      <c r="L97" s="14"/>
      <c r="M97" s="14"/>
      <c r="N97" s="14"/>
      <c r="O97" s="14"/>
      <c r="P97" s="14"/>
      <c r="Q97" s="14"/>
      <c r="R97" s="14"/>
      <c r="S97" s="225"/>
      <c r="T97" s="518"/>
      <c r="U97" s="518"/>
      <c r="V97" s="518"/>
      <c r="W97" s="518"/>
      <c r="X97" s="518"/>
      <c r="Y97" s="518"/>
      <c r="Z97" s="518"/>
      <c r="AA97" s="518"/>
      <c r="AB97" s="520"/>
      <c r="AC97" s="520"/>
      <c r="AD97" s="520"/>
      <c r="AE97" s="520"/>
      <c r="AF97" s="520"/>
      <c r="AG97" s="520"/>
      <c r="AH97" s="520"/>
      <c r="AI97" s="520"/>
      <c r="AJ97" s="520"/>
      <c r="AK97" s="520"/>
      <c r="AL97" s="520"/>
      <c r="AM97" s="520"/>
      <c r="AN97" s="520"/>
      <c r="AO97" s="520"/>
      <c r="AP97" s="520"/>
      <c r="AQ97" s="520"/>
      <c r="AR97" s="520"/>
      <c r="AS97" s="520"/>
      <c r="AT97" s="520"/>
      <c r="AU97" s="520"/>
      <c r="AV97" s="520"/>
      <c r="AW97" s="520"/>
      <c r="AX97" s="520"/>
      <c r="AY97" s="520"/>
      <c r="AZ97" s="520"/>
      <c r="BA97" s="520"/>
      <c r="BB97" s="520"/>
      <c r="BC97" s="520"/>
      <c r="BD97" s="520"/>
    </row>
    <row r="98" spans="1:56" s="521" customFormat="1" ht="13.5">
      <c r="A98" s="522"/>
      <c r="B98" s="522"/>
      <c r="C98" s="522"/>
      <c r="D98" s="522"/>
      <c r="E98" s="522"/>
      <c r="F98" s="522"/>
      <c r="G98" s="522"/>
      <c r="H98" s="692">
        <v>4</v>
      </c>
      <c r="I98" s="548" t="s">
        <v>531</v>
      </c>
      <c r="J98" s="548"/>
      <c r="K98" s="548"/>
      <c r="L98" s="14"/>
      <c r="M98" s="14"/>
      <c r="N98" s="14"/>
      <c r="O98" s="14"/>
      <c r="P98" s="14"/>
      <c r="Q98" s="14"/>
      <c r="R98" s="14"/>
      <c r="S98" s="225"/>
      <c r="T98" s="518"/>
      <c r="U98" s="518"/>
      <c r="V98" s="518"/>
      <c r="W98" s="518"/>
      <c r="X98" s="518"/>
      <c r="Y98" s="518"/>
      <c r="Z98" s="518"/>
      <c r="AA98" s="518"/>
      <c r="AB98" s="520"/>
      <c r="AC98" s="520"/>
      <c r="AD98" s="520"/>
      <c r="AE98" s="520"/>
      <c r="AF98" s="520"/>
      <c r="AG98" s="520"/>
      <c r="AH98" s="520"/>
      <c r="AI98" s="520"/>
      <c r="AJ98" s="520"/>
      <c r="AK98" s="520"/>
      <c r="AL98" s="520"/>
      <c r="AM98" s="520"/>
      <c r="AN98" s="520"/>
      <c r="AO98" s="520"/>
      <c r="AP98" s="520"/>
      <c r="AQ98" s="520"/>
      <c r="AR98" s="520"/>
      <c r="AS98" s="520"/>
      <c r="AT98" s="520"/>
      <c r="AU98" s="520"/>
      <c r="AV98" s="520"/>
      <c r="AW98" s="520"/>
      <c r="AX98" s="520"/>
      <c r="AY98" s="520"/>
      <c r="AZ98" s="520"/>
      <c r="BA98" s="520"/>
      <c r="BB98" s="520"/>
      <c r="BC98" s="520"/>
      <c r="BD98" s="520"/>
    </row>
    <row r="99" spans="1:56" s="521" customFormat="1" ht="3" customHeight="1">
      <c r="A99" s="522"/>
      <c r="B99" s="522"/>
      <c r="C99" s="522"/>
      <c r="D99" s="522"/>
      <c r="E99" s="522"/>
      <c r="F99" s="522"/>
      <c r="G99" s="522"/>
      <c r="H99" s="546"/>
      <c r="I99" s="548"/>
      <c r="J99" s="548"/>
      <c r="K99" s="548"/>
      <c r="L99" s="14"/>
      <c r="M99" s="14"/>
      <c r="N99" s="14"/>
      <c r="O99" s="14"/>
      <c r="P99" s="14"/>
      <c r="Q99" s="14"/>
      <c r="R99" s="14"/>
      <c r="S99" s="225"/>
      <c r="T99" s="518"/>
      <c r="U99" s="518"/>
      <c r="V99" s="518"/>
      <c r="W99" s="518"/>
      <c r="X99" s="518"/>
      <c r="Y99" s="518"/>
      <c r="Z99" s="518"/>
      <c r="AA99" s="518"/>
      <c r="AB99" s="520"/>
      <c r="AC99" s="520"/>
      <c r="AD99" s="520"/>
      <c r="AE99" s="520"/>
      <c r="AF99" s="520"/>
      <c r="AG99" s="520"/>
      <c r="AH99" s="520"/>
      <c r="AI99" s="520"/>
      <c r="AJ99" s="520"/>
      <c r="AK99" s="520"/>
      <c r="AL99" s="520"/>
      <c r="AM99" s="520"/>
      <c r="AN99" s="520"/>
      <c r="AO99" s="520"/>
      <c r="AP99" s="520"/>
      <c r="AQ99" s="520"/>
      <c r="AR99" s="520"/>
      <c r="AS99" s="520"/>
      <c r="AT99" s="520"/>
      <c r="AU99" s="520"/>
      <c r="AV99" s="520"/>
      <c r="AW99" s="520"/>
      <c r="AX99" s="520"/>
      <c r="AY99" s="520"/>
      <c r="AZ99" s="520"/>
      <c r="BA99" s="520"/>
      <c r="BB99" s="520"/>
      <c r="BC99" s="520"/>
      <c r="BD99" s="520"/>
    </row>
    <row r="100" spans="1:56" s="521" customFormat="1" ht="13.5" hidden="1">
      <c r="A100" s="522"/>
      <c r="B100" s="522"/>
      <c r="C100" s="522"/>
      <c r="D100" s="522"/>
      <c r="E100" s="522"/>
      <c r="F100" s="522"/>
      <c r="G100" s="522"/>
      <c r="H100" s="545" t="s">
        <v>248</v>
      </c>
      <c r="I100" s="545"/>
      <c r="J100" s="545"/>
      <c r="K100" s="545"/>
      <c r="L100" s="526"/>
      <c r="M100" s="526"/>
      <c r="N100" s="526"/>
      <c r="O100" s="526"/>
      <c r="P100" s="526"/>
      <c r="Q100" s="526"/>
      <c r="R100" s="526"/>
      <c r="S100" s="526"/>
      <c r="T100" s="518"/>
      <c r="U100" s="518"/>
      <c r="V100" s="518"/>
      <c r="W100" s="518"/>
      <c r="X100" s="518"/>
      <c r="Y100" s="518"/>
      <c r="Z100" s="518"/>
      <c r="AA100" s="518"/>
      <c r="AB100" s="520"/>
      <c r="AC100" s="520"/>
      <c r="AD100" s="520"/>
      <c r="AE100" s="520"/>
      <c r="AF100" s="520"/>
      <c r="AG100" s="520"/>
      <c r="AH100" s="520"/>
      <c r="AI100" s="520"/>
      <c r="AJ100" s="520"/>
      <c r="AK100" s="520"/>
      <c r="AL100" s="520"/>
      <c r="AM100" s="520"/>
      <c r="AN100" s="520"/>
      <c r="AO100" s="520"/>
      <c r="AP100" s="520"/>
      <c r="AQ100" s="520"/>
      <c r="AR100" s="520"/>
      <c r="AS100" s="520"/>
      <c r="AT100" s="520"/>
      <c r="AU100" s="520"/>
      <c r="AV100" s="520"/>
      <c r="AW100" s="520"/>
      <c r="AX100" s="520"/>
      <c r="AY100" s="520"/>
      <c r="AZ100" s="520"/>
      <c r="BA100" s="520"/>
      <c r="BB100" s="520"/>
      <c r="BC100" s="520"/>
      <c r="BD100" s="520"/>
    </row>
    <row r="101" spans="1:56" s="521" customFormat="1" ht="13.5" hidden="1">
      <c r="A101" s="522"/>
      <c r="B101" s="522"/>
      <c r="C101" s="522"/>
      <c r="D101" s="522"/>
      <c r="E101" s="522"/>
      <c r="F101" s="522"/>
      <c r="G101" s="522"/>
      <c r="H101" s="692" t="s">
        <v>626</v>
      </c>
      <c r="I101" s="548" t="s">
        <v>549</v>
      </c>
      <c r="J101" s="548"/>
      <c r="K101" s="548"/>
      <c r="L101" s="14"/>
      <c r="M101" s="14"/>
      <c r="N101" s="14"/>
      <c r="O101" s="14"/>
      <c r="P101" s="14"/>
      <c r="Q101" s="14"/>
      <c r="R101" s="14"/>
      <c r="S101" s="225"/>
      <c r="T101" s="518"/>
      <c r="U101" s="518"/>
      <c r="V101" s="518"/>
      <c r="W101" s="518"/>
      <c r="X101" s="518"/>
      <c r="Y101" s="518"/>
      <c r="Z101" s="518"/>
      <c r="AA101" s="518"/>
      <c r="AB101" s="520"/>
      <c r="AC101" s="520"/>
      <c r="AD101" s="520"/>
      <c r="AE101" s="520"/>
      <c r="AF101" s="520"/>
      <c r="AG101" s="520"/>
      <c r="AH101" s="520"/>
      <c r="AI101" s="520"/>
      <c r="AJ101" s="520"/>
      <c r="AK101" s="520"/>
      <c r="AL101" s="520"/>
      <c r="AM101" s="520"/>
      <c r="AN101" s="520"/>
      <c r="AO101" s="520"/>
      <c r="AP101" s="520"/>
      <c r="AQ101" s="520"/>
      <c r="AR101" s="520"/>
      <c r="AS101" s="520"/>
      <c r="AT101" s="520"/>
      <c r="AU101" s="520"/>
      <c r="AV101" s="520"/>
      <c r="AW101" s="520"/>
      <c r="AX101" s="520"/>
      <c r="AY101" s="520"/>
      <c r="AZ101" s="520"/>
      <c r="BA101" s="520"/>
      <c r="BB101" s="520"/>
      <c r="BC101" s="520"/>
      <c r="BD101" s="520"/>
    </row>
    <row r="102" spans="1:56" s="521" customFormat="1" ht="3" hidden="1" customHeight="1">
      <c r="A102" s="522"/>
      <c r="B102" s="522"/>
      <c r="C102" s="522"/>
      <c r="D102" s="522"/>
      <c r="E102" s="522"/>
      <c r="F102" s="522"/>
      <c r="G102" s="522"/>
      <c r="H102" s="546"/>
      <c r="I102" s="548"/>
      <c r="J102" s="548"/>
      <c r="K102" s="548"/>
      <c r="L102" s="14"/>
      <c r="M102" s="14"/>
      <c r="N102" s="14"/>
      <c r="O102" s="14"/>
      <c r="P102" s="14"/>
      <c r="Q102" s="14"/>
      <c r="R102" s="14"/>
      <c r="S102" s="225"/>
      <c r="T102" s="518"/>
      <c r="U102" s="518"/>
      <c r="V102" s="518"/>
      <c r="W102" s="518"/>
      <c r="X102" s="518"/>
      <c r="Y102" s="518"/>
      <c r="Z102" s="518"/>
      <c r="AA102" s="518"/>
      <c r="AB102" s="520"/>
      <c r="AC102" s="520"/>
      <c r="AD102" s="520"/>
      <c r="AE102" s="520"/>
      <c r="AF102" s="520"/>
      <c r="AG102" s="520"/>
      <c r="AH102" s="520"/>
      <c r="AI102" s="520"/>
      <c r="AJ102" s="520"/>
      <c r="AK102" s="520"/>
      <c r="AL102" s="520"/>
      <c r="AM102" s="520"/>
      <c r="AN102" s="520"/>
      <c r="AO102" s="520"/>
      <c r="AP102" s="520"/>
      <c r="AQ102" s="520"/>
      <c r="AR102" s="520"/>
      <c r="AS102" s="520"/>
      <c r="AT102" s="520"/>
      <c r="AU102" s="520"/>
      <c r="AV102" s="520"/>
      <c r="AW102" s="520"/>
      <c r="AX102" s="520"/>
      <c r="AY102" s="520"/>
      <c r="AZ102" s="520"/>
      <c r="BA102" s="520"/>
      <c r="BB102" s="520"/>
      <c r="BC102" s="520"/>
      <c r="BD102" s="520"/>
    </row>
    <row r="103" spans="1:56" s="793" customFormat="1" ht="13.5">
      <c r="H103" s="794" t="s">
        <v>680</v>
      </c>
      <c r="I103" s="795"/>
      <c r="J103" s="795"/>
      <c r="K103" s="795"/>
      <c r="L103" s="795"/>
      <c r="M103" s="795"/>
      <c r="N103" s="795"/>
      <c r="O103" s="795"/>
      <c r="P103" s="795"/>
      <c r="Q103" s="795"/>
      <c r="R103" s="795"/>
      <c r="S103" s="795"/>
      <c r="Y103" s="796"/>
      <c r="Z103" s="796"/>
      <c r="AA103" s="796"/>
      <c r="AB103" s="796"/>
      <c r="AC103" s="796"/>
      <c r="AD103" s="796"/>
      <c r="AE103" s="796"/>
      <c r="AF103" s="796"/>
      <c r="AG103" s="796"/>
    </row>
    <row r="104" spans="1:56" s="793" customFormat="1" ht="13.5">
      <c r="H104" s="797" t="s">
        <v>626</v>
      </c>
      <c r="I104" s="1072" t="s">
        <v>815</v>
      </c>
      <c r="J104" s="1072"/>
      <c r="K104" s="1072"/>
      <c r="L104" s="1072"/>
      <c r="M104" s="1072"/>
      <c r="N104" s="1072"/>
      <c r="O104" s="1072"/>
      <c r="P104" s="1072"/>
      <c r="Q104" s="1072"/>
      <c r="R104" s="1072"/>
      <c r="S104" s="1072"/>
      <c r="Y104" s="796"/>
      <c r="Z104" s="796"/>
      <c r="AA104" s="796"/>
      <c r="AB104" s="796"/>
      <c r="AC104" s="796"/>
      <c r="AD104" s="796"/>
      <c r="AE104" s="796"/>
      <c r="AF104" s="796"/>
      <c r="AG104" s="796"/>
    </row>
    <row r="105" spans="1:56" s="793" customFormat="1" ht="13.5">
      <c r="H105" s="797">
        <v>2</v>
      </c>
      <c r="I105" s="798" t="s">
        <v>681</v>
      </c>
      <c r="J105" s="798"/>
      <c r="K105" s="798"/>
      <c r="L105" s="798"/>
      <c r="M105" s="798"/>
      <c r="N105" s="798"/>
      <c r="O105" s="798"/>
      <c r="P105" s="798"/>
      <c r="Q105" s="798"/>
      <c r="R105" s="798"/>
      <c r="S105" s="798"/>
      <c r="Y105" s="796"/>
      <c r="Z105" s="796"/>
      <c r="AA105" s="796"/>
      <c r="AB105" s="796"/>
      <c r="AC105" s="796"/>
      <c r="AD105" s="796"/>
      <c r="AE105" s="796"/>
      <c r="AF105" s="796"/>
      <c r="AG105" s="796"/>
    </row>
    <row r="106" spans="1:56" s="793" customFormat="1" ht="13.5">
      <c r="H106" s="797">
        <v>3</v>
      </c>
      <c r="I106" s="798" t="s">
        <v>105</v>
      </c>
      <c r="J106" s="798"/>
      <c r="K106" s="798"/>
      <c r="L106" s="798"/>
      <c r="M106" s="798"/>
      <c r="N106" s="798"/>
      <c r="O106" s="798"/>
      <c r="P106" s="798"/>
      <c r="Q106" s="798"/>
      <c r="R106" s="798"/>
      <c r="S106" s="798"/>
      <c r="Y106" s="796"/>
      <c r="Z106" s="796"/>
      <c r="AA106" s="796"/>
      <c r="AB106" s="796"/>
      <c r="AC106" s="796"/>
      <c r="AD106" s="796"/>
      <c r="AE106" s="796"/>
      <c r="AF106" s="796"/>
      <c r="AG106" s="796"/>
    </row>
    <row r="107" spans="1:56" s="793" customFormat="1" ht="13.5">
      <c r="H107" s="797">
        <v>4</v>
      </c>
      <c r="I107" s="798" t="s">
        <v>682</v>
      </c>
      <c r="J107" s="798"/>
      <c r="K107" s="798"/>
      <c r="L107" s="798"/>
      <c r="M107" s="798"/>
      <c r="N107" s="798"/>
      <c r="O107" s="798"/>
      <c r="P107" s="798"/>
      <c r="Q107" s="798"/>
      <c r="R107" s="798"/>
      <c r="S107" s="798"/>
      <c r="Y107" s="796"/>
      <c r="Z107" s="796"/>
      <c r="AA107" s="796"/>
      <c r="AB107" s="796"/>
      <c r="AC107" s="796"/>
      <c r="AD107" s="796"/>
      <c r="AE107" s="796"/>
      <c r="AF107" s="796"/>
      <c r="AG107" s="796"/>
    </row>
    <row r="108" spans="1:56" s="793" customFormat="1" ht="13.5">
      <c r="H108" s="797">
        <v>5</v>
      </c>
      <c r="I108" s="798" t="s">
        <v>239</v>
      </c>
      <c r="J108" s="798"/>
      <c r="K108" s="798"/>
      <c r="L108" s="798"/>
      <c r="M108" s="798"/>
      <c r="N108" s="798"/>
      <c r="O108" s="798"/>
      <c r="P108" s="798"/>
      <c r="Q108" s="798"/>
      <c r="R108" s="798"/>
      <c r="S108" s="798"/>
      <c r="Y108" s="796"/>
      <c r="Z108" s="796"/>
      <c r="AA108" s="796"/>
      <c r="AB108" s="796"/>
      <c r="AC108" s="796"/>
      <c r="AD108" s="796"/>
      <c r="AE108" s="796"/>
      <c r="AF108" s="796"/>
      <c r="AG108" s="796"/>
    </row>
    <row r="109" spans="1:56" s="793" customFormat="1" ht="3" customHeight="1">
      <c r="H109" s="797"/>
      <c r="I109" s="798"/>
      <c r="J109" s="798"/>
      <c r="K109" s="798"/>
      <c r="L109" s="798"/>
      <c r="M109" s="798"/>
      <c r="N109" s="798"/>
      <c r="O109" s="798"/>
      <c r="P109" s="798"/>
      <c r="Q109" s="798"/>
      <c r="R109" s="798"/>
      <c r="S109" s="798"/>
      <c r="Y109" s="796"/>
      <c r="Z109" s="796"/>
      <c r="AA109" s="796"/>
      <c r="AB109" s="796"/>
      <c r="AC109" s="796"/>
      <c r="AD109" s="796"/>
      <c r="AE109" s="796"/>
      <c r="AF109" s="796"/>
      <c r="AG109" s="796"/>
    </row>
    <row r="110" spans="1:56" s="521" customFormat="1" ht="13.5">
      <c r="A110" s="522"/>
      <c r="B110" s="522"/>
      <c r="C110" s="522"/>
      <c r="D110" s="522"/>
      <c r="E110" s="522"/>
      <c r="F110" s="522"/>
      <c r="G110" s="522"/>
      <c r="H110" s="545" t="s">
        <v>596</v>
      </c>
      <c r="I110" s="545"/>
      <c r="J110" s="545"/>
      <c r="K110" s="545"/>
      <c r="L110" s="526"/>
      <c r="M110" s="526"/>
      <c r="N110" s="526"/>
      <c r="O110" s="526"/>
      <c r="P110" s="526"/>
      <c r="Q110" s="526"/>
      <c r="R110" s="526"/>
      <c r="S110" s="526"/>
      <c r="T110" s="518"/>
      <c r="U110" s="518"/>
      <c r="V110" s="518"/>
      <c r="W110" s="518"/>
      <c r="X110" s="518"/>
      <c r="Y110" s="518"/>
      <c r="Z110" s="518"/>
      <c r="AA110" s="518"/>
      <c r="AB110" s="520"/>
      <c r="AC110" s="520"/>
      <c r="AD110" s="520"/>
      <c r="AE110" s="520"/>
      <c r="AF110" s="520"/>
      <c r="AG110" s="520"/>
      <c r="AH110" s="520"/>
      <c r="AI110" s="520"/>
      <c r="AJ110" s="520"/>
      <c r="AK110" s="520"/>
      <c r="AL110" s="520"/>
      <c r="AM110" s="520"/>
      <c r="AN110" s="520"/>
      <c r="AO110" s="520"/>
      <c r="AP110" s="520"/>
      <c r="AQ110" s="520"/>
      <c r="AR110" s="520"/>
      <c r="AS110" s="520"/>
      <c r="AT110" s="520"/>
      <c r="AU110" s="520"/>
      <c r="AV110" s="520"/>
      <c r="AW110" s="520"/>
      <c r="AX110" s="520"/>
      <c r="AY110" s="520"/>
      <c r="AZ110" s="520"/>
      <c r="BA110" s="520"/>
      <c r="BB110" s="520"/>
      <c r="BC110" s="520"/>
      <c r="BD110" s="520"/>
    </row>
    <row r="111" spans="1:56" s="521" customFormat="1" ht="13.5">
      <c r="A111" s="522"/>
      <c r="B111" s="522"/>
      <c r="C111" s="522"/>
      <c r="D111" s="522"/>
      <c r="E111" s="522"/>
      <c r="F111" s="522"/>
      <c r="G111" s="522"/>
      <c r="H111" s="692" t="s">
        <v>626</v>
      </c>
      <c r="I111" s="548" t="s">
        <v>588</v>
      </c>
      <c r="J111" s="924"/>
      <c r="K111" s="924"/>
      <c r="L111" s="225"/>
      <c r="M111" s="225"/>
      <c r="N111" s="225"/>
      <c r="O111" s="225"/>
      <c r="P111" s="225"/>
      <c r="Q111" s="225"/>
      <c r="R111" s="225"/>
      <c r="S111" s="225"/>
      <c r="T111" s="518"/>
      <c r="U111" s="518"/>
      <c r="V111" s="518"/>
      <c r="W111" s="518"/>
      <c r="X111" s="518"/>
      <c r="Y111" s="518"/>
      <c r="Z111" s="518"/>
      <c r="AA111" s="518"/>
      <c r="AB111" s="520"/>
      <c r="AC111" s="520"/>
      <c r="AD111" s="520"/>
      <c r="AE111" s="520"/>
      <c r="AF111" s="520"/>
      <c r="AG111" s="520"/>
      <c r="AH111" s="520"/>
      <c r="AI111" s="520"/>
      <c r="AJ111" s="520"/>
      <c r="AK111" s="520"/>
      <c r="AL111" s="520"/>
      <c r="AM111" s="520"/>
      <c r="AN111" s="520"/>
      <c r="AO111" s="520"/>
      <c r="AP111" s="520"/>
      <c r="AQ111" s="520"/>
      <c r="AR111" s="520"/>
      <c r="AS111" s="520"/>
      <c r="AT111" s="520"/>
      <c r="AU111" s="520"/>
      <c r="AV111" s="520"/>
      <c r="AW111" s="520"/>
      <c r="AX111" s="520"/>
      <c r="AY111" s="520"/>
      <c r="AZ111" s="520"/>
      <c r="BA111" s="520"/>
      <c r="BB111" s="520"/>
      <c r="BC111" s="520"/>
      <c r="BD111" s="520"/>
    </row>
    <row r="112" spans="1:56" s="521" customFormat="1" ht="13.5">
      <c r="A112" s="522"/>
      <c r="B112" s="522"/>
      <c r="C112" s="522"/>
      <c r="D112" s="522"/>
      <c r="E112" s="522"/>
      <c r="F112" s="522"/>
      <c r="G112" s="522"/>
      <c r="H112" s="692">
        <v>2</v>
      </c>
      <c r="I112" s="548" t="s">
        <v>566</v>
      </c>
      <c r="J112" s="548"/>
      <c r="K112" s="548"/>
      <c r="L112" s="14"/>
      <c r="M112" s="14"/>
      <c r="N112" s="14"/>
      <c r="O112" s="14"/>
      <c r="P112" s="14"/>
      <c r="Q112" s="14"/>
      <c r="R112" s="14"/>
      <c r="S112" s="225"/>
      <c r="T112" s="518"/>
      <c r="U112" s="518"/>
      <c r="V112" s="518"/>
      <c r="W112" s="518"/>
      <c r="X112" s="518"/>
      <c r="Y112" s="518"/>
      <c r="Z112" s="518"/>
      <c r="AA112" s="518"/>
      <c r="AB112" s="520"/>
      <c r="AC112" s="520"/>
      <c r="AD112" s="520"/>
      <c r="AE112" s="520"/>
      <c r="AF112" s="520"/>
      <c r="AG112" s="520"/>
      <c r="AH112" s="520"/>
      <c r="AI112" s="520"/>
      <c r="AJ112" s="520"/>
      <c r="AK112" s="520"/>
      <c r="AL112" s="520"/>
      <c r="AM112" s="520"/>
      <c r="AN112" s="520"/>
      <c r="AO112" s="520"/>
      <c r="AP112" s="520"/>
      <c r="AQ112" s="520"/>
      <c r="AR112" s="520"/>
      <c r="AS112" s="520"/>
      <c r="AT112" s="520"/>
      <c r="AU112" s="520"/>
      <c r="AV112" s="520"/>
      <c r="AW112" s="520"/>
      <c r="AX112" s="520"/>
      <c r="AY112" s="520"/>
      <c r="AZ112" s="520"/>
      <c r="BA112" s="520"/>
      <c r="BB112" s="520"/>
      <c r="BC112" s="520"/>
      <c r="BD112" s="520"/>
    </row>
    <row r="113" spans="1:56" ht="3" customHeight="1">
      <c r="H113" s="14"/>
      <c r="I113" s="14"/>
      <c r="J113" s="14"/>
      <c r="K113" s="14"/>
      <c r="L113" s="14"/>
      <c r="M113" s="14"/>
      <c r="N113" s="14"/>
      <c r="O113" s="14"/>
      <c r="P113" s="14"/>
      <c r="Q113" s="14"/>
      <c r="R113" s="14"/>
      <c r="S113" s="225"/>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row>
    <row r="114" spans="1:56" s="521" customFormat="1" ht="13.5">
      <c r="A114" s="522"/>
      <c r="B114" s="522"/>
      <c r="C114" s="522"/>
      <c r="D114" s="522"/>
      <c r="E114" s="522"/>
      <c r="F114" s="522"/>
      <c r="G114" s="522"/>
      <c r="H114" s="545" t="s">
        <v>163</v>
      </c>
      <c r="I114" s="545"/>
      <c r="J114" s="545"/>
      <c r="K114" s="545"/>
      <c r="L114" s="526"/>
      <c r="M114" s="526"/>
      <c r="N114" s="526"/>
      <c r="O114" s="526"/>
      <c r="P114" s="526"/>
      <c r="Q114" s="526"/>
      <c r="R114" s="526"/>
      <c r="S114" s="526"/>
      <c r="T114" s="518"/>
      <c r="U114" s="518"/>
      <c r="V114" s="518"/>
      <c r="W114" s="518"/>
      <c r="X114" s="518"/>
      <c r="Y114" s="518"/>
      <c r="Z114" s="518"/>
      <c r="AA114" s="518"/>
      <c r="AB114" s="520"/>
      <c r="AC114" s="520"/>
      <c r="AD114" s="520"/>
      <c r="AE114" s="520"/>
      <c r="AF114" s="520"/>
      <c r="AG114" s="520"/>
      <c r="AH114" s="520"/>
      <c r="AI114" s="520"/>
      <c r="AJ114" s="520"/>
      <c r="AK114" s="520"/>
      <c r="AL114" s="520"/>
      <c r="AM114" s="520"/>
      <c r="AN114" s="520"/>
      <c r="AO114" s="520"/>
      <c r="AP114" s="520"/>
      <c r="AQ114" s="520"/>
      <c r="AR114" s="520"/>
      <c r="AS114" s="520"/>
      <c r="AT114" s="520"/>
      <c r="AU114" s="520"/>
      <c r="AV114" s="520"/>
      <c r="AW114" s="520"/>
      <c r="AX114" s="520"/>
      <c r="AY114" s="520"/>
      <c r="AZ114" s="520"/>
      <c r="BA114" s="520"/>
      <c r="BB114" s="520"/>
      <c r="BC114" s="520"/>
      <c r="BD114" s="520"/>
    </row>
    <row r="115" spans="1:56" s="521" customFormat="1" ht="13.5">
      <c r="A115" s="522"/>
      <c r="B115" s="522"/>
      <c r="C115" s="522"/>
      <c r="D115" s="522"/>
      <c r="E115" s="522"/>
      <c r="F115" s="522"/>
      <c r="G115" s="522"/>
      <c r="H115" s="692" t="s">
        <v>626</v>
      </c>
      <c r="I115" s="548" t="s">
        <v>591</v>
      </c>
      <c r="J115" s="548"/>
      <c r="K115" s="548"/>
      <c r="L115" s="14"/>
      <c r="M115" s="14"/>
      <c r="N115" s="14"/>
      <c r="O115" s="14"/>
      <c r="P115" s="14"/>
      <c r="Q115" s="14"/>
      <c r="R115" s="14"/>
      <c r="S115" s="225"/>
      <c r="T115" s="518"/>
      <c r="U115" s="518"/>
      <c r="V115" s="518"/>
      <c r="W115" s="518"/>
      <c r="X115" s="518"/>
      <c r="Y115" s="518"/>
      <c r="Z115" s="518"/>
      <c r="AA115" s="518"/>
      <c r="AB115" s="520"/>
      <c r="AC115" s="520"/>
      <c r="AD115" s="520"/>
      <c r="AE115" s="520"/>
      <c r="AF115" s="520"/>
      <c r="AG115" s="520"/>
      <c r="AH115" s="520"/>
      <c r="AI115" s="520"/>
      <c r="AJ115" s="520"/>
      <c r="AK115" s="520"/>
      <c r="AL115" s="520"/>
      <c r="AM115" s="520"/>
      <c r="AN115" s="520"/>
      <c r="AO115" s="520"/>
      <c r="AP115" s="520"/>
      <c r="AQ115" s="520"/>
      <c r="AR115" s="520"/>
      <c r="AS115" s="520"/>
      <c r="AT115" s="520"/>
      <c r="AU115" s="520"/>
      <c r="AV115" s="520"/>
      <c r="AW115" s="520"/>
      <c r="AX115" s="520"/>
      <c r="AY115" s="520"/>
      <c r="AZ115" s="520"/>
      <c r="BA115" s="520"/>
      <c r="BB115" s="520"/>
      <c r="BC115" s="520"/>
      <c r="BD115" s="520"/>
    </row>
    <row r="116" spans="1:56" s="521" customFormat="1" ht="13.5">
      <c r="A116" s="522"/>
      <c r="B116" s="522"/>
      <c r="C116" s="522"/>
      <c r="D116" s="522"/>
      <c r="E116" s="522"/>
      <c r="F116" s="522"/>
      <c r="G116" s="522"/>
      <c r="H116" s="692" t="s">
        <v>142</v>
      </c>
      <c r="I116" s="548" t="s">
        <v>672</v>
      </c>
      <c r="J116" s="548"/>
      <c r="K116" s="548"/>
      <c r="L116" s="14"/>
      <c r="M116" s="14"/>
      <c r="N116" s="14"/>
      <c r="O116" s="14"/>
      <c r="P116" s="14"/>
      <c r="Q116" s="14"/>
      <c r="R116" s="14"/>
      <c r="S116" s="225"/>
      <c r="T116" s="518"/>
      <c r="U116" s="518"/>
      <c r="V116" s="518"/>
      <c r="W116" s="518"/>
      <c r="X116" s="518"/>
      <c r="Y116" s="518"/>
      <c r="Z116" s="518"/>
      <c r="AA116" s="518"/>
      <c r="AB116" s="520"/>
      <c r="AC116" s="520"/>
      <c r="AD116" s="520"/>
      <c r="AE116" s="520"/>
      <c r="AF116" s="520"/>
      <c r="AG116" s="520"/>
      <c r="AH116" s="520"/>
      <c r="AI116" s="520"/>
      <c r="AJ116" s="520"/>
      <c r="AK116" s="520"/>
      <c r="AL116" s="520"/>
      <c r="AM116" s="520"/>
      <c r="AN116" s="520"/>
      <c r="AO116" s="520"/>
      <c r="AP116" s="520"/>
      <c r="AQ116" s="520"/>
      <c r="AR116" s="520"/>
      <c r="AS116" s="520"/>
      <c r="AT116" s="520"/>
      <c r="AU116" s="520"/>
      <c r="AV116" s="520"/>
      <c r="AW116" s="520"/>
      <c r="AX116" s="520"/>
      <c r="AY116" s="520"/>
      <c r="AZ116" s="520"/>
      <c r="BA116" s="520"/>
      <c r="BB116" s="520"/>
      <c r="BC116" s="520"/>
      <c r="BD116" s="520"/>
    </row>
    <row r="117" spans="1:56" s="521" customFormat="1" ht="13.5">
      <c r="A117" s="522"/>
      <c r="B117" s="522"/>
      <c r="C117" s="522"/>
      <c r="D117" s="522"/>
      <c r="E117" s="522"/>
      <c r="F117" s="522"/>
      <c r="G117" s="522"/>
      <c r="H117" s="692" t="s">
        <v>143</v>
      </c>
      <c r="I117" s="548" t="s">
        <v>437</v>
      </c>
      <c r="J117" s="548"/>
      <c r="K117" s="548"/>
      <c r="L117" s="14"/>
      <c r="M117" s="14"/>
      <c r="N117" s="14"/>
      <c r="O117" s="14"/>
      <c r="P117" s="14"/>
      <c r="Q117" s="14"/>
      <c r="R117" s="14"/>
      <c r="S117" s="225"/>
      <c r="T117" s="518"/>
      <c r="U117" s="518"/>
      <c r="V117" s="518"/>
      <c r="W117" s="518"/>
      <c r="X117" s="518"/>
      <c r="Y117" s="518"/>
      <c r="Z117" s="518"/>
      <c r="AA117" s="518"/>
      <c r="AB117" s="520"/>
      <c r="AC117" s="520"/>
      <c r="AD117" s="520"/>
      <c r="AE117" s="520"/>
      <c r="AF117" s="520"/>
      <c r="AG117" s="520"/>
      <c r="AH117" s="520"/>
      <c r="AI117" s="520"/>
      <c r="AJ117" s="520"/>
      <c r="AK117" s="520"/>
      <c r="AL117" s="520"/>
      <c r="AM117" s="520"/>
      <c r="AN117" s="520"/>
      <c r="AO117" s="520"/>
      <c r="AP117" s="520"/>
      <c r="AQ117" s="520"/>
      <c r="AR117" s="520"/>
      <c r="AS117" s="520"/>
      <c r="AT117" s="520"/>
      <c r="AU117" s="520"/>
      <c r="AV117" s="520"/>
      <c r="AW117" s="520"/>
      <c r="AX117" s="520"/>
      <c r="AY117" s="520"/>
      <c r="AZ117" s="520"/>
      <c r="BA117" s="520"/>
      <c r="BB117" s="520"/>
      <c r="BC117" s="520"/>
      <c r="BD117" s="520"/>
    </row>
    <row r="118" spans="1:56" s="521" customFormat="1" ht="3" customHeight="1">
      <c r="A118" s="522"/>
      <c r="B118" s="522"/>
      <c r="C118" s="522"/>
      <c r="D118" s="522"/>
      <c r="E118" s="522"/>
      <c r="F118" s="522"/>
      <c r="G118" s="522"/>
      <c r="H118" s="546"/>
      <c r="I118" s="548"/>
      <c r="J118" s="548"/>
      <c r="K118" s="548"/>
      <c r="L118" s="14"/>
      <c r="M118" s="14"/>
      <c r="N118" s="14"/>
      <c r="O118" s="14"/>
      <c r="P118" s="14"/>
      <c r="Q118" s="14"/>
      <c r="R118" s="14"/>
      <c r="S118" s="225"/>
      <c r="T118" s="518"/>
      <c r="U118" s="518"/>
      <c r="V118" s="518"/>
      <c r="W118" s="518"/>
      <c r="X118" s="518"/>
      <c r="Y118" s="518"/>
      <c r="Z118" s="518"/>
      <c r="AA118" s="518"/>
      <c r="AB118" s="520"/>
      <c r="AC118" s="520"/>
      <c r="AD118" s="520"/>
      <c r="AE118" s="520"/>
      <c r="AF118" s="520"/>
      <c r="AG118" s="520"/>
      <c r="AH118" s="520"/>
      <c r="AI118" s="520"/>
      <c r="AJ118" s="520"/>
      <c r="AK118" s="520"/>
      <c r="AL118" s="520"/>
      <c r="AM118" s="520"/>
      <c r="AN118" s="520"/>
      <c r="AO118" s="520"/>
      <c r="AP118" s="520"/>
      <c r="AQ118" s="520"/>
      <c r="AR118" s="520"/>
      <c r="AS118" s="520"/>
      <c r="AT118" s="520"/>
      <c r="AU118" s="520"/>
      <c r="AV118" s="520"/>
      <c r="AW118" s="520"/>
      <c r="AX118" s="520"/>
      <c r="AY118" s="520"/>
      <c r="AZ118" s="520"/>
      <c r="BA118" s="520"/>
      <c r="BB118" s="520"/>
      <c r="BC118" s="520"/>
      <c r="BD118" s="520"/>
    </row>
    <row r="119" spans="1:56" s="521" customFormat="1" ht="13.5">
      <c r="A119" s="522"/>
      <c r="B119" s="522"/>
      <c r="C119" s="522"/>
      <c r="D119" s="522"/>
      <c r="E119" s="522"/>
      <c r="F119" s="522"/>
      <c r="G119" s="522"/>
      <c r="H119" s="545" t="s">
        <v>633</v>
      </c>
      <c r="I119" s="545"/>
      <c r="J119" s="545"/>
      <c r="K119" s="545"/>
      <c r="L119" s="526"/>
      <c r="M119" s="526"/>
      <c r="N119" s="526"/>
      <c r="O119" s="526"/>
      <c r="P119" s="526"/>
      <c r="Q119" s="526"/>
      <c r="R119" s="526"/>
      <c r="S119" s="526"/>
      <c r="T119" s="518"/>
      <c r="U119" s="518"/>
      <c r="V119" s="518"/>
      <c r="W119" s="518"/>
      <c r="X119" s="518"/>
      <c r="Y119" s="518"/>
      <c r="Z119" s="518"/>
      <c r="AA119" s="518"/>
      <c r="AB119" s="520"/>
      <c r="AC119" s="520"/>
      <c r="AD119" s="520"/>
      <c r="AE119" s="520"/>
      <c r="AF119" s="520"/>
      <c r="AG119" s="520"/>
      <c r="AH119" s="520"/>
      <c r="AI119" s="520"/>
      <c r="AJ119" s="520"/>
      <c r="AK119" s="520"/>
      <c r="AL119" s="520"/>
      <c r="AM119" s="520"/>
      <c r="AN119" s="520"/>
      <c r="AO119" s="520"/>
      <c r="AP119" s="520"/>
      <c r="AQ119" s="520"/>
      <c r="AR119" s="520"/>
      <c r="AS119" s="520"/>
      <c r="AT119" s="520"/>
      <c r="AU119" s="520"/>
      <c r="AV119" s="520"/>
      <c r="AW119" s="520"/>
      <c r="AX119" s="520"/>
      <c r="AY119" s="520"/>
      <c r="AZ119" s="520"/>
      <c r="BA119" s="520"/>
      <c r="BB119" s="520"/>
      <c r="BC119" s="520"/>
      <c r="BD119" s="520"/>
    </row>
    <row r="120" spans="1:56" s="521" customFormat="1" ht="13.5">
      <c r="A120" s="522"/>
      <c r="B120" s="522"/>
      <c r="C120" s="522"/>
      <c r="D120" s="522"/>
      <c r="E120" s="522"/>
      <c r="F120" s="522"/>
      <c r="G120" s="522"/>
      <c r="H120" s="692" t="s">
        <v>626</v>
      </c>
      <c r="I120" s="548" t="s">
        <v>436</v>
      </c>
      <c r="J120" s="548"/>
      <c r="K120" s="548"/>
      <c r="L120" s="14"/>
      <c r="M120" s="14"/>
      <c r="N120" s="14"/>
      <c r="O120" s="14"/>
      <c r="P120" s="14"/>
      <c r="Q120" s="14"/>
      <c r="R120" s="14"/>
      <c r="S120" s="225"/>
      <c r="T120" s="518"/>
      <c r="U120" s="518"/>
      <c r="V120" s="518"/>
      <c r="W120" s="518"/>
      <c r="X120" s="518"/>
      <c r="Y120" s="518"/>
      <c r="Z120" s="518"/>
      <c r="AA120" s="518"/>
      <c r="AB120" s="520"/>
      <c r="AC120" s="520"/>
      <c r="AD120" s="520"/>
      <c r="AE120" s="520"/>
      <c r="AF120" s="520"/>
      <c r="AG120" s="520"/>
      <c r="AH120" s="520"/>
      <c r="AI120" s="520"/>
      <c r="AJ120" s="520"/>
      <c r="AK120" s="520"/>
      <c r="AL120" s="520"/>
      <c r="AM120" s="520"/>
      <c r="AN120" s="520"/>
      <c r="AO120" s="520"/>
      <c r="AP120" s="520"/>
      <c r="AQ120" s="520"/>
      <c r="AR120" s="520"/>
      <c r="AS120" s="520"/>
      <c r="AT120" s="520"/>
      <c r="AU120" s="520"/>
      <c r="AV120" s="520"/>
      <c r="AW120" s="520"/>
      <c r="AX120" s="520"/>
      <c r="AY120" s="520"/>
      <c r="AZ120" s="520"/>
      <c r="BA120" s="520"/>
      <c r="BB120" s="520"/>
      <c r="BC120" s="520"/>
      <c r="BD120" s="520"/>
    </row>
    <row r="121" spans="1:56" s="521" customFormat="1" ht="3" customHeight="1">
      <c r="A121" s="522"/>
      <c r="B121" s="522"/>
      <c r="C121" s="522"/>
      <c r="D121" s="522"/>
      <c r="E121" s="522"/>
      <c r="F121" s="522"/>
      <c r="G121" s="522"/>
      <c r="H121" s="546"/>
      <c r="I121" s="548"/>
      <c r="J121" s="548"/>
      <c r="K121" s="548"/>
      <c r="L121" s="14"/>
      <c r="M121" s="14"/>
      <c r="N121" s="14"/>
      <c r="O121" s="14"/>
      <c r="P121" s="14"/>
      <c r="Q121" s="14"/>
      <c r="R121" s="14"/>
      <c r="S121" s="225"/>
      <c r="T121" s="518"/>
      <c r="U121" s="518"/>
      <c r="V121" s="518"/>
      <c r="W121" s="518"/>
      <c r="X121" s="518"/>
      <c r="Y121" s="518"/>
      <c r="Z121" s="518"/>
      <c r="AA121" s="518"/>
      <c r="AB121" s="520"/>
      <c r="AC121" s="520"/>
      <c r="AD121" s="520"/>
      <c r="AE121" s="520"/>
      <c r="AF121" s="520"/>
      <c r="AG121" s="520"/>
      <c r="AH121" s="520"/>
      <c r="AI121" s="520"/>
      <c r="AJ121" s="520"/>
      <c r="AK121" s="520"/>
      <c r="AL121" s="520"/>
      <c r="AM121" s="520"/>
      <c r="AN121" s="520"/>
      <c r="AO121" s="520"/>
      <c r="AP121" s="520"/>
      <c r="AQ121" s="520"/>
      <c r="AR121" s="520"/>
      <c r="AS121" s="520"/>
      <c r="AT121" s="520"/>
      <c r="AU121" s="520"/>
      <c r="AV121" s="520"/>
      <c r="AW121" s="520"/>
      <c r="AX121" s="520"/>
      <c r="AY121" s="520"/>
      <c r="AZ121" s="520"/>
      <c r="BA121" s="520"/>
      <c r="BB121" s="520"/>
      <c r="BC121" s="520"/>
      <c r="BD121" s="520"/>
    </row>
    <row r="122" spans="1:56" s="521" customFormat="1" ht="13.5">
      <c r="A122" s="522"/>
      <c r="B122" s="522"/>
      <c r="C122" s="522"/>
      <c r="D122" s="522"/>
      <c r="E122" s="522"/>
      <c r="F122" s="522"/>
      <c r="G122" s="522"/>
      <c r="H122" s="545" t="s">
        <v>464</v>
      </c>
      <c r="I122" s="545"/>
      <c r="J122" s="545"/>
      <c r="K122" s="545"/>
      <c r="L122" s="526"/>
      <c r="M122" s="526"/>
      <c r="N122" s="526"/>
      <c r="O122" s="526"/>
      <c r="P122" s="526"/>
      <c r="Q122" s="526"/>
      <c r="R122" s="526"/>
      <c r="S122" s="526"/>
      <c r="T122" s="518"/>
      <c r="U122" s="518"/>
      <c r="V122" s="518"/>
      <c r="W122" s="518"/>
      <c r="X122" s="518"/>
      <c r="Y122" s="518"/>
      <c r="Z122" s="518"/>
      <c r="AA122" s="518"/>
      <c r="AB122" s="520"/>
      <c r="AC122" s="520"/>
      <c r="AD122" s="520"/>
      <c r="AE122" s="520"/>
      <c r="AF122" s="520"/>
      <c r="AG122" s="520"/>
      <c r="AH122" s="520"/>
      <c r="AI122" s="520"/>
      <c r="AJ122" s="520"/>
      <c r="AK122" s="520"/>
      <c r="AL122" s="520"/>
      <c r="AM122" s="520"/>
      <c r="AN122" s="520"/>
      <c r="AO122" s="520"/>
      <c r="AP122" s="520"/>
      <c r="AQ122" s="520"/>
      <c r="AR122" s="520"/>
      <c r="AS122" s="520"/>
      <c r="AT122" s="520"/>
      <c r="AU122" s="520"/>
      <c r="AV122" s="520"/>
      <c r="AW122" s="520"/>
      <c r="AX122" s="520"/>
      <c r="AY122" s="520"/>
      <c r="AZ122" s="520"/>
      <c r="BA122" s="520"/>
      <c r="BB122" s="520"/>
      <c r="BC122" s="520"/>
      <c r="BD122" s="520"/>
    </row>
    <row r="123" spans="1:56" s="521" customFormat="1" ht="13.5">
      <c r="A123" s="522"/>
      <c r="B123" s="522"/>
      <c r="C123" s="522"/>
      <c r="D123" s="522"/>
      <c r="E123" s="522"/>
      <c r="F123" s="522"/>
      <c r="G123" s="522"/>
      <c r="H123" s="692" t="s">
        <v>626</v>
      </c>
      <c r="I123" s="548" t="s">
        <v>249</v>
      </c>
      <c r="J123" s="548"/>
      <c r="K123" s="548"/>
      <c r="L123" s="14"/>
      <c r="M123" s="14"/>
      <c r="N123" s="14"/>
      <c r="O123" s="14"/>
      <c r="P123" s="14"/>
      <c r="Q123" s="14"/>
      <c r="R123" s="14"/>
      <c r="S123" s="225"/>
      <c r="T123" s="518"/>
      <c r="U123" s="518"/>
      <c r="V123" s="518"/>
      <c r="W123" s="518"/>
      <c r="X123" s="518"/>
      <c r="Y123" s="518"/>
      <c r="Z123" s="518"/>
      <c r="AA123" s="518"/>
      <c r="AB123" s="520"/>
      <c r="AC123" s="520"/>
      <c r="AD123" s="520"/>
      <c r="AE123" s="520"/>
      <c r="AF123" s="520"/>
      <c r="AG123" s="520"/>
      <c r="AH123" s="520"/>
      <c r="AI123" s="520"/>
      <c r="AJ123" s="520"/>
      <c r="AK123" s="520"/>
      <c r="AL123" s="520"/>
      <c r="AM123" s="520"/>
      <c r="AN123" s="520"/>
      <c r="AO123" s="520"/>
      <c r="AP123" s="520"/>
      <c r="AQ123" s="520"/>
      <c r="AR123" s="520"/>
      <c r="AS123" s="520"/>
      <c r="AT123" s="520"/>
      <c r="AU123" s="520"/>
      <c r="AV123" s="520"/>
      <c r="AW123" s="520"/>
      <c r="AX123" s="520"/>
      <c r="AY123" s="520"/>
      <c r="AZ123" s="520"/>
      <c r="BA123" s="520"/>
      <c r="BB123" s="520"/>
      <c r="BC123" s="520"/>
      <c r="BD123" s="520"/>
    </row>
    <row r="124" spans="1:56" s="521" customFormat="1" ht="13.5">
      <c r="A124" s="522"/>
      <c r="B124" s="522"/>
      <c r="C124" s="522"/>
      <c r="D124" s="522"/>
      <c r="E124" s="522"/>
      <c r="F124" s="522"/>
      <c r="G124" s="522"/>
      <c r="H124" s="692" t="s">
        <v>142</v>
      </c>
      <c r="I124" s="548" t="s">
        <v>198</v>
      </c>
      <c r="J124" s="548"/>
      <c r="K124" s="548"/>
      <c r="L124" s="14"/>
      <c r="M124" s="14"/>
      <c r="N124" s="14"/>
      <c r="O124" s="14"/>
      <c r="P124" s="14"/>
      <c r="Q124" s="14"/>
      <c r="R124" s="14"/>
      <c r="S124" s="225"/>
      <c r="T124" s="518"/>
      <c r="U124" s="518"/>
      <c r="V124" s="518"/>
      <c r="W124" s="518"/>
      <c r="X124" s="518"/>
      <c r="Y124" s="518"/>
      <c r="Z124" s="518"/>
      <c r="AA124" s="518"/>
      <c r="AB124" s="520"/>
      <c r="AC124" s="520"/>
      <c r="AD124" s="520"/>
      <c r="AE124" s="520"/>
      <c r="AF124" s="520"/>
      <c r="AG124" s="520"/>
      <c r="AH124" s="520"/>
      <c r="AI124" s="520"/>
      <c r="AJ124" s="520"/>
      <c r="AK124" s="520"/>
      <c r="AL124" s="520"/>
      <c r="AM124" s="520"/>
      <c r="AN124" s="520"/>
      <c r="AO124" s="520"/>
      <c r="AP124" s="520"/>
      <c r="AQ124" s="520"/>
      <c r="AR124" s="520"/>
      <c r="AS124" s="520"/>
      <c r="AT124" s="520"/>
      <c r="AU124" s="520"/>
      <c r="AV124" s="520"/>
      <c r="AW124" s="520"/>
      <c r="AX124" s="520"/>
      <c r="AY124" s="520"/>
      <c r="AZ124" s="520"/>
      <c r="BA124" s="520"/>
      <c r="BB124" s="520"/>
      <c r="BC124" s="520"/>
      <c r="BD124" s="520"/>
    </row>
    <row r="125" spans="1:56" s="521" customFormat="1" ht="3" customHeight="1">
      <c r="A125" s="522"/>
      <c r="B125" s="522"/>
      <c r="C125" s="522"/>
      <c r="D125" s="522"/>
      <c r="E125" s="522"/>
      <c r="F125" s="522"/>
      <c r="G125" s="522"/>
      <c r="H125" s="546"/>
      <c r="I125" s="548"/>
      <c r="J125" s="548"/>
      <c r="K125" s="548"/>
      <c r="L125" s="14"/>
      <c r="M125" s="14"/>
      <c r="N125" s="14"/>
      <c r="O125" s="14"/>
      <c r="P125" s="14"/>
      <c r="Q125" s="14"/>
      <c r="R125" s="14"/>
      <c r="S125" s="225"/>
      <c r="T125" s="518"/>
      <c r="U125" s="518"/>
      <c r="V125" s="518"/>
      <c r="W125" s="518"/>
      <c r="X125" s="518"/>
      <c r="Y125" s="518"/>
      <c r="Z125" s="518"/>
      <c r="AA125" s="518"/>
      <c r="AB125" s="520"/>
      <c r="AC125" s="520"/>
      <c r="AD125" s="520"/>
      <c r="AE125" s="520"/>
      <c r="AF125" s="520"/>
      <c r="AG125" s="520"/>
      <c r="AH125" s="520"/>
      <c r="AI125" s="520"/>
      <c r="AJ125" s="520"/>
      <c r="AK125" s="520"/>
      <c r="AL125" s="520"/>
      <c r="AM125" s="520"/>
      <c r="AN125" s="520"/>
      <c r="AO125" s="520"/>
      <c r="AP125" s="520"/>
      <c r="AQ125" s="520"/>
      <c r="AR125" s="520"/>
      <c r="AS125" s="520"/>
      <c r="AT125" s="520"/>
      <c r="AU125" s="520"/>
      <c r="AV125" s="520"/>
      <c r="AW125" s="520"/>
      <c r="AX125" s="520"/>
      <c r="AY125" s="520"/>
      <c r="AZ125" s="520"/>
      <c r="BA125" s="520"/>
      <c r="BB125" s="520"/>
      <c r="BC125" s="520"/>
      <c r="BD125" s="520"/>
    </row>
    <row r="126" spans="1:56" s="521" customFormat="1" ht="13.5">
      <c r="A126" s="522"/>
      <c r="B126" s="522"/>
      <c r="C126" s="522"/>
      <c r="D126" s="522"/>
      <c r="E126" s="522"/>
      <c r="F126" s="522"/>
      <c r="G126" s="522"/>
      <c r="H126" s="545" t="s">
        <v>250</v>
      </c>
      <c r="I126" s="545"/>
      <c r="J126" s="545"/>
      <c r="K126" s="545"/>
      <c r="L126" s="526"/>
      <c r="M126" s="526"/>
      <c r="N126" s="526"/>
      <c r="O126" s="526"/>
      <c r="P126" s="526"/>
      <c r="Q126" s="526"/>
      <c r="R126" s="526"/>
      <c r="S126" s="526"/>
      <c r="T126" s="518"/>
      <c r="U126" s="518"/>
      <c r="V126" s="518"/>
      <c r="W126" s="518"/>
      <c r="X126" s="518"/>
      <c r="Y126" s="518"/>
      <c r="Z126" s="518"/>
      <c r="AA126" s="518"/>
      <c r="AB126" s="520"/>
      <c r="AC126" s="520"/>
      <c r="AD126" s="520"/>
      <c r="AE126" s="520"/>
      <c r="AF126" s="520"/>
      <c r="AG126" s="520"/>
      <c r="AH126" s="520"/>
      <c r="AI126" s="520"/>
      <c r="AJ126" s="520"/>
      <c r="AK126" s="520"/>
      <c r="AL126" s="520"/>
      <c r="AM126" s="520"/>
      <c r="AN126" s="520"/>
      <c r="AO126" s="520"/>
      <c r="AP126" s="520"/>
      <c r="AQ126" s="520"/>
      <c r="AR126" s="520"/>
      <c r="AS126" s="520"/>
      <c r="AT126" s="520"/>
      <c r="AU126" s="520"/>
      <c r="AV126" s="520"/>
      <c r="AW126" s="520"/>
      <c r="AX126" s="520"/>
      <c r="AY126" s="520"/>
      <c r="AZ126" s="520"/>
      <c r="BA126" s="520"/>
      <c r="BB126" s="520"/>
      <c r="BC126" s="520"/>
      <c r="BD126" s="520"/>
    </row>
    <row r="127" spans="1:56" s="521" customFormat="1" ht="13.5">
      <c r="A127" s="522"/>
      <c r="B127" s="522"/>
      <c r="C127" s="522"/>
      <c r="D127" s="522"/>
      <c r="E127" s="522"/>
      <c r="F127" s="522"/>
      <c r="G127" s="522"/>
      <c r="H127" s="546">
        <v>1</v>
      </c>
      <c r="I127" s="511" t="s">
        <v>500</v>
      </c>
      <c r="J127" s="549"/>
      <c r="K127" s="549"/>
      <c r="L127" s="14"/>
      <c r="M127" s="14"/>
      <c r="N127" s="14"/>
      <c r="O127" s="14"/>
      <c r="P127" s="14"/>
      <c r="Q127" s="14"/>
      <c r="R127" s="14"/>
      <c r="S127" s="225"/>
      <c r="T127" s="518"/>
      <c r="U127" s="518"/>
      <c r="V127" s="518"/>
      <c r="W127" s="518"/>
      <c r="X127" s="518"/>
      <c r="Y127" s="518"/>
      <c r="Z127" s="518"/>
      <c r="AA127" s="518"/>
      <c r="AB127" s="520"/>
      <c r="AC127" s="520"/>
      <c r="AD127" s="520"/>
      <c r="AE127" s="520"/>
      <c r="AF127" s="520"/>
      <c r="AG127" s="520"/>
      <c r="AH127" s="520"/>
      <c r="AI127" s="520"/>
      <c r="AJ127" s="520"/>
      <c r="AK127" s="520"/>
      <c r="AL127" s="520"/>
      <c r="AM127" s="520"/>
      <c r="AN127" s="520"/>
      <c r="AO127" s="520"/>
      <c r="AP127" s="520"/>
      <c r="AQ127" s="520"/>
      <c r="AR127" s="520"/>
      <c r="AS127" s="520"/>
      <c r="AT127" s="520"/>
      <c r="AU127" s="520"/>
      <c r="AV127" s="520"/>
      <c r="AW127" s="520"/>
      <c r="AX127" s="520"/>
      <c r="AY127" s="520"/>
      <c r="AZ127" s="520"/>
      <c r="BA127" s="520"/>
      <c r="BB127" s="520"/>
      <c r="BC127" s="520"/>
      <c r="BD127" s="520"/>
    </row>
    <row r="128" spans="1:56" s="521" customFormat="1" ht="13.5">
      <c r="A128" s="522"/>
      <c r="B128" s="522"/>
      <c r="C128" s="522"/>
      <c r="D128" s="522"/>
      <c r="E128" s="522"/>
      <c r="F128" s="522"/>
      <c r="G128" s="522"/>
      <c r="H128" s="240"/>
      <c r="I128" s="511" t="s">
        <v>552</v>
      </c>
      <c r="J128" s="549"/>
      <c r="K128" s="549"/>
      <c r="L128" s="14"/>
      <c r="M128" s="14"/>
      <c r="N128" s="14"/>
      <c r="O128" s="14"/>
      <c r="P128" s="14"/>
      <c r="Q128" s="14"/>
      <c r="R128" s="14"/>
      <c r="S128" s="225"/>
      <c r="T128" s="518"/>
      <c r="U128" s="518"/>
      <c r="V128" s="518"/>
      <c r="W128" s="518"/>
      <c r="X128" s="518"/>
      <c r="Y128" s="518"/>
      <c r="Z128" s="518"/>
      <c r="AA128" s="518"/>
      <c r="AB128" s="520"/>
      <c r="AC128" s="520"/>
      <c r="AD128" s="520"/>
      <c r="AE128" s="520"/>
      <c r="AF128" s="520"/>
      <c r="AG128" s="520"/>
      <c r="AH128" s="520"/>
      <c r="AI128" s="520"/>
      <c r="AJ128" s="520"/>
      <c r="AK128" s="520"/>
      <c r="AL128" s="520"/>
      <c r="AM128" s="520"/>
      <c r="AN128" s="520"/>
      <c r="AO128" s="520"/>
      <c r="AP128" s="520"/>
      <c r="AQ128" s="520"/>
      <c r="AR128" s="520"/>
      <c r="AS128" s="520"/>
      <c r="AT128" s="520"/>
      <c r="AU128" s="520"/>
      <c r="AV128" s="520"/>
      <c r="AW128" s="520"/>
      <c r="AX128" s="520"/>
      <c r="AY128" s="520"/>
      <c r="AZ128" s="520"/>
      <c r="BA128" s="520"/>
      <c r="BB128" s="520"/>
      <c r="BC128" s="520"/>
      <c r="BD128" s="520"/>
    </row>
    <row r="129" spans="1:56" s="521" customFormat="1" ht="13.5">
      <c r="A129" s="522"/>
      <c r="B129" s="522"/>
      <c r="C129" s="522"/>
      <c r="D129" s="522"/>
      <c r="E129" s="522"/>
      <c r="F129" s="522"/>
      <c r="G129" s="522"/>
      <c r="H129" s="240"/>
      <c r="I129" s="511" t="s">
        <v>141</v>
      </c>
      <c r="J129" s="549"/>
      <c r="K129" s="549"/>
      <c r="L129" s="14"/>
      <c r="M129" s="14"/>
      <c r="N129" s="14"/>
      <c r="O129" s="14"/>
      <c r="P129" s="14"/>
      <c r="Q129" s="14"/>
      <c r="R129" s="14"/>
      <c r="S129" s="225"/>
      <c r="T129" s="518"/>
      <c r="U129" s="518"/>
      <c r="V129" s="518"/>
      <c r="W129" s="518"/>
      <c r="X129" s="518"/>
      <c r="Y129" s="518"/>
      <c r="Z129" s="518"/>
      <c r="AA129" s="518"/>
      <c r="AB129" s="520"/>
      <c r="AC129" s="520"/>
      <c r="AD129" s="520"/>
      <c r="AE129" s="520"/>
      <c r="AF129" s="520"/>
      <c r="AG129" s="520"/>
      <c r="AH129" s="520"/>
      <c r="AI129" s="520"/>
      <c r="AJ129" s="520"/>
      <c r="AK129" s="520"/>
      <c r="AL129" s="520"/>
      <c r="AM129" s="520"/>
      <c r="AN129" s="520"/>
      <c r="AO129" s="520"/>
      <c r="AP129" s="520"/>
      <c r="AQ129" s="520"/>
      <c r="AR129" s="520"/>
      <c r="AS129" s="520"/>
      <c r="AT129" s="520"/>
      <c r="AU129" s="520"/>
      <c r="AV129" s="520"/>
      <c r="AW129" s="520"/>
      <c r="AX129" s="520"/>
      <c r="AY129" s="520"/>
      <c r="AZ129" s="520"/>
      <c r="BA129" s="520"/>
      <c r="BB129" s="520"/>
      <c r="BC129" s="520"/>
      <c r="BD129" s="520"/>
    </row>
    <row r="130" spans="1:56" s="521" customFormat="1" ht="13.5">
      <c r="A130" s="522"/>
      <c r="B130" s="522"/>
      <c r="C130" s="522"/>
      <c r="D130" s="522"/>
      <c r="E130" s="522"/>
      <c r="F130" s="522"/>
      <c r="G130" s="522"/>
      <c r="H130" s="240"/>
      <c r="I130" s="511" t="s">
        <v>652</v>
      </c>
      <c r="J130" s="549"/>
      <c r="K130" s="549"/>
      <c r="L130" s="14"/>
      <c r="M130" s="14"/>
      <c r="N130" s="14"/>
      <c r="O130" s="14"/>
      <c r="P130" s="14"/>
      <c r="Q130" s="14"/>
      <c r="R130" s="14"/>
      <c r="S130" s="225"/>
      <c r="T130" s="518"/>
      <c r="U130" s="518"/>
      <c r="V130" s="518"/>
      <c r="W130" s="518"/>
      <c r="X130" s="518"/>
      <c r="Y130" s="518"/>
      <c r="Z130" s="518"/>
      <c r="AA130" s="518"/>
      <c r="AB130" s="520"/>
      <c r="AC130" s="520"/>
      <c r="AD130" s="520"/>
      <c r="AE130" s="520"/>
      <c r="AF130" s="520"/>
      <c r="AG130" s="520"/>
      <c r="AH130" s="520"/>
      <c r="AI130" s="520"/>
      <c r="AJ130" s="520"/>
      <c r="AK130" s="520"/>
      <c r="AL130" s="520"/>
      <c r="AM130" s="520"/>
      <c r="AN130" s="520"/>
      <c r="AO130" s="520"/>
      <c r="AP130" s="520"/>
      <c r="AQ130" s="520"/>
      <c r="AR130" s="520"/>
      <c r="AS130" s="520"/>
      <c r="AT130" s="520"/>
      <c r="AU130" s="520"/>
      <c r="AV130" s="520"/>
      <c r="AW130" s="520"/>
      <c r="AX130" s="520"/>
      <c r="AY130" s="520"/>
      <c r="AZ130" s="520"/>
      <c r="BA130" s="520"/>
      <c r="BB130" s="520"/>
      <c r="BC130" s="520"/>
      <c r="BD130" s="520"/>
    </row>
    <row r="131" spans="1:56" s="521" customFormat="1" ht="13.5">
      <c r="A131" s="522"/>
      <c r="B131" s="522"/>
      <c r="C131" s="522"/>
      <c r="D131" s="522"/>
      <c r="E131" s="522"/>
      <c r="F131" s="522"/>
      <c r="G131" s="522"/>
      <c r="H131" s="240"/>
      <c r="I131" s="511" t="s">
        <v>390</v>
      </c>
      <c r="J131" s="549"/>
      <c r="K131" s="549"/>
      <c r="L131" s="14"/>
      <c r="M131" s="14"/>
      <c r="N131" s="14"/>
      <c r="O131" s="14"/>
      <c r="P131" s="14"/>
      <c r="Q131" s="14"/>
      <c r="R131" s="14"/>
      <c r="S131" s="225"/>
      <c r="T131" s="518"/>
      <c r="U131" s="518"/>
      <c r="V131" s="518"/>
      <c r="W131" s="518"/>
      <c r="X131" s="518"/>
      <c r="Y131" s="518"/>
      <c r="Z131" s="518"/>
      <c r="AA131" s="518"/>
      <c r="AB131" s="520"/>
      <c r="AC131" s="520"/>
      <c r="AD131" s="520"/>
      <c r="AE131" s="520"/>
      <c r="AF131" s="520"/>
      <c r="AG131" s="520"/>
      <c r="AH131" s="520"/>
      <c r="AI131" s="520"/>
      <c r="AJ131" s="520"/>
      <c r="AK131" s="520"/>
      <c r="AL131" s="520"/>
      <c r="AM131" s="520"/>
      <c r="AN131" s="520"/>
      <c r="AO131" s="520"/>
      <c r="AP131" s="520"/>
      <c r="AQ131" s="520"/>
      <c r="AR131" s="520"/>
      <c r="AS131" s="520"/>
      <c r="AT131" s="520"/>
      <c r="AU131" s="520"/>
      <c r="AV131" s="520"/>
      <c r="AW131" s="520"/>
      <c r="AX131" s="520"/>
      <c r="AY131" s="520"/>
      <c r="AZ131" s="520"/>
      <c r="BA131" s="520"/>
      <c r="BB131" s="520"/>
      <c r="BC131" s="520"/>
      <c r="BD131" s="520"/>
    </row>
    <row r="132" spans="1:56" s="521" customFormat="1" ht="13.5">
      <c r="A132" s="522"/>
      <c r="B132" s="522"/>
      <c r="C132" s="522"/>
      <c r="D132" s="522"/>
      <c r="E132" s="522"/>
      <c r="F132" s="522"/>
      <c r="G132" s="522"/>
      <c r="H132" s="240"/>
      <c r="I132" s="511" t="s">
        <v>417</v>
      </c>
      <c r="J132" s="549"/>
      <c r="K132" s="549"/>
      <c r="L132" s="14"/>
      <c r="M132" s="14"/>
      <c r="N132" s="14"/>
      <c r="O132" s="14"/>
      <c r="P132" s="14"/>
      <c r="Q132" s="14"/>
      <c r="R132" s="14"/>
      <c r="S132" s="225"/>
      <c r="T132" s="518"/>
      <c r="U132" s="518"/>
      <c r="V132" s="518"/>
      <c r="W132" s="518"/>
      <c r="X132" s="518"/>
      <c r="Y132" s="518"/>
      <c r="Z132" s="518"/>
      <c r="AA132" s="518"/>
      <c r="AB132" s="520"/>
      <c r="AC132" s="520"/>
      <c r="AD132" s="520"/>
      <c r="AE132" s="520"/>
      <c r="AF132" s="520"/>
      <c r="AG132" s="520"/>
      <c r="AH132" s="520"/>
      <c r="AI132" s="520"/>
      <c r="AJ132" s="520"/>
      <c r="AK132" s="520"/>
      <c r="AL132" s="520"/>
      <c r="AM132" s="520"/>
      <c r="AN132" s="520"/>
      <c r="AO132" s="520"/>
      <c r="AP132" s="520"/>
      <c r="AQ132" s="520"/>
      <c r="AR132" s="520"/>
      <c r="AS132" s="520"/>
      <c r="AT132" s="520"/>
      <c r="AU132" s="520"/>
      <c r="AV132" s="520"/>
      <c r="AW132" s="520"/>
      <c r="AX132" s="520"/>
      <c r="AY132" s="520"/>
      <c r="AZ132" s="520"/>
      <c r="BA132" s="520"/>
      <c r="BB132" s="520"/>
      <c r="BC132" s="520"/>
      <c r="BD132" s="520"/>
    </row>
    <row r="133" spans="1:56" s="521" customFormat="1" ht="13.5">
      <c r="A133" s="522"/>
      <c r="B133" s="522"/>
      <c r="C133" s="522"/>
      <c r="D133" s="522"/>
      <c r="E133" s="522"/>
      <c r="F133" s="522"/>
      <c r="G133" s="522"/>
      <c r="H133" s="692" t="s">
        <v>142</v>
      </c>
      <c r="I133" s="511" t="s">
        <v>220</v>
      </c>
      <c r="J133" s="549"/>
      <c r="K133" s="549"/>
      <c r="L133" s="14"/>
      <c r="M133" s="14"/>
      <c r="N133" s="14"/>
      <c r="O133" s="14"/>
      <c r="P133" s="14"/>
      <c r="Q133" s="14"/>
      <c r="R133" s="14"/>
      <c r="S133" s="225"/>
      <c r="T133" s="518"/>
      <c r="U133" s="518"/>
      <c r="V133" s="518"/>
      <c r="W133" s="518"/>
      <c r="X133" s="518"/>
      <c r="Y133" s="518"/>
      <c r="Z133" s="518"/>
      <c r="AA133" s="518"/>
      <c r="AB133" s="520"/>
      <c r="AC133" s="520"/>
      <c r="AD133" s="520"/>
      <c r="AE133" s="520"/>
      <c r="AF133" s="520"/>
      <c r="AG133" s="520"/>
      <c r="AH133" s="520"/>
      <c r="AI133" s="520"/>
      <c r="AJ133" s="520"/>
      <c r="AK133" s="520"/>
      <c r="AL133" s="520"/>
      <c r="AM133" s="520"/>
      <c r="AN133" s="520"/>
      <c r="AO133" s="520"/>
      <c r="AP133" s="520"/>
      <c r="AQ133" s="520"/>
      <c r="AR133" s="520"/>
      <c r="AS133" s="520"/>
      <c r="AT133" s="520"/>
      <c r="AU133" s="520"/>
      <c r="AV133" s="520"/>
      <c r="AW133" s="520"/>
      <c r="AX133" s="520"/>
      <c r="AY133" s="520"/>
      <c r="AZ133" s="520"/>
      <c r="BA133" s="520"/>
      <c r="BB133" s="520"/>
      <c r="BC133" s="520"/>
      <c r="BD133" s="520"/>
    </row>
    <row r="134" spans="1:56" s="521" customFormat="1" ht="13.5">
      <c r="A134" s="522"/>
      <c r="B134" s="522"/>
      <c r="C134" s="522"/>
      <c r="D134" s="522"/>
      <c r="E134" s="522"/>
      <c r="F134" s="522"/>
      <c r="G134" s="522"/>
      <c r="H134" s="240"/>
      <c r="I134" s="511" t="s">
        <v>615</v>
      </c>
      <c r="J134" s="549"/>
      <c r="K134" s="549"/>
      <c r="L134" s="14"/>
      <c r="M134" s="14"/>
      <c r="N134" s="14"/>
      <c r="O134" s="14"/>
      <c r="P134" s="14"/>
      <c r="Q134" s="14"/>
      <c r="R134" s="14"/>
      <c r="S134" s="225"/>
      <c r="T134" s="518"/>
      <c r="U134" s="518"/>
      <c r="V134" s="518"/>
      <c r="W134" s="518"/>
      <c r="X134" s="518"/>
      <c r="Y134" s="518"/>
      <c r="Z134" s="518"/>
      <c r="AA134" s="518"/>
      <c r="AB134" s="520"/>
      <c r="AC134" s="520"/>
      <c r="AD134" s="520"/>
      <c r="AE134" s="520"/>
      <c r="AF134" s="520"/>
      <c r="AG134" s="520"/>
      <c r="AH134" s="520"/>
      <c r="AI134" s="520"/>
      <c r="AJ134" s="520"/>
      <c r="AK134" s="520"/>
      <c r="AL134" s="520"/>
      <c r="AM134" s="520"/>
      <c r="AN134" s="520"/>
      <c r="AO134" s="520"/>
      <c r="AP134" s="520"/>
      <c r="AQ134" s="520"/>
      <c r="AR134" s="520"/>
      <c r="AS134" s="520"/>
      <c r="AT134" s="520"/>
      <c r="AU134" s="520"/>
      <c r="AV134" s="520"/>
      <c r="AW134" s="520"/>
      <c r="AX134" s="520"/>
      <c r="AY134" s="520"/>
      <c r="AZ134" s="520"/>
      <c r="BA134" s="520"/>
      <c r="BB134" s="520"/>
      <c r="BC134" s="520"/>
      <c r="BD134" s="520"/>
    </row>
    <row r="135" spans="1:56" s="521" customFormat="1" ht="13.5">
      <c r="A135" s="522"/>
      <c r="B135" s="522"/>
      <c r="C135" s="522"/>
      <c r="D135" s="522"/>
      <c r="E135" s="522"/>
      <c r="F135" s="522"/>
      <c r="G135" s="522"/>
      <c r="H135" s="240"/>
      <c r="I135" s="511" t="s">
        <v>474</v>
      </c>
      <c r="J135" s="549"/>
      <c r="K135" s="549"/>
      <c r="L135" s="14"/>
      <c r="M135" s="14"/>
      <c r="N135" s="14"/>
      <c r="O135" s="14"/>
      <c r="P135" s="14"/>
      <c r="Q135" s="14"/>
      <c r="R135" s="14"/>
      <c r="S135" s="225"/>
      <c r="T135" s="518"/>
      <c r="U135" s="518"/>
      <c r="V135" s="518"/>
      <c r="W135" s="518"/>
      <c r="X135" s="518"/>
      <c r="Y135" s="518"/>
      <c r="Z135" s="518"/>
      <c r="AA135" s="518"/>
      <c r="AB135" s="520"/>
      <c r="AC135" s="520"/>
      <c r="AD135" s="520"/>
      <c r="AE135" s="520"/>
      <c r="AF135" s="520"/>
      <c r="AG135" s="520"/>
      <c r="AH135" s="520"/>
      <c r="AI135" s="520"/>
      <c r="AJ135" s="520"/>
      <c r="AK135" s="520"/>
      <c r="AL135" s="520"/>
      <c r="AM135" s="520"/>
      <c r="AN135" s="520"/>
      <c r="AO135" s="520"/>
      <c r="AP135" s="520"/>
      <c r="AQ135" s="520"/>
      <c r="AR135" s="520"/>
      <c r="AS135" s="520"/>
      <c r="AT135" s="520"/>
      <c r="AU135" s="520"/>
      <c r="AV135" s="520"/>
      <c r="AW135" s="520"/>
      <c r="AX135" s="520"/>
      <c r="AY135" s="520"/>
      <c r="AZ135" s="520"/>
      <c r="BA135" s="520"/>
      <c r="BB135" s="520"/>
      <c r="BC135" s="520"/>
      <c r="BD135" s="520"/>
    </row>
    <row r="136" spans="1:56" s="521" customFormat="1" ht="13.5">
      <c r="A136" s="522"/>
      <c r="B136" s="522"/>
      <c r="C136" s="522"/>
      <c r="D136" s="522"/>
      <c r="E136" s="522"/>
      <c r="F136" s="522"/>
      <c r="G136" s="522"/>
      <c r="H136" s="240"/>
      <c r="I136" s="511" t="s">
        <v>553</v>
      </c>
      <c r="J136" s="549"/>
      <c r="K136" s="549"/>
      <c r="L136" s="14"/>
      <c r="M136" s="14"/>
      <c r="N136" s="14"/>
      <c r="O136" s="14"/>
      <c r="P136" s="14"/>
      <c r="Q136" s="14"/>
      <c r="R136" s="14"/>
      <c r="S136" s="225"/>
      <c r="T136" s="518"/>
      <c r="U136" s="518"/>
      <c r="V136" s="518"/>
      <c r="W136" s="518"/>
      <c r="X136" s="518"/>
      <c r="Y136" s="518"/>
      <c r="Z136" s="518"/>
      <c r="AA136" s="518"/>
      <c r="AB136" s="520"/>
      <c r="AC136" s="520"/>
      <c r="AD136" s="520"/>
      <c r="AE136" s="520"/>
      <c r="AF136" s="520"/>
      <c r="AG136" s="520"/>
      <c r="AH136" s="520"/>
      <c r="AI136" s="520"/>
      <c r="AJ136" s="520"/>
      <c r="AK136" s="520"/>
      <c r="AL136" s="520"/>
      <c r="AM136" s="520"/>
      <c r="AN136" s="520"/>
      <c r="AO136" s="520"/>
      <c r="AP136" s="520"/>
      <c r="AQ136" s="520"/>
      <c r="AR136" s="520"/>
      <c r="AS136" s="520"/>
      <c r="AT136" s="520"/>
      <c r="AU136" s="520"/>
      <c r="AV136" s="520"/>
      <c r="AW136" s="520"/>
      <c r="AX136" s="520"/>
      <c r="AY136" s="520"/>
      <c r="AZ136" s="520"/>
      <c r="BA136" s="520"/>
      <c r="BB136" s="520"/>
      <c r="BC136" s="520"/>
      <c r="BD136" s="520"/>
    </row>
    <row r="137" spans="1:56" s="521" customFormat="1" ht="13.5">
      <c r="A137" s="522"/>
      <c r="B137" s="522"/>
      <c r="C137" s="522"/>
      <c r="D137" s="522"/>
      <c r="E137" s="522"/>
      <c r="F137" s="522"/>
      <c r="G137" s="522"/>
      <c r="H137" s="240"/>
      <c r="I137" s="511" t="s">
        <v>614</v>
      </c>
      <c r="J137" s="549"/>
      <c r="K137" s="549"/>
      <c r="L137" s="14"/>
      <c r="M137" s="14"/>
      <c r="N137" s="14"/>
      <c r="O137" s="14"/>
      <c r="P137" s="14"/>
      <c r="Q137" s="14"/>
      <c r="R137" s="14"/>
      <c r="S137" s="225"/>
      <c r="T137" s="518"/>
      <c r="U137" s="518"/>
      <c r="V137" s="518"/>
      <c r="W137" s="518"/>
      <c r="X137" s="518"/>
      <c r="Y137" s="518"/>
      <c r="Z137" s="518"/>
      <c r="AA137" s="518"/>
      <c r="AB137" s="520"/>
      <c r="AC137" s="520"/>
      <c r="AD137" s="520"/>
      <c r="AE137" s="520"/>
      <c r="AF137" s="520"/>
      <c r="AG137" s="520"/>
      <c r="AH137" s="520"/>
      <c r="AI137" s="520"/>
      <c r="AJ137" s="520"/>
      <c r="AK137" s="520"/>
      <c r="AL137" s="520"/>
      <c r="AM137" s="520"/>
      <c r="AN137" s="520"/>
      <c r="AO137" s="520"/>
      <c r="AP137" s="520"/>
      <c r="AQ137" s="520"/>
      <c r="AR137" s="520"/>
      <c r="AS137" s="520"/>
      <c r="AT137" s="520"/>
      <c r="AU137" s="520"/>
      <c r="AV137" s="520"/>
      <c r="AW137" s="520"/>
      <c r="AX137" s="520"/>
      <c r="AY137" s="520"/>
      <c r="AZ137" s="520"/>
      <c r="BA137" s="520"/>
      <c r="BB137" s="520"/>
      <c r="BC137" s="520"/>
      <c r="BD137" s="520"/>
    </row>
    <row r="138" spans="1:56" s="521" customFormat="1" ht="13.5">
      <c r="A138" s="522"/>
      <c r="B138" s="522"/>
      <c r="C138" s="522"/>
      <c r="D138" s="522"/>
      <c r="E138" s="522"/>
      <c r="F138" s="522"/>
      <c r="G138" s="522"/>
      <c r="H138" s="692" t="s">
        <v>143</v>
      </c>
      <c r="I138" s="511" t="s">
        <v>581</v>
      </c>
      <c r="J138" s="549"/>
      <c r="K138" s="549"/>
      <c r="L138" s="14"/>
      <c r="M138" s="14"/>
      <c r="N138" s="14"/>
      <c r="O138" s="14"/>
      <c r="P138" s="14"/>
      <c r="Q138" s="14"/>
      <c r="R138" s="14"/>
      <c r="S138" s="225"/>
      <c r="T138" s="518"/>
      <c r="U138" s="518"/>
      <c r="V138" s="518"/>
      <c r="W138" s="518"/>
      <c r="X138" s="518"/>
      <c r="Y138" s="518"/>
      <c r="Z138" s="518"/>
      <c r="AA138" s="518"/>
      <c r="AB138" s="520"/>
      <c r="AC138" s="520"/>
      <c r="AD138" s="520"/>
      <c r="AE138" s="520"/>
      <c r="AF138" s="520"/>
      <c r="AG138" s="520"/>
      <c r="AH138" s="520"/>
      <c r="AI138" s="520"/>
      <c r="AJ138" s="520"/>
      <c r="AK138" s="520"/>
      <c r="AL138" s="520"/>
      <c r="AM138" s="520"/>
      <c r="AN138" s="520"/>
      <c r="AO138" s="520"/>
      <c r="AP138" s="520"/>
      <c r="AQ138" s="520"/>
      <c r="AR138" s="520"/>
      <c r="AS138" s="520"/>
      <c r="AT138" s="520"/>
      <c r="AU138" s="520"/>
      <c r="AV138" s="520"/>
      <c r="AW138" s="520"/>
      <c r="AX138" s="520"/>
      <c r="AY138" s="520"/>
      <c r="AZ138" s="520"/>
      <c r="BA138" s="520"/>
      <c r="BB138" s="520"/>
      <c r="BC138" s="520"/>
      <c r="BD138" s="520"/>
    </row>
    <row r="139" spans="1:56" s="521" customFormat="1" ht="13.5">
      <c r="A139" s="522"/>
      <c r="B139" s="522"/>
      <c r="C139" s="522"/>
      <c r="D139" s="522"/>
      <c r="E139" s="522"/>
      <c r="F139" s="522"/>
      <c r="G139" s="522"/>
      <c r="H139" s="240"/>
      <c r="I139" s="511" t="s">
        <v>701</v>
      </c>
      <c r="J139" s="549"/>
      <c r="K139" s="549"/>
      <c r="L139" s="14"/>
      <c r="M139" s="14"/>
      <c r="N139" s="14"/>
      <c r="O139" s="14"/>
      <c r="P139" s="14"/>
      <c r="Q139" s="14"/>
      <c r="R139" s="14"/>
      <c r="S139" s="225"/>
      <c r="T139" s="518"/>
      <c r="U139" s="518"/>
      <c r="V139" s="518"/>
      <c r="W139" s="518"/>
      <c r="X139" s="518"/>
      <c r="Y139" s="518"/>
      <c r="Z139" s="518"/>
      <c r="AA139" s="518"/>
      <c r="AB139" s="520"/>
      <c r="AC139" s="520"/>
      <c r="AD139" s="520"/>
      <c r="AE139" s="520"/>
      <c r="AF139" s="520"/>
      <c r="AG139" s="520"/>
      <c r="AH139" s="520"/>
      <c r="AI139" s="520"/>
      <c r="AJ139" s="520"/>
      <c r="AK139" s="520"/>
      <c r="AL139" s="520"/>
      <c r="AM139" s="520"/>
      <c r="AN139" s="520"/>
      <c r="AO139" s="520"/>
      <c r="AP139" s="520"/>
      <c r="AQ139" s="520"/>
      <c r="AR139" s="520"/>
      <c r="AS139" s="520"/>
      <c r="AT139" s="520"/>
      <c r="AU139" s="520"/>
      <c r="AV139" s="520"/>
      <c r="AW139" s="520"/>
      <c r="AX139" s="520"/>
      <c r="AY139" s="520"/>
      <c r="AZ139" s="520"/>
      <c r="BA139" s="520"/>
      <c r="BB139" s="520"/>
      <c r="BC139" s="520"/>
      <c r="BD139" s="520"/>
    </row>
    <row r="140" spans="1:56" s="521" customFormat="1" ht="13.5">
      <c r="A140" s="522"/>
      <c r="B140" s="522"/>
      <c r="C140" s="522"/>
      <c r="D140" s="522"/>
      <c r="E140" s="522"/>
      <c r="F140" s="522"/>
      <c r="G140" s="522"/>
      <c r="H140" s="240"/>
      <c r="I140" s="511" t="s">
        <v>407</v>
      </c>
      <c r="J140" s="549"/>
      <c r="K140" s="549"/>
      <c r="L140" s="14"/>
      <c r="M140" s="14"/>
      <c r="N140" s="14"/>
      <c r="O140" s="14"/>
      <c r="P140" s="14"/>
      <c r="Q140" s="14"/>
      <c r="R140" s="14"/>
      <c r="S140" s="225"/>
      <c r="T140" s="518"/>
      <c r="U140" s="518"/>
      <c r="V140" s="518"/>
      <c r="W140" s="518"/>
      <c r="X140" s="518"/>
      <c r="Y140" s="518"/>
      <c r="Z140" s="518"/>
      <c r="AA140" s="518"/>
      <c r="AB140" s="520"/>
      <c r="AC140" s="520"/>
      <c r="AD140" s="520"/>
      <c r="AE140" s="520"/>
      <c r="AF140" s="520"/>
      <c r="AG140" s="520"/>
      <c r="AH140" s="520"/>
      <c r="AI140" s="520"/>
      <c r="AJ140" s="520"/>
      <c r="AK140" s="520"/>
      <c r="AL140" s="520"/>
      <c r="AM140" s="520"/>
      <c r="AN140" s="520"/>
      <c r="AO140" s="520"/>
      <c r="AP140" s="520"/>
      <c r="AQ140" s="520"/>
      <c r="AR140" s="520"/>
      <c r="AS140" s="520"/>
      <c r="AT140" s="520"/>
      <c r="AU140" s="520"/>
      <c r="AV140" s="520"/>
      <c r="AW140" s="520"/>
      <c r="AX140" s="520"/>
      <c r="AY140" s="520"/>
      <c r="AZ140" s="520"/>
      <c r="BA140" s="520"/>
      <c r="BB140" s="520"/>
      <c r="BC140" s="520"/>
      <c r="BD140" s="520"/>
    </row>
    <row r="141" spans="1:56" s="521" customFormat="1" ht="13.5">
      <c r="A141" s="522"/>
      <c r="B141" s="522"/>
      <c r="C141" s="522"/>
      <c r="D141" s="522"/>
      <c r="E141" s="522"/>
      <c r="F141" s="522"/>
      <c r="G141" s="522"/>
      <c r="H141" s="240"/>
      <c r="I141" s="511" t="s">
        <v>715</v>
      </c>
      <c r="J141" s="547"/>
      <c r="K141" s="547"/>
      <c r="L141" s="14"/>
      <c r="M141" s="14"/>
      <c r="N141" s="14"/>
      <c r="O141" s="14"/>
      <c r="P141" s="14"/>
      <c r="Q141" s="14"/>
      <c r="R141" s="14"/>
      <c r="S141" s="225"/>
      <c r="T141" s="518"/>
      <c r="U141" s="518"/>
      <c r="V141" s="518"/>
      <c r="W141" s="518"/>
      <c r="X141" s="518"/>
      <c r="Y141" s="518"/>
      <c r="Z141" s="518"/>
      <c r="AA141" s="518"/>
      <c r="AB141" s="520"/>
      <c r="AC141" s="520"/>
      <c r="AD141" s="520"/>
      <c r="AE141" s="520"/>
      <c r="AF141" s="520"/>
      <c r="AG141" s="520"/>
      <c r="AH141" s="520"/>
      <c r="AI141" s="520"/>
      <c r="AJ141" s="520"/>
      <c r="AK141" s="520"/>
      <c r="AL141" s="520"/>
      <c r="AM141" s="520"/>
      <c r="AN141" s="520"/>
      <c r="AO141" s="520"/>
      <c r="AP141" s="520"/>
      <c r="AQ141" s="520"/>
      <c r="AR141" s="520"/>
      <c r="AS141" s="520"/>
      <c r="AT141" s="520"/>
      <c r="AU141" s="520"/>
      <c r="AV141" s="520"/>
      <c r="AW141" s="520"/>
      <c r="AX141" s="520"/>
      <c r="AY141" s="520"/>
      <c r="AZ141" s="520"/>
      <c r="BA141" s="520"/>
      <c r="BB141" s="520"/>
      <c r="BC141" s="520"/>
      <c r="BD141" s="520"/>
    </row>
    <row r="142" spans="1:56" s="521" customFormat="1" ht="3" customHeight="1">
      <c r="A142" s="522"/>
      <c r="B142" s="522"/>
      <c r="C142" s="522"/>
      <c r="D142" s="522"/>
      <c r="E142" s="522"/>
      <c r="F142" s="522"/>
      <c r="G142" s="522"/>
      <c r="H142" s="546"/>
      <c r="I142" s="548"/>
      <c r="J142" s="548"/>
      <c r="K142" s="548"/>
      <c r="L142" s="14"/>
      <c r="M142" s="14"/>
      <c r="N142" s="14"/>
      <c r="O142" s="14"/>
      <c r="P142" s="14"/>
      <c r="Q142" s="14"/>
      <c r="R142" s="14"/>
      <c r="S142" s="225"/>
      <c r="T142" s="518"/>
      <c r="U142" s="518"/>
      <c r="V142" s="518"/>
      <c r="W142" s="518"/>
      <c r="X142" s="518"/>
      <c r="Y142" s="518"/>
      <c r="Z142" s="518"/>
      <c r="AA142" s="518"/>
      <c r="AB142" s="520"/>
      <c r="AC142" s="520"/>
      <c r="AD142" s="520"/>
      <c r="AE142" s="520"/>
      <c r="AF142" s="520"/>
      <c r="AG142" s="520"/>
      <c r="AH142" s="520"/>
      <c r="AI142" s="520"/>
      <c r="AJ142" s="520"/>
      <c r="AK142" s="520"/>
      <c r="AL142" s="520"/>
      <c r="AM142" s="520"/>
      <c r="AN142" s="520"/>
      <c r="AO142" s="520"/>
      <c r="AP142" s="520"/>
      <c r="AQ142" s="520"/>
      <c r="AR142" s="520"/>
      <c r="AS142" s="520"/>
      <c r="AT142" s="520"/>
      <c r="AU142" s="520"/>
      <c r="AV142" s="520"/>
      <c r="AW142" s="520"/>
      <c r="AX142" s="520"/>
      <c r="AY142" s="520"/>
      <c r="AZ142" s="520"/>
      <c r="BA142" s="520"/>
      <c r="BB142" s="520"/>
      <c r="BC142" s="520"/>
      <c r="BD142" s="520"/>
    </row>
    <row r="143" spans="1:56" s="521" customFormat="1" ht="13.5">
      <c r="A143" s="522"/>
      <c r="B143" s="522"/>
      <c r="C143" s="522"/>
      <c r="D143" s="522"/>
      <c r="E143" s="522"/>
      <c r="F143" s="522"/>
      <c r="G143" s="522"/>
      <c r="H143" s="545" t="s">
        <v>200</v>
      </c>
      <c r="I143" s="545"/>
      <c r="J143" s="545"/>
      <c r="K143" s="545"/>
      <c r="L143" s="526"/>
      <c r="M143" s="526"/>
      <c r="N143" s="526"/>
      <c r="O143" s="526"/>
      <c r="P143" s="526"/>
      <c r="Q143" s="526"/>
      <c r="R143" s="526"/>
      <c r="S143" s="526"/>
      <c r="T143" s="518"/>
      <c r="U143" s="518"/>
      <c r="V143" s="518"/>
      <c r="W143" s="518"/>
      <c r="X143" s="518"/>
      <c r="Y143" s="518"/>
      <c r="Z143" s="518"/>
      <c r="AA143" s="518"/>
      <c r="AB143" s="520"/>
      <c r="AC143" s="520"/>
      <c r="AD143" s="520"/>
      <c r="AE143" s="520"/>
      <c r="AF143" s="520"/>
      <c r="AG143" s="520"/>
      <c r="AH143" s="520"/>
      <c r="AI143" s="520"/>
      <c r="AJ143" s="520"/>
      <c r="AK143" s="520"/>
      <c r="AL143" s="520"/>
      <c r="AM143" s="520"/>
      <c r="AN143" s="520"/>
      <c r="AO143" s="520"/>
      <c r="AP143" s="520"/>
      <c r="AQ143" s="520"/>
      <c r="AR143" s="520"/>
      <c r="AS143" s="520"/>
      <c r="AT143" s="520"/>
      <c r="AU143" s="520"/>
      <c r="AV143" s="520"/>
      <c r="AW143" s="520"/>
      <c r="AX143" s="520"/>
      <c r="AY143" s="520"/>
      <c r="AZ143" s="520"/>
      <c r="BA143" s="520"/>
      <c r="BB143" s="520"/>
      <c r="BC143" s="520"/>
      <c r="BD143" s="520"/>
    </row>
    <row r="144" spans="1:56" s="521" customFormat="1" ht="13.5">
      <c r="A144" s="522"/>
      <c r="B144" s="522"/>
      <c r="C144" s="522"/>
      <c r="D144" s="522"/>
      <c r="E144" s="522"/>
      <c r="F144" s="522"/>
      <c r="G144" s="522"/>
      <c r="H144" s="692" t="s">
        <v>626</v>
      </c>
      <c r="I144" s="548" t="s">
        <v>421</v>
      </c>
      <c r="J144" s="548"/>
      <c r="K144" s="548"/>
      <c r="L144" s="14"/>
      <c r="M144" s="14"/>
      <c r="N144" s="14"/>
      <c r="O144" s="14"/>
      <c r="P144" s="14"/>
      <c r="Q144" s="14"/>
      <c r="R144" s="14"/>
      <c r="S144" s="225"/>
      <c r="T144" s="518"/>
      <c r="U144" s="518"/>
      <c r="V144" s="518"/>
      <c r="W144" s="518"/>
      <c r="X144" s="518"/>
      <c r="Y144" s="518"/>
      <c r="Z144" s="518"/>
      <c r="AA144" s="518"/>
      <c r="AB144" s="520"/>
      <c r="AC144" s="520"/>
      <c r="AD144" s="520"/>
      <c r="AE144" s="520"/>
      <c r="AF144" s="520"/>
      <c r="AG144" s="520"/>
      <c r="AH144" s="520"/>
      <c r="AI144" s="520"/>
      <c r="AJ144" s="520"/>
      <c r="AK144" s="520"/>
      <c r="AL144" s="520"/>
      <c r="AM144" s="520"/>
      <c r="AN144" s="520"/>
      <c r="AO144" s="520"/>
      <c r="AP144" s="520"/>
      <c r="AQ144" s="520"/>
      <c r="AR144" s="520"/>
      <c r="AS144" s="520"/>
      <c r="AT144" s="520"/>
      <c r="AU144" s="520"/>
      <c r="AV144" s="520"/>
      <c r="AW144" s="520"/>
      <c r="AX144" s="520"/>
      <c r="AY144" s="520"/>
      <c r="AZ144" s="520"/>
      <c r="BA144" s="520"/>
      <c r="BB144" s="520"/>
      <c r="BC144" s="520"/>
      <c r="BD144" s="520"/>
    </row>
    <row r="145" spans="1:56" s="521" customFormat="1" ht="13.5">
      <c r="A145" s="522"/>
      <c r="B145" s="522"/>
      <c r="C145" s="522"/>
      <c r="D145" s="522"/>
      <c r="E145" s="522"/>
      <c r="F145" s="522"/>
      <c r="G145" s="522"/>
      <c r="H145" s="692" t="s">
        <v>142</v>
      </c>
      <c r="I145" s="548" t="s">
        <v>536</v>
      </c>
      <c r="J145" s="548"/>
      <c r="K145" s="548"/>
      <c r="L145" s="14"/>
      <c r="M145" s="14"/>
      <c r="N145" s="14"/>
      <c r="O145" s="14"/>
      <c r="P145" s="14"/>
      <c r="Q145" s="14"/>
      <c r="R145" s="14"/>
      <c r="S145" s="225"/>
      <c r="T145" s="518"/>
      <c r="U145" s="518"/>
      <c r="V145" s="518"/>
      <c r="W145" s="518"/>
      <c r="X145" s="518"/>
      <c r="Y145" s="518"/>
      <c r="Z145" s="518"/>
      <c r="AA145" s="518"/>
      <c r="AB145" s="520"/>
      <c r="AC145" s="520"/>
      <c r="AD145" s="520"/>
      <c r="AE145" s="520"/>
      <c r="AF145" s="520"/>
      <c r="AG145" s="520"/>
      <c r="AH145" s="520"/>
      <c r="AI145" s="520"/>
      <c r="AJ145" s="520"/>
      <c r="AK145" s="520"/>
      <c r="AL145" s="520"/>
      <c r="AM145" s="520"/>
      <c r="AN145" s="520"/>
      <c r="AO145" s="520"/>
      <c r="AP145" s="520"/>
      <c r="AQ145" s="520"/>
      <c r="AR145" s="520"/>
      <c r="AS145" s="520"/>
      <c r="AT145" s="520"/>
      <c r="AU145" s="520"/>
      <c r="AV145" s="520"/>
      <c r="AW145" s="520"/>
      <c r="AX145" s="520"/>
      <c r="AY145" s="520"/>
      <c r="AZ145" s="520"/>
      <c r="BA145" s="520"/>
      <c r="BB145" s="520"/>
      <c r="BC145" s="520"/>
      <c r="BD145" s="520"/>
    </row>
    <row r="146" spans="1:56" s="521" customFormat="1" ht="3" customHeight="1">
      <c r="A146" s="522"/>
      <c r="B146" s="522"/>
      <c r="C146" s="522"/>
      <c r="D146" s="522"/>
      <c r="E146" s="522"/>
      <c r="F146" s="522"/>
      <c r="G146" s="522"/>
      <c r="H146" s="546"/>
      <c r="I146" s="548"/>
      <c r="J146" s="548"/>
      <c r="K146" s="548"/>
      <c r="L146" s="14"/>
      <c r="M146" s="14"/>
      <c r="N146" s="14"/>
      <c r="O146" s="14"/>
      <c r="P146" s="14"/>
      <c r="Q146" s="14"/>
      <c r="R146" s="14"/>
      <c r="S146" s="225"/>
      <c r="T146" s="518"/>
      <c r="U146" s="518"/>
      <c r="V146" s="518"/>
      <c r="W146" s="518"/>
      <c r="X146" s="518"/>
      <c r="Y146" s="518"/>
      <c r="Z146" s="518"/>
      <c r="AA146" s="518"/>
      <c r="AB146" s="520"/>
      <c r="AC146" s="520"/>
      <c r="AD146" s="520"/>
      <c r="AE146" s="520"/>
      <c r="AF146" s="520"/>
      <c r="AG146" s="520"/>
      <c r="AH146" s="520"/>
      <c r="AI146" s="520"/>
      <c r="AJ146" s="520"/>
      <c r="AK146" s="520"/>
      <c r="AL146" s="520"/>
      <c r="AM146" s="520"/>
      <c r="AN146" s="520"/>
      <c r="AO146" s="520"/>
      <c r="AP146" s="520"/>
      <c r="AQ146" s="520"/>
      <c r="AR146" s="520"/>
      <c r="AS146" s="520"/>
      <c r="AT146" s="520"/>
      <c r="AU146" s="520"/>
      <c r="AV146" s="520"/>
      <c r="AW146" s="520"/>
      <c r="AX146" s="520"/>
      <c r="AY146" s="520"/>
      <c r="AZ146" s="520"/>
      <c r="BA146" s="520"/>
      <c r="BB146" s="520"/>
      <c r="BC146" s="520"/>
      <c r="BD146" s="520"/>
    </row>
    <row r="148" spans="1:56" s="521" customFormat="1" ht="13.5">
      <c r="A148" s="522"/>
      <c r="B148" s="522"/>
      <c r="C148" s="522"/>
      <c r="D148" s="522"/>
      <c r="E148" s="522"/>
      <c r="F148" s="522"/>
      <c r="G148" s="522"/>
      <c r="H148" s="764" t="s">
        <v>755</v>
      </c>
      <c r="I148" s="764"/>
      <c r="J148" s="764"/>
      <c r="K148" s="764"/>
      <c r="L148" s="765"/>
      <c r="M148" s="765"/>
      <c r="N148" s="765"/>
      <c r="O148" s="765"/>
      <c r="P148" s="765"/>
      <c r="Q148" s="765"/>
      <c r="R148" s="765"/>
      <c r="S148" s="765"/>
      <c r="T148" s="518"/>
      <c r="U148" s="518"/>
      <c r="V148" s="518"/>
      <c r="W148" s="518"/>
      <c r="X148" s="518"/>
      <c r="Y148" s="518"/>
      <c r="Z148" s="518"/>
      <c r="AA148" s="518"/>
      <c r="AB148" s="520"/>
      <c r="AC148" s="520"/>
      <c r="AD148" s="520"/>
      <c r="AE148" s="520"/>
      <c r="AF148" s="520"/>
      <c r="AG148" s="520"/>
      <c r="AH148" s="520"/>
      <c r="AI148" s="520"/>
      <c r="AJ148" s="520"/>
      <c r="AK148" s="520"/>
      <c r="AL148" s="520"/>
      <c r="AM148" s="520"/>
      <c r="AN148" s="520"/>
      <c r="AO148" s="520"/>
      <c r="AP148" s="520"/>
      <c r="AQ148" s="520"/>
      <c r="AR148" s="520"/>
      <c r="AS148" s="520"/>
      <c r="AT148" s="520"/>
      <c r="AU148" s="520"/>
      <c r="AV148" s="520"/>
      <c r="AW148" s="520"/>
      <c r="AX148" s="520"/>
      <c r="AY148" s="520"/>
      <c r="AZ148" s="520"/>
      <c r="BA148" s="520"/>
      <c r="BB148" s="520"/>
      <c r="BC148" s="520"/>
      <c r="BD148" s="520"/>
    </row>
    <row r="149" spans="1:56" s="521" customFormat="1" ht="13.5">
      <c r="A149" s="522"/>
      <c r="B149" s="522"/>
      <c r="C149" s="522"/>
      <c r="D149" s="522"/>
      <c r="E149" s="522"/>
      <c r="F149" s="522"/>
      <c r="G149" s="522"/>
      <c r="H149" s="766" t="s">
        <v>626</v>
      </c>
      <c r="I149" s="767" t="s">
        <v>354</v>
      </c>
      <c r="J149" s="767"/>
      <c r="K149" s="767"/>
      <c r="L149" s="204"/>
      <c r="M149" s="204"/>
      <c r="N149" s="204"/>
      <c r="O149" s="204"/>
      <c r="P149" s="204"/>
      <c r="Q149" s="204"/>
      <c r="R149" s="204"/>
      <c r="S149" s="520"/>
      <c r="T149" s="518"/>
      <c r="U149" s="518"/>
      <c r="V149" s="518"/>
      <c r="W149" s="518"/>
      <c r="X149" s="518"/>
      <c r="Y149" s="518"/>
      <c r="Z149" s="518"/>
      <c r="AA149" s="518"/>
      <c r="AB149" s="520"/>
      <c r="AC149" s="520"/>
      <c r="AD149" s="520"/>
      <c r="AE149" s="520"/>
      <c r="AF149" s="520"/>
      <c r="AG149" s="520"/>
      <c r="AH149" s="520"/>
      <c r="AI149" s="520"/>
      <c r="AJ149" s="520"/>
      <c r="AK149" s="520"/>
      <c r="AL149" s="520"/>
      <c r="AM149" s="520"/>
      <c r="AN149" s="520"/>
      <c r="AO149" s="520"/>
      <c r="AP149" s="520"/>
      <c r="AQ149" s="520"/>
      <c r="AR149" s="520"/>
      <c r="AS149" s="520"/>
      <c r="AT149" s="520"/>
      <c r="AU149" s="520"/>
      <c r="AV149" s="520"/>
      <c r="AW149" s="520"/>
      <c r="AX149" s="520"/>
      <c r="AY149" s="520"/>
      <c r="AZ149" s="520"/>
      <c r="BA149" s="520"/>
      <c r="BB149" s="520"/>
      <c r="BC149" s="520"/>
      <c r="BD149" s="520"/>
    </row>
    <row r="150" spans="1:56" s="521" customFormat="1" ht="13.5">
      <c r="A150" s="522"/>
      <c r="B150" s="522"/>
      <c r="C150" s="522"/>
      <c r="D150" s="522"/>
      <c r="E150" s="522"/>
      <c r="F150" s="522"/>
      <c r="G150" s="522"/>
      <c r="H150" s="766" t="s">
        <v>142</v>
      </c>
      <c r="I150" s="767" t="s">
        <v>260</v>
      </c>
      <c r="J150" s="767"/>
      <c r="K150" s="767"/>
      <c r="L150" s="204"/>
      <c r="M150" s="204"/>
      <c r="N150" s="204"/>
      <c r="O150" s="204"/>
      <c r="P150" s="204"/>
      <c r="Q150" s="204"/>
      <c r="R150" s="204"/>
      <c r="S150" s="520"/>
      <c r="T150" s="518"/>
      <c r="U150" s="518"/>
      <c r="V150" s="518"/>
      <c r="W150" s="518"/>
      <c r="X150" s="518"/>
      <c r="Y150" s="518"/>
      <c r="Z150" s="518"/>
      <c r="AA150" s="518"/>
      <c r="AB150" s="520"/>
      <c r="AC150" s="520"/>
      <c r="AD150" s="520"/>
      <c r="AE150" s="520"/>
      <c r="AF150" s="520"/>
      <c r="AG150" s="520"/>
      <c r="AH150" s="520"/>
      <c r="AI150" s="520"/>
      <c r="AJ150" s="520"/>
      <c r="AK150" s="520"/>
      <c r="AL150" s="520"/>
      <c r="AM150" s="520"/>
      <c r="AN150" s="520"/>
      <c r="AO150" s="520"/>
      <c r="AP150" s="520"/>
      <c r="AQ150" s="520"/>
      <c r="AR150" s="520"/>
      <c r="AS150" s="520"/>
      <c r="AT150" s="520"/>
      <c r="AU150" s="520"/>
      <c r="AV150" s="520"/>
      <c r="AW150" s="520"/>
      <c r="AX150" s="520"/>
      <c r="AY150" s="520"/>
      <c r="AZ150" s="520"/>
      <c r="BA150" s="520"/>
      <c r="BB150" s="520"/>
      <c r="BC150" s="520"/>
      <c r="BD150" s="520"/>
    </row>
    <row r="151" spans="1:56" s="521" customFormat="1" ht="13.5">
      <c r="A151" s="522"/>
      <c r="B151" s="522"/>
      <c r="C151" s="522"/>
      <c r="D151" s="522"/>
      <c r="E151" s="522"/>
      <c r="F151" s="522"/>
      <c r="G151" s="522"/>
      <c r="H151" s="766" t="s">
        <v>143</v>
      </c>
      <c r="I151" s="767" t="s">
        <v>517</v>
      </c>
      <c r="J151" s="767"/>
      <c r="K151" s="767"/>
      <c r="L151" s="204"/>
      <c r="M151" s="204"/>
      <c r="N151" s="204"/>
      <c r="O151" s="204"/>
      <c r="P151" s="204"/>
      <c r="Q151" s="204"/>
      <c r="R151" s="204"/>
      <c r="S151" s="520"/>
      <c r="T151" s="518"/>
      <c r="U151" s="518"/>
      <c r="V151" s="518"/>
      <c r="W151" s="518"/>
      <c r="X151" s="518"/>
      <c r="Y151" s="518"/>
      <c r="Z151" s="518"/>
      <c r="AA151" s="518"/>
      <c r="AB151" s="520"/>
      <c r="AC151" s="520"/>
      <c r="AD151" s="520"/>
      <c r="AE151" s="520"/>
      <c r="AF151" s="520"/>
      <c r="AG151" s="520"/>
      <c r="AH151" s="520"/>
      <c r="AI151" s="520"/>
      <c r="AJ151" s="520"/>
      <c r="AK151" s="520"/>
      <c r="AL151" s="520"/>
      <c r="AM151" s="520"/>
      <c r="AN151" s="520"/>
      <c r="AO151" s="520"/>
      <c r="AP151" s="520"/>
      <c r="AQ151" s="520"/>
      <c r="AR151" s="520"/>
      <c r="AS151" s="520"/>
      <c r="AT151" s="520"/>
      <c r="AU151" s="520"/>
      <c r="AV151" s="520"/>
      <c r="AW151" s="520"/>
      <c r="AX151" s="520"/>
      <c r="AY151" s="520"/>
      <c r="AZ151" s="520"/>
      <c r="BA151" s="520"/>
      <c r="BB151" s="520"/>
      <c r="BC151" s="520"/>
      <c r="BD151" s="520"/>
    </row>
    <row r="152" spans="1:56" s="521" customFormat="1" ht="13.5">
      <c r="A152" s="522"/>
      <c r="B152" s="522"/>
      <c r="C152" s="522"/>
      <c r="D152" s="522"/>
      <c r="E152" s="522"/>
      <c r="F152" s="522"/>
      <c r="G152" s="522"/>
      <c r="H152" s="766" t="s">
        <v>199</v>
      </c>
      <c r="I152" s="767" t="s">
        <v>179</v>
      </c>
      <c r="J152" s="767"/>
      <c r="K152" s="767"/>
      <c r="L152" s="204"/>
      <c r="M152" s="204"/>
      <c r="N152" s="204"/>
      <c r="O152" s="204"/>
      <c r="P152" s="204"/>
      <c r="Q152" s="204"/>
      <c r="R152" s="204"/>
      <c r="S152" s="520"/>
      <c r="T152" s="518"/>
      <c r="U152" s="518"/>
      <c r="V152" s="518"/>
      <c r="W152" s="518"/>
      <c r="X152" s="518"/>
      <c r="Y152" s="518"/>
      <c r="Z152" s="518"/>
      <c r="AA152" s="518"/>
      <c r="AB152" s="520"/>
      <c r="AC152" s="520"/>
      <c r="AD152" s="520"/>
      <c r="AE152" s="520"/>
      <c r="AF152" s="520"/>
      <c r="AG152" s="520"/>
      <c r="AH152" s="520"/>
      <c r="AI152" s="520"/>
      <c r="AJ152" s="520"/>
      <c r="AK152" s="520"/>
      <c r="AL152" s="520"/>
      <c r="AM152" s="520"/>
      <c r="AN152" s="520"/>
      <c r="AO152" s="520"/>
      <c r="AP152" s="520"/>
      <c r="AQ152" s="520"/>
      <c r="AR152" s="520"/>
      <c r="AS152" s="520"/>
      <c r="AT152" s="520"/>
      <c r="AU152" s="520"/>
      <c r="AV152" s="520"/>
      <c r="AW152" s="520"/>
      <c r="AX152" s="520"/>
      <c r="AY152" s="520"/>
      <c r="AZ152" s="520"/>
      <c r="BA152" s="520"/>
      <c r="BB152" s="520"/>
      <c r="BC152" s="520"/>
      <c r="BD152" s="520"/>
    </row>
    <row r="153" spans="1:56" s="521" customFormat="1" ht="13.5">
      <c r="A153" s="522"/>
      <c r="B153" s="522"/>
      <c r="C153" s="522"/>
      <c r="D153" s="522"/>
      <c r="E153" s="522"/>
      <c r="F153" s="522"/>
      <c r="G153" s="522"/>
      <c r="H153" s="766">
        <v>5</v>
      </c>
      <c r="I153" s="767" t="s">
        <v>322</v>
      </c>
      <c r="J153" s="767"/>
      <c r="K153" s="767"/>
      <c r="L153" s="204"/>
      <c r="M153" s="204"/>
      <c r="N153" s="204"/>
      <c r="O153" s="204"/>
      <c r="P153" s="204"/>
      <c r="Q153" s="204"/>
      <c r="R153" s="204"/>
      <c r="S153" s="520"/>
      <c r="T153" s="518"/>
      <c r="U153" s="518"/>
      <c r="V153" s="518"/>
      <c r="W153" s="518"/>
      <c r="X153" s="518"/>
      <c r="Y153" s="518"/>
      <c r="Z153" s="518"/>
      <c r="AA153" s="518"/>
      <c r="AB153" s="520"/>
      <c r="AC153" s="520"/>
      <c r="AD153" s="520"/>
      <c r="AE153" s="520"/>
      <c r="AF153" s="520"/>
      <c r="AG153" s="520"/>
      <c r="AH153" s="520"/>
      <c r="AI153" s="520"/>
      <c r="AJ153" s="520"/>
      <c r="AK153" s="520"/>
      <c r="AL153" s="520"/>
      <c r="AM153" s="520"/>
      <c r="AN153" s="520"/>
      <c r="AO153" s="520"/>
      <c r="AP153" s="520"/>
      <c r="AQ153" s="520"/>
      <c r="AR153" s="520"/>
      <c r="AS153" s="520"/>
      <c r="AT153" s="520"/>
      <c r="AU153" s="520"/>
      <c r="AV153" s="520"/>
      <c r="AW153" s="520"/>
      <c r="AX153" s="520"/>
      <c r="AY153" s="520"/>
      <c r="AZ153" s="520"/>
      <c r="BA153" s="520"/>
      <c r="BB153" s="520"/>
      <c r="BC153" s="520"/>
      <c r="BD153" s="520"/>
    </row>
    <row r="154" spans="1:56" s="521" customFormat="1" ht="13.5">
      <c r="A154" s="522"/>
      <c r="B154" s="522"/>
      <c r="C154" s="522"/>
      <c r="D154" s="522"/>
      <c r="E154" s="522"/>
      <c r="F154" s="522"/>
      <c r="G154" s="522"/>
      <c r="H154" s="766"/>
      <c r="I154" s="767" t="s">
        <v>102</v>
      </c>
      <c r="J154" s="767"/>
      <c r="K154" s="767"/>
      <c r="L154" s="204"/>
      <c r="M154" s="204"/>
      <c r="N154" s="204"/>
      <c r="O154" s="204"/>
      <c r="P154" s="204"/>
      <c r="Q154" s="204"/>
      <c r="R154" s="204"/>
      <c r="S154" s="520"/>
      <c r="T154" s="518"/>
      <c r="U154" s="518"/>
      <c r="V154" s="518"/>
      <c r="W154" s="518"/>
      <c r="X154" s="518"/>
      <c r="Y154" s="518"/>
      <c r="Z154" s="518"/>
      <c r="AA154" s="518"/>
      <c r="AB154" s="520"/>
      <c r="AC154" s="520"/>
      <c r="AD154" s="520"/>
      <c r="AE154" s="520"/>
      <c r="AF154" s="520"/>
      <c r="AG154" s="520"/>
      <c r="AH154" s="520"/>
      <c r="AI154" s="520"/>
      <c r="AJ154" s="520"/>
      <c r="AK154" s="520"/>
      <c r="AL154" s="520"/>
      <c r="AM154" s="520"/>
      <c r="AN154" s="520"/>
      <c r="AO154" s="520"/>
      <c r="AP154" s="520"/>
      <c r="AQ154" s="520"/>
      <c r="AR154" s="520"/>
      <c r="AS154" s="520"/>
      <c r="AT154" s="520"/>
      <c r="AU154" s="520"/>
      <c r="AV154" s="520"/>
      <c r="AW154" s="520"/>
      <c r="AX154" s="520"/>
      <c r="AY154" s="520"/>
      <c r="AZ154" s="520"/>
      <c r="BA154" s="520"/>
      <c r="BB154" s="520"/>
      <c r="BC154" s="520"/>
      <c r="BD154" s="520"/>
    </row>
    <row r="155" spans="1:56" s="521" customFormat="1" ht="3" customHeight="1">
      <c r="A155" s="522"/>
      <c r="B155" s="522"/>
      <c r="C155" s="522"/>
      <c r="D155" s="522"/>
      <c r="E155" s="522"/>
      <c r="F155" s="522"/>
      <c r="G155" s="522"/>
      <c r="H155" s="768"/>
      <c r="I155" s="767"/>
      <c r="J155" s="767"/>
      <c r="K155" s="767"/>
      <c r="L155" s="204"/>
      <c r="M155" s="204"/>
      <c r="N155" s="204"/>
      <c r="O155" s="204"/>
      <c r="P155" s="204"/>
      <c r="Q155" s="204"/>
      <c r="R155" s="204"/>
      <c r="S155" s="520"/>
      <c r="T155" s="518"/>
      <c r="U155" s="518"/>
      <c r="V155" s="518"/>
      <c r="W155" s="518"/>
      <c r="X155" s="518"/>
      <c r="Y155" s="518"/>
      <c r="Z155" s="518"/>
      <c r="AA155" s="518"/>
      <c r="AB155" s="520"/>
      <c r="AC155" s="520"/>
      <c r="AD155" s="520"/>
      <c r="AE155" s="520"/>
      <c r="AF155" s="520"/>
      <c r="AG155" s="520"/>
      <c r="AH155" s="520"/>
      <c r="AI155" s="520"/>
      <c r="AJ155" s="520"/>
      <c r="AK155" s="520"/>
      <c r="AL155" s="520"/>
      <c r="AM155" s="520"/>
      <c r="AN155" s="520"/>
      <c r="AO155" s="520"/>
      <c r="AP155" s="520"/>
      <c r="AQ155" s="520"/>
      <c r="AR155" s="520"/>
      <c r="AS155" s="520"/>
      <c r="AT155" s="520"/>
      <c r="AU155" s="520"/>
      <c r="AV155" s="520"/>
      <c r="AW155" s="520"/>
      <c r="AX155" s="520"/>
      <c r="AY155" s="520"/>
      <c r="AZ155" s="520"/>
      <c r="BA155" s="520"/>
      <c r="BB155" s="520"/>
      <c r="BC155" s="520"/>
      <c r="BD155" s="520"/>
    </row>
  </sheetData>
  <phoneticPr fontId="3" type="noConversion"/>
  <pageMargins left="0.5" right="0.5" top="0.5" bottom="0.5" header="0.5" footer="0.5"/>
  <pageSetup scale="70" orientation="portrait" r:id="rId1"/>
  <headerFooter alignWithMargins="0"/>
  <rowBreaks count="1" manualBreakCount="1">
    <brk id="83" max="18"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enableFormatConditionsCalculation="0">
    <tabColor indexed="56"/>
    <pageSetUpPr fitToPage="1"/>
  </sheetPr>
  <dimension ref="A1:EY38"/>
  <sheetViews>
    <sheetView topLeftCell="H5" zoomScaleNormal="100" workbookViewId="0"/>
  </sheetViews>
  <sheetFormatPr defaultRowHeight="15.75" outlineLevelRow="1" outlineLevelCol="1"/>
  <cols>
    <col min="1" max="6" width="9.140625" style="240" hidden="1" customWidth="1" outlineLevel="1"/>
    <col min="7" max="7" width="2.7109375" style="240" hidden="1" customWidth="1" outlineLevel="1"/>
    <col min="8" max="8" width="18.85546875" style="551" customWidth="1" collapsed="1"/>
    <col min="9" max="14" width="20.42578125" style="551" customWidth="1"/>
    <col min="15" max="15" width="1.28515625" style="551" customWidth="1"/>
    <col min="16" max="16" width="20.42578125" style="551" customWidth="1"/>
    <col min="17" max="17" width="1.42578125" style="551" customWidth="1"/>
    <col min="18" max="16384" width="9.140625" style="551"/>
  </cols>
  <sheetData>
    <row r="1" spans="1:155" s="240" customFormat="1" ht="12.75" hidden="1" outlineLevel="1">
      <c r="A1" s="85"/>
      <c r="B1" s="85"/>
      <c r="C1" s="85"/>
      <c r="D1" s="85"/>
      <c r="E1" s="85"/>
      <c r="F1" s="85"/>
      <c r="G1" s="85"/>
      <c r="H1" s="85"/>
      <c r="EY1" s="240" t="s">
        <v>1120</v>
      </c>
    </row>
    <row r="2" spans="1:155" s="240" customFormat="1" ht="12.75" hidden="1" outlineLevel="1">
      <c r="A2" s="85"/>
      <c r="B2" s="85"/>
      <c r="C2" s="85"/>
      <c r="D2" s="85"/>
      <c r="E2" s="85"/>
      <c r="F2" s="85"/>
      <c r="G2" s="85"/>
      <c r="H2" s="85"/>
    </row>
    <row r="3" spans="1:155" s="240" customFormat="1" ht="12.75" hidden="1" outlineLevel="1">
      <c r="A3" s="85"/>
      <c r="B3" s="85"/>
      <c r="C3" s="85"/>
      <c r="D3" s="85"/>
      <c r="E3" s="85"/>
      <c r="F3" s="85"/>
      <c r="G3" s="85"/>
      <c r="H3" s="85"/>
    </row>
    <row r="4" spans="1:155" s="240" customFormat="1" ht="12.75" hidden="1" collapsed="1">
      <c r="A4" s="85"/>
      <c r="B4" s="85"/>
      <c r="C4" s="85"/>
      <c r="D4" s="85"/>
      <c r="E4" s="85"/>
      <c r="F4" s="85"/>
      <c r="G4" s="85"/>
      <c r="H4" s="85"/>
    </row>
    <row r="5" spans="1:155">
      <c r="A5" s="85"/>
      <c r="B5" s="85"/>
      <c r="C5" s="85"/>
      <c r="D5" s="85"/>
      <c r="E5" s="85"/>
      <c r="F5" s="85"/>
      <c r="G5" s="85"/>
      <c r="H5" s="64" t="str">
        <f>CompanyName</f>
        <v>Eli Lilly &amp; Co.</v>
      </c>
      <c r="I5" s="550"/>
      <c r="J5" s="550"/>
      <c r="K5" s="550"/>
      <c r="L5" s="550"/>
      <c r="M5" s="550"/>
      <c r="N5" s="550"/>
      <c r="O5" s="550"/>
      <c r="P5" s="550"/>
      <c r="Q5" s="550"/>
    </row>
    <row r="6" spans="1:155">
      <c r="A6" s="85"/>
      <c r="B6" s="85"/>
      <c r="C6" s="85"/>
      <c r="D6" s="85"/>
      <c r="E6" s="85"/>
      <c r="F6" s="85"/>
      <c r="G6" s="85"/>
      <c r="H6" s="64" t="s">
        <v>533</v>
      </c>
      <c r="I6" s="550"/>
      <c r="J6" s="550"/>
      <c r="K6" s="550"/>
      <c r="L6" s="550"/>
      <c r="M6" s="550"/>
      <c r="N6" s="550"/>
      <c r="O6" s="550"/>
      <c r="P6" s="550"/>
      <c r="Q6" s="550"/>
    </row>
    <row r="7" spans="1:155" ht="4.5" customHeight="1">
      <c r="A7" s="85"/>
      <c r="B7" s="85"/>
      <c r="C7" s="85"/>
      <c r="D7" s="85"/>
      <c r="E7" s="85"/>
      <c r="F7" s="85"/>
      <c r="G7" s="85"/>
    </row>
    <row r="8" spans="1:155" ht="4.5" customHeight="1">
      <c r="A8" s="85"/>
      <c r="B8" s="85"/>
      <c r="C8" s="85"/>
      <c r="D8" s="85"/>
      <c r="E8" s="85"/>
      <c r="F8" s="85"/>
      <c r="G8" s="85"/>
    </row>
    <row r="9" spans="1:155">
      <c r="A9" s="85"/>
      <c r="B9" s="85"/>
      <c r="C9" s="85"/>
      <c r="D9" s="85"/>
      <c r="E9" s="85"/>
      <c r="F9" s="85"/>
      <c r="G9" s="85"/>
    </row>
    <row r="10" spans="1:155" s="554" customFormat="1">
      <c r="A10" s="85"/>
      <c r="B10" s="85"/>
      <c r="C10" s="85"/>
      <c r="D10" s="85"/>
      <c r="E10" s="85"/>
      <c r="F10" s="85"/>
      <c r="G10" s="552"/>
      <c r="H10" s="553" t="s">
        <v>534</v>
      </c>
      <c r="I10" s="754">
        <v>2018</v>
      </c>
      <c r="J10" s="754">
        <v>2018</v>
      </c>
      <c r="K10" s="754">
        <v>2018</v>
      </c>
      <c r="L10" s="754">
        <v>2018</v>
      </c>
      <c r="M10" s="754">
        <v>2018</v>
      </c>
      <c r="N10" s="754">
        <v>2018</v>
      </c>
      <c r="O10" s="1002"/>
      <c r="P10" s="754">
        <v>2020</v>
      </c>
      <c r="Q10" s="999"/>
    </row>
    <row r="11" spans="1:155" s="554" customFormat="1">
      <c r="A11" s="85"/>
      <c r="B11" s="85"/>
      <c r="C11" s="85"/>
      <c r="D11" s="85"/>
      <c r="E11" s="85"/>
      <c r="F11" s="85"/>
      <c r="G11" s="552"/>
      <c r="H11" s="755" t="s">
        <v>535</v>
      </c>
      <c r="I11" s="1000">
        <v>42011</v>
      </c>
      <c r="J11" s="1194">
        <v>42577</v>
      </c>
      <c r="K11" s="1194">
        <v>42667</v>
      </c>
      <c r="L11" s="1194">
        <v>43082</v>
      </c>
      <c r="M11" s="1194" t="s">
        <v>1073</v>
      </c>
      <c r="N11" s="1194">
        <v>43214</v>
      </c>
      <c r="O11" s="1195"/>
      <c r="P11" s="1194">
        <v>43082</v>
      </c>
      <c r="Q11" s="1000"/>
    </row>
    <row r="12" spans="1:155" ht="25.5">
      <c r="A12" s="85"/>
      <c r="B12" s="85"/>
      <c r="C12" s="85"/>
      <c r="D12" s="85"/>
      <c r="E12" s="85"/>
      <c r="F12" s="85"/>
      <c r="G12" s="85"/>
      <c r="H12" s="997" t="s">
        <v>709</v>
      </c>
      <c r="I12" s="941"/>
      <c r="J12" s="941"/>
      <c r="K12" s="941"/>
      <c r="L12" s="1243" t="s">
        <v>1057</v>
      </c>
      <c r="M12" s="1243" t="s">
        <v>1057</v>
      </c>
      <c r="N12" s="1250" t="s">
        <v>1131</v>
      </c>
      <c r="O12" s="1004"/>
      <c r="P12" s="941" t="s">
        <v>1066</v>
      </c>
      <c r="Q12" s="941"/>
    </row>
    <row r="13" spans="1:155" ht="25.5">
      <c r="A13" s="85"/>
      <c r="B13" s="85"/>
      <c r="C13" s="85"/>
      <c r="D13" s="85"/>
      <c r="E13" s="85"/>
      <c r="F13" s="85"/>
      <c r="G13" s="85"/>
      <c r="H13" s="997" t="s">
        <v>92</v>
      </c>
      <c r="I13" s="941"/>
      <c r="J13" s="941"/>
      <c r="K13" s="941"/>
      <c r="L13" s="1227" t="s">
        <v>1059</v>
      </c>
      <c r="M13" s="1227" t="s">
        <v>1059</v>
      </c>
      <c r="N13" s="1227" t="s">
        <v>1059</v>
      </c>
      <c r="O13" s="1004"/>
      <c r="P13" s="941" t="s">
        <v>1067</v>
      </c>
      <c r="Q13" s="941"/>
    </row>
    <row r="14" spans="1:155" ht="25.5">
      <c r="A14" s="85"/>
      <c r="B14" s="85"/>
      <c r="C14" s="85"/>
      <c r="D14" s="85"/>
      <c r="E14" s="85"/>
      <c r="F14" s="85"/>
      <c r="G14" s="85"/>
      <c r="H14" s="997" t="s">
        <v>58</v>
      </c>
      <c r="I14" s="1269" t="s">
        <v>794</v>
      </c>
      <c r="J14" s="1269" t="s">
        <v>794</v>
      </c>
      <c r="K14" s="1269" t="s">
        <v>1056</v>
      </c>
      <c r="L14" s="1227" t="s">
        <v>1060</v>
      </c>
      <c r="M14" s="1227" t="s">
        <v>1060</v>
      </c>
      <c r="N14" s="1249" t="s">
        <v>1132</v>
      </c>
      <c r="O14" s="1004"/>
      <c r="P14" s="941"/>
      <c r="Q14" s="941"/>
    </row>
    <row r="15" spans="1:155">
      <c r="A15" s="85"/>
      <c r="B15" s="85"/>
      <c r="C15" s="85"/>
      <c r="D15" s="85"/>
      <c r="E15" s="85"/>
      <c r="F15" s="85"/>
      <c r="G15" s="85"/>
      <c r="H15" s="997" t="s">
        <v>571</v>
      </c>
      <c r="I15" s="1269"/>
      <c r="J15" s="1269"/>
      <c r="K15" s="1269"/>
      <c r="L15" s="1227" t="s">
        <v>972</v>
      </c>
      <c r="M15" s="1227" t="s">
        <v>972</v>
      </c>
      <c r="N15" s="1249" t="s">
        <v>1133</v>
      </c>
      <c r="O15" s="1004"/>
      <c r="P15" s="941"/>
      <c r="Q15" s="941"/>
    </row>
    <row r="16" spans="1:155">
      <c r="A16" s="85"/>
      <c r="B16" s="85"/>
      <c r="C16" s="85"/>
      <c r="D16" s="85"/>
      <c r="E16" s="85"/>
      <c r="F16" s="85"/>
      <c r="G16" s="85"/>
      <c r="H16" s="997" t="s">
        <v>1064</v>
      </c>
      <c r="I16" s="1244"/>
      <c r="J16" s="1244"/>
      <c r="K16" s="1244"/>
      <c r="L16" s="1227" t="s">
        <v>207</v>
      </c>
      <c r="M16" s="1227" t="s">
        <v>207</v>
      </c>
      <c r="N16" s="1227" t="s">
        <v>207</v>
      </c>
      <c r="O16" s="1004"/>
      <c r="P16" s="1245" t="s">
        <v>1065</v>
      </c>
      <c r="Q16" s="941"/>
    </row>
    <row r="17" spans="1:17">
      <c r="A17" s="85"/>
      <c r="B17" s="85"/>
      <c r="C17" s="85"/>
      <c r="D17" s="85"/>
      <c r="E17" s="85"/>
      <c r="F17" s="85"/>
      <c r="G17" s="85"/>
      <c r="H17" s="997" t="s">
        <v>93</v>
      </c>
      <c r="I17" s="753"/>
      <c r="J17" s="753"/>
      <c r="K17" s="753"/>
      <c r="L17" s="1227" t="s">
        <v>1061</v>
      </c>
      <c r="M17" s="1227" t="s">
        <v>1061</v>
      </c>
      <c r="N17" s="1249" t="s">
        <v>1134</v>
      </c>
      <c r="O17" s="1004"/>
      <c r="P17" s="753"/>
      <c r="Q17" s="753"/>
    </row>
    <row r="18" spans="1:17">
      <c r="A18" s="85"/>
      <c r="B18" s="85"/>
      <c r="C18" s="85"/>
      <c r="D18" s="85"/>
      <c r="E18" s="85"/>
      <c r="F18" s="85"/>
      <c r="G18" s="85"/>
      <c r="H18" s="997" t="s">
        <v>573</v>
      </c>
      <c r="I18" s="756"/>
      <c r="J18" s="756"/>
      <c r="K18" s="756"/>
      <c r="L18" s="1227" t="s">
        <v>1062</v>
      </c>
      <c r="M18" s="1249" t="s">
        <v>1074</v>
      </c>
      <c r="N18" s="1249" t="s">
        <v>1135</v>
      </c>
      <c r="O18" s="1004"/>
      <c r="P18" s="756"/>
      <c r="Q18" s="756"/>
    </row>
    <row r="19" spans="1:17">
      <c r="A19" s="85"/>
      <c r="B19" s="85"/>
      <c r="C19" s="85"/>
      <c r="D19" s="85"/>
      <c r="E19" s="85"/>
      <c r="F19" s="85"/>
      <c r="G19" s="85"/>
      <c r="H19" s="997" t="s">
        <v>65</v>
      </c>
      <c r="I19" s="753"/>
      <c r="J19" s="753"/>
      <c r="K19" s="753"/>
      <c r="L19" s="1243" t="s">
        <v>1058</v>
      </c>
      <c r="M19" s="1250" t="s">
        <v>1071</v>
      </c>
      <c r="N19" s="1250" t="s">
        <v>1136</v>
      </c>
      <c r="O19" s="1004"/>
      <c r="P19" s="753"/>
      <c r="Q19" s="753"/>
    </row>
    <row r="20" spans="1:17">
      <c r="A20" s="85"/>
      <c r="B20" s="85"/>
      <c r="C20" s="85"/>
      <c r="D20" s="85"/>
      <c r="E20" s="85"/>
      <c r="F20" s="85"/>
      <c r="G20" s="85"/>
      <c r="H20" s="997" t="s">
        <v>94</v>
      </c>
      <c r="I20" s="753"/>
      <c r="J20" s="753"/>
      <c r="K20" s="753"/>
      <c r="L20" s="1227" t="s">
        <v>971</v>
      </c>
      <c r="M20" s="1227" t="s">
        <v>971</v>
      </c>
      <c r="N20" s="1227" t="s">
        <v>971</v>
      </c>
      <c r="O20" s="1004"/>
      <c r="P20" s="753"/>
      <c r="Q20" s="753"/>
    </row>
    <row r="21" spans="1:17" ht="41.25" customHeight="1">
      <c r="A21" s="85"/>
      <c r="B21" s="85"/>
      <c r="C21" s="85"/>
      <c r="D21" s="85"/>
      <c r="E21" s="85"/>
      <c r="F21" s="85"/>
      <c r="G21" s="85"/>
      <c r="H21" s="998" t="s">
        <v>628</v>
      </c>
      <c r="I21" s="983"/>
      <c r="J21" s="983"/>
      <c r="K21" s="983"/>
      <c r="L21" s="1003"/>
      <c r="M21" s="1003"/>
      <c r="N21" s="1003"/>
      <c r="O21" s="1005"/>
      <c r="P21" s="983"/>
      <c r="Q21" s="983"/>
    </row>
    <row r="22" spans="1:17" ht="25.5">
      <c r="F22" s="85"/>
      <c r="G22" s="85"/>
      <c r="H22" s="998" t="s">
        <v>920</v>
      </c>
      <c r="L22" s="1003" t="s">
        <v>1063</v>
      </c>
      <c r="M22" s="1003" t="s">
        <v>1063</v>
      </c>
      <c r="N22" s="1267" t="s">
        <v>1137</v>
      </c>
      <c r="O22" s="1005"/>
    </row>
    <row r="23" spans="1:17">
      <c r="A23" s="555"/>
      <c r="B23" s="555"/>
      <c r="C23" s="555"/>
      <c r="D23" s="555"/>
      <c r="E23" s="555"/>
      <c r="F23" s="555"/>
      <c r="G23" s="555"/>
    </row>
    <row r="26" spans="1:17">
      <c r="A26" s="555"/>
      <c r="B26" s="555"/>
      <c r="C26" s="555"/>
      <c r="D26" s="555"/>
      <c r="E26" s="555"/>
      <c r="F26" s="555"/>
      <c r="G26" s="555"/>
    </row>
    <row r="35" spans="1:7">
      <c r="A35" s="555"/>
      <c r="B35" s="555"/>
      <c r="C35" s="555"/>
      <c r="D35" s="555"/>
      <c r="E35" s="555"/>
      <c r="F35" s="555"/>
      <c r="G35" s="555"/>
    </row>
    <row r="38" spans="1:7">
      <c r="A38" s="555"/>
      <c r="B38" s="555"/>
      <c r="C38" s="555"/>
      <c r="D38" s="555"/>
      <c r="E38" s="555"/>
      <c r="F38" s="555"/>
      <c r="G38" s="555"/>
    </row>
  </sheetData>
  <mergeCells count="3">
    <mergeCell ref="I14:I15"/>
    <mergeCell ref="J14:J15"/>
    <mergeCell ref="K14:K15"/>
  </mergeCells>
  <phoneticPr fontId="3" type="noConversion"/>
  <pageMargins left="0.5" right="0.5" top="0.5" bottom="0.5" header="0.5" footer="0.5"/>
  <pageSetup scale="90" orientation="landscape" verticalDpi="1200" r:id="rId1"/>
  <headerFooter alignWithMargins="0"/>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enableFormatConditionsCalculation="0">
    <tabColor rgb="FFCC99FF"/>
  </sheetPr>
  <dimension ref="A1:EX180"/>
  <sheetViews>
    <sheetView topLeftCell="H5" zoomScaleNormal="100" workbookViewId="0"/>
  </sheetViews>
  <sheetFormatPr defaultRowHeight="12.75" outlineLevelRow="1" outlineLevelCol="1"/>
  <cols>
    <col min="1" max="6" width="9.140625" style="240" hidden="1" customWidth="1" outlineLevel="1"/>
    <col min="7" max="7" width="2.42578125" style="240" hidden="1" customWidth="1" outlineLevel="1"/>
    <col min="8" max="8" width="2.28515625" style="240" customWidth="1" collapsed="1"/>
    <col min="9" max="9" width="14.28515625" style="240" customWidth="1"/>
    <col min="10" max="10" width="1.28515625" style="240" customWidth="1"/>
    <col min="11" max="11" width="1.5703125" style="240" customWidth="1"/>
    <col min="12" max="14" width="6.85546875" style="240" hidden="1" customWidth="1" outlineLevel="1"/>
    <col min="15" max="15" width="7.5703125" style="240" hidden="1" customWidth="1" outlineLevel="1"/>
    <col min="16" max="16" width="7.5703125" style="240" hidden="1" customWidth="1" collapsed="1"/>
    <col min="17" max="19" width="6.85546875" style="240" hidden="1" customWidth="1" outlineLevel="1"/>
    <col min="20" max="20" width="7.5703125" style="240" hidden="1" customWidth="1" outlineLevel="1"/>
    <col min="21" max="21" width="7.5703125" style="240" hidden="1" customWidth="1" collapsed="1"/>
    <col min="22" max="24" width="6.85546875" style="240" hidden="1" customWidth="1" outlineLevel="1"/>
    <col min="25" max="25" width="7.5703125" style="240" hidden="1" customWidth="1" outlineLevel="1"/>
    <col min="26" max="26" width="7.5703125" style="240" hidden="1" customWidth="1" collapsed="1"/>
    <col min="27" max="29" width="6.85546875" style="240" hidden="1" customWidth="1" outlineLevel="1"/>
    <col min="30" max="30" width="7.5703125" style="240" hidden="1" customWidth="1" outlineLevel="1"/>
    <col min="31" max="31" width="7.5703125" style="240" hidden="1" customWidth="1" collapsed="1"/>
    <col min="32" max="34" width="6.85546875" style="240" hidden="1" customWidth="1" outlineLevel="1"/>
    <col min="35" max="35" width="7.5703125" style="240" hidden="1" customWidth="1" outlineLevel="1"/>
    <col min="36" max="36" width="7.5703125" style="240" hidden="1" customWidth="1" collapsed="1"/>
    <col min="37" max="39" width="6.85546875" style="240" hidden="1" customWidth="1" outlineLevel="1"/>
    <col min="40" max="40" width="7.5703125" style="240" hidden="1" customWidth="1" outlineLevel="1"/>
    <col min="41" max="41" width="7.5703125" style="240" hidden="1" customWidth="1" collapsed="1"/>
    <col min="42" max="44" width="6.85546875" style="240" hidden="1" customWidth="1" outlineLevel="1"/>
    <col min="45" max="45" width="7.5703125" style="240" hidden="1" customWidth="1" outlineLevel="1"/>
    <col min="46" max="46" width="7.5703125" style="240" hidden="1" customWidth="1" collapsed="1"/>
    <col min="47" max="49" width="6.85546875" style="240" hidden="1" customWidth="1" outlineLevel="1"/>
    <col min="50" max="50" width="7.5703125" style="240" hidden="1" customWidth="1" outlineLevel="1"/>
    <col min="51" max="51" width="7.5703125" style="240" hidden="1" customWidth="1" collapsed="1"/>
    <col min="52" max="54" width="6.85546875" style="240" hidden="1" customWidth="1" outlineLevel="1"/>
    <col min="55" max="55" width="7.5703125" style="240" hidden="1" customWidth="1" outlineLevel="1"/>
    <col min="56" max="56" width="7.5703125" style="240" hidden="1" customWidth="1" collapsed="1"/>
    <col min="57" max="59" width="6.85546875" style="240" hidden="1" customWidth="1" outlineLevel="1"/>
    <col min="60" max="60" width="7.5703125" style="240" hidden="1" customWidth="1" outlineLevel="1"/>
    <col min="61" max="61" width="7.5703125" style="240" hidden="1" customWidth="1" collapsed="1"/>
    <col min="62" max="64" width="6.85546875" style="240" hidden="1" customWidth="1" outlineLevel="1"/>
    <col min="65" max="65" width="7.5703125" style="240" hidden="1" customWidth="1" outlineLevel="1"/>
    <col min="66" max="66" width="7.5703125" style="240" bestFit="1" customWidth="1" collapsed="1"/>
    <col min="67" max="69" width="6.85546875" style="240" hidden="1" customWidth="1" outlineLevel="1"/>
    <col min="70" max="70" width="7.5703125" style="240" hidden="1" customWidth="1" outlineLevel="1"/>
    <col min="71" max="71" width="7.5703125" style="240" bestFit="1" customWidth="1" collapsed="1"/>
    <col min="72" max="74" width="6.85546875" style="240" hidden="1" customWidth="1" outlineLevel="1"/>
    <col min="75" max="75" width="7.5703125" style="240" hidden="1" customWidth="1" outlineLevel="1"/>
    <col min="76" max="76" width="7.5703125" style="240" bestFit="1" customWidth="1" collapsed="1"/>
    <col min="77" max="79" width="6.85546875" style="240" hidden="1" customWidth="1" outlineLevel="1"/>
    <col min="80" max="80" width="7.5703125" style="240" hidden="1" customWidth="1" outlineLevel="1"/>
    <col min="81" max="86" width="7.5703125" style="240" bestFit="1" customWidth="1" collapsed="1"/>
    <col min="87" max="16384" width="9.140625" style="240"/>
  </cols>
  <sheetData>
    <row r="1" spans="1:154" hidden="1" outlineLevel="1">
      <c r="A1" s="85"/>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F1" s="85"/>
      <c r="CG1" s="85"/>
      <c r="CH1" s="85"/>
      <c r="EX1" s="240" t="s">
        <v>1120</v>
      </c>
    </row>
    <row r="2" spans="1:154" hidden="1" outlineLevel="1">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85"/>
      <c r="BS2" s="85"/>
      <c r="BT2" s="85"/>
      <c r="BU2" s="85"/>
      <c r="BV2" s="85"/>
      <c r="BW2" s="85"/>
      <c r="BX2" s="85"/>
      <c r="BY2" s="85"/>
      <c r="BZ2" s="85"/>
      <c r="CA2" s="85"/>
      <c r="CB2" s="85"/>
      <c r="CC2" s="85"/>
      <c r="CD2" s="85"/>
      <c r="CE2" s="85"/>
      <c r="CF2" s="85"/>
      <c r="CG2" s="85"/>
      <c r="CH2" s="85"/>
    </row>
    <row r="3" spans="1:154" ht="13.5" hidden="1" outlineLevel="1">
      <c r="A3" s="85"/>
      <c r="B3" s="85"/>
      <c r="C3" s="85"/>
      <c r="D3" s="85"/>
      <c r="E3" s="85"/>
      <c r="F3" s="85"/>
      <c r="G3" s="9"/>
      <c r="H3" s="9"/>
      <c r="I3" s="9"/>
      <c r="J3" s="9"/>
      <c r="K3" s="9"/>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85"/>
      <c r="AZ3" s="85"/>
      <c r="BA3" s="85"/>
      <c r="BB3" s="85"/>
      <c r="BC3" s="85"/>
      <c r="BD3" s="85"/>
      <c r="BE3" s="85"/>
      <c r="BF3" s="85"/>
      <c r="BG3" s="85"/>
      <c r="BH3" s="85"/>
      <c r="BI3" s="85"/>
      <c r="BJ3" s="85"/>
      <c r="BK3" s="85"/>
      <c r="BL3" s="85"/>
      <c r="BM3" s="85"/>
      <c r="BN3" s="85"/>
      <c r="BO3" s="85"/>
      <c r="BP3" s="85"/>
      <c r="BQ3" s="85"/>
      <c r="BR3" s="85"/>
      <c r="BS3" s="85"/>
      <c r="BT3" s="85"/>
      <c r="BU3" s="85"/>
      <c r="BV3" s="85"/>
      <c r="BW3" s="85"/>
      <c r="BX3" s="85"/>
      <c r="BY3" s="85"/>
      <c r="BZ3" s="85"/>
      <c r="CA3" s="85"/>
      <c r="CB3" s="85"/>
      <c r="CC3" s="85"/>
      <c r="CD3" s="85"/>
      <c r="CE3" s="85"/>
      <c r="CF3" s="85"/>
      <c r="CG3" s="85"/>
      <c r="CH3" s="85"/>
    </row>
    <row r="4" spans="1:154" ht="13.5" hidden="1" collapsed="1">
      <c r="A4" s="85"/>
      <c r="B4" s="85"/>
      <c r="C4" s="85"/>
      <c r="D4" s="85"/>
      <c r="E4" s="85"/>
      <c r="F4" s="85"/>
      <c r="G4" s="9"/>
      <c r="H4" s="9"/>
      <c r="I4" s="9"/>
      <c r="J4" s="9"/>
      <c r="K4" s="9"/>
      <c r="L4" s="12">
        <v>38442</v>
      </c>
      <c r="M4" s="12">
        <v>38533</v>
      </c>
      <c r="N4" s="12">
        <v>38625</v>
      </c>
      <c r="O4" s="12">
        <v>38717</v>
      </c>
      <c r="P4" s="12">
        <v>38717</v>
      </c>
      <c r="Q4" s="12">
        <v>38807</v>
      </c>
      <c r="R4" s="12">
        <v>38898</v>
      </c>
      <c r="S4" s="12">
        <v>38990</v>
      </c>
      <c r="T4" s="12">
        <v>39082</v>
      </c>
      <c r="U4" s="12">
        <v>39082</v>
      </c>
      <c r="V4" s="12">
        <v>39172</v>
      </c>
      <c r="W4" s="12">
        <v>39263</v>
      </c>
      <c r="X4" s="12">
        <v>39355</v>
      </c>
      <c r="Y4" s="12">
        <v>39447</v>
      </c>
      <c r="Z4" s="12">
        <v>39447</v>
      </c>
      <c r="AA4" s="12">
        <v>39538</v>
      </c>
      <c r="AB4" s="12">
        <v>39629</v>
      </c>
      <c r="AC4" s="12">
        <v>39721</v>
      </c>
      <c r="AD4" s="12">
        <v>39813</v>
      </c>
      <c r="AE4" s="12">
        <v>39813</v>
      </c>
      <c r="AF4" s="12">
        <v>39903</v>
      </c>
      <c r="AG4" s="12">
        <v>39994</v>
      </c>
      <c r="AH4" s="12">
        <v>40086</v>
      </c>
      <c r="AI4" s="12">
        <v>40178</v>
      </c>
      <c r="AJ4" s="12">
        <v>40178</v>
      </c>
      <c r="AK4" s="12">
        <v>40268</v>
      </c>
      <c r="AL4" s="12">
        <v>40359</v>
      </c>
      <c r="AM4" s="12">
        <v>40451</v>
      </c>
      <c r="AN4" s="12">
        <v>40543</v>
      </c>
      <c r="AO4" s="12">
        <v>40543</v>
      </c>
      <c r="AP4" s="12">
        <v>40633</v>
      </c>
      <c r="AQ4" s="12">
        <v>40724</v>
      </c>
      <c r="AR4" s="12">
        <v>40816</v>
      </c>
      <c r="AS4" s="12">
        <v>40908</v>
      </c>
      <c r="AT4" s="12">
        <v>40908</v>
      </c>
      <c r="AU4" s="12">
        <v>40999</v>
      </c>
      <c r="AV4" s="12">
        <v>41090</v>
      </c>
      <c r="AW4" s="12">
        <v>41182</v>
      </c>
      <c r="AX4" s="12">
        <v>41274</v>
      </c>
      <c r="AY4" s="12">
        <v>41274</v>
      </c>
      <c r="AZ4" s="12">
        <v>41364</v>
      </c>
      <c r="BA4" s="12">
        <v>41455</v>
      </c>
      <c r="BB4" s="12">
        <v>41547</v>
      </c>
      <c r="BC4" s="12">
        <v>41639</v>
      </c>
      <c r="BD4" s="12">
        <v>41639</v>
      </c>
      <c r="BE4" s="12">
        <v>41729</v>
      </c>
      <c r="BF4" s="12">
        <v>41820</v>
      </c>
      <c r="BG4" s="12">
        <v>41912</v>
      </c>
      <c r="BH4" s="12">
        <v>42004</v>
      </c>
      <c r="BI4" s="12">
        <v>42004</v>
      </c>
      <c r="BJ4" s="12">
        <v>42094</v>
      </c>
      <c r="BK4" s="12">
        <v>42185</v>
      </c>
      <c r="BL4" s="12">
        <v>42277</v>
      </c>
      <c r="BM4" s="12">
        <v>42369</v>
      </c>
      <c r="BN4" s="12">
        <v>42369</v>
      </c>
      <c r="BO4" s="12">
        <v>42460</v>
      </c>
      <c r="BP4" s="12">
        <v>42551</v>
      </c>
      <c r="BQ4" s="12">
        <v>42643</v>
      </c>
      <c r="BR4" s="12">
        <v>42735</v>
      </c>
      <c r="BS4" s="12">
        <v>42735</v>
      </c>
      <c r="BT4" s="12">
        <v>42825</v>
      </c>
      <c r="BU4" s="12">
        <v>42916</v>
      </c>
      <c r="BV4" s="12">
        <v>43008</v>
      </c>
      <c r="BW4" s="12">
        <v>43100</v>
      </c>
      <c r="BX4" s="12">
        <v>43100</v>
      </c>
      <c r="BY4" s="12">
        <v>43190</v>
      </c>
      <c r="BZ4" s="12">
        <v>43281</v>
      </c>
      <c r="CA4" s="12">
        <v>43373</v>
      </c>
      <c r="CB4" s="12">
        <v>43465</v>
      </c>
      <c r="CC4" s="12">
        <v>43465</v>
      </c>
      <c r="CD4" s="12">
        <v>43830</v>
      </c>
      <c r="CE4" s="12">
        <v>44196</v>
      </c>
      <c r="CF4" s="12">
        <v>44561</v>
      </c>
      <c r="CG4" s="12">
        <v>44926</v>
      </c>
      <c r="CH4" s="12">
        <v>45291</v>
      </c>
    </row>
    <row r="5" spans="1:154" s="76" customFormat="1" ht="15.75">
      <c r="A5" s="85"/>
      <c r="B5" s="85"/>
      <c r="C5" s="85"/>
      <c r="D5" s="85"/>
      <c r="E5" s="85"/>
      <c r="F5" s="85"/>
      <c r="G5" s="85"/>
      <c r="H5" s="10" t="str">
        <f>CompanyName</f>
        <v>Eli Lilly &amp; Co.</v>
      </c>
      <c r="I5" s="241"/>
      <c r="J5" s="11">
        <f>LatestRpQ</f>
        <v>43190</v>
      </c>
      <c r="K5" s="241"/>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row>
    <row r="6" spans="1:154" s="76" customFormat="1" ht="15.75">
      <c r="A6" s="85"/>
      <c r="B6" s="85"/>
      <c r="C6" s="85"/>
      <c r="D6" s="85"/>
      <c r="E6" s="85"/>
      <c r="F6" s="85"/>
      <c r="G6" s="85"/>
      <c r="H6" s="645" t="s">
        <v>439</v>
      </c>
      <c r="I6" s="241"/>
      <c r="J6" s="11">
        <f>LatestFiledQ</f>
        <v>43100</v>
      </c>
      <c r="K6" s="241"/>
      <c r="L6" s="375"/>
      <c r="M6" s="375"/>
      <c r="N6" s="375"/>
      <c r="O6" s="375"/>
      <c r="P6" s="375"/>
      <c r="Q6" s="375"/>
      <c r="R6" s="375"/>
      <c r="S6" s="375"/>
      <c r="T6" s="375"/>
      <c r="U6" s="375"/>
      <c r="V6" s="375"/>
      <c r="W6" s="375"/>
      <c r="X6" s="375"/>
      <c r="Y6" s="375"/>
      <c r="Z6" s="376"/>
      <c r="AA6" s="375"/>
      <c r="AB6" s="375"/>
      <c r="AC6" s="375"/>
      <c r="AD6" s="375"/>
      <c r="AE6" s="376"/>
      <c r="AF6" s="375"/>
      <c r="AG6" s="375"/>
      <c r="AH6" s="375"/>
      <c r="AI6" s="375"/>
      <c r="AJ6" s="376"/>
      <c r="AK6" s="376"/>
      <c r="AL6" s="376"/>
      <c r="AM6" s="376"/>
      <c r="AN6" s="376"/>
      <c r="AO6" s="375"/>
      <c r="AP6" s="375"/>
      <c r="AQ6" s="375"/>
      <c r="AR6" s="375"/>
      <c r="AS6" s="375"/>
      <c r="AT6" s="375"/>
      <c r="AU6" s="375"/>
      <c r="AV6" s="375"/>
      <c r="AW6" s="375"/>
      <c r="AX6" s="375"/>
      <c r="AY6" s="375"/>
      <c r="AZ6" s="375"/>
      <c r="BA6" s="375"/>
      <c r="BB6" s="375"/>
      <c r="BC6" s="375"/>
      <c r="BD6" s="375"/>
      <c r="BE6" s="375"/>
      <c r="BF6" s="375"/>
      <c r="BG6" s="375"/>
      <c r="BH6" s="375"/>
      <c r="BI6" s="375"/>
      <c r="BJ6" s="375"/>
      <c r="BK6" s="375"/>
      <c r="BL6" s="375"/>
      <c r="BM6" s="375"/>
      <c r="BN6" s="375"/>
      <c r="BO6" s="375"/>
      <c r="BP6" s="375"/>
      <c r="BQ6" s="375"/>
      <c r="BR6" s="375"/>
      <c r="BS6" s="375"/>
      <c r="BT6" s="375"/>
      <c r="BU6" s="375"/>
      <c r="BV6" s="375"/>
      <c r="BW6" s="375"/>
      <c r="BX6" s="375"/>
      <c r="BY6" s="375"/>
      <c r="BZ6" s="375"/>
      <c r="CA6" s="375"/>
      <c r="CB6" s="375"/>
      <c r="CC6" s="375"/>
      <c r="CD6" s="375"/>
      <c r="CE6" s="375"/>
      <c r="CF6" s="375"/>
      <c r="CG6" s="375"/>
      <c r="CH6" s="375"/>
    </row>
    <row r="7" spans="1:154" s="76" customFormat="1" ht="4.5" customHeight="1">
      <c r="A7" s="85"/>
      <c r="B7" s="85"/>
      <c r="C7" s="85"/>
      <c r="D7" s="85"/>
      <c r="E7" s="85"/>
      <c r="F7" s="85"/>
      <c r="G7" s="230"/>
      <c r="H7" s="77"/>
      <c r="I7" s="77"/>
      <c r="J7" s="77"/>
      <c r="K7" s="77"/>
      <c r="L7" s="377"/>
      <c r="M7" s="377"/>
      <c r="N7" s="377"/>
      <c r="O7" s="377"/>
      <c r="P7" s="378"/>
      <c r="Q7" s="378"/>
      <c r="R7" s="378"/>
      <c r="S7" s="378"/>
      <c r="T7" s="378"/>
      <c r="U7" s="378"/>
      <c r="V7" s="378"/>
      <c r="W7" s="378"/>
      <c r="X7" s="378"/>
      <c r="Y7" s="378"/>
      <c r="Z7" s="379"/>
      <c r="AA7" s="378"/>
      <c r="AB7" s="378"/>
      <c r="AC7" s="378"/>
      <c r="AD7" s="378"/>
      <c r="AE7" s="379"/>
      <c r="AF7" s="378"/>
      <c r="AG7" s="378"/>
      <c r="AH7" s="378"/>
      <c r="AI7" s="378"/>
      <c r="AJ7" s="379"/>
      <c r="AK7" s="379"/>
      <c r="AL7" s="379"/>
      <c r="AM7" s="379"/>
      <c r="AN7" s="379"/>
      <c r="AO7" s="379"/>
      <c r="AP7" s="379"/>
      <c r="AQ7" s="379"/>
      <c r="AR7" s="379"/>
      <c r="AS7" s="379"/>
      <c r="AT7" s="379"/>
      <c r="AU7" s="379"/>
      <c r="AV7" s="379"/>
      <c r="AW7" s="379"/>
      <c r="AX7" s="379"/>
      <c r="AY7" s="379"/>
      <c r="AZ7" s="379"/>
      <c r="BA7" s="379"/>
      <c r="BB7" s="379"/>
      <c r="BC7" s="379"/>
      <c r="BD7" s="379"/>
      <c r="BE7" s="379"/>
      <c r="BF7" s="379"/>
      <c r="BG7" s="379"/>
      <c r="BH7" s="379"/>
      <c r="BI7" s="379"/>
      <c r="BJ7" s="379"/>
      <c r="BK7" s="379"/>
      <c r="BL7" s="379"/>
      <c r="BM7" s="379"/>
      <c r="BN7" s="379"/>
      <c r="BO7" s="379"/>
      <c r="BP7" s="379"/>
      <c r="BQ7" s="379"/>
      <c r="BR7" s="379"/>
      <c r="BS7" s="379"/>
      <c r="BT7" s="379"/>
      <c r="BU7" s="379"/>
      <c r="BV7" s="379"/>
      <c r="BW7" s="379"/>
      <c r="BX7" s="379"/>
      <c r="BY7" s="379"/>
      <c r="BZ7" s="379"/>
      <c r="CA7" s="379"/>
      <c r="CB7" s="379"/>
      <c r="CC7" s="379"/>
      <c r="CD7" s="379"/>
      <c r="CE7" s="379"/>
      <c r="CF7" s="379"/>
      <c r="CG7" s="379"/>
      <c r="CH7" s="379"/>
    </row>
    <row r="8" spans="1:154" s="76" customFormat="1" ht="4.5" customHeight="1">
      <c r="A8" s="85"/>
      <c r="B8" s="85"/>
      <c r="C8" s="85"/>
      <c r="D8" s="85"/>
      <c r="E8" s="85"/>
      <c r="F8" s="85"/>
      <c r="G8" s="230"/>
      <c r="H8" s="77"/>
      <c r="I8" s="77"/>
      <c r="J8" s="77"/>
      <c r="K8" s="77"/>
      <c r="L8" s="377"/>
      <c r="M8" s="377"/>
      <c r="N8" s="377"/>
      <c r="O8" s="377"/>
      <c r="P8" s="378"/>
      <c r="Q8" s="378"/>
      <c r="R8" s="378"/>
      <c r="S8" s="378"/>
      <c r="T8" s="378"/>
      <c r="U8" s="378"/>
      <c r="V8" s="378"/>
      <c r="W8" s="378"/>
      <c r="X8" s="378"/>
      <c r="Y8" s="378"/>
      <c r="Z8" s="379"/>
      <c r="AA8" s="378"/>
      <c r="AB8" s="378"/>
      <c r="AC8" s="378"/>
      <c r="AD8" s="378"/>
      <c r="AE8" s="379"/>
      <c r="AF8" s="378"/>
      <c r="AG8" s="378"/>
      <c r="AH8" s="378"/>
      <c r="AI8" s="378"/>
      <c r="AJ8" s="379"/>
      <c r="AK8" s="379"/>
      <c r="AL8" s="379"/>
      <c r="AM8" s="379"/>
      <c r="AN8" s="379"/>
      <c r="AO8" s="379"/>
      <c r="AP8" s="379"/>
      <c r="AQ8" s="379"/>
      <c r="AR8" s="379"/>
      <c r="AS8" s="379"/>
      <c r="AT8" s="379"/>
      <c r="AU8" s="379"/>
      <c r="AV8" s="379"/>
      <c r="AW8" s="379"/>
      <c r="AX8" s="379"/>
      <c r="AY8" s="379"/>
      <c r="AZ8" s="379"/>
      <c r="BA8" s="379"/>
      <c r="BB8" s="379"/>
      <c r="BC8" s="379"/>
      <c r="BD8" s="379"/>
      <c r="BE8" s="379"/>
      <c r="BF8" s="379"/>
      <c r="BG8" s="379"/>
      <c r="BH8" s="379"/>
      <c r="BI8" s="379"/>
      <c r="BJ8" s="379"/>
      <c r="BK8" s="379"/>
      <c r="BL8" s="379"/>
      <c r="BM8" s="379"/>
      <c r="BN8" s="379"/>
      <c r="BO8" s="379"/>
      <c r="BP8" s="379"/>
      <c r="BQ8" s="379"/>
      <c r="BR8" s="379"/>
      <c r="BS8" s="379"/>
      <c r="BT8" s="379"/>
      <c r="BU8" s="379"/>
      <c r="BV8" s="379"/>
      <c r="BW8" s="379"/>
      <c r="BX8" s="379"/>
      <c r="BY8" s="379"/>
      <c r="BZ8" s="379"/>
      <c r="CA8" s="379"/>
      <c r="CB8" s="379"/>
      <c r="CC8" s="379"/>
      <c r="CD8" s="379"/>
      <c r="CE8" s="379"/>
      <c r="CF8" s="379"/>
      <c r="CG8" s="379"/>
      <c r="CH8" s="379"/>
    </row>
    <row r="9" spans="1:154" s="76" customFormat="1" ht="14.25" thickBot="1">
      <c r="A9" s="85"/>
      <c r="B9" s="85"/>
      <c r="C9" s="85"/>
      <c r="D9" s="85"/>
      <c r="E9" s="85"/>
      <c r="F9" s="85"/>
      <c r="G9" s="374"/>
      <c r="H9" s="646" t="s">
        <v>150</v>
      </c>
      <c r="I9" s="647"/>
      <c r="J9" s="647"/>
      <c r="K9" s="647"/>
      <c r="L9" s="43" t="str">
        <f>"1Q:" &amp; RIGHT(YEAR(L$4),2) &amp; IF(L$4&lt;=LatestFiledQ, "A", "E")</f>
        <v>1Q:05A</v>
      </c>
      <c r="M9" s="43" t="str">
        <f>"2Q:" &amp; RIGHT(YEAR(M$4),2) &amp; IF(M$4&lt;=LatestFiledQ, "A", "E")</f>
        <v>2Q:05A</v>
      </c>
      <c r="N9" s="43" t="str">
        <f>"3Q:" &amp; RIGHT(YEAR(N$4),2) &amp; IF(N$4&lt;=LatestFiledQ, "A", "E")</f>
        <v>3Q:05A</v>
      </c>
      <c r="O9" s="43" t="str">
        <f>"4Q:" &amp; RIGHT(YEAR(O$4),2) &amp; IF(O$4&lt;=LatestFiledQ, "A", "E")</f>
        <v>4Q:05A</v>
      </c>
      <c r="P9" s="44" t="str">
        <f>YEAR(P$4) &amp; IF(P$4&lt;=LatestFiledQ, "A", "E")</f>
        <v>2005A</v>
      </c>
      <c r="Q9" s="43" t="str">
        <f>"1Q:" &amp; RIGHT(YEAR(Q$4),2) &amp; IF(Q$4&lt;=LatestFiledQ, "A", "E")</f>
        <v>1Q:06A</v>
      </c>
      <c r="R9" s="43" t="str">
        <f>"2Q:" &amp; RIGHT(YEAR(R$4),2) &amp; IF(R$4&lt;=LatestFiledQ, "A", "E")</f>
        <v>2Q:06A</v>
      </c>
      <c r="S9" s="43" t="str">
        <f>"3Q:" &amp; RIGHT(YEAR(S$4),2) &amp; IF(S$4&lt;=LatestFiledQ, "A", "E")</f>
        <v>3Q:06A</v>
      </c>
      <c r="T9" s="43" t="str">
        <f>"4Q:" &amp; RIGHT(YEAR(T$4),2) &amp; IF(T$4&lt;=LatestFiledQ, "A", "E")</f>
        <v>4Q:06A</v>
      </c>
      <c r="U9" s="44" t="str">
        <f>YEAR(U$4) &amp; IF(U$4&lt;=LatestFiledQ, "A", "E")</f>
        <v>2006A</v>
      </c>
      <c r="V9" s="43" t="str">
        <f>"1Q:" &amp; RIGHT(YEAR(V$4),2) &amp; IF(V$4&lt;=LatestFiledQ, "A", "E")</f>
        <v>1Q:07A</v>
      </c>
      <c r="W9" s="43" t="str">
        <f>"2Q:" &amp; RIGHT(YEAR(W$4),2) &amp; IF(W$4&lt;=LatestFiledQ, "A", "E")</f>
        <v>2Q:07A</v>
      </c>
      <c r="X9" s="43" t="str">
        <f>"3Q:" &amp; RIGHT(YEAR(X$4),2) &amp; IF(X$4&lt;=LatestFiledQ, "A", "E")</f>
        <v>3Q:07A</v>
      </c>
      <c r="Y9" s="43" t="str">
        <f>"4Q:" &amp; RIGHT(YEAR(Y$4),2) &amp; IF(Y$4&lt;=LatestFiledQ, "A", "E")</f>
        <v>4Q:07A</v>
      </c>
      <c r="Z9" s="44" t="str">
        <f>YEAR(Z$4) &amp; IF(Z$4&lt;=LatestFiledQ, "A", "E")</f>
        <v>2007A</v>
      </c>
      <c r="AA9" s="43" t="str">
        <f>"1Q:" &amp; RIGHT(YEAR(AA$4),2) &amp; IF(AA$4&lt;=LatestFiledQ, "A", "E")</f>
        <v>1Q:08A</v>
      </c>
      <c r="AB9" s="43" t="str">
        <f>"2Q:" &amp; RIGHT(YEAR(AB$4),2) &amp; IF(AB$4&lt;=LatestFiledQ, "A", "E")</f>
        <v>2Q:08A</v>
      </c>
      <c r="AC9" s="43" t="str">
        <f>"3Q:" &amp; RIGHT(YEAR(AC$4),2) &amp; IF(AC$4&lt;=LatestFiledQ, "A", "E")</f>
        <v>3Q:08A</v>
      </c>
      <c r="AD9" s="43" t="str">
        <f>"4Q:" &amp; RIGHT(YEAR(AD$4),2) &amp; IF(AD$4&lt;=LatestFiledQ, "A", "E")</f>
        <v>4Q:08A</v>
      </c>
      <c r="AE9" s="44" t="str">
        <f>YEAR(AE$4) &amp; IF(AE$4&lt;=LatestFiledQ, "A", "E")</f>
        <v>2008A</v>
      </c>
      <c r="AF9" s="43" t="str">
        <f>"1Q:" &amp; RIGHT(YEAR(AF$4),2) &amp; IF(AF$4&lt;=LatestFiledQ, "A", "E")</f>
        <v>1Q:09A</v>
      </c>
      <c r="AG9" s="43" t="str">
        <f>"2Q:" &amp; RIGHT(YEAR(AG$4),2) &amp; IF(AG$4&lt;=LatestFiledQ, "A", "E")</f>
        <v>2Q:09A</v>
      </c>
      <c r="AH9" s="43" t="str">
        <f>"3Q:" &amp; RIGHT(YEAR(AH$4),2) &amp; IF(AH$4&lt;=LatestFiledQ, "A", "E")</f>
        <v>3Q:09A</v>
      </c>
      <c r="AI9" s="43" t="str">
        <f>"4Q:" &amp; RIGHT(YEAR(AI$4),2) &amp; IF(AI$4&lt;=LatestFiledQ, "A", "E")</f>
        <v>4Q:09A</v>
      </c>
      <c r="AJ9" s="44" t="str">
        <f>YEAR(AJ$4) &amp; IF(AJ$4&lt;=LatestFiledQ, "A", "E")</f>
        <v>2009A</v>
      </c>
      <c r="AK9" s="43" t="str">
        <f>"1Q:" &amp; RIGHT(YEAR(AK$4),2) &amp; IF(AK$4&lt;=LatestFiledQ, "A", "E")</f>
        <v>1Q:10A</v>
      </c>
      <c r="AL9" s="43" t="str">
        <f>"2Q:" &amp; RIGHT(YEAR(AL$4),2) &amp; IF(AL$4&lt;=LatestFiledQ, "A", "E")</f>
        <v>2Q:10A</v>
      </c>
      <c r="AM9" s="43" t="str">
        <f>"3Q:" &amp; RIGHT(YEAR(AM$4),2) &amp; IF(AM$4&lt;=LatestFiledQ, "A", "E")</f>
        <v>3Q:10A</v>
      </c>
      <c r="AN9" s="43" t="str">
        <f>"4Q:" &amp; RIGHT(YEAR(AN$4),2) &amp; IF(AN$4&lt;=LatestFiledQ, "A", "E")</f>
        <v>4Q:10A</v>
      </c>
      <c r="AO9" s="44" t="str">
        <f>YEAR(AO$4) &amp; IF(AO$4&lt;=LatestFiledQ, "A", "E")</f>
        <v>2010A</v>
      </c>
      <c r="AP9" s="43" t="str">
        <f>"1Q:" &amp; RIGHT(YEAR(AP$4),2) &amp; IF(AP$4&lt;=LatestFiledQ, "A", "E")</f>
        <v>1Q:11A</v>
      </c>
      <c r="AQ9" s="43" t="str">
        <f>"2Q:" &amp; RIGHT(YEAR(AQ$4),2) &amp; IF(AQ$4&lt;=LatestFiledQ, "A", "E")</f>
        <v>2Q:11A</v>
      </c>
      <c r="AR9" s="43" t="str">
        <f>"3Q:" &amp; RIGHT(YEAR(AR$4),2) &amp; IF(AR$4&lt;=LatestFiledQ, "A", "E")</f>
        <v>3Q:11A</v>
      </c>
      <c r="AS9" s="43" t="str">
        <f>"4Q:" &amp; RIGHT(YEAR(AS$4),2) &amp; IF(AS$4&lt;=LatestFiledQ, "A", "E")</f>
        <v>4Q:11A</v>
      </c>
      <c r="AT9" s="44" t="str">
        <f>YEAR(AT$4) &amp; IF(AT$4&lt;=LatestFiledQ, "A", "E")</f>
        <v>2011A</v>
      </c>
      <c r="AU9" s="43" t="str">
        <f>"1Q:" &amp; RIGHT(YEAR(AU$4),2) &amp; IF(AU$4&lt;=LatestFiledQ, "A", "E")</f>
        <v>1Q:12A</v>
      </c>
      <c r="AV9" s="43" t="str">
        <f>"2Q:" &amp; RIGHT(YEAR(AV$4),2) &amp; IF(AV$4&lt;=LatestFiledQ, "A", "E")</f>
        <v>2Q:12A</v>
      </c>
      <c r="AW9" s="43" t="str">
        <f>"3Q:" &amp; RIGHT(YEAR(AW$4),2) &amp; IF(AW$4&lt;=LatestFiledQ, "A", "E")</f>
        <v>3Q:12A</v>
      </c>
      <c r="AX9" s="43" t="str">
        <f>"4Q:" &amp; RIGHT(YEAR(AX$4),2) &amp; IF(AX$4&lt;=LatestFiledQ, "A", "E")</f>
        <v>4Q:12A</v>
      </c>
      <c r="AY9" s="44" t="str">
        <f>YEAR(AY$4) &amp; IF(AY$4&lt;=LatestFiledQ, "A", "E")</f>
        <v>2012A</v>
      </c>
      <c r="AZ9" s="43" t="str">
        <f>"1Q:" &amp; RIGHT(YEAR(AZ$4),2) &amp; IF(AZ$4&lt;=LatestFiledQ, "A", "E")</f>
        <v>1Q:13A</v>
      </c>
      <c r="BA9" s="43" t="str">
        <f>"2Q:" &amp; RIGHT(YEAR(BA$4),2) &amp; IF(BA$4&lt;=LatestFiledQ, "A", "E")</f>
        <v>2Q:13A</v>
      </c>
      <c r="BB9" s="43" t="str">
        <f>"3Q:" &amp; RIGHT(YEAR(BB$4),2) &amp; IF(BB$4&lt;=LatestFiledQ, "A", "E")</f>
        <v>3Q:13A</v>
      </c>
      <c r="BC9" s="43" t="str">
        <f>"4Q:" &amp; RIGHT(YEAR(BC$4),2) &amp; IF(BC$4&lt;=LatestFiledQ, "A", "E")</f>
        <v>4Q:13A</v>
      </c>
      <c r="BD9" s="44" t="str">
        <f>YEAR(BD$4) &amp; IF(BD$4&lt;=LatestFiledQ, "A", "E")</f>
        <v>2013A</v>
      </c>
      <c r="BE9" s="43" t="str">
        <f>"1Q:" &amp; RIGHT(YEAR(BE$4),2) &amp; IF(BE$4&lt;=LatestFiledQ, "A", "E")</f>
        <v>1Q:14A</v>
      </c>
      <c r="BF9" s="43" t="str">
        <f>"2Q:" &amp; RIGHT(YEAR(BF$4),2) &amp; IF(BF$4&lt;=LatestFiledQ, "A", "E")</f>
        <v>2Q:14A</v>
      </c>
      <c r="BG9" s="43" t="str">
        <f>"3Q:" &amp; RIGHT(YEAR(BG$4),2) &amp; IF(BG$4&lt;=LatestFiledQ, "A", "E")</f>
        <v>3Q:14A</v>
      </c>
      <c r="BH9" s="43" t="str">
        <f>"4Q:" &amp; RIGHT(YEAR(BH$4),2) &amp; IF(BH$4&lt;=LatestFiledQ, "A", "E")</f>
        <v>4Q:14A</v>
      </c>
      <c r="BI9" s="44" t="str">
        <f>YEAR(BI$4) &amp; IF(BI$4&lt;=LatestFiledQ, "A", "E")</f>
        <v>2014A</v>
      </c>
      <c r="BJ9" s="43" t="str">
        <f>"1Q:" &amp; RIGHT(YEAR(BJ$4),2) &amp; IF(BJ$4&lt;=LatestFiledQ, "A", "E")</f>
        <v>1Q:15A</v>
      </c>
      <c r="BK9" s="43" t="str">
        <f>"2Q:" &amp; RIGHT(YEAR(BK$4),2) &amp; IF(BK$4&lt;=LatestFiledQ, "A", "E")</f>
        <v>2Q:15A</v>
      </c>
      <c r="BL9" s="43" t="str">
        <f>"3Q:" &amp; RIGHT(YEAR(BL$4),2) &amp; IF(BL$4&lt;=LatestFiledQ, "A", "E")</f>
        <v>3Q:15A</v>
      </c>
      <c r="BM9" s="43" t="str">
        <f>"4Q:" &amp; RIGHT(YEAR(BM$4),2) &amp; IF(BM$4&lt;=LatestFiledQ, "A", "E")</f>
        <v>4Q:15A</v>
      </c>
      <c r="BN9" s="44" t="str">
        <f>YEAR(BN$4) &amp; IF(BN$4&lt;=LatestFiledQ, "A", "E")</f>
        <v>2015A</v>
      </c>
      <c r="BO9" s="43" t="str">
        <f>"1Q:" &amp; RIGHT(YEAR(BO$4),2) &amp; IF(BO$4&lt;=LatestFiledQ, "A", "E")</f>
        <v>1Q:16A</v>
      </c>
      <c r="BP9" s="43" t="str">
        <f>"2Q:" &amp; RIGHT(YEAR(BP$4),2) &amp; IF(BP$4&lt;=LatestFiledQ, "A", "E")</f>
        <v>2Q:16A</v>
      </c>
      <c r="BQ9" s="43" t="str">
        <f>"3Q:" &amp; RIGHT(YEAR(BQ$4),2) &amp; IF(BQ$4&lt;=LatestFiledQ, "A", "E")</f>
        <v>3Q:16A</v>
      </c>
      <c r="BR9" s="43" t="str">
        <f>"4Q:" &amp; RIGHT(YEAR(BR$4),2) &amp; IF(BR$4&lt;=LatestFiledQ, "A", "E")</f>
        <v>4Q:16A</v>
      </c>
      <c r="BS9" s="44" t="str">
        <f>YEAR(BS$4) &amp; IF(BS$4&lt;=LatestFiledQ, "A", "E")</f>
        <v>2016A</v>
      </c>
      <c r="BT9" s="43" t="str">
        <f>"1Q:" &amp; RIGHT(YEAR(BT$4),2) &amp; IF(BT$4&lt;=LatestFiledQ, "A", "E")</f>
        <v>1Q:17A</v>
      </c>
      <c r="BU9" s="43" t="str">
        <f>"2Q:" &amp; RIGHT(YEAR(BU$4),2) &amp; IF(BU$4&lt;=LatestFiledQ, "A", "E")</f>
        <v>2Q:17A</v>
      </c>
      <c r="BV9" s="43" t="str">
        <f>"3Q:" &amp; RIGHT(YEAR(BV$4),2) &amp; IF(BV$4&lt;=LatestFiledQ, "A", "E")</f>
        <v>3Q:17A</v>
      </c>
      <c r="BW9" s="43" t="str">
        <f>"4Q:" &amp; RIGHT(YEAR(BW$4),2) &amp; IF(BW$4&lt;=LatestFiledQ, "A", "E")</f>
        <v>4Q:17A</v>
      </c>
      <c r="BX9" s="44" t="str">
        <f>YEAR(BX$4) &amp; IF(BX$4&lt;=LatestFiledQ, "A", "E")</f>
        <v>2017A</v>
      </c>
      <c r="BY9" s="43" t="str">
        <f>"1Q:" &amp; RIGHT(YEAR(BY$4),2) &amp; IF(BY$4&lt;=LatestFiledQ, "A", "E")</f>
        <v>1Q:18E</v>
      </c>
      <c r="BZ9" s="43" t="str">
        <f>"2Q:" &amp; RIGHT(YEAR(BZ$4),2) &amp; IF(BZ$4&lt;=LatestFiledQ, "A", "E")</f>
        <v>2Q:18E</v>
      </c>
      <c r="CA9" s="43" t="str">
        <f>"3Q:" &amp; RIGHT(YEAR(CA$4),2) &amp; IF(CA$4&lt;=LatestFiledQ, "A", "E")</f>
        <v>3Q:18E</v>
      </c>
      <c r="CB9" s="43" t="str">
        <f>"4Q:" &amp; RIGHT(YEAR(CB$4),2) &amp; IF(CB$4&lt;=LatestFiledQ, "A", "E")</f>
        <v>4Q:18E</v>
      </c>
      <c r="CC9" s="44" t="str">
        <f t="shared" ref="CC9:CH9" si="0">YEAR(CC$4) &amp; IF(CC$4&lt;=LatestFiledQ, "A", "E")</f>
        <v>2018E</v>
      </c>
      <c r="CD9" s="44" t="str">
        <f t="shared" si="0"/>
        <v>2019E</v>
      </c>
      <c r="CE9" s="44" t="str">
        <f t="shared" si="0"/>
        <v>2020E</v>
      </c>
      <c r="CF9" s="44" t="str">
        <f t="shared" si="0"/>
        <v>2021E</v>
      </c>
      <c r="CG9" s="44" t="str">
        <f t="shared" si="0"/>
        <v>2022E</v>
      </c>
      <c r="CH9" s="44" t="str">
        <f t="shared" si="0"/>
        <v>2023E</v>
      </c>
    </row>
    <row r="10" spans="1:154" s="76" customFormat="1" ht="13.5">
      <c r="A10" s="85"/>
      <c r="B10" s="85"/>
      <c r="C10" s="85"/>
      <c r="D10" s="85"/>
      <c r="E10" s="85"/>
      <c r="F10" s="85"/>
      <c r="G10" s="85"/>
      <c r="H10" s="648" t="s">
        <v>440</v>
      </c>
      <c r="I10" s="649"/>
      <c r="J10" s="649"/>
      <c r="K10" s="649"/>
      <c r="L10" s="650"/>
      <c r="M10" s="650"/>
      <c r="N10" s="650"/>
      <c r="O10" s="650"/>
      <c r="P10" s="649"/>
      <c r="Q10" s="650"/>
      <c r="R10" s="650"/>
      <c r="S10" s="650"/>
      <c r="T10" s="650"/>
      <c r="U10" s="649"/>
      <c r="V10" s="650"/>
      <c r="W10" s="650"/>
      <c r="X10" s="650"/>
      <c r="Y10" s="650"/>
      <c r="Z10" s="649"/>
      <c r="AA10" s="650"/>
      <c r="AB10" s="650"/>
      <c r="AC10" s="650"/>
      <c r="AD10" s="650"/>
      <c r="AE10" s="649"/>
      <c r="AF10" s="650"/>
      <c r="AG10" s="650"/>
      <c r="AH10" s="650"/>
      <c r="AI10" s="650"/>
      <c r="AJ10" s="649"/>
      <c r="AK10" s="650"/>
      <c r="AL10" s="650"/>
      <c r="AM10" s="650"/>
      <c r="AN10" s="650"/>
      <c r="AO10" s="649"/>
      <c r="AP10" s="650"/>
      <c r="AQ10" s="650"/>
      <c r="AR10" s="650"/>
      <c r="AS10" s="650"/>
      <c r="AT10" s="649"/>
      <c r="AU10" s="650"/>
      <c r="AV10" s="650"/>
      <c r="AW10" s="650"/>
      <c r="AX10" s="650"/>
      <c r="AY10" s="649"/>
      <c r="AZ10" s="650"/>
      <c r="BA10" s="650"/>
      <c r="BB10" s="650"/>
      <c r="BC10" s="650"/>
      <c r="BD10" s="649"/>
      <c r="BE10" s="650"/>
      <c r="BF10" s="650"/>
      <c r="BG10" s="650"/>
      <c r="BH10" s="650"/>
      <c r="BI10" s="649"/>
      <c r="BJ10" s="650"/>
      <c r="BK10" s="650"/>
      <c r="BL10" s="650"/>
      <c r="BM10" s="650"/>
      <c r="BN10" s="649"/>
      <c r="BO10" s="650"/>
      <c r="BP10" s="650"/>
      <c r="BQ10" s="650"/>
      <c r="BR10" s="650"/>
      <c r="BS10" s="649"/>
      <c r="BT10" s="650"/>
      <c r="BU10" s="650"/>
      <c r="BV10" s="650"/>
      <c r="BW10" s="650"/>
      <c r="BX10" s="649"/>
      <c r="BY10" s="650"/>
      <c r="BZ10" s="650"/>
      <c r="CA10" s="650"/>
      <c r="CB10" s="650"/>
      <c r="CC10" s="649"/>
      <c r="CD10" s="649"/>
      <c r="CE10" s="649"/>
      <c r="CF10" s="649"/>
      <c r="CG10" s="649"/>
      <c r="CH10" s="649"/>
    </row>
    <row r="11" spans="1:154" s="76" customFormat="1" ht="13.5">
      <c r="A11" s="85"/>
      <c r="B11" s="85"/>
      <c r="C11" s="85"/>
      <c r="D11" s="85"/>
      <c r="E11" s="85"/>
      <c r="F11" s="85"/>
      <c r="G11" s="85"/>
      <c r="H11" s="649" t="s">
        <v>441</v>
      </c>
      <c r="I11" s="649"/>
      <c r="J11" s="649"/>
      <c r="K11" s="649"/>
      <c r="L11" s="651"/>
      <c r="M11" s="651"/>
      <c r="N11" s="651"/>
      <c r="O11" s="651"/>
      <c r="P11" s="652"/>
      <c r="Q11" s="651"/>
      <c r="R11" s="651"/>
      <c r="S11" s="651"/>
      <c r="T11" s="651"/>
      <c r="U11" s="652"/>
      <c r="V11" s="651"/>
      <c r="W11" s="651"/>
      <c r="X11" s="651"/>
      <c r="Y11" s="651"/>
      <c r="Z11" s="652"/>
      <c r="AA11" s="651"/>
      <c r="AB11" s="651"/>
      <c r="AC11" s="651"/>
      <c r="AD11" s="651"/>
      <c r="AE11" s="652"/>
      <c r="AF11" s="651"/>
      <c r="AG11" s="651"/>
      <c r="AH11" s="651"/>
      <c r="AI11" s="651"/>
      <c r="AJ11" s="652"/>
      <c r="AK11" s="651"/>
      <c r="AL11" s="651"/>
      <c r="AM11" s="651"/>
      <c r="AN11" s="651"/>
      <c r="AO11" s="652"/>
      <c r="AP11" s="651"/>
      <c r="AQ11" s="651"/>
      <c r="AR11" s="651"/>
      <c r="AS11" s="651"/>
      <c r="AT11" s="652"/>
      <c r="AU11" s="651"/>
      <c r="AV11" s="651"/>
      <c r="AW11" s="651"/>
      <c r="AX11" s="651"/>
      <c r="AY11" s="652"/>
      <c r="AZ11" s="651"/>
      <c r="BA11" s="651"/>
      <c r="BB11" s="651"/>
      <c r="BC11" s="651"/>
      <c r="BD11" s="652"/>
      <c r="BE11" s="651"/>
      <c r="BF11" s="651"/>
      <c r="BG11" s="651"/>
      <c r="BH11" s="651"/>
      <c r="BI11" s="652"/>
      <c r="BJ11" s="651"/>
      <c r="BK11" s="651"/>
      <c r="BL11" s="651"/>
      <c r="BM11" s="651"/>
      <c r="BN11" s="652">
        <f>BI13</f>
        <v>2688.7</v>
      </c>
      <c r="BO11" s="651"/>
      <c r="BP11" s="651"/>
      <c r="BQ11" s="651"/>
      <c r="BR11" s="651"/>
      <c r="BS11" s="652">
        <f>BN13</f>
        <v>0</v>
      </c>
      <c r="BT11" s="651"/>
      <c r="BU11" s="651"/>
      <c r="BV11" s="651"/>
      <c r="BW11" s="651"/>
      <c r="BX11" s="652">
        <f>BS13</f>
        <v>0</v>
      </c>
      <c r="BY11" s="651"/>
      <c r="BZ11" s="651"/>
      <c r="CA11" s="651"/>
      <c r="CB11" s="651"/>
      <c r="CC11" s="652">
        <f>BX13</f>
        <v>0</v>
      </c>
      <c r="CD11" s="652">
        <f>CC13</f>
        <v>0</v>
      </c>
      <c r="CE11" s="652">
        <f>CD13</f>
        <v>0</v>
      </c>
      <c r="CF11" s="652">
        <f>CE13</f>
        <v>0</v>
      </c>
      <c r="CG11" s="652">
        <f>CF13</f>
        <v>0</v>
      </c>
      <c r="CH11" s="652">
        <f>CG13</f>
        <v>0</v>
      </c>
    </row>
    <row r="12" spans="1:154" s="76" customFormat="1" ht="13.5">
      <c r="A12" s="85"/>
      <c r="B12" s="85"/>
      <c r="C12" s="85"/>
      <c r="D12" s="85"/>
      <c r="E12" s="85"/>
      <c r="F12" s="85"/>
      <c r="G12" s="85"/>
      <c r="H12" s="649" t="s">
        <v>442</v>
      </c>
      <c r="I12" s="649"/>
      <c r="J12" s="649"/>
      <c r="K12" s="649"/>
      <c r="L12" s="653"/>
      <c r="M12" s="653"/>
      <c r="N12" s="653"/>
      <c r="O12" s="653"/>
      <c r="P12" s="654"/>
      <c r="Q12" s="653"/>
      <c r="R12" s="653"/>
      <c r="S12" s="653"/>
      <c r="T12" s="653"/>
      <c r="U12" s="654"/>
      <c r="V12" s="653"/>
      <c r="W12" s="653"/>
      <c r="X12" s="653"/>
      <c r="Y12" s="653"/>
      <c r="Z12" s="654"/>
      <c r="AA12" s="653"/>
      <c r="AB12" s="653"/>
      <c r="AC12" s="653"/>
      <c r="AD12" s="653"/>
      <c r="AE12" s="652"/>
      <c r="AF12" s="653"/>
      <c r="AG12" s="653"/>
      <c r="AH12" s="653"/>
      <c r="AI12" s="653"/>
      <c r="AJ12" s="654"/>
      <c r="AK12" s="653"/>
      <c r="AL12" s="653"/>
      <c r="AM12" s="653"/>
      <c r="AN12" s="653"/>
      <c r="AO12" s="654"/>
      <c r="AP12" s="651"/>
      <c r="AQ12" s="651"/>
      <c r="AR12" s="651"/>
      <c r="AS12" s="651"/>
      <c r="AT12" s="654"/>
      <c r="AU12" s="651"/>
      <c r="AV12" s="651"/>
      <c r="AW12" s="651"/>
      <c r="AX12" s="651"/>
      <c r="AY12" s="652"/>
      <c r="AZ12" s="651"/>
      <c r="BA12" s="651"/>
      <c r="BB12" s="651"/>
      <c r="BC12" s="651"/>
      <c r="BD12" s="652"/>
      <c r="BE12" s="651"/>
      <c r="BF12" s="651"/>
      <c r="BG12" s="651"/>
      <c r="BH12" s="651"/>
      <c r="BI12" s="654"/>
      <c r="BJ12" s="651"/>
      <c r="BK12" s="651"/>
      <c r="BL12" s="651"/>
      <c r="BM12" s="651"/>
      <c r="BN12" s="654">
        <f>-BN11</f>
        <v>-2688.7</v>
      </c>
      <c r="BO12" s="651"/>
      <c r="BP12" s="651"/>
      <c r="BQ12" s="651"/>
      <c r="BR12" s="651"/>
      <c r="BS12" s="654">
        <v>0</v>
      </c>
      <c r="BT12" s="651"/>
      <c r="BU12" s="651"/>
      <c r="BV12" s="651"/>
      <c r="BW12" s="651"/>
      <c r="BX12" s="654">
        <v>0</v>
      </c>
      <c r="BY12" s="651"/>
      <c r="BZ12" s="651"/>
      <c r="CA12" s="651"/>
      <c r="CB12" s="651"/>
      <c r="CC12" s="654">
        <v>0</v>
      </c>
      <c r="CD12" s="654">
        <v>0</v>
      </c>
      <c r="CE12" s="654">
        <v>0</v>
      </c>
      <c r="CF12" s="654">
        <v>0</v>
      </c>
      <c r="CG12" s="654">
        <v>0</v>
      </c>
      <c r="CH12" s="654">
        <v>0</v>
      </c>
    </row>
    <row r="13" spans="1:154" s="76" customFormat="1" ht="13.5">
      <c r="A13" s="85"/>
      <c r="B13" s="85"/>
      <c r="C13" s="85"/>
      <c r="D13" s="85"/>
      <c r="E13" s="85"/>
      <c r="F13" s="85"/>
      <c r="G13" s="85"/>
      <c r="H13" s="649" t="s">
        <v>397</v>
      </c>
      <c r="I13" s="649"/>
      <c r="J13" s="649"/>
      <c r="K13" s="649"/>
      <c r="L13" s="651"/>
      <c r="M13" s="651"/>
      <c r="N13" s="651"/>
      <c r="O13" s="651"/>
      <c r="P13" s="652"/>
      <c r="Q13" s="651"/>
      <c r="R13" s="651"/>
      <c r="S13" s="651"/>
      <c r="T13" s="651"/>
      <c r="U13" s="652"/>
      <c r="V13" s="651"/>
      <c r="W13" s="651"/>
      <c r="X13" s="651"/>
      <c r="Y13" s="651"/>
      <c r="Z13" s="652"/>
      <c r="AA13" s="651"/>
      <c r="AB13" s="651"/>
      <c r="AC13" s="651"/>
      <c r="AD13" s="651"/>
      <c r="AE13" s="655">
        <f>CFBS!AE86</f>
        <v>5846.3</v>
      </c>
      <c r="AF13" s="651"/>
      <c r="AG13" s="651"/>
      <c r="AH13" s="651"/>
      <c r="AI13" s="651"/>
      <c r="AJ13" s="655">
        <f>CFBS!AJ86</f>
        <v>27.4</v>
      </c>
      <c r="AK13" s="651"/>
      <c r="AL13" s="651"/>
      <c r="AM13" s="651"/>
      <c r="AN13" s="651"/>
      <c r="AO13" s="655">
        <f>CFBS!AO86</f>
        <v>156</v>
      </c>
      <c r="AP13" s="780">
        <f>CFBS!AP86</f>
        <v>1539.9</v>
      </c>
      <c r="AQ13" s="780">
        <v>1528.5</v>
      </c>
      <c r="AR13" s="651"/>
      <c r="AS13" s="651"/>
      <c r="AT13" s="655">
        <f>CFBS!AT86</f>
        <v>1522.3</v>
      </c>
      <c r="AU13" s="651"/>
      <c r="AV13" s="651"/>
      <c r="AW13" s="651"/>
      <c r="AX13" s="651"/>
      <c r="AY13" s="655">
        <f>CFBS!AY86</f>
        <v>11.9</v>
      </c>
      <c r="AZ13" s="651"/>
      <c r="BA13" s="651"/>
      <c r="BB13" s="651"/>
      <c r="BC13" s="651"/>
      <c r="BD13" s="655">
        <f>CFBS!BD86</f>
        <v>1012.6</v>
      </c>
      <c r="BE13" s="651"/>
      <c r="BF13" s="651"/>
      <c r="BG13" s="651"/>
      <c r="BH13" s="651"/>
      <c r="BI13" s="655">
        <f>CFBS!BI86</f>
        <v>2688.7</v>
      </c>
      <c r="BJ13" s="651"/>
      <c r="BK13" s="651"/>
      <c r="BL13" s="651"/>
      <c r="BM13" s="651"/>
      <c r="BN13" s="652">
        <f>BN11+BN12</f>
        <v>0</v>
      </c>
      <c r="BO13" s="651"/>
      <c r="BP13" s="651"/>
      <c r="BQ13" s="651"/>
      <c r="BR13" s="651"/>
      <c r="BS13" s="652">
        <f>BS11+BS12</f>
        <v>0</v>
      </c>
      <c r="BT13" s="651"/>
      <c r="BU13" s="651"/>
      <c r="BV13" s="651"/>
      <c r="BW13" s="651"/>
      <c r="BX13" s="652">
        <f>BX11+BX12</f>
        <v>0</v>
      </c>
      <c r="BY13" s="651"/>
      <c r="BZ13" s="651"/>
      <c r="CA13" s="651"/>
      <c r="CB13" s="651"/>
      <c r="CC13" s="652">
        <f t="shared" ref="CC13:CH13" si="1">CC11+CC12</f>
        <v>0</v>
      </c>
      <c r="CD13" s="652">
        <f t="shared" si="1"/>
        <v>0</v>
      </c>
      <c r="CE13" s="652">
        <f t="shared" si="1"/>
        <v>0</v>
      </c>
      <c r="CF13" s="652">
        <f t="shared" si="1"/>
        <v>0</v>
      </c>
      <c r="CG13" s="652">
        <f t="shared" si="1"/>
        <v>0</v>
      </c>
      <c r="CH13" s="652">
        <f t="shared" si="1"/>
        <v>0</v>
      </c>
    </row>
    <row r="14" spans="1:154" s="76" customFormat="1" ht="13.5">
      <c r="A14" s="85"/>
      <c r="B14" s="85"/>
      <c r="C14" s="85"/>
      <c r="D14" s="85"/>
      <c r="E14" s="85"/>
      <c r="F14" s="85"/>
      <c r="G14" s="85"/>
      <c r="H14" s="48" t="s">
        <v>398</v>
      </c>
      <c r="I14" s="48"/>
      <c r="J14" s="48"/>
      <c r="K14" s="48"/>
      <c r="L14" s="331"/>
      <c r="M14" s="331"/>
      <c r="N14" s="331"/>
      <c r="O14" s="331"/>
      <c r="P14" s="337"/>
      <c r="Q14" s="331"/>
      <c r="R14" s="331"/>
      <c r="S14" s="331"/>
      <c r="T14" s="331"/>
      <c r="U14" s="337"/>
      <c r="V14" s="331"/>
      <c r="W14" s="331"/>
      <c r="X14" s="331"/>
      <c r="Y14" s="331"/>
      <c r="Z14" s="337"/>
      <c r="AA14" s="331"/>
      <c r="AB14" s="331"/>
      <c r="AC14" s="331"/>
      <c r="AD14" s="331"/>
      <c r="AE14" s="337"/>
      <c r="AF14" s="331"/>
      <c r="AG14" s="331"/>
      <c r="AH14" s="331"/>
      <c r="AI14" s="331"/>
      <c r="AJ14" s="337"/>
      <c r="AK14" s="331"/>
      <c r="AL14" s="331"/>
      <c r="AM14" s="331"/>
      <c r="AN14" s="331"/>
      <c r="AO14" s="337"/>
      <c r="AP14" s="331"/>
      <c r="AQ14" s="331"/>
      <c r="AR14" s="331"/>
      <c r="AS14" s="331"/>
      <c r="AT14" s="337">
        <v>0.01</v>
      </c>
      <c r="AU14" s="331"/>
      <c r="AV14" s="331"/>
      <c r="AW14" s="331"/>
      <c r="AX14" s="331"/>
      <c r="AY14" s="337">
        <v>0.01</v>
      </c>
      <c r="AZ14" s="331"/>
      <c r="BA14" s="331"/>
      <c r="BB14" s="331"/>
      <c r="BC14" s="331"/>
      <c r="BD14" s="337">
        <v>0.01</v>
      </c>
      <c r="BE14" s="331"/>
      <c r="BF14" s="331"/>
      <c r="BG14" s="331"/>
      <c r="BH14" s="331"/>
      <c r="BI14" s="337">
        <v>0.01</v>
      </c>
      <c r="BJ14" s="331"/>
      <c r="BK14" s="331"/>
      <c r="BL14" s="331"/>
      <c r="BM14" s="331"/>
      <c r="BN14" s="337">
        <v>0.01</v>
      </c>
      <c r="BO14" s="331"/>
      <c r="BP14" s="331"/>
      <c r="BQ14" s="331"/>
      <c r="BR14" s="331"/>
      <c r="BS14" s="337">
        <f>BN14</f>
        <v>0.01</v>
      </c>
      <c r="BT14" s="331"/>
      <c r="BU14" s="331"/>
      <c r="BV14" s="331"/>
      <c r="BW14" s="331"/>
      <c r="BX14" s="337">
        <f>BS14</f>
        <v>0.01</v>
      </c>
      <c r="BY14" s="331"/>
      <c r="BZ14" s="331"/>
      <c r="CA14" s="331"/>
      <c r="CB14" s="331"/>
      <c r="CC14" s="337">
        <f>BX14</f>
        <v>0.01</v>
      </c>
      <c r="CD14" s="337">
        <f>CC14</f>
        <v>0.01</v>
      </c>
      <c r="CE14" s="337">
        <f>CD14</f>
        <v>0.01</v>
      </c>
      <c r="CF14" s="337">
        <f>CE14</f>
        <v>0.01</v>
      </c>
      <c r="CG14" s="337">
        <f>CF14</f>
        <v>0.01</v>
      </c>
      <c r="CH14" s="337">
        <f>CG14</f>
        <v>0.01</v>
      </c>
    </row>
    <row r="15" spans="1:154" s="76" customFormat="1" ht="13.5">
      <c r="A15" s="85"/>
      <c r="B15" s="85"/>
      <c r="C15" s="85"/>
      <c r="D15" s="85"/>
      <c r="E15" s="85"/>
      <c r="F15" s="85"/>
      <c r="G15" s="85"/>
      <c r="H15" s="649" t="s">
        <v>686</v>
      </c>
      <c r="I15" s="649"/>
      <c r="J15" s="649"/>
      <c r="K15" s="649"/>
      <c r="L15" s="651"/>
      <c r="M15" s="651"/>
      <c r="N15" s="651"/>
      <c r="O15" s="651"/>
      <c r="P15" s="652"/>
      <c r="Q15" s="651"/>
      <c r="R15" s="651"/>
      <c r="S15" s="651"/>
      <c r="T15" s="651"/>
      <c r="U15" s="652"/>
      <c r="V15" s="651"/>
      <c r="W15" s="651"/>
      <c r="X15" s="651"/>
      <c r="Y15" s="651"/>
      <c r="Z15" s="652"/>
      <c r="AA15" s="651"/>
      <c r="AB15" s="651"/>
      <c r="AC15" s="651"/>
      <c r="AD15" s="651"/>
      <c r="AE15" s="652"/>
      <c r="AF15" s="651"/>
      <c r="AG15" s="651"/>
      <c r="AH15" s="651"/>
      <c r="AI15" s="651"/>
      <c r="AJ15" s="652"/>
      <c r="AK15" s="651"/>
      <c r="AL15" s="651"/>
      <c r="AM15" s="651"/>
      <c r="AN15" s="651"/>
      <c r="AO15" s="652"/>
      <c r="AP15" s="651"/>
      <c r="AQ15" s="651"/>
      <c r="AR15" s="651"/>
      <c r="AS15" s="651"/>
      <c r="AT15" s="652">
        <f>AT14*AVERAGE(AT13,AO13)</f>
        <v>8.3915000000000006</v>
      </c>
      <c r="AU15" s="651"/>
      <c r="AV15" s="651"/>
      <c r="AW15" s="651"/>
      <c r="AX15" s="651"/>
      <c r="AY15" s="652">
        <f>AY14*AVERAGE(AY13,AT13)</f>
        <v>7.6710000000000003</v>
      </c>
      <c r="AZ15" s="651"/>
      <c r="BA15" s="651"/>
      <c r="BB15" s="651"/>
      <c r="BC15" s="651"/>
      <c r="BD15" s="652">
        <f>BD14*AVERAGE(BD13,AY13)</f>
        <v>5.1225000000000005</v>
      </c>
      <c r="BE15" s="651"/>
      <c r="BF15" s="651"/>
      <c r="BG15" s="651"/>
      <c r="BH15" s="651"/>
      <c r="BI15" s="652">
        <f>BI14*AVERAGE(BI13,BD13)</f>
        <v>18.506499999999999</v>
      </c>
      <c r="BJ15" s="651"/>
      <c r="BK15" s="651"/>
      <c r="BL15" s="651"/>
      <c r="BM15" s="651"/>
      <c r="BN15" s="652">
        <f>BN14*AVERAGE(BN13,BI13)</f>
        <v>13.4435</v>
      </c>
      <c r="BO15" s="651"/>
      <c r="BP15" s="651"/>
      <c r="BQ15" s="651"/>
      <c r="BR15" s="651"/>
      <c r="BS15" s="652">
        <f>BS14*AVERAGE(BS13,BN13)</f>
        <v>0</v>
      </c>
      <c r="BT15" s="651"/>
      <c r="BU15" s="651"/>
      <c r="BV15" s="651"/>
      <c r="BW15" s="651"/>
      <c r="BX15" s="652">
        <f>BX14*AVERAGE(BX13,BS13)</f>
        <v>0</v>
      </c>
      <c r="BY15" s="651"/>
      <c r="BZ15" s="651"/>
      <c r="CA15" s="651"/>
      <c r="CB15" s="651"/>
      <c r="CC15" s="652">
        <f>CC14*AVERAGE(CC13,BX13)</f>
        <v>0</v>
      </c>
      <c r="CD15" s="652">
        <f>CD14*AVERAGE(CD13,CC13)</f>
        <v>0</v>
      </c>
      <c r="CE15" s="652">
        <f>CE14*AVERAGE(CE13,CD13)</f>
        <v>0</v>
      </c>
      <c r="CF15" s="652">
        <f>CF14*AVERAGE(CF13,CE13)</f>
        <v>0</v>
      </c>
      <c r="CG15" s="652">
        <f>CG14*AVERAGE(CG13,CF13)</f>
        <v>0</v>
      </c>
      <c r="CH15" s="652">
        <f>CH14*AVERAGE(CH13,CG13)</f>
        <v>0</v>
      </c>
    </row>
    <row r="16" spans="1:154" s="76" customFormat="1" ht="13.5">
      <c r="A16" s="85"/>
      <c r="B16" s="85"/>
      <c r="C16" s="85"/>
      <c r="D16" s="85"/>
      <c r="E16" s="85"/>
      <c r="F16" s="85"/>
      <c r="G16" s="85"/>
      <c r="H16" s="649"/>
      <c r="I16" s="649"/>
      <c r="J16" s="649"/>
      <c r="K16" s="649"/>
      <c r="L16" s="650"/>
      <c r="M16" s="650"/>
      <c r="N16" s="650"/>
      <c r="O16" s="650"/>
      <c r="P16" s="649"/>
      <c r="Q16" s="650"/>
      <c r="R16" s="650"/>
      <c r="S16" s="650"/>
      <c r="T16" s="650"/>
      <c r="U16" s="649"/>
      <c r="V16" s="650"/>
      <c r="W16" s="650"/>
      <c r="X16" s="650"/>
      <c r="Y16" s="650"/>
      <c r="Z16" s="649"/>
      <c r="AA16" s="650"/>
      <c r="AB16" s="650"/>
      <c r="AC16" s="650"/>
      <c r="AD16" s="650"/>
      <c r="AE16" s="649"/>
      <c r="AF16" s="650"/>
      <c r="AG16" s="650"/>
      <c r="AH16" s="650"/>
      <c r="AI16" s="650"/>
      <c r="AJ16" s="649"/>
      <c r="AK16" s="650"/>
      <c r="AL16" s="650"/>
      <c r="AM16" s="650"/>
      <c r="AN16" s="650"/>
      <c r="AO16" s="649"/>
      <c r="AP16" s="650"/>
      <c r="AQ16" s="650"/>
      <c r="AR16" s="650"/>
      <c r="AS16" s="650"/>
      <c r="AT16" s="649"/>
      <c r="AU16" s="650"/>
      <c r="AV16" s="650"/>
      <c r="AW16" s="650"/>
      <c r="AX16" s="650"/>
      <c r="AY16" s="649"/>
      <c r="AZ16" s="650"/>
      <c r="BA16" s="650"/>
      <c r="BB16" s="650"/>
      <c r="BC16" s="650"/>
      <c r="BD16" s="649"/>
      <c r="BE16" s="650"/>
      <c r="BF16" s="650"/>
      <c r="BG16" s="650"/>
      <c r="BH16" s="650"/>
      <c r="BI16" s="649"/>
      <c r="BJ16" s="650"/>
      <c r="BK16" s="650"/>
      <c r="BL16" s="650"/>
      <c r="BM16" s="650"/>
      <c r="BN16" s="649"/>
      <c r="BO16" s="650"/>
      <c r="BP16" s="650"/>
      <c r="BQ16" s="650"/>
      <c r="BR16" s="650"/>
      <c r="BS16" s="649"/>
      <c r="BT16" s="650"/>
      <c r="BU16" s="650"/>
      <c r="BV16" s="650"/>
      <c r="BW16" s="650"/>
      <c r="BX16" s="649"/>
      <c r="BY16" s="650"/>
      <c r="BZ16" s="650"/>
      <c r="CA16" s="650"/>
      <c r="CB16" s="650"/>
      <c r="CC16" s="649"/>
      <c r="CD16" s="649"/>
      <c r="CE16" s="649"/>
      <c r="CF16" s="649"/>
      <c r="CG16" s="649"/>
      <c r="CH16" s="649"/>
    </row>
    <row r="17" spans="1:86" s="76" customFormat="1" ht="13.5">
      <c r="A17" s="85"/>
      <c r="B17" s="85"/>
      <c r="C17" s="85"/>
      <c r="D17" s="85"/>
      <c r="E17" s="85"/>
      <c r="F17" s="85"/>
      <c r="G17" s="85"/>
      <c r="H17" s="648" t="s">
        <v>399</v>
      </c>
      <c r="I17" s="649"/>
      <c r="J17" s="649"/>
      <c r="K17" s="649"/>
      <c r="L17" s="650"/>
      <c r="M17" s="650"/>
      <c r="N17" s="650"/>
      <c r="O17" s="650"/>
      <c r="P17" s="649"/>
      <c r="Q17" s="650"/>
      <c r="R17" s="650"/>
      <c r="S17" s="650"/>
      <c r="T17" s="650"/>
      <c r="U17" s="649"/>
      <c r="V17" s="650"/>
      <c r="W17" s="650"/>
      <c r="X17" s="650"/>
      <c r="Y17" s="650"/>
      <c r="Z17" s="649"/>
      <c r="AA17" s="650"/>
      <c r="AB17" s="650"/>
      <c r="AC17" s="650"/>
      <c r="AD17" s="650"/>
      <c r="AE17" s="649"/>
      <c r="AF17" s="650"/>
      <c r="AG17" s="650"/>
      <c r="AH17" s="650"/>
      <c r="AI17" s="650"/>
      <c r="AJ17" s="652"/>
      <c r="AK17" s="650"/>
      <c r="AL17" s="650"/>
      <c r="AM17" s="650"/>
      <c r="AN17" s="650"/>
      <c r="AO17" s="649"/>
      <c r="AP17" s="650"/>
      <c r="AQ17" s="650"/>
      <c r="AR17" s="650"/>
      <c r="AS17" s="650"/>
      <c r="AT17" s="649"/>
      <c r="AU17" s="650"/>
      <c r="AV17" s="650"/>
      <c r="AW17" s="650"/>
      <c r="AX17" s="650"/>
      <c r="AY17" s="649"/>
      <c r="AZ17" s="650"/>
      <c r="BA17" s="650"/>
      <c r="BB17" s="650"/>
      <c r="BC17" s="650"/>
      <c r="BD17" s="649"/>
      <c r="BE17" s="650"/>
      <c r="BF17" s="650"/>
      <c r="BG17" s="650"/>
      <c r="BH17" s="650"/>
      <c r="BI17" s="649"/>
      <c r="BJ17" s="650"/>
      <c r="BK17" s="650"/>
      <c r="BL17" s="650"/>
      <c r="BM17" s="650"/>
      <c r="BN17" s="649"/>
      <c r="BO17" s="650"/>
      <c r="BP17" s="650"/>
      <c r="BQ17" s="650"/>
      <c r="BR17" s="650"/>
      <c r="BS17" s="649"/>
      <c r="BT17" s="650"/>
      <c r="BU17" s="650"/>
      <c r="BV17" s="650"/>
      <c r="BW17" s="650"/>
      <c r="BX17" s="649"/>
      <c r="BY17" s="650"/>
      <c r="BZ17" s="650"/>
      <c r="CA17" s="650"/>
      <c r="CB17" s="650"/>
      <c r="CC17" s="649"/>
      <c r="CD17" s="649"/>
      <c r="CE17" s="649"/>
      <c r="CF17" s="649"/>
      <c r="CG17" s="649"/>
      <c r="CH17" s="649"/>
    </row>
    <row r="18" spans="1:86" s="76" customFormat="1" ht="13.5">
      <c r="A18" s="85"/>
      <c r="B18" s="85"/>
      <c r="C18" s="85"/>
      <c r="D18" s="85"/>
      <c r="E18" s="85"/>
      <c r="F18" s="85"/>
      <c r="G18" s="85"/>
      <c r="H18" s="649" t="s">
        <v>400</v>
      </c>
      <c r="I18" s="649"/>
      <c r="J18" s="649"/>
      <c r="K18" s="649"/>
      <c r="L18" s="651"/>
      <c r="M18" s="651"/>
      <c r="N18" s="651"/>
      <c r="O18" s="651"/>
      <c r="P18" s="652"/>
      <c r="Q18" s="651"/>
      <c r="R18" s="651"/>
      <c r="S18" s="651"/>
      <c r="T18" s="651"/>
      <c r="U18" s="652"/>
      <c r="V18" s="651"/>
      <c r="W18" s="651"/>
      <c r="X18" s="651"/>
      <c r="Y18" s="651"/>
      <c r="Z18" s="652"/>
      <c r="AA18" s="651"/>
      <c r="AB18" s="651"/>
      <c r="AC18" s="651"/>
      <c r="AD18" s="651"/>
      <c r="AE18" s="655">
        <f>CFBS!AE96</f>
        <v>4615.7</v>
      </c>
      <c r="AF18" s="651"/>
      <c r="AG18" s="651"/>
      <c r="AH18" s="651"/>
      <c r="AI18" s="651"/>
      <c r="AJ18" s="655">
        <f>CFBS!AJ96</f>
        <v>6634.7</v>
      </c>
      <c r="AK18" s="651"/>
      <c r="AL18" s="651"/>
      <c r="AM18" s="651"/>
      <c r="AN18" s="651"/>
      <c r="AO18" s="655">
        <f>CFBS!AO96</f>
        <v>6770.5</v>
      </c>
      <c r="AP18" s="780">
        <f>CFBS!AP96</f>
        <v>5132.3999999999996</v>
      </c>
      <c r="AQ18" s="780">
        <v>5200.1000000000004</v>
      </c>
      <c r="AR18" s="651"/>
      <c r="AS18" s="651"/>
      <c r="AT18" s="655">
        <f>CFBS!AT96</f>
        <v>5464.7</v>
      </c>
      <c r="AU18" s="651"/>
      <c r="AV18" s="651"/>
      <c r="AW18" s="651"/>
      <c r="AX18" s="651"/>
      <c r="AY18" s="655">
        <f>CFBS!AY96</f>
        <v>5519.4</v>
      </c>
      <c r="AZ18" s="651"/>
      <c r="BA18" s="651"/>
      <c r="BB18" s="651"/>
      <c r="BC18" s="651"/>
      <c r="BD18" s="655">
        <f>CFBS!BD96</f>
        <v>4200.3</v>
      </c>
      <c r="BE18" s="651"/>
      <c r="BF18" s="651"/>
      <c r="BG18" s="651"/>
      <c r="BH18" s="651"/>
      <c r="BI18" s="655">
        <f>CFBS!BI96</f>
        <v>5332.8</v>
      </c>
      <c r="BJ18" s="651"/>
      <c r="BK18" s="651"/>
      <c r="BL18" s="651"/>
      <c r="BM18" s="651"/>
      <c r="BN18" s="655">
        <f>CFBS!BN96</f>
        <v>7972.4</v>
      </c>
      <c r="BO18" s="651"/>
      <c r="BP18" s="651"/>
      <c r="BQ18" s="651"/>
      <c r="BR18" s="651"/>
      <c r="BS18" s="655">
        <f>CFBS!BS96</f>
        <v>8367.7999999999993</v>
      </c>
      <c r="BT18" s="651"/>
      <c r="BU18" s="651"/>
      <c r="BV18" s="651"/>
      <c r="BW18" s="651"/>
      <c r="BX18" s="655">
        <f>CFBS!BX96</f>
        <v>9940.5</v>
      </c>
      <c r="BY18" s="651"/>
      <c r="BZ18" s="651"/>
      <c r="CA18" s="651"/>
      <c r="CB18" s="651"/>
      <c r="CC18" s="652">
        <f t="shared" ref="CC18:CH18" si="2">CC109+CC74+CC81+CC88+CC116+CC123+CC130+CC137+CC144+CC151+CC158+CC165+CC172+CC177+CC67+CC95+CC102+CC60+CC53+CC46+CC39+CC32+CC25</f>
        <v>5605.8200000000006</v>
      </c>
      <c r="CD18" s="652">
        <f t="shared" si="2"/>
        <v>4704.45</v>
      </c>
      <c r="CE18" s="652">
        <f t="shared" si="2"/>
        <v>4704.45</v>
      </c>
      <c r="CF18" s="652">
        <f t="shared" si="2"/>
        <v>4704.45</v>
      </c>
      <c r="CG18" s="652">
        <f t="shared" si="2"/>
        <v>4050.15</v>
      </c>
      <c r="CH18" s="652">
        <f t="shared" si="2"/>
        <v>4050.15</v>
      </c>
    </row>
    <row r="19" spans="1:86" s="76" customFormat="1" ht="13.5">
      <c r="A19" s="85"/>
      <c r="B19" s="85"/>
      <c r="C19" s="85"/>
      <c r="D19" s="85"/>
      <c r="E19" s="85"/>
      <c r="F19" s="85"/>
      <c r="G19" s="85"/>
      <c r="H19" s="649"/>
      <c r="I19" s="649"/>
      <c r="J19" s="649"/>
      <c r="K19" s="649"/>
      <c r="L19" s="651"/>
      <c r="M19" s="651"/>
      <c r="N19" s="651"/>
      <c r="O19" s="651"/>
      <c r="P19" s="652"/>
      <c r="Q19" s="651"/>
      <c r="R19" s="651"/>
      <c r="S19" s="651"/>
      <c r="T19" s="651"/>
      <c r="U19" s="652"/>
      <c r="V19" s="651"/>
      <c r="W19" s="651"/>
      <c r="X19" s="651"/>
      <c r="Y19" s="651"/>
      <c r="Z19" s="652"/>
      <c r="AA19" s="651"/>
      <c r="AB19" s="651"/>
      <c r="AC19" s="651"/>
      <c r="AD19" s="651"/>
      <c r="AE19" s="656"/>
      <c r="AF19" s="651"/>
      <c r="AG19" s="651"/>
      <c r="AH19" s="651"/>
      <c r="AI19" s="651"/>
      <c r="AJ19" s="652"/>
      <c r="AK19" s="651"/>
      <c r="AL19" s="651"/>
      <c r="AM19" s="651"/>
      <c r="AN19" s="651"/>
      <c r="AO19" s="652"/>
      <c r="AP19" s="651"/>
      <c r="AQ19" s="651"/>
      <c r="AR19" s="651"/>
      <c r="AS19" s="651"/>
      <c r="AT19" s="652"/>
      <c r="AU19" s="651"/>
      <c r="AV19" s="651"/>
      <c r="AW19" s="651"/>
      <c r="AX19" s="651"/>
      <c r="AY19" s="652"/>
      <c r="AZ19" s="651"/>
      <c r="BA19" s="651"/>
      <c r="BB19" s="651"/>
      <c r="BC19" s="651"/>
      <c r="BD19" s="652"/>
      <c r="BE19" s="651"/>
      <c r="BF19" s="651"/>
      <c r="BG19" s="651"/>
      <c r="BH19" s="651"/>
      <c r="BI19" s="652"/>
      <c r="BJ19" s="651"/>
      <c r="BK19" s="651"/>
      <c r="BL19" s="651"/>
      <c r="BM19" s="651"/>
      <c r="BN19" s="652"/>
      <c r="BO19" s="651"/>
      <c r="BP19" s="651"/>
      <c r="BQ19" s="651"/>
      <c r="BR19" s="651"/>
      <c r="BS19" s="652"/>
      <c r="BT19" s="651"/>
      <c r="BU19" s="651"/>
      <c r="BV19" s="651"/>
      <c r="BW19" s="651"/>
      <c r="BX19" s="652"/>
      <c r="BY19" s="651"/>
      <c r="BZ19" s="651"/>
      <c r="CA19" s="651"/>
      <c r="CB19" s="651"/>
      <c r="CC19" s="652"/>
      <c r="CD19" s="652"/>
      <c r="CE19" s="652"/>
      <c r="CF19" s="652"/>
      <c r="CG19" s="652"/>
      <c r="CH19" s="652"/>
    </row>
    <row r="20" spans="1:86" s="76" customFormat="1" ht="13.5">
      <c r="A20" s="85"/>
      <c r="B20" s="85"/>
      <c r="C20" s="85"/>
      <c r="D20" s="85"/>
      <c r="E20" s="85"/>
      <c r="F20" s="85"/>
      <c r="G20" s="85"/>
      <c r="H20" s="648" t="s">
        <v>347</v>
      </c>
      <c r="I20" s="649"/>
      <c r="J20" s="649"/>
      <c r="K20" s="649"/>
      <c r="L20" s="651"/>
      <c r="M20" s="651"/>
      <c r="N20" s="651"/>
      <c r="O20" s="651"/>
      <c r="P20" s="652"/>
      <c r="Q20" s="651"/>
      <c r="R20" s="651"/>
      <c r="S20" s="651"/>
      <c r="T20" s="651"/>
      <c r="U20" s="652"/>
      <c r="V20" s="651"/>
      <c r="W20" s="651"/>
      <c r="X20" s="651"/>
      <c r="Y20" s="651"/>
      <c r="Z20" s="652"/>
      <c r="AA20" s="651"/>
      <c r="AB20" s="651"/>
      <c r="AC20" s="651"/>
      <c r="AD20" s="651"/>
      <c r="AE20" s="657">
        <f>-'IS-ANNUAL'!AE35</f>
        <v>265.5</v>
      </c>
      <c r="AF20" s="651"/>
      <c r="AG20" s="651"/>
      <c r="AH20" s="651"/>
      <c r="AI20" s="651"/>
      <c r="AJ20" s="657">
        <f>-'IS-ANNUAL'!AJ35</f>
        <v>261.29999999999995</v>
      </c>
      <c r="AK20" s="651"/>
      <c r="AL20" s="651"/>
      <c r="AM20" s="651"/>
      <c r="AN20" s="651"/>
      <c r="AO20" s="657">
        <f>-'IS-ANNUAL'!AO35</f>
        <v>185.5</v>
      </c>
      <c r="AP20" s="651"/>
      <c r="AQ20" s="651"/>
      <c r="AR20" s="651"/>
      <c r="AS20" s="651"/>
      <c r="AT20" s="657">
        <f>-'IS-ANNUAL'!AT35</f>
        <v>185.9</v>
      </c>
      <c r="AU20" s="651"/>
      <c r="AV20" s="651"/>
      <c r="AW20" s="651"/>
      <c r="AX20" s="651"/>
      <c r="AY20" s="657">
        <f>-'IS-ANNUAL'!AY35</f>
        <v>177.9</v>
      </c>
      <c r="AZ20" s="651"/>
      <c r="BA20" s="651"/>
      <c r="BB20" s="651"/>
      <c r="BC20" s="651"/>
      <c r="BD20" s="657">
        <f>-'IS-ANNUAL'!BD35</f>
        <v>160.1</v>
      </c>
      <c r="BE20" s="651"/>
      <c r="BF20" s="651"/>
      <c r="BG20" s="651"/>
      <c r="BH20" s="651"/>
      <c r="BI20" s="657">
        <f>-'IS-ANNUAL'!BI35</f>
        <v>148.80000000000001</v>
      </c>
      <c r="BJ20" s="651"/>
      <c r="BK20" s="651"/>
      <c r="BL20" s="651"/>
      <c r="BM20" s="651"/>
      <c r="BN20" s="657">
        <f>-'IS-ANNUAL'!BN35</f>
        <v>172.39999999999998</v>
      </c>
      <c r="BO20" s="651"/>
      <c r="BP20" s="651"/>
      <c r="BQ20" s="651"/>
      <c r="BR20" s="651"/>
      <c r="BS20" s="657">
        <f>-'IS-ANNUAL'!BS35</f>
        <v>185.20000000000002</v>
      </c>
      <c r="BT20" s="651"/>
      <c r="BU20" s="651"/>
      <c r="BV20" s="651"/>
      <c r="BW20" s="651"/>
      <c r="BX20" s="657">
        <f>-'IS-ANNUAL'!BX35</f>
        <v>225</v>
      </c>
      <c r="BY20" s="651"/>
      <c r="BZ20" s="651"/>
      <c r="CA20" s="651"/>
      <c r="CB20" s="651"/>
      <c r="CC20" s="652">
        <f t="shared" ref="CC20:CH20" si="3">CC111+CC76+CC83+CC90+CC118+CC125+CC132+CC139+CC146+CC153+CC160+CC167+CC174+CC69+CC97+CC104+CC178+CC15+CC27+CC34+CC41+CC48+CC55+CC62</f>
        <v>224.911025</v>
      </c>
      <c r="CD20" s="652">
        <f t="shared" si="3"/>
        <v>149.94361874999998</v>
      </c>
      <c r="CE20" s="652">
        <f t="shared" si="3"/>
        <v>133.35731249999998</v>
      </c>
      <c r="CF20" s="652">
        <f t="shared" si="3"/>
        <v>133.35731249999998</v>
      </c>
      <c r="CG20" s="652">
        <f t="shared" si="3"/>
        <v>130.0858125</v>
      </c>
      <c r="CH20" s="652">
        <f t="shared" si="3"/>
        <v>126.8143125</v>
      </c>
    </row>
    <row r="21" spans="1:86" s="76" customFormat="1" ht="13.5">
      <c r="A21" s="85"/>
      <c r="B21" s="85"/>
      <c r="C21" s="85"/>
      <c r="D21" s="85"/>
      <c r="E21" s="85"/>
      <c r="F21" s="85"/>
      <c r="G21" s="85"/>
      <c r="H21" s="649"/>
      <c r="I21" s="649"/>
      <c r="J21" s="649"/>
      <c r="K21" s="649"/>
      <c r="L21" s="650"/>
      <c r="M21" s="650"/>
      <c r="N21" s="650"/>
      <c r="O21" s="650"/>
      <c r="P21" s="649"/>
      <c r="Q21" s="650"/>
      <c r="R21" s="650"/>
      <c r="S21" s="650"/>
      <c r="T21" s="650"/>
      <c r="U21" s="649"/>
      <c r="V21" s="650"/>
      <c r="W21" s="650"/>
      <c r="X21" s="650"/>
      <c r="Y21" s="650"/>
      <c r="Z21" s="649"/>
      <c r="AA21" s="650"/>
      <c r="AB21" s="650"/>
      <c r="AC21" s="650"/>
      <c r="AD21" s="650"/>
      <c r="AE21" s="649"/>
      <c r="AF21" s="650"/>
      <c r="AG21" s="650"/>
      <c r="AH21" s="650"/>
      <c r="AI21" s="650"/>
      <c r="AJ21" s="649"/>
      <c r="AK21" s="650"/>
      <c r="AL21" s="650"/>
      <c r="AM21" s="650"/>
      <c r="AN21" s="650"/>
      <c r="AO21" s="649"/>
      <c r="AP21" s="650"/>
      <c r="AQ21" s="650"/>
      <c r="AR21" s="650"/>
      <c r="AS21" s="650"/>
      <c r="AT21" s="770"/>
      <c r="AU21" s="771"/>
      <c r="AV21" s="771"/>
      <c r="AW21" s="771"/>
      <c r="AX21" s="771"/>
      <c r="AY21" s="770"/>
      <c r="AZ21" s="771"/>
      <c r="BA21" s="771"/>
      <c r="BB21" s="771"/>
      <c r="BC21" s="771"/>
      <c r="BD21" s="770"/>
      <c r="BE21" s="771"/>
      <c r="BF21" s="771"/>
      <c r="BG21" s="771"/>
      <c r="BH21" s="771"/>
      <c r="BI21" s="770"/>
      <c r="BJ21" s="771"/>
      <c r="BK21" s="771"/>
      <c r="BL21" s="771"/>
      <c r="BM21" s="771"/>
      <c r="BN21" s="770"/>
      <c r="BO21" s="771"/>
      <c r="BP21" s="771"/>
      <c r="BQ21" s="771"/>
      <c r="BR21" s="771"/>
      <c r="BS21" s="770"/>
      <c r="BT21" s="771"/>
      <c r="BU21" s="771"/>
      <c r="BV21" s="771"/>
      <c r="BW21" s="771"/>
      <c r="BX21" s="770"/>
      <c r="BY21" s="771"/>
      <c r="BZ21" s="771"/>
      <c r="CA21" s="771"/>
      <c r="CB21" s="771"/>
      <c r="CC21" s="770"/>
      <c r="CD21" s="770"/>
      <c r="CE21" s="770"/>
      <c r="CF21" s="770"/>
      <c r="CG21" s="770"/>
      <c r="CH21" s="770"/>
    </row>
    <row r="22" spans="1:86" s="76" customFormat="1" ht="13.5">
      <c r="A22" s="85"/>
      <c r="B22" s="85"/>
      <c r="C22" s="85"/>
      <c r="D22" s="85"/>
      <c r="E22" s="85"/>
      <c r="F22" s="85"/>
      <c r="G22" s="85"/>
      <c r="H22" s="658" t="s">
        <v>905</v>
      </c>
      <c r="I22" s="658"/>
      <c r="J22" s="658"/>
      <c r="K22" s="658"/>
      <c r="L22" s="658"/>
      <c r="M22" s="658"/>
      <c r="N22" s="658"/>
      <c r="O22" s="658"/>
      <c r="P22" s="658"/>
      <c r="Q22" s="658"/>
      <c r="R22" s="658"/>
      <c r="S22" s="658"/>
      <c r="T22" s="658"/>
      <c r="U22" s="658"/>
      <c r="V22" s="658"/>
      <c r="W22" s="658"/>
      <c r="X22" s="658"/>
      <c r="Y22" s="658"/>
      <c r="Z22" s="658"/>
      <c r="AA22" s="658"/>
      <c r="AB22" s="658"/>
      <c r="AC22" s="658"/>
      <c r="AD22" s="658"/>
      <c r="AE22" s="658"/>
      <c r="AF22" s="658"/>
      <c r="AG22" s="658"/>
      <c r="AH22" s="658"/>
      <c r="AI22" s="658"/>
      <c r="AJ22" s="658"/>
      <c r="AK22" s="658"/>
      <c r="AL22" s="658"/>
      <c r="AM22" s="658"/>
      <c r="AN22" s="658"/>
      <c r="AO22" s="658"/>
      <c r="AP22" s="658"/>
      <c r="AQ22" s="658"/>
      <c r="AR22" s="658"/>
      <c r="AS22" s="658"/>
      <c r="AT22" s="658"/>
      <c r="AU22" s="658"/>
      <c r="AV22" s="658"/>
      <c r="AW22" s="658"/>
      <c r="AX22" s="658"/>
      <c r="AY22" s="658"/>
      <c r="AZ22" s="658"/>
      <c r="BA22" s="658"/>
      <c r="BB22" s="658"/>
      <c r="BC22" s="658"/>
      <c r="BD22" s="658"/>
      <c r="BE22" s="658"/>
      <c r="BF22" s="658"/>
      <c r="BG22" s="658"/>
      <c r="BH22" s="658"/>
      <c r="BI22" s="658"/>
      <c r="BJ22" s="658"/>
      <c r="BK22" s="658"/>
      <c r="BL22" s="658"/>
      <c r="BM22" s="658"/>
      <c r="BN22" s="658"/>
      <c r="BO22" s="658"/>
      <c r="BP22" s="658"/>
      <c r="BQ22" s="658"/>
      <c r="BR22" s="658"/>
      <c r="BS22" s="658"/>
      <c r="BT22" s="658"/>
      <c r="BU22" s="658"/>
      <c r="BV22" s="658"/>
      <c r="BW22" s="658"/>
      <c r="BX22" s="658"/>
      <c r="BY22" s="658"/>
      <c r="BZ22" s="658"/>
      <c r="CA22" s="658"/>
      <c r="CB22" s="658"/>
      <c r="CC22" s="658"/>
      <c r="CD22" s="658"/>
      <c r="CE22" s="658"/>
      <c r="CF22" s="658"/>
      <c r="CG22" s="658"/>
      <c r="CH22" s="658"/>
    </row>
    <row r="23" spans="1:86" s="76" customFormat="1" ht="13.5">
      <c r="A23" s="85"/>
      <c r="B23" s="85"/>
      <c r="C23" s="85"/>
      <c r="D23" s="85"/>
      <c r="E23" s="85"/>
      <c r="F23" s="85"/>
      <c r="G23" s="85"/>
      <c r="H23" s="649" t="s">
        <v>441</v>
      </c>
      <c r="I23" s="649"/>
      <c r="J23" s="649"/>
      <c r="K23" s="649"/>
      <c r="L23" s="651"/>
      <c r="M23" s="651"/>
      <c r="N23" s="651"/>
      <c r="O23" s="651"/>
      <c r="P23" s="652"/>
      <c r="Q23" s="651"/>
      <c r="R23" s="651"/>
      <c r="S23" s="651"/>
      <c r="T23" s="651"/>
      <c r="U23" s="652"/>
      <c r="V23" s="651"/>
      <c r="W23" s="651"/>
      <c r="X23" s="651"/>
      <c r="Y23" s="651"/>
      <c r="Z23" s="652"/>
      <c r="AA23" s="651"/>
      <c r="AB23" s="651"/>
      <c r="AC23" s="651"/>
      <c r="AD23" s="651"/>
      <c r="AE23" s="652"/>
      <c r="AF23" s="651"/>
      <c r="AG23" s="651"/>
      <c r="AH23" s="651"/>
      <c r="AI23" s="651"/>
      <c r="AJ23" s="652">
        <f>AE25</f>
        <v>0</v>
      </c>
      <c r="AK23" s="651"/>
      <c r="AL23" s="651"/>
      <c r="AM23" s="651"/>
      <c r="AN23" s="651"/>
      <c r="AO23" s="652">
        <f>AJ25</f>
        <v>1000</v>
      </c>
      <c r="AP23" s="651"/>
      <c r="AQ23" s="651"/>
      <c r="AR23" s="651"/>
      <c r="AS23" s="651"/>
      <c r="AT23" s="652"/>
      <c r="AU23" s="651"/>
      <c r="AV23" s="651"/>
      <c r="AW23" s="651"/>
      <c r="AX23" s="651"/>
      <c r="AY23" s="652"/>
      <c r="AZ23" s="651"/>
      <c r="BA23" s="651"/>
      <c r="BB23" s="651"/>
      <c r="BC23" s="651"/>
      <c r="BD23" s="652"/>
      <c r="BE23" s="651"/>
      <c r="BF23" s="651"/>
      <c r="BG23" s="651"/>
      <c r="BH23" s="651"/>
      <c r="BI23" s="652"/>
      <c r="BJ23" s="651"/>
      <c r="BK23" s="651"/>
      <c r="BL23" s="651"/>
      <c r="BM23" s="651"/>
      <c r="BN23" s="652">
        <f>BI25</f>
        <v>0</v>
      </c>
      <c r="BO23" s="651"/>
      <c r="BP23" s="651"/>
      <c r="BQ23" s="651"/>
      <c r="BR23" s="651"/>
      <c r="BS23" s="652">
        <f>BN25</f>
        <v>654.30000000000007</v>
      </c>
      <c r="BT23" s="651"/>
      <c r="BU23" s="651"/>
      <c r="BV23" s="651"/>
      <c r="BW23" s="651"/>
      <c r="BX23" s="652">
        <f>BS25</f>
        <v>654.30000000000007</v>
      </c>
      <c r="BY23" s="651"/>
      <c r="BZ23" s="651"/>
      <c r="CA23" s="651"/>
      <c r="CB23" s="651"/>
      <c r="CC23" s="652">
        <f>BX25</f>
        <v>654.30000000000007</v>
      </c>
      <c r="CD23" s="652">
        <f>CC25</f>
        <v>654.30000000000007</v>
      </c>
      <c r="CE23" s="652">
        <f>CD25</f>
        <v>654.30000000000007</v>
      </c>
      <c r="CF23" s="652">
        <f>CE25</f>
        <v>654.30000000000007</v>
      </c>
      <c r="CG23" s="652">
        <f>CF25</f>
        <v>654.30000000000007</v>
      </c>
      <c r="CH23" s="652">
        <f>CG25</f>
        <v>0</v>
      </c>
    </row>
    <row r="24" spans="1:86" s="76" customFormat="1" ht="13.5">
      <c r="A24" s="85"/>
      <c r="B24" s="85"/>
      <c r="C24" s="85"/>
      <c r="D24" s="85"/>
      <c r="E24" s="85"/>
      <c r="F24" s="85"/>
      <c r="G24" s="85"/>
      <c r="H24" s="649" t="s">
        <v>606</v>
      </c>
      <c r="I24" s="649"/>
      <c r="J24" s="649"/>
      <c r="K24" s="649"/>
      <c r="L24" s="653"/>
      <c r="M24" s="653"/>
      <c r="N24" s="653"/>
      <c r="O24" s="653"/>
      <c r="P24" s="654"/>
      <c r="Q24" s="653"/>
      <c r="R24" s="653"/>
      <c r="S24" s="653"/>
      <c r="T24" s="653"/>
      <c r="U24" s="654"/>
      <c r="V24" s="653"/>
      <c r="W24" s="653"/>
      <c r="X24" s="653"/>
      <c r="Y24" s="653"/>
      <c r="Z24" s="654"/>
      <c r="AA24" s="653"/>
      <c r="AB24" s="653"/>
      <c r="AC24" s="653"/>
      <c r="AD24" s="653"/>
      <c r="AE24" s="652"/>
      <c r="AF24" s="653"/>
      <c r="AG24" s="653"/>
      <c r="AH24" s="653"/>
      <c r="AI24" s="653"/>
      <c r="AJ24" s="654">
        <v>1000</v>
      </c>
      <c r="AK24" s="653"/>
      <c r="AL24" s="653"/>
      <c r="AM24" s="653"/>
      <c r="AN24" s="653"/>
      <c r="AO24" s="654">
        <v>0</v>
      </c>
      <c r="AP24" s="653"/>
      <c r="AQ24" s="653"/>
      <c r="AR24" s="653"/>
      <c r="AS24" s="653"/>
      <c r="AT24" s="654"/>
      <c r="AU24" s="653"/>
      <c r="AV24" s="653"/>
      <c r="AW24" s="653"/>
      <c r="AX24" s="653"/>
      <c r="AY24" s="654"/>
      <c r="AZ24" s="653"/>
      <c r="BA24" s="653"/>
      <c r="BB24" s="653"/>
      <c r="BC24" s="653"/>
      <c r="BD24" s="654"/>
      <c r="BE24" s="653"/>
      <c r="BF24" s="653"/>
      <c r="BG24" s="653"/>
      <c r="BH24" s="653"/>
      <c r="BI24" s="654"/>
      <c r="BJ24" s="653"/>
      <c r="BK24" s="653"/>
      <c r="BL24" s="653"/>
      <c r="BM24" s="653"/>
      <c r="BN24" s="654">
        <f>600*$AT$180</f>
        <v>654.30000000000007</v>
      </c>
      <c r="BO24" s="653"/>
      <c r="BP24" s="653"/>
      <c r="BQ24" s="653"/>
      <c r="BR24" s="653"/>
      <c r="BS24" s="654">
        <v>0</v>
      </c>
      <c r="BT24" s="653"/>
      <c r="BU24" s="653"/>
      <c r="BV24" s="653"/>
      <c r="BW24" s="653"/>
      <c r="BX24" s="654">
        <v>0</v>
      </c>
      <c r="BY24" s="653"/>
      <c r="BZ24" s="653"/>
      <c r="CA24" s="653"/>
      <c r="CB24" s="653"/>
      <c r="CC24" s="654">
        <v>0</v>
      </c>
      <c r="CD24" s="654">
        <v>0</v>
      </c>
      <c r="CE24" s="654">
        <v>0</v>
      </c>
      <c r="CF24" s="654">
        <v>0</v>
      </c>
      <c r="CG24" s="654">
        <f>-CG23</f>
        <v>-654.30000000000007</v>
      </c>
      <c r="CH24" s="654">
        <v>0</v>
      </c>
    </row>
    <row r="25" spans="1:86" s="76" customFormat="1" ht="13.5">
      <c r="A25" s="85"/>
      <c r="B25" s="85"/>
      <c r="C25" s="85"/>
      <c r="D25" s="85"/>
      <c r="E25" s="85"/>
      <c r="F25" s="85"/>
      <c r="G25" s="85"/>
      <c r="H25" s="649" t="s">
        <v>397</v>
      </c>
      <c r="I25" s="649"/>
      <c r="J25" s="649"/>
      <c r="K25" s="649"/>
      <c r="L25" s="651"/>
      <c r="M25" s="651"/>
      <c r="N25" s="651"/>
      <c r="O25" s="651"/>
      <c r="P25" s="652"/>
      <c r="Q25" s="651"/>
      <c r="R25" s="651"/>
      <c r="S25" s="651"/>
      <c r="T25" s="651"/>
      <c r="U25" s="652"/>
      <c r="V25" s="651"/>
      <c r="W25" s="651"/>
      <c r="X25" s="651"/>
      <c r="Y25" s="651"/>
      <c r="Z25" s="655"/>
      <c r="AA25" s="651"/>
      <c r="AB25" s="651"/>
      <c r="AC25" s="651"/>
      <c r="AD25" s="651"/>
      <c r="AE25" s="655"/>
      <c r="AF25" s="651"/>
      <c r="AG25" s="651"/>
      <c r="AH25" s="651"/>
      <c r="AI25" s="651"/>
      <c r="AJ25" s="652">
        <f>AJ23+AJ24</f>
        <v>1000</v>
      </c>
      <c r="AK25" s="651"/>
      <c r="AL25" s="651"/>
      <c r="AM25" s="651"/>
      <c r="AN25" s="651"/>
      <c r="AO25" s="652">
        <f>AO23+AO24</f>
        <v>1000</v>
      </c>
      <c r="AP25" s="651"/>
      <c r="AQ25" s="651"/>
      <c r="AR25" s="651"/>
      <c r="AS25" s="651"/>
      <c r="AT25" s="652"/>
      <c r="AU25" s="651"/>
      <c r="AV25" s="651"/>
      <c r="AW25" s="651"/>
      <c r="AX25" s="651"/>
      <c r="AY25" s="652"/>
      <c r="AZ25" s="651"/>
      <c r="BA25" s="651"/>
      <c r="BB25" s="651"/>
      <c r="BC25" s="651"/>
      <c r="BD25" s="652"/>
      <c r="BE25" s="651"/>
      <c r="BF25" s="651"/>
      <c r="BG25" s="651"/>
      <c r="BH25" s="651"/>
      <c r="BI25" s="652"/>
      <c r="BJ25" s="651"/>
      <c r="BK25" s="651"/>
      <c r="BL25" s="651"/>
      <c r="BM25" s="651"/>
      <c r="BN25" s="652">
        <f>BN23+BN24</f>
        <v>654.30000000000007</v>
      </c>
      <c r="BO25" s="651"/>
      <c r="BP25" s="651"/>
      <c r="BQ25" s="651"/>
      <c r="BR25" s="651"/>
      <c r="BS25" s="652">
        <f>BS23+BS24</f>
        <v>654.30000000000007</v>
      </c>
      <c r="BT25" s="651"/>
      <c r="BU25" s="651"/>
      <c r="BV25" s="651"/>
      <c r="BW25" s="651"/>
      <c r="BX25" s="652">
        <f>BX23+BX24</f>
        <v>654.30000000000007</v>
      </c>
      <c r="BY25" s="651"/>
      <c r="BZ25" s="651"/>
      <c r="CA25" s="651"/>
      <c r="CB25" s="651"/>
      <c r="CC25" s="652">
        <f t="shared" ref="CC25:CH25" si="4">CC23+CC24</f>
        <v>654.30000000000007</v>
      </c>
      <c r="CD25" s="652">
        <f t="shared" si="4"/>
        <v>654.30000000000007</v>
      </c>
      <c r="CE25" s="652">
        <f t="shared" si="4"/>
        <v>654.30000000000007</v>
      </c>
      <c r="CF25" s="652">
        <f t="shared" si="4"/>
        <v>654.30000000000007</v>
      </c>
      <c r="CG25" s="652">
        <f t="shared" si="4"/>
        <v>0</v>
      </c>
      <c r="CH25" s="652">
        <f t="shared" si="4"/>
        <v>0</v>
      </c>
    </row>
    <row r="26" spans="1:86" s="76" customFormat="1" ht="13.5">
      <c r="A26" s="85"/>
      <c r="B26" s="85"/>
      <c r="C26" s="85"/>
      <c r="D26" s="85"/>
      <c r="E26" s="85"/>
      <c r="F26" s="85"/>
      <c r="G26" s="85"/>
      <c r="H26" s="48" t="s">
        <v>398</v>
      </c>
      <c r="I26" s="48"/>
      <c r="J26" s="48"/>
      <c r="K26" s="48"/>
      <c r="L26" s="331"/>
      <c r="M26" s="331"/>
      <c r="N26" s="331"/>
      <c r="O26" s="331"/>
      <c r="P26" s="337"/>
      <c r="Q26" s="331"/>
      <c r="R26" s="331"/>
      <c r="S26" s="331"/>
      <c r="T26" s="331"/>
      <c r="U26" s="337"/>
      <c r="V26" s="331"/>
      <c r="W26" s="331"/>
      <c r="X26" s="331"/>
      <c r="Y26" s="331"/>
      <c r="Z26" s="337"/>
      <c r="AA26" s="331"/>
      <c r="AB26" s="331"/>
      <c r="AC26" s="331"/>
      <c r="AD26" s="331"/>
      <c r="AE26" s="659"/>
      <c r="AF26" s="331"/>
      <c r="AG26" s="331"/>
      <c r="AH26" s="331"/>
      <c r="AI26" s="331"/>
      <c r="AJ26" s="660">
        <v>3.5499999999999997E-2</v>
      </c>
      <c r="AK26" s="661"/>
      <c r="AL26" s="661"/>
      <c r="AM26" s="661"/>
      <c r="AN26" s="661"/>
      <c r="AO26" s="660">
        <f>AJ26</f>
        <v>3.5499999999999997E-2</v>
      </c>
      <c r="AP26" s="661"/>
      <c r="AQ26" s="661"/>
      <c r="AR26" s="661"/>
      <c r="AS26" s="661"/>
      <c r="AT26" s="660"/>
      <c r="AU26" s="661"/>
      <c r="AV26" s="661"/>
      <c r="AW26" s="661"/>
      <c r="AX26" s="661"/>
      <c r="AY26" s="660"/>
      <c r="AZ26" s="661"/>
      <c r="BA26" s="661"/>
      <c r="BB26" s="661"/>
      <c r="BC26" s="661"/>
      <c r="BD26" s="660"/>
      <c r="BE26" s="661"/>
      <c r="BF26" s="661"/>
      <c r="BG26" s="661"/>
      <c r="BH26" s="661"/>
      <c r="BI26" s="660"/>
      <c r="BJ26" s="661"/>
      <c r="BK26" s="661"/>
      <c r="BL26" s="661"/>
      <c r="BM26" s="661"/>
      <c r="BN26" s="660">
        <v>0.01</v>
      </c>
      <c r="BO26" s="661"/>
      <c r="BP26" s="661"/>
      <c r="BQ26" s="661"/>
      <c r="BR26" s="661"/>
      <c r="BS26" s="660">
        <f>BN26</f>
        <v>0.01</v>
      </c>
      <c r="BT26" s="661"/>
      <c r="BU26" s="661"/>
      <c r="BV26" s="661"/>
      <c r="BW26" s="661"/>
      <c r="BX26" s="660">
        <f>BS26</f>
        <v>0.01</v>
      </c>
      <c r="BY26" s="661"/>
      <c r="BZ26" s="661"/>
      <c r="CA26" s="661"/>
      <c r="CB26" s="661"/>
      <c r="CC26" s="660">
        <f>BX26</f>
        <v>0.01</v>
      </c>
      <c r="CD26" s="660">
        <f>CC26</f>
        <v>0.01</v>
      </c>
      <c r="CE26" s="660">
        <f>CD26</f>
        <v>0.01</v>
      </c>
      <c r="CF26" s="660">
        <f>CE26</f>
        <v>0.01</v>
      </c>
      <c r="CG26" s="660">
        <f>CF26</f>
        <v>0.01</v>
      </c>
      <c r="CH26" s="660">
        <f>CG26</f>
        <v>0.01</v>
      </c>
    </row>
    <row r="27" spans="1:86" s="76" customFormat="1" ht="13.5">
      <c r="A27" s="85"/>
      <c r="B27" s="85"/>
      <c r="C27" s="85"/>
      <c r="D27" s="85"/>
      <c r="E27" s="85"/>
      <c r="F27" s="85"/>
      <c r="G27" s="85"/>
      <c r="H27" s="649" t="s">
        <v>686</v>
      </c>
      <c r="I27" s="649"/>
      <c r="J27" s="649"/>
      <c r="K27" s="649"/>
      <c r="L27" s="651"/>
      <c r="M27" s="651"/>
      <c r="N27" s="651"/>
      <c r="O27" s="651"/>
      <c r="P27" s="652"/>
      <c r="Q27" s="651"/>
      <c r="R27" s="651"/>
      <c r="S27" s="651"/>
      <c r="T27" s="651"/>
      <c r="U27" s="652"/>
      <c r="V27" s="651"/>
      <c r="W27" s="651"/>
      <c r="X27" s="651"/>
      <c r="Y27" s="651"/>
      <c r="Z27" s="652"/>
      <c r="AA27" s="651"/>
      <c r="AB27" s="651"/>
      <c r="AC27" s="651"/>
      <c r="AD27" s="651"/>
      <c r="AE27" s="652"/>
      <c r="AF27" s="651"/>
      <c r="AG27" s="651"/>
      <c r="AH27" s="651"/>
      <c r="AI27" s="651"/>
      <c r="AJ27" s="652">
        <f>AJ26*AVERAGE(AJ25, AE25)</f>
        <v>35.5</v>
      </c>
      <c r="AK27" s="651"/>
      <c r="AL27" s="651"/>
      <c r="AM27" s="651"/>
      <c r="AN27" s="651"/>
      <c r="AO27" s="652">
        <f>AO26*AVERAGE(AO25, AJ25)</f>
        <v>35.5</v>
      </c>
      <c r="AP27" s="651"/>
      <c r="AQ27" s="651"/>
      <c r="AR27" s="651"/>
      <c r="AS27" s="651"/>
      <c r="AT27" s="652"/>
      <c r="AU27" s="651"/>
      <c r="AV27" s="651"/>
      <c r="AW27" s="651"/>
      <c r="AX27" s="651"/>
      <c r="AY27" s="652"/>
      <c r="AZ27" s="651"/>
      <c r="BA27" s="651"/>
      <c r="BB27" s="651"/>
      <c r="BC27" s="651"/>
      <c r="BD27" s="652"/>
      <c r="BE27" s="651"/>
      <c r="BF27" s="651"/>
      <c r="BG27" s="651"/>
      <c r="BH27" s="651"/>
      <c r="BI27" s="652"/>
      <c r="BJ27" s="651"/>
      <c r="BK27" s="651"/>
      <c r="BL27" s="651"/>
      <c r="BM27" s="651"/>
      <c r="BN27" s="652">
        <f>BN26*AVERAGE(BN25, BN23)</f>
        <v>3.2715000000000005</v>
      </c>
      <c r="BO27" s="651"/>
      <c r="BP27" s="651"/>
      <c r="BQ27" s="651"/>
      <c r="BR27" s="651"/>
      <c r="BS27" s="652">
        <f>BS26*AVERAGE(BS25, BN25)</f>
        <v>6.543000000000001</v>
      </c>
      <c r="BT27" s="651"/>
      <c r="BU27" s="651"/>
      <c r="BV27" s="651"/>
      <c r="BW27" s="651"/>
      <c r="BX27" s="652">
        <f>BX26*AVERAGE(BX25, BS25)</f>
        <v>6.543000000000001</v>
      </c>
      <c r="BY27" s="651"/>
      <c r="BZ27" s="651"/>
      <c r="CA27" s="651"/>
      <c r="CB27" s="651"/>
      <c r="CC27" s="652">
        <f>CC26*AVERAGE(CC25, BX25)</f>
        <v>6.543000000000001</v>
      </c>
      <c r="CD27" s="652">
        <f>CD26*AVERAGE(CD25, CC25)</f>
        <v>6.543000000000001</v>
      </c>
      <c r="CE27" s="652">
        <f>CE26*AVERAGE(CE25, CD25)</f>
        <v>6.543000000000001</v>
      </c>
      <c r="CF27" s="652">
        <f>CF26*AVERAGE(CF25, CE25)</f>
        <v>6.543000000000001</v>
      </c>
      <c r="CG27" s="652">
        <f>CG26*AVERAGE(CG25, CF25)</f>
        <v>3.2715000000000005</v>
      </c>
      <c r="CH27" s="652">
        <f>CH26*AVERAGE(CH25, CG25)</f>
        <v>0</v>
      </c>
    </row>
    <row r="28" spans="1:86" s="76" customFormat="1" ht="13.5">
      <c r="A28" s="85"/>
      <c r="B28" s="85"/>
      <c r="C28" s="85"/>
      <c r="D28" s="85"/>
      <c r="E28" s="85"/>
      <c r="F28" s="85"/>
      <c r="G28" s="85"/>
      <c r="H28" s="649"/>
      <c r="I28" s="649"/>
      <c r="J28" s="649"/>
      <c r="K28" s="649"/>
      <c r="L28" s="650"/>
      <c r="M28" s="650"/>
      <c r="N28" s="650"/>
      <c r="O28" s="650"/>
      <c r="P28" s="649"/>
      <c r="Q28" s="650"/>
      <c r="R28" s="650"/>
      <c r="S28" s="650"/>
      <c r="T28" s="650"/>
      <c r="U28" s="649"/>
      <c r="V28" s="650"/>
      <c r="W28" s="650"/>
      <c r="X28" s="650"/>
      <c r="Y28" s="650"/>
      <c r="Z28" s="649"/>
      <c r="AA28" s="650"/>
      <c r="AB28" s="650"/>
      <c r="AC28" s="650"/>
      <c r="AD28" s="650"/>
      <c r="AE28" s="649"/>
      <c r="AF28" s="650"/>
      <c r="AG28" s="650"/>
      <c r="AH28" s="650"/>
      <c r="AI28" s="650"/>
      <c r="AJ28" s="649"/>
      <c r="AK28" s="650"/>
      <c r="AL28" s="650"/>
      <c r="AM28" s="650"/>
      <c r="AN28" s="650"/>
      <c r="AO28" s="649"/>
      <c r="AP28" s="650"/>
      <c r="AQ28" s="650"/>
      <c r="AR28" s="650"/>
      <c r="AS28" s="650"/>
      <c r="AT28" s="649"/>
      <c r="AU28" s="650"/>
      <c r="AV28" s="650"/>
      <c r="AW28" s="650"/>
      <c r="AX28" s="650"/>
      <c r="AY28" s="649"/>
      <c r="AZ28" s="650"/>
      <c r="BA28" s="650"/>
      <c r="BB28" s="650"/>
      <c r="BC28" s="650"/>
      <c r="BD28" s="649"/>
      <c r="BE28" s="650"/>
      <c r="BF28" s="650"/>
      <c r="BG28" s="650"/>
      <c r="BH28" s="650"/>
      <c r="BI28" s="649"/>
      <c r="BJ28" s="650"/>
      <c r="BK28" s="650"/>
      <c r="BL28" s="650"/>
      <c r="BM28" s="650"/>
      <c r="BN28" s="649"/>
      <c r="BO28" s="650"/>
      <c r="BP28" s="650"/>
      <c r="BQ28" s="650"/>
      <c r="BR28" s="650"/>
      <c r="BS28" s="649"/>
      <c r="BT28" s="650"/>
      <c r="BU28" s="650"/>
      <c r="BV28" s="650"/>
      <c r="BW28" s="650"/>
      <c r="BX28" s="649"/>
      <c r="BY28" s="650"/>
      <c r="BZ28" s="650"/>
      <c r="CA28" s="650"/>
      <c r="CB28" s="650"/>
      <c r="CC28" s="649"/>
      <c r="CD28" s="649"/>
      <c r="CE28" s="649"/>
      <c r="CF28" s="649"/>
      <c r="CG28" s="649"/>
      <c r="CH28" s="649"/>
    </row>
    <row r="29" spans="1:86" s="76" customFormat="1" ht="13.5">
      <c r="A29" s="85"/>
      <c r="B29" s="85"/>
      <c r="C29" s="85"/>
      <c r="D29" s="85"/>
      <c r="E29" s="85"/>
      <c r="F29" s="85"/>
      <c r="G29" s="85"/>
      <c r="H29" s="658" t="s">
        <v>906</v>
      </c>
      <c r="I29" s="658"/>
      <c r="J29" s="658"/>
      <c r="K29" s="658"/>
      <c r="L29" s="658"/>
      <c r="M29" s="658"/>
      <c r="N29" s="658"/>
      <c r="O29" s="658"/>
      <c r="P29" s="658"/>
      <c r="Q29" s="658"/>
      <c r="R29" s="658"/>
      <c r="S29" s="658"/>
      <c r="T29" s="658"/>
      <c r="U29" s="658"/>
      <c r="V29" s="658"/>
      <c r="W29" s="658"/>
      <c r="X29" s="658"/>
      <c r="Y29" s="658"/>
      <c r="Z29" s="658"/>
      <c r="AA29" s="658"/>
      <c r="AB29" s="658"/>
      <c r="AC29" s="658"/>
      <c r="AD29" s="658"/>
      <c r="AE29" s="658"/>
      <c r="AF29" s="658"/>
      <c r="AG29" s="658"/>
      <c r="AH29" s="658"/>
      <c r="AI29" s="658"/>
      <c r="AJ29" s="658"/>
      <c r="AK29" s="658"/>
      <c r="AL29" s="658"/>
      <c r="AM29" s="658"/>
      <c r="AN29" s="658"/>
      <c r="AO29" s="658"/>
      <c r="AP29" s="658"/>
      <c r="AQ29" s="658"/>
      <c r="AR29" s="658"/>
      <c r="AS29" s="658"/>
      <c r="AT29" s="658"/>
      <c r="AU29" s="658"/>
      <c r="AV29" s="658"/>
      <c r="AW29" s="658"/>
      <c r="AX29" s="658"/>
      <c r="AY29" s="658"/>
      <c r="AZ29" s="658"/>
      <c r="BA29" s="658"/>
      <c r="BB29" s="658"/>
      <c r="BC29" s="658"/>
      <c r="BD29" s="658"/>
      <c r="BE29" s="658"/>
      <c r="BF29" s="658"/>
      <c r="BG29" s="658"/>
      <c r="BH29" s="658"/>
      <c r="BI29" s="658"/>
      <c r="BJ29" s="658"/>
      <c r="BK29" s="658"/>
      <c r="BL29" s="658"/>
      <c r="BM29" s="658"/>
      <c r="BN29" s="658"/>
      <c r="BO29" s="658"/>
      <c r="BP29" s="658"/>
      <c r="BQ29" s="658"/>
      <c r="BR29" s="658"/>
      <c r="BS29" s="658"/>
      <c r="BT29" s="658"/>
      <c r="BU29" s="658"/>
      <c r="BV29" s="658"/>
      <c r="BW29" s="658"/>
      <c r="BX29" s="658"/>
      <c r="BY29" s="658"/>
      <c r="BZ29" s="658"/>
      <c r="CA29" s="658"/>
      <c r="CB29" s="658"/>
      <c r="CC29" s="658"/>
      <c r="CD29" s="658"/>
      <c r="CE29" s="658"/>
      <c r="CF29" s="658"/>
      <c r="CG29" s="658"/>
      <c r="CH29" s="658"/>
    </row>
    <row r="30" spans="1:86" s="76" customFormat="1" ht="13.5">
      <c r="A30" s="85"/>
      <c r="B30" s="85"/>
      <c r="C30" s="85"/>
      <c r="D30" s="85"/>
      <c r="E30" s="85"/>
      <c r="F30" s="85"/>
      <c r="G30" s="85"/>
      <c r="H30" s="649" t="s">
        <v>441</v>
      </c>
      <c r="I30" s="649"/>
      <c r="J30" s="649"/>
      <c r="K30" s="649"/>
      <c r="L30" s="651"/>
      <c r="M30" s="651"/>
      <c r="N30" s="651"/>
      <c r="O30" s="651"/>
      <c r="P30" s="652"/>
      <c r="Q30" s="651"/>
      <c r="R30" s="651"/>
      <c r="S30" s="651"/>
      <c r="T30" s="651"/>
      <c r="U30" s="652"/>
      <c r="V30" s="651"/>
      <c r="W30" s="651"/>
      <c r="X30" s="651"/>
      <c r="Y30" s="651"/>
      <c r="Z30" s="652"/>
      <c r="AA30" s="651"/>
      <c r="AB30" s="651"/>
      <c r="AC30" s="651"/>
      <c r="AD30" s="651"/>
      <c r="AE30" s="652"/>
      <c r="AF30" s="651"/>
      <c r="AG30" s="651"/>
      <c r="AH30" s="651"/>
      <c r="AI30" s="651"/>
      <c r="AJ30" s="652">
        <f>AE32</f>
        <v>0</v>
      </c>
      <c r="AK30" s="651"/>
      <c r="AL30" s="651"/>
      <c r="AM30" s="651"/>
      <c r="AN30" s="651"/>
      <c r="AO30" s="652">
        <f>AJ32</f>
        <v>1000</v>
      </c>
      <c r="AP30" s="651"/>
      <c r="AQ30" s="651"/>
      <c r="AR30" s="651"/>
      <c r="AS30" s="651"/>
      <c r="AT30" s="652"/>
      <c r="AU30" s="651"/>
      <c r="AV30" s="651"/>
      <c r="AW30" s="651"/>
      <c r="AX30" s="651"/>
      <c r="AY30" s="652"/>
      <c r="AZ30" s="651"/>
      <c r="BA30" s="651"/>
      <c r="BB30" s="651"/>
      <c r="BC30" s="651"/>
      <c r="BD30" s="652"/>
      <c r="BE30" s="651"/>
      <c r="BF30" s="651"/>
      <c r="BG30" s="651"/>
      <c r="BH30" s="651"/>
      <c r="BI30" s="652"/>
      <c r="BJ30" s="651"/>
      <c r="BK30" s="651"/>
      <c r="BL30" s="651"/>
      <c r="BM30" s="651"/>
      <c r="BN30" s="652">
        <f>BI32</f>
        <v>0</v>
      </c>
      <c r="BO30" s="651"/>
      <c r="BP30" s="651"/>
      <c r="BQ30" s="651"/>
      <c r="BR30" s="651"/>
      <c r="BS30" s="652">
        <f>BN32</f>
        <v>817.875</v>
      </c>
      <c r="BT30" s="651"/>
      <c r="BU30" s="651"/>
      <c r="BV30" s="651"/>
      <c r="BW30" s="651"/>
      <c r="BX30" s="652">
        <f>BS32</f>
        <v>817.875</v>
      </c>
      <c r="BY30" s="651"/>
      <c r="BZ30" s="651"/>
      <c r="CA30" s="651"/>
      <c r="CB30" s="651"/>
      <c r="CC30" s="652">
        <f>BX32</f>
        <v>817.875</v>
      </c>
      <c r="CD30" s="652">
        <f>CC32</f>
        <v>817.875</v>
      </c>
      <c r="CE30" s="652">
        <f>CD32</f>
        <v>817.875</v>
      </c>
      <c r="CF30" s="652">
        <f>CE32</f>
        <v>817.875</v>
      </c>
      <c r="CG30" s="652">
        <f>CF32</f>
        <v>817.875</v>
      </c>
      <c r="CH30" s="652">
        <f>CG32</f>
        <v>817.875</v>
      </c>
    </row>
    <row r="31" spans="1:86" s="76" customFormat="1" ht="13.5">
      <c r="A31" s="85"/>
      <c r="B31" s="85"/>
      <c r="C31" s="85"/>
      <c r="D31" s="85"/>
      <c r="E31" s="85"/>
      <c r="F31" s="85"/>
      <c r="G31" s="85"/>
      <c r="H31" s="649" t="s">
        <v>606</v>
      </c>
      <c r="I31" s="649"/>
      <c r="J31" s="649"/>
      <c r="K31" s="649"/>
      <c r="L31" s="653"/>
      <c r="M31" s="653"/>
      <c r="N31" s="653"/>
      <c r="O31" s="653"/>
      <c r="P31" s="654"/>
      <c r="Q31" s="653"/>
      <c r="R31" s="653"/>
      <c r="S31" s="653"/>
      <c r="T31" s="653"/>
      <c r="U31" s="654"/>
      <c r="V31" s="653"/>
      <c r="W31" s="653"/>
      <c r="X31" s="653"/>
      <c r="Y31" s="653"/>
      <c r="Z31" s="654"/>
      <c r="AA31" s="653"/>
      <c r="AB31" s="653"/>
      <c r="AC31" s="653"/>
      <c r="AD31" s="653"/>
      <c r="AE31" s="652"/>
      <c r="AF31" s="653"/>
      <c r="AG31" s="653"/>
      <c r="AH31" s="653"/>
      <c r="AI31" s="653"/>
      <c r="AJ31" s="654">
        <v>1000</v>
      </c>
      <c r="AK31" s="653"/>
      <c r="AL31" s="653"/>
      <c r="AM31" s="653"/>
      <c r="AN31" s="653"/>
      <c r="AO31" s="654">
        <v>0</v>
      </c>
      <c r="AP31" s="653"/>
      <c r="AQ31" s="653"/>
      <c r="AR31" s="653"/>
      <c r="AS31" s="653"/>
      <c r="AT31" s="654"/>
      <c r="AU31" s="653"/>
      <c r="AV31" s="653"/>
      <c r="AW31" s="653"/>
      <c r="AX31" s="653"/>
      <c r="AY31" s="654"/>
      <c r="AZ31" s="653"/>
      <c r="BA31" s="653"/>
      <c r="BB31" s="653"/>
      <c r="BC31" s="653"/>
      <c r="BD31" s="654"/>
      <c r="BE31" s="653"/>
      <c r="BF31" s="653"/>
      <c r="BG31" s="653"/>
      <c r="BH31" s="653"/>
      <c r="BI31" s="654"/>
      <c r="BJ31" s="653"/>
      <c r="BK31" s="653"/>
      <c r="BL31" s="653"/>
      <c r="BM31" s="653"/>
      <c r="BN31" s="654">
        <f>750*$AT$180</f>
        <v>817.875</v>
      </c>
      <c r="BO31" s="653"/>
      <c r="BP31" s="653"/>
      <c r="BQ31" s="653"/>
      <c r="BR31" s="653"/>
      <c r="BS31" s="654">
        <v>0</v>
      </c>
      <c r="BT31" s="653"/>
      <c r="BU31" s="653"/>
      <c r="BV31" s="653"/>
      <c r="BW31" s="653"/>
      <c r="BX31" s="654">
        <v>0</v>
      </c>
      <c r="BY31" s="653"/>
      <c r="BZ31" s="653"/>
      <c r="CA31" s="653"/>
      <c r="CB31" s="653"/>
      <c r="CC31" s="654">
        <v>0</v>
      </c>
      <c r="CD31" s="654">
        <v>0</v>
      </c>
      <c r="CE31" s="654">
        <v>0</v>
      </c>
      <c r="CF31" s="654">
        <v>0</v>
      </c>
      <c r="CG31" s="654">
        <v>0</v>
      </c>
      <c r="CH31" s="654">
        <v>0</v>
      </c>
    </row>
    <row r="32" spans="1:86" s="76" customFormat="1" ht="13.5">
      <c r="A32" s="85"/>
      <c r="B32" s="85"/>
      <c r="C32" s="85"/>
      <c r="D32" s="85"/>
      <c r="E32" s="85"/>
      <c r="F32" s="85"/>
      <c r="G32" s="85"/>
      <c r="H32" s="649" t="s">
        <v>397</v>
      </c>
      <c r="I32" s="649"/>
      <c r="J32" s="649"/>
      <c r="K32" s="649"/>
      <c r="L32" s="651"/>
      <c r="M32" s="651"/>
      <c r="N32" s="651"/>
      <c r="O32" s="651"/>
      <c r="P32" s="652"/>
      <c r="Q32" s="651"/>
      <c r="R32" s="651"/>
      <c r="S32" s="651"/>
      <c r="T32" s="651"/>
      <c r="U32" s="652"/>
      <c r="V32" s="651"/>
      <c r="W32" s="651"/>
      <c r="X32" s="651"/>
      <c r="Y32" s="651"/>
      <c r="Z32" s="655"/>
      <c r="AA32" s="651"/>
      <c r="AB32" s="651"/>
      <c r="AC32" s="651"/>
      <c r="AD32" s="651"/>
      <c r="AE32" s="655"/>
      <c r="AF32" s="651"/>
      <c r="AG32" s="651"/>
      <c r="AH32" s="651"/>
      <c r="AI32" s="651"/>
      <c r="AJ32" s="652">
        <f>AJ30+AJ31</f>
        <v>1000</v>
      </c>
      <c r="AK32" s="651"/>
      <c r="AL32" s="651"/>
      <c r="AM32" s="651"/>
      <c r="AN32" s="651"/>
      <c r="AO32" s="652">
        <f>AO30+AO31</f>
        <v>1000</v>
      </c>
      <c r="AP32" s="651"/>
      <c r="AQ32" s="651"/>
      <c r="AR32" s="651"/>
      <c r="AS32" s="651"/>
      <c r="AT32" s="652"/>
      <c r="AU32" s="651"/>
      <c r="AV32" s="651"/>
      <c r="AW32" s="651"/>
      <c r="AX32" s="651"/>
      <c r="AY32" s="652"/>
      <c r="AZ32" s="651"/>
      <c r="BA32" s="651"/>
      <c r="BB32" s="651"/>
      <c r="BC32" s="651"/>
      <c r="BD32" s="652"/>
      <c r="BE32" s="651"/>
      <c r="BF32" s="651"/>
      <c r="BG32" s="651"/>
      <c r="BH32" s="651"/>
      <c r="BI32" s="652"/>
      <c r="BJ32" s="651"/>
      <c r="BK32" s="651"/>
      <c r="BL32" s="651"/>
      <c r="BM32" s="651"/>
      <c r="BN32" s="652">
        <f>BN30+BN31</f>
        <v>817.875</v>
      </c>
      <c r="BO32" s="651"/>
      <c r="BP32" s="651"/>
      <c r="BQ32" s="651"/>
      <c r="BR32" s="651"/>
      <c r="BS32" s="652">
        <f>BS30+BS31</f>
        <v>817.875</v>
      </c>
      <c r="BT32" s="651"/>
      <c r="BU32" s="651"/>
      <c r="BV32" s="651"/>
      <c r="BW32" s="651"/>
      <c r="BX32" s="652">
        <f>BX30+BX31</f>
        <v>817.875</v>
      </c>
      <c r="BY32" s="651"/>
      <c r="BZ32" s="651"/>
      <c r="CA32" s="651"/>
      <c r="CB32" s="651"/>
      <c r="CC32" s="652">
        <f t="shared" ref="CC32:CH32" si="5">CC30+CC31</f>
        <v>817.875</v>
      </c>
      <c r="CD32" s="652">
        <f t="shared" si="5"/>
        <v>817.875</v>
      </c>
      <c r="CE32" s="652">
        <f t="shared" si="5"/>
        <v>817.875</v>
      </c>
      <c r="CF32" s="652">
        <f t="shared" si="5"/>
        <v>817.875</v>
      </c>
      <c r="CG32" s="652">
        <f t="shared" si="5"/>
        <v>817.875</v>
      </c>
      <c r="CH32" s="652">
        <f t="shared" si="5"/>
        <v>817.875</v>
      </c>
    </row>
    <row r="33" spans="1:86" s="76" customFormat="1" ht="13.5">
      <c r="A33" s="85"/>
      <c r="B33" s="85"/>
      <c r="C33" s="85"/>
      <c r="D33" s="85"/>
      <c r="E33" s="85"/>
      <c r="F33" s="85"/>
      <c r="G33" s="85"/>
      <c r="H33" s="48" t="s">
        <v>398</v>
      </c>
      <c r="I33" s="48"/>
      <c r="J33" s="48"/>
      <c r="K33" s="48"/>
      <c r="L33" s="331"/>
      <c r="M33" s="331"/>
      <c r="N33" s="331"/>
      <c r="O33" s="331"/>
      <c r="P33" s="337"/>
      <c r="Q33" s="331"/>
      <c r="R33" s="331"/>
      <c r="S33" s="331"/>
      <c r="T33" s="331"/>
      <c r="U33" s="337"/>
      <c r="V33" s="331"/>
      <c r="W33" s="331"/>
      <c r="X33" s="331"/>
      <c r="Y33" s="331"/>
      <c r="Z33" s="337"/>
      <c r="AA33" s="331"/>
      <c r="AB33" s="331"/>
      <c r="AC33" s="331"/>
      <c r="AD33" s="331"/>
      <c r="AE33" s="659"/>
      <c r="AF33" s="331"/>
      <c r="AG33" s="331"/>
      <c r="AH33" s="331"/>
      <c r="AI33" s="331"/>
      <c r="AJ33" s="660">
        <v>3.5499999999999997E-2</v>
      </c>
      <c r="AK33" s="661"/>
      <c r="AL33" s="661"/>
      <c r="AM33" s="661"/>
      <c r="AN33" s="661"/>
      <c r="AO33" s="660">
        <f>AJ33</f>
        <v>3.5499999999999997E-2</v>
      </c>
      <c r="AP33" s="661"/>
      <c r="AQ33" s="661"/>
      <c r="AR33" s="661"/>
      <c r="AS33" s="661"/>
      <c r="AT33" s="660"/>
      <c r="AU33" s="661"/>
      <c r="AV33" s="661"/>
      <c r="AW33" s="661"/>
      <c r="AX33" s="661"/>
      <c r="AY33" s="660"/>
      <c r="AZ33" s="661"/>
      <c r="BA33" s="661"/>
      <c r="BB33" s="661"/>
      <c r="BC33" s="661"/>
      <c r="BD33" s="660"/>
      <c r="BE33" s="661"/>
      <c r="BF33" s="661"/>
      <c r="BG33" s="661"/>
      <c r="BH33" s="661"/>
      <c r="BI33" s="660"/>
      <c r="BJ33" s="661"/>
      <c r="BK33" s="661"/>
      <c r="BL33" s="661"/>
      <c r="BM33" s="661"/>
      <c r="BN33" s="660">
        <v>1.6250000000000001E-2</v>
      </c>
      <c r="BO33" s="661"/>
      <c r="BP33" s="661"/>
      <c r="BQ33" s="661"/>
      <c r="BR33" s="661"/>
      <c r="BS33" s="660">
        <f>BN33</f>
        <v>1.6250000000000001E-2</v>
      </c>
      <c r="BT33" s="661"/>
      <c r="BU33" s="661"/>
      <c r="BV33" s="661"/>
      <c r="BW33" s="661"/>
      <c r="BX33" s="660">
        <f>BS33</f>
        <v>1.6250000000000001E-2</v>
      </c>
      <c r="BY33" s="661"/>
      <c r="BZ33" s="661"/>
      <c r="CA33" s="661"/>
      <c r="CB33" s="661"/>
      <c r="CC33" s="660">
        <f>BX33</f>
        <v>1.6250000000000001E-2</v>
      </c>
      <c r="CD33" s="660">
        <f>CC33</f>
        <v>1.6250000000000001E-2</v>
      </c>
      <c r="CE33" s="660">
        <f>CD33</f>
        <v>1.6250000000000001E-2</v>
      </c>
      <c r="CF33" s="660">
        <f>CE33</f>
        <v>1.6250000000000001E-2</v>
      </c>
      <c r="CG33" s="660">
        <f>CF33</f>
        <v>1.6250000000000001E-2</v>
      </c>
      <c r="CH33" s="660">
        <f>CG33</f>
        <v>1.6250000000000001E-2</v>
      </c>
    </row>
    <row r="34" spans="1:86" s="76" customFormat="1" ht="13.5">
      <c r="A34" s="85"/>
      <c r="B34" s="85"/>
      <c r="C34" s="85"/>
      <c r="D34" s="85"/>
      <c r="E34" s="85"/>
      <c r="F34" s="85"/>
      <c r="G34" s="85"/>
      <c r="H34" s="649" t="s">
        <v>686</v>
      </c>
      <c r="I34" s="649"/>
      <c r="J34" s="649"/>
      <c r="K34" s="649"/>
      <c r="L34" s="651"/>
      <c r="M34" s="651"/>
      <c r="N34" s="651"/>
      <c r="O34" s="651"/>
      <c r="P34" s="652"/>
      <c r="Q34" s="651"/>
      <c r="R34" s="651"/>
      <c r="S34" s="651"/>
      <c r="T34" s="651"/>
      <c r="U34" s="652"/>
      <c r="V34" s="651"/>
      <c r="W34" s="651"/>
      <c r="X34" s="651"/>
      <c r="Y34" s="651"/>
      <c r="Z34" s="652"/>
      <c r="AA34" s="651"/>
      <c r="AB34" s="651"/>
      <c r="AC34" s="651"/>
      <c r="AD34" s="651"/>
      <c r="AE34" s="652"/>
      <c r="AF34" s="651"/>
      <c r="AG34" s="651"/>
      <c r="AH34" s="651"/>
      <c r="AI34" s="651"/>
      <c r="AJ34" s="652">
        <f>AJ33*AVERAGE(AJ32, AE32)</f>
        <v>35.5</v>
      </c>
      <c r="AK34" s="651"/>
      <c r="AL34" s="651"/>
      <c r="AM34" s="651"/>
      <c r="AN34" s="651"/>
      <c r="AO34" s="652">
        <f>AO33*AVERAGE(AO32, AJ32)</f>
        <v>35.5</v>
      </c>
      <c r="AP34" s="651"/>
      <c r="AQ34" s="651"/>
      <c r="AR34" s="651"/>
      <c r="AS34" s="651"/>
      <c r="AT34" s="652"/>
      <c r="AU34" s="651"/>
      <c r="AV34" s="651"/>
      <c r="AW34" s="651"/>
      <c r="AX34" s="651"/>
      <c r="AY34" s="652"/>
      <c r="AZ34" s="651"/>
      <c r="BA34" s="651"/>
      <c r="BB34" s="651"/>
      <c r="BC34" s="651"/>
      <c r="BD34" s="652"/>
      <c r="BE34" s="651"/>
      <c r="BF34" s="651"/>
      <c r="BG34" s="651"/>
      <c r="BH34" s="651"/>
      <c r="BI34" s="652"/>
      <c r="BJ34" s="651"/>
      <c r="BK34" s="651"/>
      <c r="BL34" s="651"/>
      <c r="BM34" s="651"/>
      <c r="BN34" s="652">
        <f>BN33*AVERAGE(BN32, BN30)</f>
        <v>6.6452343750000002</v>
      </c>
      <c r="BO34" s="651"/>
      <c r="BP34" s="651"/>
      <c r="BQ34" s="651"/>
      <c r="BR34" s="651"/>
      <c r="BS34" s="652">
        <f>BS33*AVERAGE(BS32, BN32)</f>
        <v>13.29046875</v>
      </c>
      <c r="BT34" s="651"/>
      <c r="BU34" s="651"/>
      <c r="BV34" s="651"/>
      <c r="BW34" s="651"/>
      <c r="BX34" s="652">
        <f>BX33*AVERAGE(BX32, BS32)</f>
        <v>13.29046875</v>
      </c>
      <c r="BY34" s="651"/>
      <c r="BZ34" s="651"/>
      <c r="CA34" s="651"/>
      <c r="CB34" s="651"/>
      <c r="CC34" s="652">
        <f>CC33*AVERAGE(CC32, BX32)</f>
        <v>13.29046875</v>
      </c>
      <c r="CD34" s="652">
        <f>CD33*AVERAGE(CD32, CC32)</f>
        <v>13.29046875</v>
      </c>
      <c r="CE34" s="652">
        <f>CE33*AVERAGE(CE32, CD32)</f>
        <v>13.29046875</v>
      </c>
      <c r="CF34" s="652">
        <f>CF33*AVERAGE(CF32, CE32)</f>
        <v>13.29046875</v>
      </c>
      <c r="CG34" s="652">
        <f>CG33*AVERAGE(CG32, CF32)</f>
        <v>13.29046875</v>
      </c>
      <c r="CH34" s="652">
        <f>CH33*AVERAGE(CH32, CG32)</f>
        <v>13.29046875</v>
      </c>
    </row>
    <row r="35" spans="1:86" s="76" customFormat="1" ht="13.5">
      <c r="A35" s="85"/>
      <c r="B35" s="85"/>
      <c r="C35" s="85"/>
      <c r="D35" s="85"/>
      <c r="E35" s="85"/>
      <c r="F35" s="85"/>
      <c r="G35" s="85"/>
      <c r="H35" s="649"/>
      <c r="I35" s="649"/>
      <c r="J35" s="649"/>
      <c r="K35" s="649"/>
      <c r="L35" s="650"/>
      <c r="M35" s="650"/>
      <c r="N35" s="650"/>
      <c r="O35" s="650"/>
      <c r="P35" s="649"/>
      <c r="Q35" s="650"/>
      <c r="R35" s="650"/>
      <c r="S35" s="650"/>
      <c r="T35" s="650"/>
      <c r="U35" s="649"/>
      <c r="V35" s="650"/>
      <c r="W35" s="650"/>
      <c r="X35" s="650"/>
      <c r="Y35" s="650"/>
      <c r="Z35" s="649"/>
      <c r="AA35" s="650"/>
      <c r="AB35" s="650"/>
      <c r="AC35" s="650"/>
      <c r="AD35" s="650"/>
      <c r="AE35" s="649"/>
      <c r="AF35" s="650"/>
      <c r="AG35" s="650"/>
      <c r="AH35" s="650"/>
      <c r="AI35" s="650"/>
      <c r="AJ35" s="649"/>
      <c r="AK35" s="650"/>
      <c r="AL35" s="650"/>
      <c r="AM35" s="650"/>
      <c r="AN35" s="650"/>
      <c r="AO35" s="649"/>
      <c r="AP35" s="650"/>
      <c r="AQ35" s="650"/>
      <c r="AR35" s="650"/>
      <c r="AS35" s="650"/>
      <c r="AT35" s="649"/>
      <c r="AU35" s="650"/>
      <c r="AV35" s="650"/>
      <c r="AW35" s="650"/>
      <c r="AX35" s="650"/>
      <c r="AY35" s="649"/>
      <c r="AZ35" s="650"/>
      <c r="BA35" s="650"/>
      <c r="BB35" s="650"/>
      <c r="BC35" s="650"/>
      <c r="BD35" s="649"/>
      <c r="BE35" s="650"/>
      <c r="BF35" s="650"/>
      <c r="BG35" s="650"/>
      <c r="BH35" s="650"/>
      <c r="BI35" s="649"/>
      <c r="BJ35" s="650"/>
      <c r="BK35" s="650"/>
      <c r="BL35" s="650"/>
      <c r="BM35" s="650"/>
      <c r="BN35" s="649"/>
      <c r="BO35" s="650"/>
      <c r="BP35" s="650"/>
      <c r="BQ35" s="650"/>
      <c r="BR35" s="650"/>
      <c r="BS35" s="649"/>
      <c r="BT35" s="650"/>
      <c r="BU35" s="650"/>
      <c r="BV35" s="650"/>
      <c r="BW35" s="650"/>
      <c r="BX35" s="649"/>
      <c r="BY35" s="650"/>
      <c r="BZ35" s="650"/>
      <c r="CA35" s="650"/>
      <c r="CB35" s="650"/>
      <c r="CC35" s="649"/>
      <c r="CD35" s="649"/>
      <c r="CE35" s="649"/>
      <c r="CF35" s="649"/>
      <c r="CG35" s="649"/>
      <c r="CH35" s="649"/>
    </row>
    <row r="36" spans="1:86" s="76" customFormat="1" ht="13.5">
      <c r="A36" s="85"/>
      <c r="B36" s="85"/>
      <c r="C36" s="85"/>
      <c r="D36" s="85"/>
      <c r="E36" s="85"/>
      <c r="F36" s="85"/>
      <c r="G36" s="85"/>
      <c r="H36" s="658" t="s">
        <v>907</v>
      </c>
      <c r="I36" s="658"/>
      <c r="J36" s="658"/>
      <c r="K36" s="658"/>
      <c r="L36" s="658"/>
      <c r="M36" s="658"/>
      <c r="N36" s="658"/>
      <c r="O36" s="658"/>
      <c r="P36" s="658"/>
      <c r="Q36" s="658"/>
      <c r="R36" s="658"/>
      <c r="S36" s="658"/>
      <c r="T36" s="658"/>
      <c r="U36" s="658"/>
      <c r="V36" s="658"/>
      <c r="W36" s="658"/>
      <c r="X36" s="658"/>
      <c r="Y36" s="658"/>
      <c r="Z36" s="658"/>
      <c r="AA36" s="658"/>
      <c r="AB36" s="658"/>
      <c r="AC36" s="658"/>
      <c r="AD36" s="658"/>
      <c r="AE36" s="658"/>
      <c r="AF36" s="658"/>
      <c r="AG36" s="658"/>
      <c r="AH36" s="658"/>
      <c r="AI36" s="658"/>
      <c r="AJ36" s="658"/>
      <c r="AK36" s="658"/>
      <c r="AL36" s="658"/>
      <c r="AM36" s="658"/>
      <c r="AN36" s="658"/>
      <c r="AO36" s="658"/>
      <c r="AP36" s="658"/>
      <c r="AQ36" s="658"/>
      <c r="AR36" s="658"/>
      <c r="AS36" s="658"/>
      <c r="AT36" s="658"/>
      <c r="AU36" s="658"/>
      <c r="AV36" s="658"/>
      <c r="AW36" s="658"/>
      <c r="AX36" s="658"/>
      <c r="AY36" s="658"/>
      <c r="AZ36" s="658"/>
      <c r="BA36" s="658"/>
      <c r="BB36" s="658"/>
      <c r="BC36" s="658"/>
      <c r="BD36" s="658"/>
      <c r="BE36" s="658"/>
      <c r="BF36" s="658"/>
      <c r="BG36" s="658"/>
      <c r="BH36" s="658"/>
      <c r="BI36" s="658"/>
      <c r="BJ36" s="658"/>
      <c r="BK36" s="658"/>
      <c r="BL36" s="658"/>
      <c r="BM36" s="658"/>
      <c r="BN36" s="658"/>
      <c r="BO36" s="658"/>
      <c r="BP36" s="658"/>
      <c r="BQ36" s="658"/>
      <c r="BR36" s="658"/>
      <c r="BS36" s="658"/>
      <c r="BT36" s="658"/>
      <c r="BU36" s="658"/>
      <c r="BV36" s="658"/>
      <c r="BW36" s="658"/>
      <c r="BX36" s="658"/>
      <c r="BY36" s="658"/>
      <c r="BZ36" s="658"/>
      <c r="CA36" s="658"/>
      <c r="CB36" s="658"/>
      <c r="CC36" s="658"/>
      <c r="CD36" s="658"/>
      <c r="CE36" s="658"/>
      <c r="CF36" s="658"/>
      <c r="CG36" s="658"/>
      <c r="CH36" s="658"/>
    </row>
    <row r="37" spans="1:86" s="76" customFormat="1" ht="13.5">
      <c r="A37" s="85"/>
      <c r="B37" s="85"/>
      <c r="C37" s="85"/>
      <c r="D37" s="85"/>
      <c r="E37" s="85"/>
      <c r="F37" s="85"/>
      <c r="G37" s="85"/>
      <c r="H37" s="649" t="s">
        <v>441</v>
      </c>
      <c r="I37" s="649"/>
      <c r="J37" s="649"/>
      <c r="K37" s="649"/>
      <c r="L37" s="651"/>
      <c r="M37" s="651"/>
      <c r="N37" s="651"/>
      <c r="O37" s="651"/>
      <c r="P37" s="652"/>
      <c r="Q37" s="651"/>
      <c r="R37" s="651"/>
      <c r="S37" s="651"/>
      <c r="T37" s="651"/>
      <c r="U37" s="652"/>
      <c r="V37" s="651"/>
      <c r="W37" s="651"/>
      <c r="X37" s="651"/>
      <c r="Y37" s="651"/>
      <c r="Z37" s="652"/>
      <c r="AA37" s="651"/>
      <c r="AB37" s="651"/>
      <c r="AC37" s="651"/>
      <c r="AD37" s="651"/>
      <c r="AE37" s="652"/>
      <c r="AF37" s="651"/>
      <c r="AG37" s="651"/>
      <c r="AH37" s="651"/>
      <c r="AI37" s="651"/>
      <c r="AJ37" s="652">
        <f>AE39</f>
        <v>0</v>
      </c>
      <c r="AK37" s="651"/>
      <c r="AL37" s="651"/>
      <c r="AM37" s="651"/>
      <c r="AN37" s="651"/>
      <c r="AO37" s="652">
        <f>AJ39</f>
        <v>1000</v>
      </c>
      <c r="AP37" s="651"/>
      <c r="AQ37" s="651"/>
      <c r="AR37" s="651"/>
      <c r="AS37" s="651"/>
      <c r="AT37" s="652"/>
      <c r="AU37" s="651"/>
      <c r="AV37" s="651"/>
      <c r="AW37" s="651"/>
      <c r="AX37" s="651"/>
      <c r="AY37" s="652"/>
      <c r="AZ37" s="651"/>
      <c r="BA37" s="651"/>
      <c r="BB37" s="651"/>
      <c r="BC37" s="651"/>
      <c r="BD37" s="652"/>
      <c r="BE37" s="651"/>
      <c r="BF37" s="651"/>
      <c r="BG37" s="651"/>
      <c r="BH37" s="651"/>
      <c r="BI37" s="652"/>
      <c r="BJ37" s="651"/>
      <c r="BK37" s="651"/>
      <c r="BL37" s="651"/>
      <c r="BM37" s="651"/>
      <c r="BN37" s="652">
        <f>BI39</f>
        <v>0</v>
      </c>
      <c r="BO37" s="651"/>
      <c r="BP37" s="651"/>
      <c r="BQ37" s="651"/>
      <c r="BR37" s="651"/>
      <c r="BS37" s="652">
        <f>BN39</f>
        <v>817.875</v>
      </c>
      <c r="BT37" s="651"/>
      <c r="BU37" s="651"/>
      <c r="BV37" s="651"/>
      <c r="BW37" s="651"/>
      <c r="BX37" s="652">
        <f>BS39</f>
        <v>817.875</v>
      </c>
      <c r="BY37" s="651"/>
      <c r="BZ37" s="651"/>
      <c r="CA37" s="651"/>
      <c r="CB37" s="651"/>
      <c r="CC37" s="652">
        <f>BX39</f>
        <v>817.875</v>
      </c>
      <c r="CD37" s="652">
        <f>CC39</f>
        <v>817.875</v>
      </c>
      <c r="CE37" s="652">
        <f>CD39</f>
        <v>817.875</v>
      </c>
      <c r="CF37" s="652">
        <f>CE39</f>
        <v>817.875</v>
      </c>
      <c r="CG37" s="652">
        <f>CF39</f>
        <v>817.875</v>
      </c>
      <c r="CH37" s="652">
        <f>CG39</f>
        <v>817.875</v>
      </c>
    </row>
    <row r="38" spans="1:86" s="76" customFormat="1" ht="13.5">
      <c r="A38" s="85"/>
      <c r="B38" s="85"/>
      <c r="C38" s="85"/>
      <c r="D38" s="85"/>
      <c r="E38" s="85"/>
      <c r="F38" s="85"/>
      <c r="G38" s="85"/>
      <c r="H38" s="649" t="s">
        <v>606</v>
      </c>
      <c r="I38" s="649"/>
      <c r="J38" s="649"/>
      <c r="K38" s="649"/>
      <c r="L38" s="653"/>
      <c r="M38" s="653"/>
      <c r="N38" s="653"/>
      <c r="O38" s="653"/>
      <c r="P38" s="654"/>
      <c r="Q38" s="653"/>
      <c r="R38" s="653"/>
      <c r="S38" s="653"/>
      <c r="T38" s="653"/>
      <c r="U38" s="654"/>
      <c r="V38" s="653"/>
      <c r="W38" s="653"/>
      <c r="X38" s="653"/>
      <c r="Y38" s="653"/>
      <c r="Z38" s="654"/>
      <c r="AA38" s="653"/>
      <c r="AB38" s="653"/>
      <c r="AC38" s="653"/>
      <c r="AD38" s="653"/>
      <c r="AE38" s="652"/>
      <c r="AF38" s="653"/>
      <c r="AG38" s="653"/>
      <c r="AH38" s="653"/>
      <c r="AI38" s="653"/>
      <c r="AJ38" s="654">
        <v>1000</v>
      </c>
      <c r="AK38" s="653"/>
      <c r="AL38" s="653"/>
      <c r="AM38" s="653"/>
      <c r="AN38" s="653"/>
      <c r="AO38" s="654">
        <v>0</v>
      </c>
      <c r="AP38" s="653"/>
      <c r="AQ38" s="653"/>
      <c r="AR38" s="653"/>
      <c r="AS38" s="653"/>
      <c r="AT38" s="654"/>
      <c r="AU38" s="653"/>
      <c r="AV38" s="653"/>
      <c r="AW38" s="653"/>
      <c r="AX38" s="653"/>
      <c r="AY38" s="654"/>
      <c r="AZ38" s="653"/>
      <c r="BA38" s="653"/>
      <c r="BB38" s="653"/>
      <c r="BC38" s="653"/>
      <c r="BD38" s="654"/>
      <c r="BE38" s="653"/>
      <c r="BF38" s="653"/>
      <c r="BG38" s="653"/>
      <c r="BH38" s="653"/>
      <c r="BI38" s="654"/>
      <c r="BJ38" s="653"/>
      <c r="BK38" s="653"/>
      <c r="BL38" s="653"/>
      <c r="BM38" s="653"/>
      <c r="BN38" s="654">
        <f>750*$AT$180</f>
        <v>817.875</v>
      </c>
      <c r="BO38" s="653"/>
      <c r="BP38" s="653"/>
      <c r="BQ38" s="653"/>
      <c r="BR38" s="653"/>
      <c r="BS38" s="654">
        <v>0</v>
      </c>
      <c r="BT38" s="653"/>
      <c r="BU38" s="653"/>
      <c r="BV38" s="653"/>
      <c r="BW38" s="653"/>
      <c r="BX38" s="654">
        <v>0</v>
      </c>
      <c r="BY38" s="653"/>
      <c r="BZ38" s="653"/>
      <c r="CA38" s="653"/>
      <c r="CB38" s="653"/>
      <c r="CC38" s="654">
        <v>0</v>
      </c>
      <c r="CD38" s="654">
        <v>0</v>
      </c>
      <c r="CE38" s="654">
        <v>0</v>
      </c>
      <c r="CF38" s="654">
        <v>0</v>
      </c>
      <c r="CG38" s="654">
        <v>0</v>
      </c>
      <c r="CH38" s="654">
        <v>0</v>
      </c>
    </row>
    <row r="39" spans="1:86" s="76" customFormat="1" ht="13.5">
      <c r="A39" s="85"/>
      <c r="B39" s="85"/>
      <c r="C39" s="85"/>
      <c r="D39" s="85"/>
      <c r="E39" s="85"/>
      <c r="F39" s="85"/>
      <c r="G39" s="85"/>
      <c r="H39" s="649" t="s">
        <v>397</v>
      </c>
      <c r="I39" s="649"/>
      <c r="J39" s="649"/>
      <c r="K39" s="649"/>
      <c r="L39" s="651"/>
      <c r="M39" s="651"/>
      <c r="N39" s="651"/>
      <c r="O39" s="651"/>
      <c r="P39" s="652"/>
      <c r="Q39" s="651"/>
      <c r="R39" s="651"/>
      <c r="S39" s="651"/>
      <c r="T39" s="651"/>
      <c r="U39" s="652"/>
      <c r="V39" s="651"/>
      <c r="W39" s="651"/>
      <c r="X39" s="651"/>
      <c r="Y39" s="651"/>
      <c r="Z39" s="655"/>
      <c r="AA39" s="651"/>
      <c r="AB39" s="651"/>
      <c r="AC39" s="651"/>
      <c r="AD39" s="651"/>
      <c r="AE39" s="655"/>
      <c r="AF39" s="651"/>
      <c r="AG39" s="651"/>
      <c r="AH39" s="651"/>
      <c r="AI39" s="651"/>
      <c r="AJ39" s="652">
        <f>AJ37+AJ38</f>
        <v>1000</v>
      </c>
      <c r="AK39" s="651"/>
      <c r="AL39" s="651"/>
      <c r="AM39" s="651"/>
      <c r="AN39" s="651"/>
      <c r="AO39" s="652">
        <f>AO37+AO38</f>
        <v>1000</v>
      </c>
      <c r="AP39" s="651"/>
      <c r="AQ39" s="651"/>
      <c r="AR39" s="651"/>
      <c r="AS39" s="651"/>
      <c r="AT39" s="652"/>
      <c r="AU39" s="651"/>
      <c r="AV39" s="651"/>
      <c r="AW39" s="651"/>
      <c r="AX39" s="651"/>
      <c r="AY39" s="652"/>
      <c r="AZ39" s="651"/>
      <c r="BA39" s="651"/>
      <c r="BB39" s="651"/>
      <c r="BC39" s="651"/>
      <c r="BD39" s="652"/>
      <c r="BE39" s="651"/>
      <c r="BF39" s="651"/>
      <c r="BG39" s="651"/>
      <c r="BH39" s="651"/>
      <c r="BI39" s="652"/>
      <c r="BJ39" s="651"/>
      <c r="BK39" s="651"/>
      <c r="BL39" s="651"/>
      <c r="BM39" s="651"/>
      <c r="BN39" s="652">
        <f>BN37+BN38</f>
        <v>817.875</v>
      </c>
      <c r="BO39" s="651"/>
      <c r="BP39" s="651"/>
      <c r="BQ39" s="651"/>
      <c r="BR39" s="651"/>
      <c r="BS39" s="652">
        <f>BS37+BS38</f>
        <v>817.875</v>
      </c>
      <c r="BT39" s="651"/>
      <c r="BU39" s="651"/>
      <c r="BV39" s="651"/>
      <c r="BW39" s="651"/>
      <c r="BX39" s="652">
        <f>BX37+BX38</f>
        <v>817.875</v>
      </c>
      <c r="BY39" s="651"/>
      <c r="BZ39" s="651"/>
      <c r="CA39" s="651"/>
      <c r="CB39" s="651"/>
      <c r="CC39" s="652">
        <f t="shared" ref="CC39:CH39" si="6">CC37+CC38</f>
        <v>817.875</v>
      </c>
      <c r="CD39" s="652">
        <f t="shared" si="6"/>
        <v>817.875</v>
      </c>
      <c r="CE39" s="652">
        <f t="shared" si="6"/>
        <v>817.875</v>
      </c>
      <c r="CF39" s="652">
        <f t="shared" si="6"/>
        <v>817.875</v>
      </c>
      <c r="CG39" s="652">
        <f t="shared" si="6"/>
        <v>817.875</v>
      </c>
      <c r="CH39" s="652">
        <f t="shared" si="6"/>
        <v>817.875</v>
      </c>
    </row>
    <row r="40" spans="1:86" s="76" customFormat="1" ht="13.5">
      <c r="A40" s="85"/>
      <c r="B40" s="85"/>
      <c r="C40" s="85"/>
      <c r="D40" s="85"/>
      <c r="E40" s="85"/>
      <c r="F40" s="85"/>
      <c r="G40" s="85"/>
      <c r="H40" s="48" t="s">
        <v>398</v>
      </c>
      <c r="I40" s="48"/>
      <c r="J40" s="48"/>
      <c r="K40" s="48"/>
      <c r="L40" s="331"/>
      <c r="M40" s="331"/>
      <c r="N40" s="331"/>
      <c r="O40" s="331"/>
      <c r="P40" s="337"/>
      <c r="Q40" s="331"/>
      <c r="R40" s="331"/>
      <c r="S40" s="331"/>
      <c r="T40" s="331"/>
      <c r="U40" s="337"/>
      <c r="V40" s="331"/>
      <c r="W40" s="331"/>
      <c r="X40" s="331"/>
      <c r="Y40" s="331"/>
      <c r="Z40" s="337"/>
      <c r="AA40" s="331"/>
      <c r="AB40" s="331"/>
      <c r="AC40" s="331"/>
      <c r="AD40" s="331"/>
      <c r="AE40" s="659"/>
      <c r="AF40" s="331"/>
      <c r="AG40" s="331"/>
      <c r="AH40" s="331"/>
      <c r="AI40" s="331"/>
      <c r="AJ40" s="660">
        <v>3.5499999999999997E-2</v>
      </c>
      <c r="AK40" s="661"/>
      <c r="AL40" s="661"/>
      <c r="AM40" s="661"/>
      <c r="AN40" s="661"/>
      <c r="AO40" s="660">
        <f>AJ40</f>
        <v>3.5499999999999997E-2</v>
      </c>
      <c r="AP40" s="661"/>
      <c r="AQ40" s="661"/>
      <c r="AR40" s="661"/>
      <c r="AS40" s="661"/>
      <c r="AT40" s="660"/>
      <c r="AU40" s="661"/>
      <c r="AV40" s="661"/>
      <c r="AW40" s="661"/>
      <c r="AX40" s="661"/>
      <c r="AY40" s="660"/>
      <c r="AZ40" s="661"/>
      <c r="BA40" s="661"/>
      <c r="BB40" s="661"/>
      <c r="BC40" s="661"/>
      <c r="BD40" s="660"/>
      <c r="BE40" s="661"/>
      <c r="BF40" s="661"/>
      <c r="BG40" s="661"/>
      <c r="BH40" s="661"/>
      <c r="BI40" s="660"/>
      <c r="BJ40" s="661"/>
      <c r="BK40" s="661"/>
      <c r="BL40" s="661"/>
      <c r="BM40" s="661"/>
      <c r="BN40" s="660">
        <v>2.1250000000000002E-2</v>
      </c>
      <c r="BO40" s="661"/>
      <c r="BP40" s="661"/>
      <c r="BQ40" s="661"/>
      <c r="BR40" s="661"/>
      <c r="BS40" s="660">
        <f>BN40</f>
        <v>2.1250000000000002E-2</v>
      </c>
      <c r="BT40" s="661"/>
      <c r="BU40" s="661"/>
      <c r="BV40" s="661"/>
      <c r="BW40" s="661"/>
      <c r="BX40" s="660">
        <f>BS40</f>
        <v>2.1250000000000002E-2</v>
      </c>
      <c r="BY40" s="661"/>
      <c r="BZ40" s="661"/>
      <c r="CA40" s="661"/>
      <c r="CB40" s="661"/>
      <c r="CC40" s="660">
        <f>BX40</f>
        <v>2.1250000000000002E-2</v>
      </c>
      <c r="CD40" s="660">
        <f>CC40</f>
        <v>2.1250000000000002E-2</v>
      </c>
      <c r="CE40" s="660">
        <f>CD40</f>
        <v>2.1250000000000002E-2</v>
      </c>
      <c r="CF40" s="660">
        <f>CE40</f>
        <v>2.1250000000000002E-2</v>
      </c>
      <c r="CG40" s="660">
        <f>CF40</f>
        <v>2.1250000000000002E-2</v>
      </c>
      <c r="CH40" s="660">
        <f>CG40</f>
        <v>2.1250000000000002E-2</v>
      </c>
    </row>
    <row r="41" spans="1:86" s="76" customFormat="1" ht="13.5">
      <c r="A41" s="85"/>
      <c r="B41" s="85"/>
      <c r="C41" s="85"/>
      <c r="D41" s="85"/>
      <c r="E41" s="85"/>
      <c r="F41" s="85"/>
      <c r="G41" s="85"/>
      <c r="H41" s="649" t="s">
        <v>686</v>
      </c>
      <c r="I41" s="649"/>
      <c r="J41" s="649"/>
      <c r="K41" s="649"/>
      <c r="L41" s="651"/>
      <c r="M41" s="651"/>
      <c r="N41" s="651"/>
      <c r="O41" s="651"/>
      <c r="P41" s="652"/>
      <c r="Q41" s="651"/>
      <c r="R41" s="651"/>
      <c r="S41" s="651"/>
      <c r="T41" s="651"/>
      <c r="U41" s="652"/>
      <c r="V41" s="651"/>
      <c r="W41" s="651"/>
      <c r="X41" s="651"/>
      <c r="Y41" s="651"/>
      <c r="Z41" s="652"/>
      <c r="AA41" s="651"/>
      <c r="AB41" s="651"/>
      <c r="AC41" s="651"/>
      <c r="AD41" s="651"/>
      <c r="AE41" s="652"/>
      <c r="AF41" s="651"/>
      <c r="AG41" s="651"/>
      <c r="AH41" s="651"/>
      <c r="AI41" s="651"/>
      <c r="AJ41" s="652">
        <f>AJ40*AVERAGE(AJ39, AE39)</f>
        <v>35.5</v>
      </c>
      <c r="AK41" s="651"/>
      <c r="AL41" s="651"/>
      <c r="AM41" s="651"/>
      <c r="AN41" s="651"/>
      <c r="AO41" s="652">
        <f>AO40*AVERAGE(AO39, AJ39)</f>
        <v>35.5</v>
      </c>
      <c r="AP41" s="651"/>
      <c r="AQ41" s="651"/>
      <c r="AR41" s="651"/>
      <c r="AS41" s="651"/>
      <c r="AT41" s="652"/>
      <c r="AU41" s="651"/>
      <c r="AV41" s="651"/>
      <c r="AW41" s="651"/>
      <c r="AX41" s="651"/>
      <c r="AY41" s="652"/>
      <c r="AZ41" s="651"/>
      <c r="BA41" s="651"/>
      <c r="BB41" s="651"/>
      <c r="BC41" s="651"/>
      <c r="BD41" s="652"/>
      <c r="BE41" s="651"/>
      <c r="BF41" s="651"/>
      <c r="BG41" s="651"/>
      <c r="BH41" s="651"/>
      <c r="BI41" s="652"/>
      <c r="BJ41" s="651"/>
      <c r="BK41" s="651"/>
      <c r="BL41" s="651"/>
      <c r="BM41" s="651"/>
      <c r="BN41" s="652">
        <f>BN40*AVERAGE(BN39, BN37)</f>
        <v>8.6899218750000014</v>
      </c>
      <c r="BO41" s="651"/>
      <c r="BP41" s="651"/>
      <c r="BQ41" s="651"/>
      <c r="BR41" s="651"/>
      <c r="BS41" s="652">
        <f>BS40*AVERAGE(BS39, BN39)</f>
        <v>17.379843750000003</v>
      </c>
      <c r="BT41" s="651"/>
      <c r="BU41" s="651"/>
      <c r="BV41" s="651"/>
      <c r="BW41" s="651"/>
      <c r="BX41" s="652">
        <f>BX40*AVERAGE(BX39, BS39)</f>
        <v>17.379843750000003</v>
      </c>
      <c r="BY41" s="651"/>
      <c r="BZ41" s="651"/>
      <c r="CA41" s="651"/>
      <c r="CB41" s="651"/>
      <c r="CC41" s="652">
        <f>CC40*AVERAGE(CC39, BX39)</f>
        <v>17.379843750000003</v>
      </c>
      <c r="CD41" s="652">
        <f>CD40*AVERAGE(CD39, CC39)</f>
        <v>17.379843750000003</v>
      </c>
      <c r="CE41" s="652">
        <f>CE40*AVERAGE(CE39, CD39)</f>
        <v>17.379843750000003</v>
      </c>
      <c r="CF41" s="652">
        <f>CF40*AVERAGE(CF39, CE39)</f>
        <v>17.379843750000003</v>
      </c>
      <c r="CG41" s="652">
        <f>CG40*AVERAGE(CG39, CF39)</f>
        <v>17.379843750000003</v>
      </c>
      <c r="CH41" s="652">
        <f>CH40*AVERAGE(CH39, CG39)</f>
        <v>17.379843750000003</v>
      </c>
    </row>
    <row r="42" spans="1:86" s="76" customFormat="1" ht="13.5">
      <c r="A42" s="85"/>
      <c r="B42" s="85"/>
      <c r="C42" s="85"/>
      <c r="D42" s="85"/>
      <c r="E42" s="85"/>
      <c r="F42" s="85"/>
      <c r="G42" s="85"/>
      <c r="H42" s="649"/>
      <c r="I42" s="649"/>
      <c r="J42" s="649"/>
      <c r="K42" s="649"/>
      <c r="L42" s="650"/>
      <c r="M42" s="650"/>
      <c r="N42" s="650"/>
      <c r="O42" s="650"/>
      <c r="P42" s="649"/>
      <c r="Q42" s="650"/>
      <c r="R42" s="650"/>
      <c r="S42" s="650"/>
      <c r="T42" s="650"/>
      <c r="U42" s="649"/>
      <c r="V42" s="650"/>
      <c r="W42" s="650"/>
      <c r="X42" s="650"/>
      <c r="Y42" s="650"/>
      <c r="Z42" s="649"/>
      <c r="AA42" s="650"/>
      <c r="AB42" s="650"/>
      <c r="AC42" s="650"/>
      <c r="AD42" s="650"/>
      <c r="AE42" s="649"/>
      <c r="AF42" s="650"/>
      <c r="AG42" s="650"/>
      <c r="AH42" s="650"/>
      <c r="AI42" s="650"/>
      <c r="AJ42" s="649"/>
      <c r="AK42" s="650"/>
      <c r="AL42" s="650"/>
      <c r="AM42" s="650"/>
      <c r="AN42" s="650"/>
      <c r="AO42" s="649"/>
      <c r="AP42" s="650"/>
      <c r="AQ42" s="650"/>
      <c r="AR42" s="650"/>
      <c r="AS42" s="650"/>
      <c r="AT42" s="649"/>
      <c r="AU42" s="650"/>
      <c r="AV42" s="650"/>
      <c r="AW42" s="650"/>
      <c r="AX42" s="650"/>
      <c r="AY42" s="649"/>
      <c r="AZ42" s="650"/>
      <c r="BA42" s="650"/>
      <c r="BB42" s="650"/>
      <c r="BC42" s="650"/>
      <c r="BD42" s="649"/>
      <c r="BE42" s="650"/>
      <c r="BF42" s="650"/>
      <c r="BG42" s="650"/>
      <c r="BH42" s="650"/>
      <c r="BI42" s="649"/>
      <c r="BJ42" s="650"/>
      <c r="BK42" s="650"/>
      <c r="BL42" s="650"/>
      <c r="BM42" s="650"/>
      <c r="BN42" s="649"/>
      <c r="BO42" s="650"/>
      <c r="BP42" s="650"/>
      <c r="BQ42" s="650"/>
      <c r="BR42" s="650"/>
      <c r="BS42" s="649"/>
      <c r="BT42" s="650"/>
      <c r="BU42" s="650"/>
      <c r="BV42" s="650"/>
      <c r="BW42" s="650"/>
      <c r="BX42" s="649"/>
      <c r="BY42" s="650"/>
      <c r="BZ42" s="650"/>
      <c r="CA42" s="650"/>
      <c r="CB42" s="650"/>
      <c r="CC42" s="649"/>
      <c r="CD42" s="649"/>
      <c r="CE42" s="649"/>
      <c r="CF42" s="649"/>
      <c r="CG42" s="649"/>
      <c r="CH42" s="649"/>
    </row>
    <row r="43" spans="1:86" s="76" customFormat="1" ht="13.5">
      <c r="A43" s="85"/>
      <c r="B43" s="85"/>
      <c r="C43" s="85"/>
      <c r="D43" s="85"/>
      <c r="E43" s="85"/>
      <c r="F43" s="85"/>
      <c r="G43" s="85"/>
      <c r="H43" s="658" t="s">
        <v>904</v>
      </c>
      <c r="I43" s="658"/>
      <c r="J43" s="658"/>
      <c r="K43" s="658"/>
      <c r="L43" s="658"/>
      <c r="M43" s="658"/>
      <c r="N43" s="658"/>
      <c r="O43" s="658"/>
      <c r="P43" s="658"/>
      <c r="Q43" s="658"/>
      <c r="R43" s="658"/>
      <c r="S43" s="658"/>
      <c r="T43" s="658"/>
      <c r="U43" s="658"/>
      <c r="V43" s="658"/>
      <c r="W43" s="658"/>
      <c r="X43" s="658"/>
      <c r="Y43" s="658"/>
      <c r="Z43" s="658"/>
      <c r="AA43" s="658"/>
      <c r="AB43" s="658"/>
      <c r="AC43" s="658"/>
      <c r="AD43" s="658"/>
      <c r="AE43" s="658"/>
      <c r="AF43" s="658"/>
      <c r="AG43" s="658"/>
      <c r="AH43" s="658"/>
      <c r="AI43" s="658"/>
      <c r="AJ43" s="658"/>
      <c r="AK43" s="658"/>
      <c r="AL43" s="658"/>
      <c r="AM43" s="658"/>
      <c r="AN43" s="658"/>
      <c r="AO43" s="658"/>
      <c r="AP43" s="658"/>
      <c r="AQ43" s="658"/>
      <c r="AR43" s="658"/>
      <c r="AS43" s="658"/>
      <c r="AT43" s="658"/>
      <c r="AU43" s="658"/>
      <c r="AV43" s="658"/>
      <c r="AW43" s="658"/>
      <c r="AX43" s="658"/>
      <c r="AY43" s="658"/>
      <c r="AZ43" s="658"/>
      <c r="BA43" s="658"/>
      <c r="BB43" s="658"/>
      <c r="BC43" s="658"/>
      <c r="BD43" s="658"/>
      <c r="BE43" s="658"/>
      <c r="BF43" s="658"/>
      <c r="BG43" s="658"/>
      <c r="BH43" s="658"/>
      <c r="BI43" s="658"/>
      <c r="BJ43" s="658"/>
      <c r="BK43" s="658"/>
      <c r="BL43" s="658"/>
      <c r="BM43" s="658"/>
      <c r="BN43" s="658"/>
      <c r="BO43" s="658"/>
      <c r="BP43" s="658"/>
      <c r="BQ43" s="658"/>
      <c r="BR43" s="658"/>
      <c r="BS43" s="658"/>
      <c r="BT43" s="658"/>
      <c r="BU43" s="658"/>
      <c r="BV43" s="658"/>
      <c r="BW43" s="658"/>
      <c r="BX43" s="658"/>
      <c r="BY43" s="658"/>
      <c r="BZ43" s="658"/>
      <c r="CA43" s="658"/>
      <c r="CB43" s="658"/>
      <c r="CC43" s="658"/>
      <c r="CD43" s="658"/>
      <c r="CE43" s="658"/>
      <c r="CF43" s="658"/>
      <c r="CG43" s="658"/>
      <c r="CH43" s="658"/>
    </row>
    <row r="44" spans="1:86" s="76" customFormat="1" ht="13.5">
      <c r="A44" s="85"/>
      <c r="B44" s="85"/>
      <c r="C44" s="85"/>
      <c r="D44" s="85"/>
      <c r="E44" s="85"/>
      <c r="F44" s="85"/>
      <c r="G44" s="85"/>
      <c r="H44" s="649" t="s">
        <v>441</v>
      </c>
      <c r="I44" s="649"/>
      <c r="J44" s="649"/>
      <c r="K44" s="649"/>
      <c r="L44" s="651"/>
      <c r="M44" s="651"/>
      <c r="N44" s="651"/>
      <c r="O44" s="651"/>
      <c r="P44" s="652"/>
      <c r="Q44" s="651"/>
      <c r="R44" s="651"/>
      <c r="S44" s="651"/>
      <c r="T44" s="651"/>
      <c r="U44" s="652"/>
      <c r="V44" s="651"/>
      <c r="W44" s="651"/>
      <c r="X44" s="651"/>
      <c r="Y44" s="651"/>
      <c r="Z44" s="652"/>
      <c r="AA44" s="651"/>
      <c r="AB44" s="651"/>
      <c r="AC44" s="651"/>
      <c r="AD44" s="651"/>
      <c r="AE44" s="652"/>
      <c r="AF44" s="651"/>
      <c r="AG44" s="651"/>
      <c r="AH44" s="651"/>
      <c r="AI44" s="651"/>
      <c r="AJ44" s="652">
        <f>AE46</f>
        <v>0</v>
      </c>
      <c r="AK44" s="651"/>
      <c r="AL44" s="651"/>
      <c r="AM44" s="651"/>
      <c r="AN44" s="651"/>
      <c r="AO44" s="652">
        <f>AJ46</f>
        <v>1000</v>
      </c>
      <c r="AP44" s="651"/>
      <c r="AQ44" s="651"/>
      <c r="AR44" s="651"/>
      <c r="AS44" s="651"/>
      <c r="AT44" s="652"/>
      <c r="AU44" s="651"/>
      <c r="AV44" s="651"/>
      <c r="AW44" s="651"/>
      <c r="AX44" s="651"/>
      <c r="AY44" s="652"/>
      <c r="AZ44" s="651"/>
      <c r="BA44" s="651"/>
      <c r="BB44" s="651"/>
      <c r="BC44" s="651"/>
      <c r="BD44" s="652"/>
      <c r="BE44" s="651"/>
      <c r="BF44" s="651"/>
      <c r="BG44" s="651"/>
      <c r="BH44" s="651"/>
      <c r="BI44" s="652"/>
      <c r="BJ44" s="651"/>
      <c r="BK44" s="651"/>
      <c r="BL44" s="651"/>
      <c r="BM44" s="651"/>
      <c r="BN44" s="652">
        <f>BI46</f>
        <v>0</v>
      </c>
      <c r="BO44" s="651"/>
      <c r="BP44" s="651"/>
      <c r="BQ44" s="651"/>
      <c r="BR44" s="651"/>
      <c r="BS44" s="652">
        <f>BN46</f>
        <v>800</v>
      </c>
      <c r="BT44" s="651"/>
      <c r="BU44" s="651"/>
      <c r="BV44" s="651"/>
      <c r="BW44" s="651"/>
      <c r="BX44" s="652">
        <f>BS46</f>
        <v>800</v>
      </c>
      <c r="BY44" s="651"/>
      <c r="BZ44" s="651"/>
      <c r="CA44" s="651"/>
      <c r="CB44" s="651"/>
      <c r="CC44" s="652">
        <f>BX46</f>
        <v>800</v>
      </c>
      <c r="CD44" s="652">
        <f>CC46</f>
        <v>800</v>
      </c>
      <c r="CE44" s="652">
        <f>CD46</f>
        <v>800</v>
      </c>
      <c r="CF44" s="652">
        <f>CE46</f>
        <v>800</v>
      </c>
      <c r="CG44" s="652">
        <f>CF46</f>
        <v>800</v>
      </c>
      <c r="CH44" s="652">
        <f>CG46</f>
        <v>800</v>
      </c>
    </row>
    <row r="45" spans="1:86" s="76" customFormat="1" ht="13.5">
      <c r="A45" s="85"/>
      <c r="B45" s="85"/>
      <c r="C45" s="85"/>
      <c r="D45" s="85"/>
      <c r="E45" s="85"/>
      <c r="F45" s="85"/>
      <c r="G45" s="85"/>
      <c r="H45" s="649" t="s">
        <v>606</v>
      </c>
      <c r="I45" s="649"/>
      <c r="J45" s="649"/>
      <c r="K45" s="649"/>
      <c r="L45" s="653"/>
      <c r="M45" s="653"/>
      <c r="N45" s="653"/>
      <c r="O45" s="653"/>
      <c r="P45" s="654"/>
      <c r="Q45" s="653"/>
      <c r="R45" s="653"/>
      <c r="S45" s="653"/>
      <c r="T45" s="653"/>
      <c r="U45" s="654"/>
      <c r="V45" s="653"/>
      <c r="W45" s="653"/>
      <c r="X45" s="653"/>
      <c r="Y45" s="653"/>
      <c r="Z45" s="654"/>
      <c r="AA45" s="653"/>
      <c r="AB45" s="653"/>
      <c r="AC45" s="653"/>
      <c r="AD45" s="653"/>
      <c r="AE45" s="652"/>
      <c r="AF45" s="653"/>
      <c r="AG45" s="653"/>
      <c r="AH45" s="653"/>
      <c r="AI45" s="653"/>
      <c r="AJ45" s="654">
        <v>1000</v>
      </c>
      <c r="AK45" s="653"/>
      <c r="AL45" s="653"/>
      <c r="AM45" s="653"/>
      <c r="AN45" s="653"/>
      <c r="AO45" s="654">
        <v>0</v>
      </c>
      <c r="AP45" s="653"/>
      <c r="AQ45" s="653"/>
      <c r="AR45" s="653"/>
      <c r="AS45" s="653"/>
      <c r="AT45" s="654"/>
      <c r="AU45" s="653"/>
      <c r="AV45" s="653"/>
      <c r="AW45" s="653"/>
      <c r="AX45" s="653"/>
      <c r="AY45" s="654"/>
      <c r="AZ45" s="653"/>
      <c r="BA45" s="653"/>
      <c r="BB45" s="653"/>
      <c r="BC45" s="653"/>
      <c r="BD45" s="654"/>
      <c r="BE45" s="653"/>
      <c r="BF45" s="653"/>
      <c r="BG45" s="653"/>
      <c r="BH45" s="653"/>
      <c r="BI45" s="654"/>
      <c r="BJ45" s="653"/>
      <c r="BK45" s="653"/>
      <c r="BL45" s="653"/>
      <c r="BM45" s="653"/>
      <c r="BN45" s="654">
        <v>800</v>
      </c>
      <c r="BO45" s="653"/>
      <c r="BP45" s="653"/>
      <c r="BQ45" s="653"/>
      <c r="BR45" s="653"/>
      <c r="BS45" s="654">
        <v>0</v>
      </c>
      <c r="BT45" s="653"/>
      <c r="BU45" s="653"/>
      <c r="BV45" s="653"/>
      <c r="BW45" s="653"/>
      <c r="BX45" s="654">
        <v>0</v>
      </c>
      <c r="BY45" s="653"/>
      <c r="BZ45" s="653"/>
      <c r="CA45" s="653"/>
      <c r="CB45" s="653"/>
      <c r="CC45" s="654">
        <v>0</v>
      </c>
      <c r="CD45" s="654">
        <v>0</v>
      </c>
      <c r="CE45" s="654">
        <v>0</v>
      </c>
      <c r="CF45" s="654">
        <v>0</v>
      </c>
      <c r="CG45" s="654">
        <v>0</v>
      </c>
      <c r="CH45" s="654">
        <v>0</v>
      </c>
    </row>
    <row r="46" spans="1:86" s="76" customFormat="1" ht="13.5">
      <c r="A46" s="85"/>
      <c r="B46" s="85"/>
      <c r="C46" s="85"/>
      <c r="D46" s="85"/>
      <c r="E46" s="85"/>
      <c r="F46" s="85"/>
      <c r="G46" s="85"/>
      <c r="H46" s="649" t="s">
        <v>397</v>
      </c>
      <c r="I46" s="649"/>
      <c r="J46" s="649"/>
      <c r="K46" s="649"/>
      <c r="L46" s="651"/>
      <c r="M46" s="651"/>
      <c r="N46" s="651"/>
      <c r="O46" s="651"/>
      <c r="P46" s="652"/>
      <c r="Q46" s="651"/>
      <c r="R46" s="651"/>
      <c r="S46" s="651"/>
      <c r="T46" s="651"/>
      <c r="U46" s="652"/>
      <c r="V46" s="651"/>
      <c r="W46" s="651"/>
      <c r="X46" s="651"/>
      <c r="Y46" s="651"/>
      <c r="Z46" s="655"/>
      <c r="AA46" s="651"/>
      <c r="AB46" s="651"/>
      <c r="AC46" s="651"/>
      <c r="AD46" s="651"/>
      <c r="AE46" s="655"/>
      <c r="AF46" s="651"/>
      <c r="AG46" s="651"/>
      <c r="AH46" s="651"/>
      <c r="AI46" s="651"/>
      <c r="AJ46" s="652">
        <f>AJ44+AJ45</f>
        <v>1000</v>
      </c>
      <c r="AK46" s="651"/>
      <c r="AL46" s="651"/>
      <c r="AM46" s="651"/>
      <c r="AN46" s="651"/>
      <c r="AO46" s="652">
        <f>AO44+AO45</f>
        <v>1000</v>
      </c>
      <c r="AP46" s="651"/>
      <c r="AQ46" s="651"/>
      <c r="AR46" s="651"/>
      <c r="AS46" s="651"/>
      <c r="AT46" s="652"/>
      <c r="AU46" s="651"/>
      <c r="AV46" s="651"/>
      <c r="AW46" s="651"/>
      <c r="AX46" s="651"/>
      <c r="AY46" s="652"/>
      <c r="AZ46" s="651"/>
      <c r="BA46" s="651"/>
      <c r="BB46" s="651"/>
      <c r="BC46" s="651"/>
      <c r="BD46" s="652"/>
      <c r="BE46" s="651"/>
      <c r="BF46" s="651"/>
      <c r="BG46" s="651"/>
      <c r="BH46" s="651"/>
      <c r="BI46" s="652"/>
      <c r="BJ46" s="651"/>
      <c r="BK46" s="651"/>
      <c r="BL46" s="651"/>
      <c r="BM46" s="651"/>
      <c r="BN46" s="652">
        <f>BN44+BN45</f>
        <v>800</v>
      </c>
      <c r="BO46" s="651"/>
      <c r="BP46" s="651"/>
      <c r="BQ46" s="651"/>
      <c r="BR46" s="651"/>
      <c r="BS46" s="652">
        <f>BS44+BS45</f>
        <v>800</v>
      </c>
      <c r="BT46" s="651"/>
      <c r="BU46" s="651"/>
      <c r="BV46" s="651"/>
      <c r="BW46" s="651"/>
      <c r="BX46" s="652">
        <f>BX44+BX45</f>
        <v>800</v>
      </c>
      <c r="BY46" s="651"/>
      <c r="BZ46" s="651"/>
      <c r="CA46" s="651"/>
      <c r="CB46" s="651"/>
      <c r="CC46" s="652">
        <f t="shared" ref="CC46:CH46" si="7">CC44+CC45</f>
        <v>800</v>
      </c>
      <c r="CD46" s="652">
        <f t="shared" si="7"/>
        <v>800</v>
      </c>
      <c r="CE46" s="652">
        <f t="shared" si="7"/>
        <v>800</v>
      </c>
      <c r="CF46" s="652">
        <f t="shared" si="7"/>
        <v>800</v>
      </c>
      <c r="CG46" s="652">
        <f t="shared" si="7"/>
        <v>800</v>
      </c>
      <c r="CH46" s="652">
        <f t="shared" si="7"/>
        <v>800</v>
      </c>
    </row>
    <row r="47" spans="1:86" s="76" customFormat="1" ht="13.5">
      <c r="A47" s="85"/>
      <c r="B47" s="85"/>
      <c r="C47" s="85"/>
      <c r="D47" s="85"/>
      <c r="E47" s="85"/>
      <c r="F47" s="85"/>
      <c r="G47" s="85"/>
      <c r="H47" s="48" t="s">
        <v>398</v>
      </c>
      <c r="I47" s="48"/>
      <c r="J47" s="48"/>
      <c r="K47" s="48"/>
      <c r="L47" s="331"/>
      <c r="M47" s="331"/>
      <c r="N47" s="331"/>
      <c r="O47" s="331"/>
      <c r="P47" s="337"/>
      <c r="Q47" s="331"/>
      <c r="R47" s="331"/>
      <c r="S47" s="331"/>
      <c r="T47" s="331"/>
      <c r="U47" s="337"/>
      <c r="V47" s="331"/>
      <c r="W47" s="331"/>
      <c r="X47" s="331"/>
      <c r="Y47" s="331"/>
      <c r="Z47" s="337"/>
      <c r="AA47" s="331"/>
      <c r="AB47" s="331"/>
      <c r="AC47" s="331"/>
      <c r="AD47" s="331"/>
      <c r="AE47" s="659"/>
      <c r="AF47" s="331"/>
      <c r="AG47" s="331"/>
      <c r="AH47" s="331"/>
      <c r="AI47" s="331"/>
      <c r="AJ47" s="660">
        <v>3.5499999999999997E-2</v>
      </c>
      <c r="AK47" s="661"/>
      <c r="AL47" s="661"/>
      <c r="AM47" s="661"/>
      <c r="AN47" s="661"/>
      <c r="AO47" s="660">
        <f>AJ47</f>
        <v>3.5499999999999997E-2</v>
      </c>
      <c r="AP47" s="661"/>
      <c r="AQ47" s="661"/>
      <c r="AR47" s="661"/>
      <c r="AS47" s="661"/>
      <c r="AT47" s="660"/>
      <c r="AU47" s="661"/>
      <c r="AV47" s="661"/>
      <c r="AW47" s="661"/>
      <c r="AX47" s="661"/>
      <c r="AY47" s="660"/>
      <c r="AZ47" s="661"/>
      <c r="BA47" s="661"/>
      <c r="BB47" s="661"/>
      <c r="BC47" s="661"/>
      <c r="BD47" s="660"/>
      <c r="BE47" s="661"/>
      <c r="BF47" s="661"/>
      <c r="BG47" s="661"/>
      <c r="BH47" s="661"/>
      <c r="BI47" s="660"/>
      <c r="BJ47" s="661"/>
      <c r="BK47" s="661"/>
      <c r="BL47" s="661"/>
      <c r="BM47" s="661"/>
      <c r="BN47" s="660">
        <v>3.6999999999999998E-2</v>
      </c>
      <c r="BO47" s="661"/>
      <c r="BP47" s="661"/>
      <c r="BQ47" s="661"/>
      <c r="BR47" s="661"/>
      <c r="BS47" s="660">
        <f>BN47</f>
        <v>3.6999999999999998E-2</v>
      </c>
      <c r="BT47" s="661"/>
      <c r="BU47" s="661"/>
      <c r="BV47" s="661"/>
      <c r="BW47" s="661"/>
      <c r="BX47" s="660">
        <f>BS47</f>
        <v>3.6999999999999998E-2</v>
      </c>
      <c r="BY47" s="661"/>
      <c r="BZ47" s="661"/>
      <c r="CA47" s="661"/>
      <c r="CB47" s="661"/>
      <c r="CC47" s="660">
        <f>BX47</f>
        <v>3.6999999999999998E-2</v>
      </c>
      <c r="CD47" s="660">
        <f>CC47</f>
        <v>3.6999999999999998E-2</v>
      </c>
      <c r="CE47" s="660">
        <f>CD47</f>
        <v>3.6999999999999998E-2</v>
      </c>
      <c r="CF47" s="660">
        <f>CE47</f>
        <v>3.6999999999999998E-2</v>
      </c>
      <c r="CG47" s="660">
        <f>CF47</f>
        <v>3.6999999999999998E-2</v>
      </c>
      <c r="CH47" s="660">
        <f>CG47</f>
        <v>3.6999999999999998E-2</v>
      </c>
    </row>
    <row r="48" spans="1:86" s="76" customFormat="1" ht="13.5">
      <c r="A48" s="85"/>
      <c r="B48" s="85"/>
      <c r="C48" s="85"/>
      <c r="D48" s="85"/>
      <c r="E48" s="85"/>
      <c r="F48" s="85"/>
      <c r="G48" s="85"/>
      <c r="H48" s="649" t="s">
        <v>686</v>
      </c>
      <c r="I48" s="649"/>
      <c r="J48" s="649"/>
      <c r="K48" s="649"/>
      <c r="L48" s="651"/>
      <c r="M48" s="651"/>
      <c r="N48" s="651"/>
      <c r="O48" s="651"/>
      <c r="P48" s="652"/>
      <c r="Q48" s="651"/>
      <c r="R48" s="651"/>
      <c r="S48" s="651"/>
      <c r="T48" s="651"/>
      <c r="U48" s="652"/>
      <c r="V48" s="651"/>
      <c r="W48" s="651"/>
      <c r="X48" s="651"/>
      <c r="Y48" s="651"/>
      <c r="Z48" s="652"/>
      <c r="AA48" s="651"/>
      <c r="AB48" s="651"/>
      <c r="AC48" s="651"/>
      <c r="AD48" s="651"/>
      <c r="AE48" s="652"/>
      <c r="AF48" s="651"/>
      <c r="AG48" s="651"/>
      <c r="AH48" s="651"/>
      <c r="AI48" s="651"/>
      <c r="AJ48" s="652">
        <f>AJ47*AVERAGE(AJ46, AE46)</f>
        <v>35.5</v>
      </c>
      <c r="AK48" s="651"/>
      <c r="AL48" s="651"/>
      <c r="AM48" s="651"/>
      <c r="AN48" s="651"/>
      <c r="AO48" s="652">
        <f>AO47*AVERAGE(AO46, AJ46)</f>
        <v>35.5</v>
      </c>
      <c r="AP48" s="651"/>
      <c r="AQ48" s="651"/>
      <c r="AR48" s="651"/>
      <c r="AS48" s="651"/>
      <c r="AT48" s="652"/>
      <c r="AU48" s="651"/>
      <c r="AV48" s="651"/>
      <c r="AW48" s="651"/>
      <c r="AX48" s="651"/>
      <c r="AY48" s="652"/>
      <c r="AZ48" s="651"/>
      <c r="BA48" s="651"/>
      <c r="BB48" s="651"/>
      <c r="BC48" s="651"/>
      <c r="BD48" s="652"/>
      <c r="BE48" s="651"/>
      <c r="BF48" s="651"/>
      <c r="BG48" s="651"/>
      <c r="BH48" s="651"/>
      <c r="BI48" s="652"/>
      <c r="BJ48" s="651"/>
      <c r="BK48" s="651"/>
      <c r="BL48" s="651"/>
      <c r="BM48" s="651"/>
      <c r="BN48" s="652">
        <f>BN47*AVERAGE(BN46, BN44)</f>
        <v>14.799999999999999</v>
      </c>
      <c r="BO48" s="651"/>
      <c r="BP48" s="651"/>
      <c r="BQ48" s="651"/>
      <c r="BR48" s="651"/>
      <c r="BS48" s="652">
        <f>BS47*AVERAGE(BS46, BN46)</f>
        <v>29.599999999999998</v>
      </c>
      <c r="BT48" s="651"/>
      <c r="BU48" s="651"/>
      <c r="BV48" s="651"/>
      <c r="BW48" s="651"/>
      <c r="BX48" s="652">
        <f>BX47*AVERAGE(BX46, BS46)</f>
        <v>29.599999999999998</v>
      </c>
      <c r="BY48" s="651"/>
      <c r="BZ48" s="651"/>
      <c r="CA48" s="651"/>
      <c r="CB48" s="651"/>
      <c r="CC48" s="652">
        <f>CC47*AVERAGE(CC46, BX46)</f>
        <v>29.599999999999998</v>
      </c>
      <c r="CD48" s="652">
        <f>CD47*AVERAGE(CD46, CC46)</f>
        <v>29.599999999999998</v>
      </c>
      <c r="CE48" s="652">
        <f>CE47*AVERAGE(CE46, CD46)</f>
        <v>29.599999999999998</v>
      </c>
      <c r="CF48" s="652">
        <f>CF47*AVERAGE(CF46, CE46)</f>
        <v>29.599999999999998</v>
      </c>
      <c r="CG48" s="652">
        <f>CG47*AVERAGE(CG46, CF46)</f>
        <v>29.599999999999998</v>
      </c>
      <c r="CH48" s="652">
        <f>CH47*AVERAGE(CH46, CG46)</f>
        <v>29.599999999999998</v>
      </c>
    </row>
    <row r="49" spans="1:86" s="76" customFormat="1" ht="13.5">
      <c r="A49" s="85"/>
      <c r="B49" s="85"/>
      <c r="C49" s="85"/>
      <c r="D49" s="85"/>
      <c r="E49" s="85"/>
      <c r="F49" s="85"/>
      <c r="G49" s="85"/>
      <c r="H49" s="649"/>
      <c r="I49" s="649"/>
      <c r="J49" s="649"/>
      <c r="K49" s="649"/>
      <c r="L49" s="650"/>
      <c r="M49" s="650"/>
      <c r="N49" s="650"/>
      <c r="O49" s="650"/>
      <c r="P49" s="649"/>
      <c r="Q49" s="650"/>
      <c r="R49" s="650"/>
      <c r="S49" s="650"/>
      <c r="T49" s="650"/>
      <c r="U49" s="649"/>
      <c r="V49" s="650"/>
      <c r="W49" s="650"/>
      <c r="X49" s="650"/>
      <c r="Y49" s="650"/>
      <c r="Z49" s="649"/>
      <c r="AA49" s="650"/>
      <c r="AB49" s="650"/>
      <c r="AC49" s="650"/>
      <c r="AD49" s="650"/>
      <c r="AE49" s="649"/>
      <c r="AF49" s="650"/>
      <c r="AG49" s="650"/>
      <c r="AH49" s="650"/>
      <c r="AI49" s="650"/>
      <c r="AJ49" s="649"/>
      <c r="AK49" s="650"/>
      <c r="AL49" s="650"/>
      <c r="AM49" s="650"/>
      <c r="AN49" s="650"/>
      <c r="AO49" s="649"/>
      <c r="AP49" s="650"/>
      <c r="AQ49" s="650"/>
      <c r="AR49" s="650"/>
      <c r="AS49" s="650"/>
      <c r="AT49" s="649"/>
      <c r="AU49" s="650"/>
      <c r="AV49" s="650"/>
      <c r="AW49" s="650"/>
      <c r="AX49" s="650"/>
      <c r="AY49" s="649"/>
      <c r="AZ49" s="650"/>
      <c r="BA49" s="650"/>
      <c r="BB49" s="650"/>
      <c r="BC49" s="650"/>
      <c r="BD49" s="649"/>
      <c r="BE49" s="650"/>
      <c r="BF49" s="650"/>
      <c r="BG49" s="650"/>
      <c r="BH49" s="650"/>
      <c r="BI49" s="649"/>
      <c r="BJ49" s="650"/>
      <c r="BK49" s="650"/>
      <c r="BL49" s="650"/>
      <c r="BM49" s="650"/>
      <c r="BN49" s="649"/>
      <c r="BO49" s="650"/>
      <c r="BP49" s="650"/>
      <c r="BQ49" s="650"/>
      <c r="BR49" s="650"/>
      <c r="BS49" s="649"/>
      <c r="BT49" s="650"/>
      <c r="BU49" s="650"/>
      <c r="BV49" s="650"/>
      <c r="BW49" s="650"/>
      <c r="BX49" s="649"/>
      <c r="BY49" s="650"/>
      <c r="BZ49" s="650"/>
      <c r="CA49" s="650"/>
      <c r="CB49" s="650"/>
      <c r="CC49" s="649"/>
      <c r="CD49" s="649"/>
      <c r="CE49" s="649"/>
      <c r="CF49" s="649"/>
      <c r="CG49" s="649"/>
      <c r="CH49" s="649"/>
    </row>
    <row r="50" spans="1:86" s="76" customFormat="1" ht="13.5">
      <c r="A50" s="85"/>
      <c r="B50" s="85"/>
      <c r="C50" s="85"/>
      <c r="D50" s="85"/>
      <c r="E50" s="85"/>
      <c r="F50" s="85"/>
      <c r="G50" s="85"/>
      <c r="H50" s="658" t="s">
        <v>903</v>
      </c>
      <c r="I50" s="658"/>
      <c r="J50" s="658"/>
      <c r="K50" s="658"/>
      <c r="L50" s="658"/>
      <c r="M50" s="658"/>
      <c r="N50" s="658"/>
      <c r="O50" s="658"/>
      <c r="P50" s="658"/>
      <c r="Q50" s="658"/>
      <c r="R50" s="658"/>
      <c r="S50" s="658"/>
      <c r="T50" s="658"/>
      <c r="U50" s="658"/>
      <c r="V50" s="658"/>
      <c r="W50" s="658"/>
      <c r="X50" s="658"/>
      <c r="Y50" s="658"/>
      <c r="Z50" s="658"/>
      <c r="AA50" s="658"/>
      <c r="AB50" s="658"/>
      <c r="AC50" s="658"/>
      <c r="AD50" s="658"/>
      <c r="AE50" s="658"/>
      <c r="AF50" s="658"/>
      <c r="AG50" s="658"/>
      <c r="AH50" s="658"/>
      <c r="AI50" s="658"/>
      <c r="AJ50" s="658"/>
      <c r="AK50" s="658"/>
      <c r="AL50" s="658"/>
      <c r="AM50" s="658"/>
      <c r="AN50" s="658"/>
      <c r="AO50" s="658"/>
      <c r="AP50" s="658"/>
      <c r="AQ50" s="658"/>
      <c r="AR50" s="658"/>
      <c r="AS50" s="658"/>
      <c r="AT50" s="658"/>
      <c r="AU50" s="658"/>
      <c r="AV50" s="658"/>
      <c r="AW50" s="658"/>
      <c r="AX50" s="658"/>
      <c r="AY50" s="658"/>
      <c r="AZ50" s="658"/>
      <c r="BA50" s="658"/>
      <c r="BB50" s="658"/>
      <c r="BC50" s="658"/>
      <c r="BD50" s="658"/>
      <c r="BE50" s="658"/>
      <c r="BF50" s="658"/>
      <c r="BG50" s="658"/>
      <c r="BH50" s="658"/>
      <c r="BI50" s="658"/>
      <c r="BJ50" s="658"/>
      <c r="BK50" s="658"/>
      <c r="BL50" s="658"/>
      <c r="BM50" s="658"/>
      <c r="BN50" s="658"/>
      <c r="BO50" s="658"/>
      <c r="BP50" s="658"/>
      <c r="BQ50" s="658"/>
      <c r="BR50" s="658"/>
      <c r="BS50" s="658"/>
      <c r="BT50" s="658"/>
      <c r="BU50" s="658"/>
      <c r="BV50" s="658"/>
      <c r="BW50" s="658"/>
      <c r="BX50" s="658"/>
      <c r="BY50" s="658"/>
      <c r="BZ50" s="658"/>
      <c r="CA50" s="658"/>
      <c r="CB50" s="658"/>
      <c r="CC50" s="658"/>
      <c r="CD50" s="658"/>
      <c r="CE50" s="658"/>
      <c r="CF50" s="658"/>
      <c r="CG50" s="658"/>
      <c r="CH50" s="658"/>
    </row>
    <row r="51" spans="1:86" s="76" customFormat="1" ht="13.5">
      <c r="A51" s="85"/>
      <c r="B51" s="85"/>
      <c r="C51" s="85"/>
      <c r="D51" s="85"/>
      <c r="E51" s="85"/>
      <c r="F51" s="85"/>
      <c r="G51" s="85"/>
      <c r="H51" s="649" t="s">
        <v>441</v>
      </c>
      <c r="I51" s="649"/>
      <c r="J51" s="649"/>
      <c r="K51" s="649"/>
      <c r="L51" s="651"/>
      <c r="M51" s="651"/>
      <c r="N51" s="651"/>
      <c r="O51" s="651"/>
      <c r="P51" s="652"/>
      <c r="Q51" s="651"/>
      <c r="R51" s="651"/>
      <c r="S51" s="651"/>
      <c r="T51" s="651"/>
      <c r="U51" s="652"/>
      <c r="V51" s="651"/>
      <c r="W51" s="651"/>
      <c r="X51" s="651"/>
      <c r="Y51" s="651"/>
      <c r="Z51" s="652"/>
      <c r="AA51" s="651"/>
      <c r="AB51" s="651"/>
      <c r="AC51" s="651"/>
      <c r="AD51" s="651"/>
      <c r="AE51" s="652"/>
      <c r="AF51" s="651"/>
      <c r="AG51" s="651"/>
      <c r="AH51" s="651"/>
      <c r="AI51" s="651"/>
      <c r="AJ51" s="652">
        <f>AE53</f>
        <v>0</v>
      </c>
      <c r="AK51" s="651"/>
      <c r="AL51" s="651"/>
      <c r="AM51" s="651"/>
      <c r="AN51" s="651"/>
      <c r="AO51" s="652">
        <f>AJ53</f>
        <v>1000</v>
      </c>
      <c r="AP51" s="651"/>
      <c r="AQ51" s="651"/>
      <c r="AR51" s="651"/>
      <c r="AS51" s="651"/>
      <c r="AT51" s="652"/>
      <c r="AU51" s="651"/>
      <c r="AV51" s="651"/>
      <c r="AW51" s="651"/>
      <c r="AX51" s="651"/>
      <c r="AY51" s="652"/>
      <c r="AZ51" s="651"/>
      <c r="BA51" s="651"/>
      <c r="BB51" s="651"/>
      <c r="BC51" s="651"/>
      <c r="BD51" s="652"/>
      <c r="BE51" s="651"/>
      <c r="BF51" s="651"/>
      <c r="BG51" s="651"/>
      <c r="BH51" s="651"/>
      <c r="BI51" s="652"/>
      <c r="BJ51" s="651"/>
      <c r="BK51" s="651"/>
      <c r="BL51" s="651"/>
      <c r="BM51" s="651"/>
      <c r="BN51" s="652">
        <f>BI53</f>
        <v>0</v>
      </c>
      <c r="BO51" s="651"/>
      <c r="BP51" s="651"/>
      <c r="BQ51" s="651"/>
      <c r="BR51" s="651"/>
      <c r="BS51" s="652">
        <f>BN53</f>
        <v>800</v>
      </c>
      <c r="BT51" s="651"/>
      <c r="BU51" s="651"/>
      <c r="BV51" s="651"/>
      <c r="BW51" s="651"/>
      <c r="BX51" s="652">
        <f>BS53</f>
        <v>800</v>
      </c>
      <c r="BY51" s="651"/>
      <c r="BZ51" s="651"/>
      <c r="CA51" s="651"/>
      <c r="CB51" s="651"/>
      <c r="CC51" s="652">
        <f>BX53</f>
        <v>800</v>
      </c>
      <c r="CD51" s="652">
        <f>CC53</f>
        <v>800</v>
      </c>
      <c r="CE51" s="652">
        <f>CD53</f>
        <v>800</v>
      </c>
      <c r="CF51" s="652">
        <f>CE53</f>
        <v>800</v>
      </c>
      <c r="CG51" s="652">
        <f>CF53</f>
        <v>800</v>
      </c>
      <c r="CH51" s="652">
        <f>CG53</f>
        <v>800</v>
      </c>
    </row>
    <row r="52" spans="1:86" s="76" customFormat="1" ht="13.5">
      <c r="A52" s="85"/>
      <c r="B52" s="85"/>
      <c r="C52" s="85"/>
      <c r="D52" s="85"/>
      <c r="E52" s="85"/>
      <c r="F52" s="85"/>
      <c r="G52" s="85"/>
      <c r="H52" s="649" t="s">
        <v>606</v>
      </c>
      <c r="I52" s="649"/>
      <c r="J52" s="649"/>
      <c r="K52" s="649"/>
      <c r="L52" s="653"/>
      <c r="M52" s="653"/>
      <c r="N52" s="653"/>
      <c r="O52" s="653"/>
      <c r="P52" s="654"/>
      <c r="Q52" s="653"/>
      <c r="R52" s="653"/>
      <c r="S52" s="653"/>
      <c r="T52" s="653"/>
      <c r="U52" s="654"/>
      <c r="V52" s="653"/>
      <c r="W52" s="653"/>
      <c r="X52" s="653"/>
      <c r="Y52" s="653"/>
      <c r="Z52" s="654"/>
      <c r="AA52" s="653"/>
      <c r="AB52" s="653"/>
      <c r="AC52" s="653"/>
      <c r="AD52" s="653"/>
      <c r="AE52" s="652"/>
      <c r="AF52" s="653"/>
      <c r="AG52" s="653"/>
      <c r="AH52" s="653"/>
      <c r="AI52" s="653"/>
      <c r="AJ52" s="654">
        <v>1000</v>
      </c>
      <c r="AK52" s="653"/>
      <c r="AL52" s="653"/>
      <c r="AM52" s="653"/>
      <c r="AN52" s="653"/>
      <c r="AO52" s="654">
        <v>0</v>
      </c>
      <c r="AP52" s="653"/>
      <c r="AQ52" s="653"/>
      <c r="AR52" s="653"/>
      <c r="AS52" s="653"/>
      <c r="AT52" s="654"/>
      <c r="AU52" s="653"/>
      <c r="AV52" s="653"/>
      <c r="AW52" s="653"/>
      <c r="AX52" s="653"/>
      <c r="AY52" s="654"/>
      <c r="AZ52" s="653"/>
      <c r="BA52" s="653"/>
      <c r="BB52" s="653"/>
      <c r="BC52" s="653"/>
      <c r="BD52" s="654"/>
      <c r="BE52" s="653"/>
      <c r="BF52" s="653"/>
      <c r="BG52" s="653"/>
      <c r="BH52" s="653"/>
      <c r="BI52" s="654"/>
      <c r="BJ52" s="653"/>
      <c r="BK52" s="653"/>
      <c r="BL52" s="653"/>
      <c r="BM52" s="653"/>
      <c r="BN52" s="654">
        <v>800</v>
      </c>
      <c r="BO52" s="653"/>
      <c r="BP52" s="653"/>
      <c r="BQ52" s="653"/>
      <c r="BR52" s="653"/>
      <c r="BS52" s="654">
        <v>0</v>
      </c>
      <c r="BT52" s="653"/>
      <c r="BU52" s="653"/>
      <c r="BV52" s="653"/>
      <c r="BW52" s="653"/>
      <c r="BX52" s="654">
        <v>0</v>
      </c>
      <c r="BY52" s="653"/>
      <c r="BZ52" s="653"/>
      <c r="CA52" s="653"/>
      <c r="CB52" s="653"/>
      <c r="CC52" s="654">
        <v>0</v>
      </c>
      <c r="CD52" s="654">
        <v>0</v>
      </c>
      <c r="CE52" s="654">
        <v>0</v>
      </c>
      <c r="CF52" s="654">
        <v>0</v>
      </c>
      <c r="CG52" s="654">
        <v>0</v>
      </c>
      <c r="CH52" s="654">
        <v>0</v>
      </c>
    </row>
    <row r="53" spans="1:86" s="76" customFormat="1" ht="13.5">
      <c r="A53" s="85"/>
      <c r="B53" s="85"/>
      <c r="C53" s="85"/>
      <c r="D53" s="85"/>
      <c r="E53" s="85"/>
      <c r="F53" s="85"/>
      <c r="G53" s="85"/>
      <c r="H53" s="649" t="s">
        <v>397</v>
      </c>
      <c r="I53" s="649"/>
      <c r="J53" s="649"/>
      <c r="K53" s="649"/>
      <c r="L53" s="651"/>
      <c r="M53" s="651"/>
      <c r="N53" s="651"/>
      <c r="O53" s="651"/>
      <c r="P53" s="652"/>
      <c r="Q53" s="651"/>
      <c r="R53" s="651"/>
      <c r="S53" s="651"/>
      <c r="T53" s="651"/>
      <c r="U53" s="652"/>
      <c r="V53" s="651"/>
      <c r="W53" s="651"/>
      <c r="X53" s="651"/>
      <c r="Y53" s="651"/>
      <c r="Z53" s="655"/>
      <c r="AA53" s="651"/>
      <c r="AB53" s="651"/>
      <c r="AC53" s="651"/>
      <c r="AD53" s="651"/>
      <c r="AE53" s="655"/>
      <c r="AF53" s="651"/>
      <c r="AG53" s="651"/>
      <c r="AH53" s="651"/>
      <c r="AI53" s="651"/>
      <c r="AJ53" s="652">
        <f>AJ51+AJ52</f>
        <v>1000</v>
      </c>
      <c r="AK53" s="651"/>
      <c r="AL53" s="651"/>
      <c r="AM53" s="651"/>
      <c r="AN53" s="651"/>
      <c r="AO53" s="652">
        <f>AO51+AO52</f>
        <v>1000</v>
      </c>
      <c r="AP53" s="651"/>
      <c r="AQ53" s="651"/>
      <c r="AR53" s="651"/>
      <c r="AS53" s="651"/>
      <c r="AT53" s="652"/>
      <c r="AU53" s="651"/>
      <c r="AV53" s="651"/>
      <c r="AW53" s="651"/>
      <c r="AX53" s="651"/>
      <c r="AY53" s="652"/>
      <c r="AZ53" s="651"/>
      <c r="BA53" s="651"/>
      <c r="BB53" s="651"/>
      <c r="BC53" s="651"/>
      <c r="BD53" s="652"/>
      <c r="BE53" s="651"/>
      <c r="BF53" s="651"/>
      <c r="BG53" s="651"/>
      <c r="BH53" s="651"/>
      <c r="BI53" s="652"/>
      <c r="BJ53" s="651"/>
      <c r="BK53" s="651"/>
      <c r="BL53" s="651"/>
      <c r="BM53" s="651"/>
      <c r="BN53" s="652">
        <f>BN51+BN52</f>
        <v>800</v>
      </c>
      <c r="BO53" s="651"/>
      <c r="BP53" s="651"/>
      <c r="BQ53" s="651"/>
      <c r="BR53" s="651"/>
      <c r="BS53" s="652">
        <f>BS51+BS52</f>
        <v>800</v>
      </c>
      <c r="BT53" s="651"/>
      <c r="BU53" s="651"/>
      <c r="BV53" s="651"/>
      <c r="BW53" s="651"/>
      <c r="BX53" s="652">
        <f>BX51+BX52</f>
        <v>800</v>
      </c>
      <c r="BY53" s="651"/>
      <c r="BZ53" s="651"/>
      <c r="CA53" s="651"/>
      <c r="CB53" s="651"/>
      <c r="CC53" s="652">
        <f t="shared" ref="CC53:CH53" si="8">CC51+CC52</f>
        <v>800</v>
      </c>
      <c r="CD53" s="652">
        <f t="shared" si="8"/>
        <v>800</v>
      </c>
      <c r="CE53" s="652">
        <f t="shared" si="8"/>
        <v>800</v>
      </c>
      <c r="CF53" s="652">
        <f t="shared" si="8"/>
        <v>800</v>
      </c>
      <c r="CG53" s="652">
        <f t="shared" si="8"/>
        <v>800</v>
      </c>
      <c r="CH53" s="652">
        <f t="shared" si="8"/>
        <v>800</v>
      </c>
    </row>
    <row r="54" spans="1:86" s="76" customFormat="1" ht="13.5">
      <c r="A54" s="85"/>
      <c r="B54" s="85"/>
      <c r="C54" s="85"/>
      <c r="D54" s="85"/>
      <c r="E54" s="85"/>
      <c r="F54" s="85"/>
      <c r="G54" s="85"/>
      <c r="H54" s="48" t="s">
        <v>398</v>
      </c>
      <c r="I54" s="48"/>
      <c r="J54" s="48"/>
      <c r="K54" s="48"/>
      <c r="L54" s="331"/>
      <c r="M54" s="331"/>
      <c r="N54" s="331"/>
      <c r="O54" s="331"/>
      <c r="P54" s="337"/>
      <c r="Q54" s="331"/>
      <c r="R54" s="331"/>
      <c r="S54" s="331"/>
      <c r="T54" s="331"/>
      <c r="U54" s="337"/>
      <c r="V54" s="331"/>
      <c r="W54" s="331"/>
      <c r="X54" s="331"/>
      <c r="Y54" s="331"/>
      <c r="Z54" s="337"/>
      <c r="AA54" s="331"/>
      <c r="AB54" s="331"/>
      <c r="AC54" s="331"/>
      <c r="AD54" s="331"/>
      <c r="AE54" s="659"/>
      <c r="AF54" s="331"/>
      <c r="AG54" s="331"/>
      <c r="AH54" s="331"/>
      <c r="AI54" s="331"/>
      <c r="AJ54" s="660">
        <v>3.5499999999999997E-2</v>
      </c>
      <c r="AK54" s="661"/>
      <c r="AL54" s="661"/>
      <c r="AM54" s="661"/>
      <c r="AN54" s="661"/>
      <c r="AO54" s="660">
        <f>AJ54</f>
        <v>3.5499999999999997E-2</v>
      </c>
      <c r="AP54" s="661"/>
      <c r="AQ54" s="661"/>
      <c r="AR54" s="661"/>
      <c r="AS54" s="661"/>
      <c r="AT54" s="660"/>
      <c r="AU54" s="661"/>
      <c r="AV54" s="661"/>
      <c r="AW54" s="661"/>
      <c r="AX54" s="661"/>
      <c r="AY54" s="660"/>
      <c r="AZ54" s="661"/>
      <c r="BA54" s="661"/>
      <c r="BB54" s="661"/>
      <c r="BC54" s="661"/>
      <c r="BD54" s="660"/>
      <c r="BE54" s="661"/>
      <c r="BF54" s="661"/>
      <c r="BG54" s="661"/>
      <c r="BH54" s="661"/>
      <c r="BI54" s="660"/>
      <c r="BJ54" s="661"/>
      <c r="BK54" s="661"/>
      <c r="BL54" s="661"/>
      <c r="BM54" s="661"/>
      <c r="BN54" s="660">
        <v>2.75E-2</v>
      </c>
      <c r="BO54" s="661"/>
      <c r="BP54" s="661"/>
      <c r="BQ54" s="661"/>
      <c r="BR54" s="661"/>
      <c r="BS54" s="660">
        <f>BN54</f>
        <v>2.75E-2</v>
      </c>
      <c r="BT54" s="661"/>
      <c r="BU54" s="661"/>
      <c r="BV54" s="661"/>
      <c r="BW54" s="661"/>
      <c r="BX54" s="660">
        <f>BS54</f>
        <v>2.75E-2</v>
      </c>
      <c r="BY54" s="661"/>
      <c r="BZ54" s="661"/>
      <c r="CA54" s="661"/>
      <c r="CB54" s="661"/>
      <c r="CC54" s="660">
        <f>BX54</f>
        <v>2.75E-2</v>
      </c>
      <c r="CD54" s="660">
        <f>CC54</f>
        <v>2.75E-2</v>
      </c>
      <c r="CE54" s="660">
        <f>CD54</f>
        <v>2.75E-2</v>
      </c>
      <c r="CF54" s="660">
        <f>CE54</f>
        <v>2.75E-2</v>
      </c>
      <c r="CG54" s="660">
        <f>CF54</f>
        <v>2.75E-2</v>
      </c>
      <c r="CH54" s="660">
        <f>CG54</f>
        <v>2.75E-2</v>
      </c>
    </row>
    <row r="55" spans="1:86" s="76" customFormat="1" ht="13.5">
      <c r="A55" s="85"/>
      <c r="B55" s="85"/>
      <c r="C55" s="85"/>
      <c r="D55" s="85"/>
      <c r="E55" s="85"/>
      <c r="F55" s="85"/>
      <c r="G55" s="85"/>
      <c r="H55" s="649" t="s">
        <v>686</v>
      </c>
      <c r="I55" s="649"/>
      <c r="J55" s="649"/>
      <c r="K55" s="649"/>
      <c r="L55" s="651"/>
      <c r="M55" s="651"/>
      <c r="N55" s="651"/>
      <c r="O55" s="651"/>
      <c r="P55" s="652"/>
      <c r="Q55" s="651"/>
      <c r="R55" s="651"/>
      <c r="S55" s="651"/>
      <c r="T55" s="651"/>
      <c r="U55" s="652"/>
      <c r="V55" s="651"/>
      <c r="W55" s="651"/>
      <c r="X55" s="651"/>
      <c r="Y55" s="651"/>
      <c r="Z55" s="652"/>
      <c r="AA55" s="651"/>
      <c r="AB55" s="651"/>
      <c r="AC55" s="651"/>
      <c r="AD55" s="651"/>
      <c r="AE55" s="652"/>
      <c r="AF55" s="651"/>
      <c r="AG55" s="651"/>
      <c r="AH55" s="651"/>
      <c r="AI55" s="651"/>
      <c r="AJ55" s="652">
        <f>AJ54*AVERAGE(AJ53, AE53)</f>
        <v>35.5</v>
      </c>
      <c r="AK55" s="651"/>
      <c r="AL55" s="651"/>
      <c r="AM55" s="651"/>
      <c r="AN55" s="651"/>
      <c r="AO55" s="652">
        <f>AO54*AVERAGE(AO53, AJ53)</f>
        <v>35.5</v>
      </c>
      <c r="AP55" s="651"/>
      <c r="AQ55" s="651"/>
      <c r="AR55" s="651"/>
      <c r="AS55" s="651"/>
      <c r="AT55" s="652"/>
      <c r="AU55" s="651"/>
      <c r="AV55" s="651"/>
      <c r="AW55" s="651"/>
      <c r="AX55" s="651"/>
      <c r="AY55" s="652"/>
      <c r="AZ55" s="651"/>
      <c r="BA55" s="651"/>
      <c r="BB55" s="651"/>
      <c r="BC55" s="651"/>
      <c r="BD55" s="652"/>
      <c r="BE55" s="651"/>
      <c r="BF55" s="651"/>
      <c r="BG55" s="651"/>
      <c r="BH55" s="651"/>
      <c r="BI55" s="652"/>
      <c r="BJ55" s="651"/>
      <c r="BK55" s="651"/>
      <c r="BL55" s="651"/>
      <c r="BM55" s="651"/>
      <c r="BN55" s="652">
        <f>BN54*AVERAGE(BN53, BN51)</f>
        <v>11</v>
      </c>
      <c r="BO55" s="651"/>
      <c r="BP55" s="651"/>
      <c r="BQ55" s="651"/>
      <c r="BR55" s="651"/>
      <c r="BS55" s="652">
        <f>BS54*AVERAGE(BS53, BN53)</f>
        <v>22</v>
      </c>
      <c r="BT55" s="651"/>
      <c r="BU55" s="651"/>
      <c r="BV55" s="651"/>
      <c r="BW55" s="651"/>
      <c r="BX55" s="652">
        <f>BX54*AVERAGE(BX53, BS53)</f>
        <v>22</v>
      </c>
      <c r="BY55" s="651"/>
      <c r="BZ55" s="651"/>
      <c r="CA55" s="651"/>
      <c r="CB55" s="651"/>
      <c r="CC55" s="652">
        <f>CC54*AVERAGE(CC53, BX53)</f>
        <v>22</v>
      </c>
      <c r="CD55" s="652">
        <f>CD54*AVERAGE(CD53, CC53)</f>
        <v>22</v>
      </c>
      <c r="CE55" s="652">
        <f>CE54*AVERAGE(CE53, CD53)</f>
        <v>22</v>
      </c>
      <c r="CF55" s="652">
        <f>CF54*AVERAGE(CF53, CE53)</f>
        <v>22</v>
      </c>
      <c r="CG55" s="652">
        <f>CG54*AVERAGE(CG53, CF53)</f>
        <v>22</v>
      </c>
      <c r="CH55" s="652">
        <f>CH54*AVERAGE(CH53, CG53)</f>
        <v>22</v>
      </c>
    </row>
    <row r="56" spans="1:86" s="76" customFormat="1" ht="13.5">
      <c r="A56" s="85"/>
      <c r="B56" s="85"/>
      <c r="C56" s="85"/>
      <c r="D56" s="85"/>
      <c r="E56" s="85"/>
      <c r="F56" s="85"/>
      <c r="G56" s="85"/>
      <c r="H56" s="649"/>
      <c r="I56" s="649"/>
      <c r="J56" s="649"/>
      <c r="K56" s="649"/>
      <c r="L56" s="650"/>
      <c r="M56" s="650"/>
      <c r="N56" s="650"/>
      <c r="O56" s="650"/>
      <c r="P56" s="649"/>
      <c r="Q56" s="650"/>
      <c r="R56" s="650"/>
      <c r="S56" s="650"/>
      <c r="T56" s="650"/>
      <c r="U56" s="649"/>
      <c r="V56" s="650"/>
      <c r="W56" s="650"/>
      <c r="X56" s="650"/>
      <c r="Y56" s="650"/>
      <c r="Z56" s="649"/>
      <c r="AA56" s="650"/>
      <c r="AB56" s="650"/>
      <c r="AC56" s="650"/>
      <c r="AD56" s="650"/>
      <c r="AE56" s="649"/>
      <c r="AF56" s="650"/>
      <c r="AG56" s="650"/>
      <c r="AH56" s="650"/>
      <c r="AI56" s="650"/>
      <c r="AJ56" s="649"/>
      <c r="AK56" s="650"/>
      <c r="AL56" s="650"/>
      <c r="AM56" s="650"/>
      <c r="AN56" s="650"/>
      <c r="AO56" s="649"/>
      <c r="AP56" s="650"/>
      <c r="AQ56" s="650"/>
      <c r="AR56" s="650"/>
      <c r="AS56" s="650"/>
      <c r="AT56" s="649"/>
      <c r="AU56" s="650"/>
      <c r="AV56" s="650"/>
      <c r="AW56" s="650"/>
      <c r="AX56" s="650"/>
      <c r="AY56" s="649"/>
      <c r="AZ56" s="650"/>
      <c r="BA56" s="650"/>
      <c r="BB56" s="650"/>
      <c r="BC56" s="650"/>
      <c r="BD56" s="649"/>
      <c r="BE56" s="650"/>
      <c r="BF56" s="650"/>
      <c r="BG56" s="650"/>
      <c r="BH56" s="650"/>
      <c r="BI56" s="649"/>
      <c r="BJ56" s="650"/>
      <c r="BK56" s="650"/>
      <c r="BL56" s="650"/>
      <c r="BM56" s="650"/>
      <c r="BN56" s="649"/>
      <c r="BO56" s="650"/>
      <c r="BP56" s="650"/>
      <c r="BQ56" s="650"/>
      <c r="BR56" s="650"/>
      <c r="BS56" s="649"/>
      <c r="BT56" s="650"/>
      <c r="BU56" s="650"/>
      <c r="BV56" s="650"/>
      <c r="BW56" s="650"/>
      <c r="BX56" s="649"/>
      <c r="BY56" s="650"/>
      <c r="BZ56" s="650"/>
      <c r="CA56" s="650"/>
      <c r="CB56" s="650"/>
      <c r="CC56" s="649"/>
      <c r="CD56" s="649"/>
      <c r="CE56" s="649"/>
      <c r="CF56" s="649"/>
      <c r="CG56" s="649"/>
      <c r="CH56" s="649"/>
    </row>
    <row r="57" spans="1:86" s="76" customFormat="1" ht="13.5">
      <c r="A57" s="85"/>
      <c r="B57" s="85"/>
      <c r="C57" s="85"/>
      <c r="D57" s="85"/>
      <c r="E57" s="85"/>
      <c r="F57" s="85"/>
      <c r="G57" s="85"/>
      <c r="H57" s="658" t="s">
        <v>902</v>
      </c>
      <c r="I57" s="658"/>
      <c r="J57" s="658"/>
      <c r="K57" s="658"/>
      <c r="L57" s="658"/>
      <c r="M57" s="658"/>
      <c r="N57" s="658"/>
      <c r="O57" s="658"/>
      <c r="P57" s="658"/>
      <c r="Q57" s="658"/>
      <c r="R57" s="658"/>
      <c r="S57" s="658"/>
      <c r="T57" s="658"/>
      <c r="U57" s="658"/>
      <c r="V57" s="658"/>
      <c r="W57" s="658"/>
      <c r="X57" s="658"/>
      <c r="Y57" s="658"/>
      <c r="Z57" s="658"/>
      <c r="AA57" s="658"/>
      <c r="AB57" s="658"/>
      <c r="AC57" s="658"/>
      <c r="AD57" s="658"/>
      <c r="AE57" s="658"/>
      <c r="AF57" s="658"/>
      <c r="AG57" s="658"/>
      <c r="AH57" s="658"/>
      <c r="AI57" s="658"/>
      <c r="AJ57" s="658"/>
      <c r="AK57" s="658"/>
      <c r="AL57" s="658"/>
      <c r="AM57" s="658"/>
      <c r="AN57" s="658"/>
      <c r="AO57" s="658"/>
      <c r="AP57" s="658"/>
      <c r="AQ57" s="658"/>
      <c r="AR57" s="658"/>
      <c r="AS57" s="658"/>
      <c r="AT57" s="658"/>
      <c r="AU57" s="658"/>
      <c r="AV57" s="658"/>
      <c r="AW57" s="658"/>
      <c r="AX57" s="658"/>
      <c r="AY57" s="658"/>
      <c r="AZ57" s="658"/>
      <c r="BA57" s="658"/>
      <c r="BB57" s="658"/>
      <c r="BC57" s="658"/>
      <c r="BD57" s="658"/>
      <c r="BE57" s="658"/>
      <c r="BF57" s="658"/>
      <c r="BG57" s="658"/>
      <c r="BH57" s="658"/>
      <c r="BI57" s="658"/>
      <c r="BJ57" s="658"/>
      <c r="BK57" s="658"/>
      <c r="BL57" s="658"/>
      <c r="BM57" s="658"/>
      <c r="BN57" s="658"/>
      <c r="BO57" s="658"/>
      <c r="BP57" s="658"/>
      <c r="BQ57" s="658"/>
      <c r="BR57" s="658"/>
      <c r="BS57" s="658"/>
      <c r="BT57" s="658"/>
      <c r="BU57" s="658"/>
      <c r="BV57" s="658"/>
      <c r="BW57" s="658"/>
      <c r="BX57" s="658"/>
      <c r="BY57" s="658"/>
      <c r="BZ57" s="658"/>
      <c r="CA57" s="658"/>
      <c r="CB57" s="658"/>
      <c r="CC57" s="658"/>
      <c r="CD57" s="658"/>
      <c r="CE57" s="658"/>
      <c r="CF57" s="658"/>
      <c r="CG57" s="658"/>
      <c r="CH57" s="658"/>
    </row>
    <row r="58" spans="1:86" s="76" customFormat="1" ht="13.5">
      <c r="A58" s="85"/>
      <c r="B58" s="85"/>
      <c r="C58" s="85"/>
      <c r="D58" s="85"/>
      <c r="E58" s="85"/>
      <c r="F58" s="85"/>
      <c r="G58" s="85"/>
      <c r="H58" s="649" t="s">
        <v>441</v>
      </c>
      <c r="I58" s="649"/>
      <c r="J58" s="649"/>
      <c r="K58" s="649"/>
      <c r="L58" s="651"/>
      <c r="M58" s="651"/>
      <c r="N58" s="651"/>
      <c r="O58" s="651"/>
      <c r="P58" s="652"/>
      <c r="Q58" s="651"/>
      <c r="R58" s="651"/>
      <c r="S58" s="651"/>
      <c r="T58" s="651"/>
      <c r="U58" s="652"/>
      <c r="V58" s="651"/>
      <c r="W58" s="651"/>
      <c r="X58" s="651"/>
      <c r="Y58" s="651"/>
      <c r="Z58" s="652"/>
      <c r="AA58" s="651"/>
      <c r="AB58" s="651"/>
      <c r="AC58" s="651"/>
      <c r="AD58" s="651"/>
      <c r="AE58" s="652"/>
      <c r="AF58" s="651"/>
      <c r="AG58" s="651"/>
      <c r="AH58" s="651"/>
      <c r="AI58" s="651"/>
      <c r="AJ58" s="652">
        <f>AE60</f>
        <v>0</v>
      </c>
      <c r="AK58" s="651"/>
      <c r="AL58" s="651"/>
      <c r="AM58" s="651"/>
      <c r="AN58" s="651"/>
      <c r="AO58" s="652">
        <f>AJ60</f>
        <v>1000</v>
      </c>
      <c r="AP58" s="651"/>
      <c r="AQ58" s="651"/>
      <c r="AR58" s="651"/>
      <c r="AS58" s="651"/>
      <c r="AT58" s="652"/>
      <c r="AU58" s="651"/>
      <c r="AV58" s="651"/>
      <c r="AW58" s="651"/>
      <c r="AX58" s="651"/>
      <c r="AY58" s="652"/>
      <c r="AZ58" s="651"/>
      <c r="BA58" s="651"/>
      <c r="BB58" s="651"/>
      <c r="BC58" s="651"/>
      <c r="BD58" s="652"/>
      <c r="BE58" s="651"/>
      <c r="BF58" s="651"/>
      <c r="BG58" s="651"/>
      <c r="BH58" s="651"/>
      <c r="BI58" s="652"/>
      <c r="BJ58" s="651"/>
      <c r="BK58" s="651"/>
      <c r="BL58" s="651"/>
      <c r="BM58" s="651"/>
      <c r="BN58" s="652">
        <f>BI60</f>
        <v>0</v>
      </c>
      <c r="BO58" s="651"/>
      <c r="BP58" s="651"/>
      <c r="BQ58" s="651"/>
      <c r="BR58" s="651"/>
      <c r="BS58" s="652">
        <f>BN60</f>
        <v>600</v>
      </c>
      <c r="BT58" s="651"/>
      <c r="BU58" s="651"/>
      <c r="BV58" s="651"/>
      <c r="BW58" s="651"/>
      <c r="BX58" s="652">
        <f>BS60</f>
        <v>600</v>
      </c>
      <c r="BY58" s="651"/>
      <c r="BZ58" s="651"/>
      <c r="CA58" s="651"/>
      <c r="CB58" s="651"/>
      <c r="CC58" s="652">
        <f>BX60</f>
        <v>600</v>
      </c>
      <c r="CD58" s="652">
        <f>CC60</f>
        <v>0</v>
      </c>
      <c r="CE58" s="652">
        <f>CD60</f>
        <v>0</v>
      </c>
      <c r="CF58" s="652">
        <f>CE60</f>
        <v>0</v>
      </c>
      <c r="CG58" s="652">
        <f>CF60</f>
        <v>0</v>
      </c>
      <c r="CH58" s="652">
        <f>CG60</f>
        <v>0</v>
      </c>
    </row>
    <row r="59" spans="1:86" s="76" customFormat="1" ht="13.5">
      <c r="A59" s="85"/>
      <c r="B59" s="85"/>
      <c r="C59" s="85"/>
      <c r="D59" s="85"/>
      <c r="E59" s="85"/>
      <c r="F59" s="85"/>
      <c r="G59" s="85"/>
      <c r="H59" s="649" t="s">
        <v>606</v>
      </c>
      <c r="I59" s="649"/>
      <c r="J59" s="649"/>
      <c r="K59" s="649"/>
      <c r="L59" s="653"/>
      <c r="M59" s="653"/>
      <c r="N59" s="653"/>
      <c r="O59" s="653"/>
      <c r="P59" s="654"/>
      <c r="Q59" s="653"/>
      <c r="R59" s="653"/>
      <c r="S59" s="653"/>
      <c r="T59" s="653"/>
      <c r="U59" s="654"/>
      <c r="V59" s="653"/>
      <c r="W59" s="653"/>
      <c r="X59" s="653"/>
      <c r="Y59" s="653"/>
      <c r="Z59" s="654"/>
      <c r="AA59" s="653"/>
      <c r="AB59" s="653"/>
      <c r="AC59" s="653"/>
      <c r="AD59" s="653"/>
      <c r="AE59" s="652"/>
      <c r="AF59" s="653"/>
      <c r="AG59" s="653"/>
      <c r="AH59" s="653"/>
      <c r="AI59" s="653"/>
      <c r="AJ59" s="654">
        <v>1000</v>
      </c>
      <c r="AK59" s="653"/>
      <c r="AL59" s="653"/>
      <c r="AM59" s="653"/>
      <c r="AN59" s="653"/>
      <c r="AO59" s="654">
        <v>0</v>
      </c>
      <c r="AP59" s="653"/>
      <c r="AQ59" s="653"/>
      <c r="AR59" s="653"/>
      <c r="AS59" s="653"/>
      <c r="AT59" s="654"/>
      <c r="AU59" s="653"/>
      <c r="AV59" s="653"/>
      <c r="AW59" s="653"/>
      <c r="AX59" s="653"/>
      <c r="AY59" s="654"/>
      <c r="AZ59" s="653"/>
      <c r="BA59" s="653"/>
      <c r="BB59" s="653"/>
      <c r="BC59" s="653"/>
      <c r="BD59" s="654"/>
      <c r="BE59" s="653"/>
      <c r="BF59" s="653"/>
      <c r="BG59" s="653"/>
      <c r="BH59" s="653"/>
      <c r="BI59" s="654"/>
      <c r="BJ59" s="653"/>
      <c r="BK59" s="653"/>
      <c r="BL59" s="653"/>
      <c r="BM59" s="653"/>
      <c r="BN59" s="654">
        <v>600</v>
      </c>
      <c r="BO59" s="653"/>
      <c r="BP59" s="653"/>
      <c r="BQ59" s="653"/>
      <c r="BR59" s="653"/>
      <c r="BS59" s="654">
        <v>0</v>
      </c>
      <c r="BT59" s="653"/>
      <c r="BU59" s="653"/>
      <c r="BV59" s="653"/>
      <c r="BW59" s="653"/>
      <c r="BX59" s="654">
        <v>0</v>
      </c>
      <c r="BY59" s="653"/>
      <c r="BZ59" s="653"/>
      <c r="CA59" s="653"/>
      <c r="CB59" s="653"/>
      <c r="CC59" s="654">
        <f>-CC58</f>
        <v>-600</v>
      </c>
      <c r="CD59" s="654">
        <v>0</v>
      </c>
      <c r="CE59" s="654">
        <v>0</v>
      </c>
      <c r="CF59" s="654">
        <v>0</v>
      </c>
      <c r="CG59" s="654">
        <v>0</v>
      </c>
      <c r="CH59" s="654">
        <v>0</v>
      </c>
    </row>
    <row r="60" spans="1:86" s="76" customFormat="1" ht="13.5">
      <c r="A60" s="85"/>
      <c r="B60" s="85"/>
      <c r="C60" s="85"/>
      <c r="D60" s="85"/>
      <c r="E60" s="85"/>
      <c r="F60" s="85"/>
      <c r="G60" s="85"/>
      <c r="H60" s="649" t="s">
        <v>397</v>
      </c>
      <c r="I60" s="649"/>
      <c r="J60" s="649"/>
      <c r="K60" s="649"/>
      <c r="L60" s="651"/>
      <c r="M60" s="651"/>
      <c r="N60" s="651"/>
      <c r="O60" s="651"/>
      <c r="P60" s="652"/>
      <c r="Q60" s="651"/>
      <c r="R60" s="651"/>
      <c r="S60" s="651"/>
      <c r="T60" s="651"/>
      <c r="U60" s="652"/>
      <c r="V60" s="651"/>
      <c r="W60" s="651"/>
      <c r="X60" s="651"/>
      <c r="Y60" s="651"/>
      <c r="Z60" s="655"/>
      <c r="AA60" s="651"/>
      <c r="AB60" s="651"/>
      <c r="AC60" s="651"/>
      <c r="AD60" s="651"/>
      <c r="AE60" s="655"/>
      <c r="AF60" s="651"/>
      <c r="AG60" s="651"/>
      <c r="AH60" s="651"/>
      <c r="AI60" s="651"/>
      <c r="AJ60" s="652">
        <f>AJ58+AJ59</f>
        <v>1000</v>
      </c>
      <c r="AK60" s="651"/>
      <c r="AL60" s="651"/>
      <c r="AM60" s="651"/>
      <c r="AN60" s="651"/>
      <c r="AO60" s="652">
        <f>AO58+AO59</f>
        <v>1000</v>
      </c>
      <c r="AP60" s="651"/>
      <c r="AQ60" s="651"/>
      <c r="AR60" s="651"/>
      <c r="AS60" s="651"/>
      <c r="AT60" s="652"/>
      <c r="AU60" s="651"/>
      <c r="AV60" s="651"/>
      <c r="AW60" s="651"/>
      <c r="AX60" s="651"/>
      <c r="AY60" s="652"/>
      <c r="AZ60" s="651"/>
      <c r="BA60" s="651"/>
      <c r="BB60" s="651"/>
      <c r="BC60" s="651"/>
      <c r="BD60" s="652"/>
      <c r="BE60" s="651"/>
      <c r="BF60" s="651"/>
      <c r="BG60" s="651"/>
      <c r="BH60" s="651"/>
      <c r="BI60" s="652"/>
      <c r="BJ60" s="651"/>
      <c r="BK60" s="651"/>
      <c r="BL60" s="651"/>
      <c r="BM60" s="651"/>
      <c r="BN60" s="652">
        <f>BN58+BN59</f>
        <v>600</v>
      </c>
      <c r="BO60" s="651"/>
      <c r="BP60" s="651"/>
      <c r="BQ60" s="651"/>
      <c r="BR60" s="651"/>
      <c r="BS60" s="652">
        <f>BS58+BS59</f>
        <v>600</v>
      </c>
      <c r="BT60" s="651"/>
      <c r="BU60" s="651"/>
      <c r="BV60" s="651"/>
      <c r="BW60" s="651"/>
      <c r="BX60" s="652">
        <f>BX58+BX59</f>
        <v>600</v>
      </c>
      <c r="BY60" s="651"/>
      <c r="BZ60" s="651"/>
      <c r="CA60" s="651"/>
      <c r="CB60" s="651"/>
      <c r="CC60" s="652">
        <f t="shared" ref="CC60:CH60" si="9">CC58+CC59</f>
        <v>0</v>
      </c>
      <c r="CD60" s="652">
        <f t="shared" si="9"/>
        <v>0</v>
      </c>
      <c r="CE60" s="652">
        <f t="shared" si="9"/>
        <v>0</v>
      </c>
      <c r="CF60" s="652">
        <f t="shared" si="9"/>
        <v>0</v>
      </c>
      <c r="CG60" s="652">
        <f t="shared" si="9"/>
        <v>0</v>
      </c>
      <c r="CH60" s="652">
        <f t="shared" si="9"/>
        <v>0</v>
      </c>
    </row>
    <row r="61" spans="1:86" s="76" customFormat="1" ht="13.5">
      <c r="A61" s="85"/>
      <c r="B61" s="85"/>
      <c r="C61" s="85"/>
      <c r="D61" s="85"/>
      <c r="E61" s="85"/>
      <c r="F61" s="85"/>
      <c r="G61" s="85"/>
      <c r="H61" s="48" t="s">
        <v>398</v>
      </c>
      <c r="I61" s="48"/>
      <c r="J61" s="48"/>
      <c r="K61" s="48"/>
      <c r="L61" s="331"/>
      <c r="M61" s="331"/>
      <c r="N61" s="331"/>
      <c r="O61" s="331"/>
      <c r="P61" s="337"/>
      <c r="Q61" s="331"/>
      <c r="R61" s="331"/>
      <c r="S61" s="331"/>
      <c r="T61" s="331"/>
      <c r="U61" s="337"/>
      <c r="V61" s="331"/>
      <c r="W61" s="331"/>
      <c r="X61" s="331"/>
      <c r="Y61" s="331"/>
      <c r="Z61" s="337"/>
      <c r="AA61" s="331"/>
      <c r="AB61" s="331"/>
      <c r="AC61" s="331"/>
      <c r="AD61" s="331"/>
      <c r="AE61" s="659"/>
      <c r="AF61" s="331"/>
      <c r="AG61" s="331"/>
      <c r="AH61" s="331"/>
      <c r="AI61" s="331"/>
      <c r="AJ61" s="660">
        <v>3.5499999999999997E-2</v>
      </c>
      <c r="AK61" s="661"/>
      <c r="AL61" s="661"/>
      <c r="AM61" s="661"/>
      <c r="AN61" s="661"/>
      <c r="AO61" s="660">
        <f>AJ61</f>
        <v>3.5499999999999997E-2</v>
      </c>
      <c r="AP61" s="661"/>
      <c r="AQ61" s="661"/>
      <c r="AR61" s="661"/>
      <c r="AS61" s="661"/>
      <c r="AT61" s="660"/>
      <c r="AU61" s="661"/>
      <c r="AV61" s="661"/>
      <c r="AW61" s="661"/>
      <c r="AX61" s="661"/>
      <c r="AY61" s="660"/>
      <c r="AZ61" s="661"/>
      <c r="BA61" s="661"/>
      <c r="BB61" s="661"/>
      <c r="BC61" s="661"/>
      <c r="BD61" s="660"/>
      <c r="BE61" s="661"/>
      <c r="BF61" s="661"/>
      <c r="BG61" s="661"/>
      <c r="BH61" s="661"/>
      <c r="BI61" s="660"/>
      <c r="BJ61" s="661"/>
      <c r="BK61" s="661"/>
      <c r="BL61" s="661"/>
      <c r="BM61" s="661"/>
      <c r="BN61" s="660">
        <v>1.2500000000000001E-2</v>
      </c>
      <c r="BO61" s="661"/>
      <c r="BP61" s="661"/>
      <c r="BQ61" s="661"/>
      <c r="BR61" s="661"/>
      <c r="BS61" s="660">
        <f>BN61</f>
        <v>1.2500000000000001E-2</v>
      </c>
      <c r="BT61" s="661"/>
      <c r="BU61" s="661"/>
      <c r="BV61" s="661"/>
      <c r="BW61" s="661"/>
      <c r="BX61" s="660">
        <f>BS61</f>
        <v>1.2500000000000001E-2</v>
      </c>
      <c r="BY61" s="661"/>
      <c r="BZ61" s="661"/>
      <c r="CA61" s="661"/>
      <c r="CB61" s="661"/>
      <c r="CC61" s="660">
        <f>BX61</f>
        <v>1.2500000000000001E-2</v>
      </c>
      <c r="CD61" s="660">
        <f>CC61</f>
        <v>1.2500000000000001E-2</v>
      </c>
      <c r="CE61" s="660">
        <f>CD61</f>
        <v>1.2500000000000001E-2</v>
      </c>
      <c r="CF61" s="660">
        <f>CE61</f>
        <v>1.2500000000000001E-2</v>
      </c>
      <c r="CG61" s="660">
        <f>CF61</f>
        <v>1.2500000000000001E-2</v>
      </c>
      <c r="CH61" s="660">
        <f>CG61</f>
        <v>1.2500000000000001E-2</v>
      </c>
    </row>
    <row r="62" spans="1:86" s="76" customFormat="1" ht="13.5">
      <c r="A62" s="85"/>
      <c r="B62" s="85"/>
      <c r="C62" s="85"/>
      <c r="D62" s="85"/>
      <c r="E62" s="85"/>
      <c r="F62" s="85"/>
      <c r="G62" s="85"/>
      <c r="H62" s="649" t="s">
        <v>686</v>
      </c>
      <c r="I62" s="649"/>
      <c r="J62" s="649"/>
      <c r="K62" s="649"/>
      <c r="L62" s="651"/>
      <c r="M62" s="651"/>
      <c r="N62" s="651"/>
      <c r="O62" s="651"/>
      <c r="P62" s="652"/>
      <c r="Q62" s="651"/>
      <c r="R62" s="651"/>
      <c r="S62" s="651"/>
      <c r="T62" s="651"/>
      <c r="U62" s="652"/>
      <c r="V62" s="651"/>
      <c r="W62" s="651"/>
      <c r="X62" s="651"/>
      <c r="Y62" s="651"/>
      <c r="Z62" s="652"/>
      <c r="AA62" s="651"/>
      <c r="AB62" s="651"/>
      <c r="AC62" s="651"/>
      <c r="AD62" s="651"/>
      <c r="AE62" s="652"/>
      <c r="AF62" s="651"/>
      <c r="AG62" s="651"/>
      <c r="AH62" s="651"/>
      <c r="AI62" s="651"/>
      <c r="AJ62" s="652">
        <f>AJ61*AVERAGE(AJ60, AE60)</f>
        <v>35.5</v>
      </c>
      <c r="AK62" s="651"/>
      <c r="AL62" s="651"/>
      <c r="AM62" s="651"/>
      <c r="AN62" s="651"/>
      <c r="AO62" s="652">
        <f>AO61*AVERAGE(AO60, AJ60)</f>
        <v>35.5</v>
      </c>
      <c r="AP62" s="651"/>
      <c r="AQ62" s="651"/>
      <c r="AR62" s="651"/>
      <c r="AS62" s="651"/>
      <c r="AT62" s="652"/>
      <c r="AU62" s="651"/>
      <c r="AV62" s="651"/>
      <c r="AW62" s="651"/>
      <c r="AX62" s="651"/>
      <c r="AY62" s="652"/>
      <c r="AZ62" s="651"/>
      <c r="BA62" s="651"/>
      <c r="BB62" s="651"/>
      <c r="BC62" s="651"/>
      <c r="BD62" s="652"/>
      <c r="BE62" s="651"/>
      <c r="BF62" s="651"/>
      <c r="BG62" s="651"/>
      <c r="BH62" s="651"/>
      <c r="BI62" s="652"/>
      <c r="BJ62" s="651"/>
      <c r="BK62" s="651"/>
      <c r="BL62" s="651"/>
      <c r="BM62" s="651"/>
      <c r="BN62" s="652">
        <f>BN61*AVERAGE(BN60, BN58)</f>
        <v>3.75</v>
      </c>
      <c r="BO62" s="651"/>
      <c r="BP62" s="651"/>
      <c r="BQ62" s="651"/>
      <c r="BR62" s="651"/>
      <c r="BS62" s="652">
        <f>BS61*AVERAGE(BS60, BN60)</f>
        <v>7.5</v>
      </c>
      <c r="BT62" s="651"/>
      <c r="BU62" s="651"/>
      <c r="BV62" s="651"/>
      <c r="BW62" s="651"/>
      <c r="BX62" s="652">
        <f>BX61*AVERAGE(BX60, BS60)</f>
        <v>7.5</v>
      </c>
      <c r="BY62" s="651"/>
      <c r="BZ62" s="651"/>
      <c r="CA62" s="651"/>
      <c r="CB62" s="651"/>
      <c r="CC62" s="652">
        <f>CC61*AVERAGE(CC60, BX60)</f>
        <v>3.75</v>
      </c>
      <c r="CD62" s="652">
        <f>CD61*AVERAGE(CD60, CC60)</f>
        <v>0</v>
      </c>
      <c r="CE62" s="652">
        <f>CE61*AVERAGE(CE60, CD60)</f>
        <v>0</v>
      </c>
      <c r="CF62" s="652">
        <f>CF61*AVERAGE(CF60, CE60)</f>
        <v>0</v>
      </c>
      <c r="CG62" s="652">
        <f>CG61*AVERAGE(CG60, CF60)</f>
        <v>0</v>
      </c>
      <c r="CH62" s="652">
        <f>CH61*AVERAGE(CH60, CG60)</f>
        <v>0</v>
      </c>
    </row>
    <row r="63" spans="1:86" s="76" customFormat="1" ht="13.5">
      <c r="A63" s="85"/>
      <c r="B63" s="85"/>
      <c r="C63" s="85"/>
      <c r="D63" s="85"/>
      <c r="E63" s="85"/>
      <c r="F63" s="85"/>
      <c r="G63" s="85"/>
      <c r="H63" s="649"/>
      <c r="I63" s="649"/>
      <c r="J63" s="649"/>
      <c r="K63" s="649"/>
      <c r="L63" s="650"/>
      <c r="M63" s="650"/>
      <c r="N63" s="650"/>
      <c r="O63" s="650"/>
      <c r="P63" s="649"/>
      <c r="Q63" s="650"/>
      <c r="R63" s="650"/>
      <c r="S63" s="650"/>
      <c r="T63" s="650"/>
      <c r="U63" s="649"/>
      <c r="V63" s="650"/>
      <c r="W63" s="650"/>
      <c r="X63" s="650"/>
      <c r="Y63" s="650"/>
      <c r="Z63" s="649"/>
      <c r="AA63" s="650"/>
      <c r="AB63" s="650"/>
      <c r="AC63" s="650"/>
      <c r="AD63" s="650"/>
      <c r="AE63" s="649"/>
      <c r="AF63" s="650"/>
      <c r="AG63" s="650"/>
      <c r="AH63" s="650"/>
      <c r="AI63" s="650"/>
      <c r="AJ63" s="649"/>
      <c r="AK63" s="650"/>
      <c r="AL63" s="650"/>
      <c r="AM63" s="650"/>
      <c r="AN63" s="650"/>
      <c r="AO63" s="649"/>
      <c r="AP63" s="650"/>
      <c r="AQ63" s="650"/>
      <c r="AR63" s="650"/>
      <c r="AS63" s="650"/>
      <c r="AT63" s="649"/>
      <c r="AU63" s="650"/>
      <c r="AV63" s="650"/>
      <c r="AW63" s="650"/>
      <c r="AX63" s="650"/>
      <c r="AY63" s="649"/>
      <c r="AZ63" s="650"/>
      <c r="BA63" s="650"/>
      <c r="BB63" s="650"/>
      <c r="BC63" s="650"/>
      <c r="BD63" s="649"/>
      <c r="BE63" s="650"/>
      <c r="BF63" s="650"/>
      <c r="BG63" s="650"/>
      <c r="BH63" s="650"/>
      <c r="BI63" s="649"/>
      <c r="BJ63" s="650"/>
      <c r="BK63" s="650"/>
      <c r="BL63" s="650"/>
      <c r="BM63" s="650"/>
      <c r="BN63" s="649"/>
      <c r="BO63" s="650"/>
      <c r="BP63" s="650"/>
      <c r="BQ63" s="650"/>
      <c r="BR63" s="650"/>
      <c r="BS63" s="649"/>
      <c r="BT63" s="650"/>
      <c r="BU63" s="650"/>
      <c r="BV63" s="650"/>
      <c r="BW63" s="650"/>
      <c r="BX63" s="649"/>
      <c r="BY63" s="650"/>
      <c r="BZ63" s="650"/>
      <c r="CA63" s="650"/>
      <c r="CB63" s="650"/>
      <c r="CC63" s="649"/>
      <c r="CD63" s="649"/>
      <c r="CE63" s="649"/>
      <c r="CF63" s="649"/>
      <c r="CG63" s="649"/>
      <c r="CH63" s="649"/>
    </row>
    <row r="64" spans="1:86" s="76" customFormat="1" ht="13.5">
      <c r="A64" s="85"/>
      <c r="B64" s="85"/>
      <c r="C64" s="85"/>
      <c r="D64" s="85"/>
      <c r="E64" s="85"/>
      <c r="F64" s="85"/>
      <c r="G64" s="85"/>
      <c r="H64" s="658" t="s">
        <v>1001</v>
      </c>
      <c r="I64" s="658"/>
      <c r="J64" s="658"/>
      <c r="K64" s="658"/>
      <c r="L64" s="658"/>
      <c r="M64" s="658"/>
      <c r="N64" s="658"/>
      <c r="O64" s="658"/>
      <c r="P64" s="658"/>
      <c r="Q64" s="658"/>
      <c r="R64" s="658"/>
      <c r="S64" s="658"/>
      <c r="T64" s="658"/>
      <c r="U64" s="658"/>
      <c r="V64" s="658"/>
      <c r="W64" s="658"/>
      <c r="X64" s="658"/>
      <c r="Y64" s="658"/>
      <c r="Z64" s="658"/>
      <c r="AA64" s="658"/>
      <c r="AB64" s="658"/>
      <c r="AC64" s="658"/>
      <c r="AD64" s="658"/>
      <c r="AE64" s="658"/>
      <c r="AF64" s="658"/>
      <c r="AG64" s="658"/>
      <c r="AH64" s="658"/>
      <c r="AI64" s="658"/>
      <c r="AJ64" s="658"/>
      <c r="AK64" s="658"/>
      <c r="AL64" s="658"/>
      <c r="AM64" s="658"/>
      <c r="AN64" s="658"/>
      <c r="AO64" s="658"/>
      <c r="AP64" s="658"/>
      <c r="AQ64" s="658"/>
      <c r="AR64" s="658"/>
      <c r="AS64" s="658"/>
      <c r="AT64" s="658"/>
      <c r="AU64" s="658"/>
      <c r="AV64" s="658"/>
      <c r="AW64" s="658"/>
      <c r="AX64" s="658"/>
      <c r="AY64" s="658"/>
      <c r="AZ64" s="658"/>
      <c r="BA64" s="658"/>
      <c r="BB64" s="658"/>
      <c r="BC64" s="658"/>
      <c r="BD64" s="658"/>
      <c r="BE64" s="658"/>
      <c r="BF64" s="658"/>
      <c r="BG64" s="658"/>
      <c r="BH64" s="658"/>
      <c r="BI64" s="658"/>
      <c r="BJ64" s="658"/>
      <c r="BK64" s="658"/>
      <c r="BL64" s="658"/>
      <c r="BM64" s="658"/>
      <c r="BN64" s="658"/>
      <c r="BO64" s="658"/>
      <c r="BP64" s="658"/>
      <c r="BQ64" s="658"/>
      <c r="BR64" s="658"/>
      <c r="BS64" s="658"/>
      <c r="BT64" s="658"/>
      <c r="BU64" s="658"/>
      <c r="BV64" s="658"/>
      <c r="BW64" s="658"/>
      <c r="BX64" s="658"/>
      <c r="BY64" s="658"/>
      <c r="BZ64" s="658"/>
      <c r="CA64" s="658"/>
      <c r="CB64" s="658"/>
      <c r="CC64" s="658"/>
      <c r="CD64" s="658"/>
      <c r="CE64" s="658"/>
      <c r="CF64" s="658"/>
      <c r="CG64" s="658"/>
      <c r="CH64" s="658"/>
    </row>
    <row r="65" spans="1:86" s="76" customFormat="1" ht="13.5">
      <c r="A65" s="85"/>
      <c r="B65" s="85"/>
      <c r="C65" s="85"/>
      <c r="D65" s="85"/>
      <c r="E65" s="85"/>
      <c r="F65" s="85"/>
      <c r="G65" s="85"/>
      <c r="H65" s="649" t="s">
        <v>441</v>
      </c>
      <c r="I65" s="649"/>
      <c r="J65" s="649"/>
      <c r="K65" s="649"/>
      <c r="L65" s="651"/>
      <c r="M65" s="651"/>
      <c r="N65" s="651"/>
      <c r="O65" s="651"/>
      <c r="P65" s="652"/>
      <c r="Q65" s="651"/>
      <c r="R65" s="651"/>
      <c r="S65" s="651"/>
      <c r="T65" s="651"/>
      <c r="U65" s="652"/>
      <c r="V65" s="651"/>
      <c r="W65" s="651"/>
      <c r="X65" s="651"/>
      <c r="Y65" s="651"/>
      <c r="Z65" s="652"/>
      <c r="AA65" s="651"/>
      <c r="AB65" s="651"/>
      <c r="AC65" s="651"/>
      <c r="AD65" s="651"/>
      <c r="AE65" s="652"/>
      <c r="AF65" s="651"/>
      <c r="AG65" s="651"/>
      <c r="AH65" s="651"/>
      <c r="AI65" s="651"/>
      <c r="AJ65" s="652">
        <f>AE67</f>
        <v>0</v>
      </c>
      <c r="AK65" s="651"/>
      <c r="AL65" s="651"/>
      <c r="AM65" s="651"/>
      <c r="AN65" s="651"/>
      <c r="AO65" s="652">
        <f>AJ67</f>
        <v>1000</v>
      </c>
      <c r="AP65" s="651"/>
      <c r="AQ65" s="651"/>
      <c r="AR65" s="651"/>
      <c r="AS65" s="651"/>
      <c r="AT65" s="652"/>
      <c r="AU65" s="651"/>
      <c r="AV65" s="651"/>
      <c r="AW65" s="651"/>
      <c r="AX65" s="651"/>
      <c r="AY65" s="652"/>
      <c r="AZ65" s="651"/>
      <c r="BA65" s="651"/>
      <c r="BB65" s="651"/>
      <c r="BC65" s="651"/>
      <c r="BD65" s="652"/>
      <c r="BE65" s="651"/>
      <c r="BF65" s="651"/>
      <c r="BG65" s="651"/>
      <c r="BH65" s="651"/>
      <c r="BI65" s="652"/>
      <c r="BJ65" s="651"/>
      <c r="BK65" s="651"/>
      <c r="BL65" s="651"/>
      <c r="BM65" s="651"/>
      <c r="BN65" s="652"/>
      <c r="BO65" s="651"/>
      <c r="BP65" s="651"/>
      <c r="BQ65" s="651"/>
      <c r="BR65" s="651"/>
      <c r="BS65" s="652">
        <f>BN67</f>
        <v>0</v>
      </c>
      <c r="BT65" s="651"/>
      <c r="BU65" s="651"/>
      <c r="BV65" s="651"/>
      <c r="BW65" s="651"/>
      <c r="BX65" s="652">
        <f>BS67</f>
        <v>1299.3</v>
      </c>
      <c r="BY65" s="651"/>
      <c r="BZ65" s="651"/>
      <c r="CA65" s="651"/>
      <c r="CB65" s="651"/>
      <c r="CC65" s="652">
        <f>BX67</f>
        <v>0</v>
      </c>
      <c r="CD65" s="652">
        <f>CC67</f>
        <v>0</v>
      </c>
      <c r="CE65" s="652">
        <f>CD67</f>
        <v>0</v>
      </c>
      <c r="CF65" s="652">
        <f>CE67</f>
        <v>0</v>
      </c>
      <c r="CG65" s="652">
        <f>CF67</f>
        <v>0</v>
      </c>
      <c r="CH65" s="652">
        <f>CG67</f>
        <v>0</v>
      </c>
    </row>
    <row r="66" spans="1:86" s="76" customFormat="1" ht="13.5">
      <c r="A66" s="85"/>
      <c r="B66" s="85"/>
      <c r="C66" s="85"/>
      <c r="D66" s="85"/>
      <c r="E66" s="85"/>
      <c r="F66" s="85"/>
      <c r="G66" s="85"/>
      <c r="H66" s="649" t="s">
        <v>606</v>
      </c>
      <c r="I66" s="649"/>
      <c r="J66" s="649"/>
      <c r="K66" s="649"/>
      <c r="L66" s="653"/>
      <c r="M66" s="653"/>
      <c r="N66" s="653"/>
      <c r="O66" s="653"/>
      <c r="P66" s="654"/>
      <c r="Q66" s="653"/>
      <c r="R66" s="653"/>
      <c r="S66" s="653"/>
      <c r="T66" s="653"/>
      <c r="U66" s="654"/>
      <c r="V66" s="653"/>
      <c r="W66" s="653"/>
      <c r="X66" s="653"/>
      <c r="Y66" s="653"/>
      <c r="Z66" s="654"/>
      <c r="AA66" s="653"/>
      <c r="AB66" s="653"/>
      <c r="AC66" s="653"/>
      <c r="AD66" s="653"/>
      <c r="AE66" s="652"/>
      <c r="AF66" s="653"/>
      <c r="AG66" s="653"/>
      <c r="AH66" s="653"/>
      <c r="AI66" s="653"/>
      <c r="AJ66" s="654">
        <v>1000</v>
      </c>
      <c r="AK66" s="653"/>
      <c r="AL66" s="653"/>
      <c r="AM66" s="653"/>
      <c r="AN66" s="653"/>
      <c r="AO66" s="654">
        <v>0</v>
      </c>
      <c r="AP66" s="653"/>
      <c r="AQ66" s="653"/>
      <c r="AR66" s="653"/>
      <c r="AS66" s="653"/>
      <c r="AT66" s="654"/>
      <c r="AU66" s="653"/>
      <c r="AV66" s="653"/>
      <c r="AW66" s="653"/>
      <c r="AX66" s="653"/>
      <c r="AY66" s="654"/>
      <c r="AZ66" s="653"/>
      <c r="BA66" s="653"/>
      <c r="BB66" s="653"/>
      <c r="BC66" s="653"/>
      <c r="BD66" s="654"/>
      <c r="BE66" s="653"/>
      <c r="BF66" s="653"/>
      <c r="BG66" s="653"/>
      <c r="BH66" s="653"/>
      <c r="BI66" s="654"/>
      <c r="BJ66" s="653"/>
      <c r="BK66" s="653"/>
      <c r="BL66" s="653"/>
      <c r="BM66" s="653"/>
      <c r="BN66" s="654"/>
      <c r="BO66" s="653"/>
      <c r="BP66" s="653"/>
      <c r="BQ66" s="653"/>
      <c r="BR66" s="653"/>
      <c r="BS66" s="654">
        <v>1299.3</v>
      </c>
      <c r="BT66" s="653"/>
      <c r="BU66" s="653"/>
      <c r="BV66" s="653"/>
      <c r="BW66" s="653"/>
      <c r="BX66" s="654">
        <f>-BX65</f>
        <v>-1299.3</v>
      </c>
      <c r="BY66" s="653"/>
      <c r="BZ66" s="653"/>
      <c r="CA66" s="653"/>
      <c r="CB66" s="653"/>
      <c r="CC66" s="654">
        <v>0</v>
      </c>
      <c r="CD66" s="654">
        <v>0</v>
      </c>
      <c r="CE66" s="654">
        <v>0</v>
      </c>
      <c r="CF66" s="654">
        <v>0</v>
      </c>
      <c r="CG66" s="654">
        <v>0</v>
      </c>
      <c r="CH66" s="654">
        <v>0</v>
      </c>
    </row>
    <row r="67" spans="1:86" s="76" customFormat="1" ht="13.5">
      <c r="A67" s="85"/>
      <c r="B67" s="85"/>
      <c r="C67" s="85"/>
      <c r="D67" s="85"/>
      <c r="E67" s="85"/>
      <c r="F67" s="85"/>
      <c r="G67" s="85"/>
      <c r="H67" s="649" t="s">
        <v>397</v>
      </c>
      <c r="I67" s="649"/>
      <c r="J67" s="649"/>
      <c r="K67" s="649"/>
      <c r="L67" s="651"/>
      <c r="M67" s="651"/>
      <c r="N67" s="651"/>
      <c r="O67" s="651"/>
      <c r="P67" s="652"/>
      <c r="Q67" s="651"/>
      <c r="R67" s="651"/>
      <c r="S67" s="651"/>
      <c r="T67" s="651"/>
      <c r="U67" s="652"/>
      <c r="V67" s="651"/>
      <c r="W67" s="651"/>
      <c r="X67" s="651"/>
      <c r="Y67" s="651"/>
      <c r="Z67" s="655"/>
      <c r="AA67" s="651"/>
      <c r="AB67" s="651"/>
      <c r="AC67" s="651"/>
      <c r="AD67" s="651"/>
      <c r="AE67" s="655"/>
      <c r="AF67" s="651"/>
      <c r="AG67" s="651"/>
      <c r="AH67" s="651"/>
      <c r="AI67" s="651"/>
      <c r="AJ67" s="652">
        <f>AJ65+AJ66</f>
        <v>1000</v>
      </c>
      <c r="AK67" s="651"/>
      <c r="AL67" s="651"/>
      <c r="AM67" s="651"/>
      <c r="AN67" s="651"/>
      <c r="AO67" s="652">
        <f>AO65+AO66</f>
        <v>1000</v>
      </c>
      <c r="AP67" s="651"/>
      <c r="AQ67" s="651"/>
      <c r="AR67" s="651"/>
      <c r="AS67" s="651"/>
      <c r="AT67" s="652"/>
      <c r="AU67" s="651"/>
      <c r="AV67" s="651"/>
      <c r="AW67" s="651"/>
      <c r="AX67" s="651"/>
      <c r="AY67" s="652"/>
      <c r="AZ67" s="651"/>
      <c r="BA67" s="651"/>
      <c r="BB67" s="651"/>
      <c r="BC67" s="651"/>
      <c r="BD67" s="652"/>
      <c r="BE67" s="651"/>
      <c r="BF67" s="651"/>
      <c r="BG67" s="651"/>
      <c r="BH67" s="651"/>
      <c r="BI67" s="652"/>
      <c r="BJ67" s="651"/>
      <c r="BK67" s="651"/>
      <c r="BL67" s="651"/>
      <c r="BM67" s="651"/>
      <c r="BN67" s="652"/>
      <c r="BO67" s="651"/>
      <c r="BP67" s="651"/>
      <c r="BQ67" s="651"/>
      <c r="BR67" s="651"/>
      <c r="BS67" s="652">
        <f>BS65+BS66</f>
        <v>1299.3</v>
      </c>
      <c r="BT67" s="651"/>
      <c r="BU67" s="651"/>
      <c r="BV67" s="651"/>
      <c r="BW67" s="651"/>
      <c r="BX67" s="652">
        <f>BX65+BX66</f>
        <v>0</v>
      </c>
      <c r="BY67" s="651"/>
      <c r="BZ67" s="651"/>
      <c r="CA67" s="651"/>
      <c r="CB67" s="651"/>
      <c r="CC67" s="652">
        <f t="shared" ref="CC67:CH67" si="10">CC65+CC66</f>
        <v>0</v>
      </c>
      <c r="CD67" s="652">
        <f t="shared" si="10"/>
        <v>0</v>
      </c>
      <c r="CE67" s="652">
        <f t="shared" si="10"/>
        <v>0</v>
      </c>
      <c r="CF67" s="652">
        <f t="shared" si="10"/>
        <v>0</v>
      </c>
      <c r="CG67" s="652">
        <f t="shared" si="10"/>
        <v>0</v>
      </c>
      <c r="CH67" s="652">
        <f t="shared" si="10"/>
        <v>0</v>
      </c>
    </row>
    <row r="68" spans="1:86" s="76" customFormat="1" ht="13.5">
      <c r="A68" s="85"/>
      <c r="B68" s="85"/>
      <c r="C68" s="85"/>
      <c r="D68" s="85"/>
      <c r="E68" s="85"/>
      <c r="F68" s="85"/>
      <c r="G68" s="85"/>
      <c r="H68" s="48" t="s">
        <v>398</v>
      </c>
      <c r="I68" s="48"/>
      <c r="J68" s="48"/>
      <c r="K68" s="48"/>
      <c r="L68" s="331"/>
      <c r="M68" s="331"/>
      <c r="N68" s="331"/>
      <c r="O68" s="331"/>
      <c r="P68" s="337"/>
      <c r="Q68" s="331"/>
      <c r="R68" s="331"/>
      <c r="S68" s="331"/>
      <c r="T68" s="331"/>
      <c r="U68" s="337"/>
      <c r="V68" s="331"/>
      <c r="W68" s="331"/>
      <c r="X68" s="331"/>
      <c r="Y68" s="331"/>
      <c r="Z68" s="337"/>
      <c r="AA68" s="331"/>
      <c r="AB68" s="331"/>
      <c r="AC68" s="331"/>
      <c r="AD68" s="331"/>
      <c r="AE68" s="659"/>
      <c r="AF68" s="331"/>
      <c r="AG68" s="331"/>
      <c r="AH68" s="331"/>
      <c r="AI68" s="331"/>
      <c r="AJ68" s="660">
        <v>3.5499999999999997E-2</v>
      </c>
      <c r="AK68" s="661"/>
      <c r="AL68" s="661"/>
      <c r="AM68" s="661"/>
      <c r="AN68" s="661"/>
      <c r="AO68" s="660">
        <f>AJ68</f>
        <v>3.5499999999999997E-2</v>
      </c>
      <c r="AP68" s="661"/>
      <c r="AQ68" s="661"/>
      <c r="AR68" s="661"/>
      <c r="AS68" s="661"/>
      <c r="AT68" s="660"/>
      <c r="AU68" s="661"/>
      <c r="AV68" s="661"/>
      <c r="AW68" s="661"/>
      <c r="AX68" s="661"/>
      <c r="AY68" s="660"/>
      <c r="AZ68" s="661"/>
      <c r="BA68" s="661"/>
      <c r="BB68" s="661"/>
      <c r="BC68" s="661"/>
      <c r="BD68" s="660"/>
      <c r="BE68" s="661"/>
      <c r="BF68" s="661"/>
      <c r="BG68" s="661"/>
      <c r="BH68" s="661"/>
      <c r="BI68" s="660"/>
      <c r="BJ68" s="661"/>
      <c r="BK68" s="661"/>
      <c r="BL68" s="661"/>
      <c r="BM68" s="661"/>
      <c r="BN68" s="660"/>
      <c r="BO68" s="661"/>
      <c r="BP68" s="661"/>
      <c r="BQ68" s="661"/>
      <c r="BR68" s="661"/>
      <c r="BS68" s="660">
        <v>0.01</v>
      </c>
      <c r="BT68" s="661"/>
      <c r="BU68" s="661"/>
      <c r="BV68" s="661"/>
      <c r="BW68" s="661"/>
      <c r="BX68" s="660">
        <f>BS68</f>
        <v>0.01</v>
      </c>
      <c r="BY68" s="661"/>
      <c r="BZ68" s="661"/>
      <c r="CA68" s="661"/>
      <c r="CB68" s="661"/>
      <c r="CC68" s="660">
        <f>BX68</f>
        <v>0.01</v>
      </c>
      <c r="CD68" s="660">
        <f>CC68</f>
        <v>0.01</v>
      </c>
      <c r="CE68" s="660">
        <f>CD68</f>
        <v>0.01</v>
      </c>
      <c r="CF68" s="660">
        <f>CE68</f>
        <v>0.01</v>
      </c>
      <c r="CG68" s="660">
        <f>CF68</f>
        <v>0.01</v>
      </c>
      <c r="CH68" s="660">
        <f>CG68</f>
        <v>0.01</v>
      </c>
    </row>
    <row r="69" spans="1:86" s="76" customFormat="1" ht="13.5">
      <c r="A69" s="85"/>
      <c r="B69" s="85"/>
      <c r="C69" s="85"/>
      <c r="D69" s="85"/>
      <c r="E69" s="85"/>
      <c r="F69" s="85"/>
      <c r="G69" s="85"/>
      <c r="H69" s="649" t="s">
        <v>686</v>
      </c>
      <c r="I69" s="649"/>
      <c r="J69" s="649"/>
      <c r="K69" s="649"/>
      <c r="L69" s="651"/>
      <c r="M69" s="651"/>
      <c r="N69" s="651"/>
      <c r="O69" s="651"/>
      <c r="P69" s="652"/>
      <c r="Q69" s="651"/>
      <c r="R69" s="651"/>
      <c r="S69" s="651"/>
      <c r="T69" s="651"/>
      <c r="U69" s="652"/>
      <c r="V69" s="651"/>
      <c r="W69" s="651"/>
      <c r="X69" s="651"/>
      <c r="Y69" s="651"/>
      <c r="Z69" s="652"/>
      <c r="AA69" s="651"/>
      <c r="AB69" s="651"/>
      <c r="AC69" s="651"/>
      <c r="AD69" s="651"/>
      <c r="AE69" s="652"/>
      <c r="AF69" s="651"/>
      <c r="AG69" s="651"/>
      <c r="AH69" s="651"/>
      <c r="AI69" s="651"/>
      <c r="AJ69" s="652">
        <f>AJ68*AVERAGE(AJ67, AE67)</f>
        <v>35.5</v>
      </c>
      <c r="AK69" s="651"/>
      <c r="AL69" s="651"/>
      <c r="AM69" s="651"/>
      <c r="AN69" s="651"/>
      <c r="AO69" s="652">
        <f>AO68*AVERAGE(AO67, AJ67)</f>
        <v>35.5</v>
      </c>
      <c r="AP69" s="651"/>
      <c r="AQ69" s="651"/>
      <c r="AR69" s="651"/>
      <c r="AS69" s="651"/>
      <c r="AT69" s="652"/>
      <c r="AU69" s="651"/>
      <c r="AV69" s="651"/>
      <c r="AW69" s="651"/>
      <c r="AX69" s="651"/>
      <c r="AY69" s="652"/>
      <c r="AZ69" s="651"/>
      <c r="BA69" s="651"/>
      <c r="BB69" s="651"/>
      <c r="BC69" s="651"/>
      <c r="BD69" s="652"/>
      <c r="BE69" s="651"/>
      <c r="BF69" s="651"/>
      <c r="BG69" s="651"/>
      <c r="BH69" s="651"/>
      <c r="BI69" s="652"/>
      <c r="BJ69" s="651"/>
      <c r="BK69" s="651"/>
      <c r="BL69" s="651"/>
      <c r="BM69" s="651"/>
      <c r="BN69" s="652"/>
      <c r="BO69" s="651"/>
      <c r="BP69" s="651"/>
      <c r="BQ69" s="651"/>
      <c r="BR69" s="651"/>
      <c r="BS69" s="652">
        <f>BS68*AVERAGE(BS67, BN67)</f>
        <v>12.993</v>
      </c>
      <c r="BT69" s="651"/>
      <c r="BU69" s="651"/>
      <c r="BV69" s="651"/>
      <c r="BW69" s="651"/>
      <c r="BX69" s="652">
        <f>BX68*AVERAGE(BX67, BS67)</f>
        <v>6.4965000000000002</v>
      </c>
      <c r="BY69" s="651"/>
      <c r="BZ69" s="651"/>
      <c r="CA69" s="651"/>
      <c r="CB69" s="651"/>
      <c r="CC69" s="652">
        <f>CC68*AVERAGE(CC67, BX67)</f>
        <v>0</v>
      </c>
      <c r="CD69" s="652">
        <f>CD68*AVERAGE(CD67, CC67)</f>
        <v>0</v>
      </c>
      <c r="CE69" s="652">
        <f>CE68*AVERAGE(CE67, CD67)</f>
        <v>0</v>
      </c>
      <c r="CF69" s="652">
        <f>CF68*AVERAGE(CF67, CE67)</f>
        <v>0</v>
      </c>
      <c r="CG69" s="652">
        <f>CG68*AVERAGE(CG67, CF67)</f>
        <v>0</v>
      </c>
      <c r="CH69" s="652">
        <f>CH68*AVERAGE(CH67, CG67)</f>
        <v>0</v>
      </c>
    </row>
    <row r="70" spans="1:86" s="76" customFormat="1" ht="13.5">
      <c r="A70" s="85"/>
      <c r="B70" s="85"/>
      <c r="C70" s="85"/>
      <c r="D70" s="85"/>
      <c r="E70" s="85"/>
      <c r="F70" s="85"/>
      <c r="G70" s="85"/>
      <c r="H70" s="649"/>
      <c r="I70" s="649"/>
      <c r="J70" s="649"/>
      <c r="K70" s="649"/>
      <c r="L70" s="650"/>
      <c r="M70" s="650"/>
      <c r="N70" s="650"/>
      <c r="O70" s="650"/>
      <c r="P70" s="649"/>
      <c r="Q70" s="650"/>
      <c r="R70" s="650"/>
      <c r="S70" s="650"/>
      <c r="T70" s="650"/>
      <c r="U70" s="649"/>
      <c r="V70" s="650"/>
      <c r="W70" s="650"/>
      <c r="X70" s="650"/>
      <c r="Y70" s="650"/>
      <c r="Z70" s="649"/>
      <c r="AA70" s="650"/>
      <c r="AB70" s="650"/>
      <c r="AC70" s="650"/>
      <c r="AD70" s="650"/>
      <c r="AE70" s="649"/>
      <c r="AF70" s="650"/>
      <c r="AG70" s="650"/>
      <c r="AH70" s="650"/>
      <c r="AI70" s="650"/>
      <c r="AJ70" s="649"/>
      <c r="AK70" s="650"/>
      <c r="AL70" s="650"/>
      <c r="AM70" s="650"/>
      <c r="AN70" s="650"/>
      <c r="AO70" s="649"/>
      <c r="AP70" s="650"/>
      <c r="AQ70" s="650"/>
      <c r="AR70" s="650"/>
      <c r="AS70" s="650"/>
      <c r="AT70" s="649"/>
      <c r="AU70" s="650"/>
      <c r="AV70" s="650"/>
      <c r="AW70" s="650"/>
      <c r="AX70" s="650"/>
      <c r="AY70" s="649"/>
      <c r="AZ70" s="650"/>
      <c r="BA70" s="650"/>
      <c r="BB70" s="650"/>
      <c r="BC70" s="650"/>
      <c r="BD70" s="649"/>
      <c r="BE70" s="650"/>
      <c r="BF70" s="650"/>
      <c r="BG70" s="650"/>
      <c r="BH70" s="650"/>
      <c r="BI70" s="649"/>
      <c r="BJ70" s="650"/>
      <c r="BK70" s="650"/>
      <c r="BL70" s="650"/>
      <c r="BM70" s="650"/>
      <c r="BN70" s="649"/>
      <c r="BO70" s="650"/>
      <c r="BP70" s="650"/>
      <c r="BQ70" s="650"/>
      <c r="BR70" s="650"/>
      <c r="BS70" s="649"/>
      <c r="BT70" s="650"/>
      <c r="BU70" s="650"/>
      <c r="BV70" s="650"/>
      <c r="BW70" s="650"/>
      <c r="BX70" s="649"/>
      <c r="BY70" s="650"/>
      <c r="BZ70" s="650"/>
      <c r="CA70" s="650"/>
      <c r="CB70" s="650"/>
      <c r="CC70" s="649"/>
      <c r="CD70" s="649"/>
      <c r="CE70" s="649"/>
      <c r="CF70" s="649"/>
      <c r="CG70" s="649"/>
      <c r="CH70" s="649"/>
    </row>
    <row r="71" spans="1:86" s="76" customFormat="1" ht="13.5" hidden="1">
      <c r="A71" s="85"/>
      <c r="B71" s="85"/>
      <c r="C71" s="85"/>
      <c r="D71" s="85"/>
      <c r="E71" s="85"/>
      <c r="F71" s="85"/>
      <c r="G71" s="85"/>
      <c r="H71" s="658"/>
      <c r="I71" s="658"/>
      <c r="J71" s="658"/>
      <c r="K71" s="658"/>
      <c r="L71" s="658"/>
      <c r="M71" s="658"/>
      <c r="N71" s="658"/>
      <c r="O71" s="658"/>
      <c r="P71" s="658"/>
      <c r="Q71" s="658"/>
      <c r="R71" s="658"/>
      <c r="S71" s="658"/>
      <c r="T71" s="658"/>
      <c r="U71" s="658"/>
      <c r="V71" s="658"/>
      <c r="W71" s="658"/>
      <c r="X71" s="658"/>
      <c r="Y71" s="658"/>
      <c r="Z71" s="658"/>
      <c r="AA71" s="658"/>
      <c r="AB71" s="658"/>
      <c r="AC71" s="658"/>
      <c r="AD71" s="658"/>
      <c r="AE71" s="658"/>
      <c r="AF71" s="658"/>
      <c r="AG71" s="658"/>
      <c r="AH71" s="658"/>
      <c r="AI71" s="658"/>
      <c r="AJ71" s="658"/>
      <c r="AK71" s="658"/>
      <c r="AL71" s="658"/>
      <c r="AM71" s="658"/>
      <c r="AN71" s="658"/>
      <c r="AO71" s="658"/>
      <c r="AP71" s="658"/>
      <c r="AQ71" s="658"/>
      <c r="AR71" s="658"/>
      <c r="AS71" s="658"/>
      <c r="AT71" s="658"/>
      <c r="AU71" s="658"/>
      <c r="AV71" s="658"/>
      <c r="AW71" s="658"/>
      <c r="AX71" s="658"/>
      <c r="AY71" s="658"/>
      <c r="AZ71" s="658"/>
      <c r="BA71" s="658"/>
      <c r="BB71" s="658"/>
      <c r="BC71" s="658"/>
      <c r="BD71" s="658"/>
      <c r="BE71" s="658"/>
      <c r="BF71" s="658"/>
      <c r="BG71" s="658"/>
      <c r="BH71" s="658"/>
      <c r="BI71" s="658"/>
      <c r="BJ71" s="658"/>
      <c r="BK71" s="658"/>
      <c r="BL71" s="658"/>
      <c r="BM71" s="658"/>
      <c r="BN71" s="658"/>
      <c r="BO71" s="658"/>
      <c r="BP71" s="658"/>
      <c r="BQ71" s="658"/>
      <c r="BR71" s="658"/>
      <c r="BS71" s="658"/>
      <c r="BT71" s="658"/>
      <c r="BU71" s="658"/>
      <c r="BV71" s="658"/>
      <c r="BW71" s="658"/>
      <c r="BX71" s="658"/>
      <c r="BY71" s="658"/>
      <c r="BZ71" s="658"/>
      <c r="CA71" s="658"/>
      <c r="CB71" s="658"/>
      <c r="CC71" s="658"/>
      <c r="CD71" s="658"/>
      <c r="CE71" s="658"/>
      <c r="CF71" s="658"/>
      <c r="CG71" s="658"/>
      <c r="CH71" s="658"/>
    </row>
    <row r="72" spans="1:86" s="76" customFormat="1" ht="13.5" hidden="1">
      <c r="A72" s="85"/>
      <c r="B72" s="85"/>
      <c r="C72" s="85"/>
      <c r="D72" s="85"/>
      <c r="E72" s="85"/>
      <c r="F72" s="85"/>
      <c r="G72" s="85"/>
      <c r="H72" s="649"/>
      <c r="I72" s="649"/>
      <c r="J72" s="649"/>
      <c r="K72" s="649"/>
      <c r="L72" s="651"/>
      <c r="M72" s="651"/>
      <c r="N72" s="651"/>
      <c r="O72" s="651"/>
      <c r="P72" s="652"/>
      <c r="Q72" s="651"/>
      <c r="R72" s="651"/>
      <c r="S72" s="651"/>
      <c r="T72" s="651"/>
      <c r="U72" s="652"/>
      <c r="V72" s="651"/>
      <c r="W72" s="651"/>
      <c r="X72" s="651"/>
      <c r="Y72" s="651"/>
      <c r="Z72" s="652"/>
      <c r="AA72" s="651"/>
      <c r="AB72" s="651"/>
      <c r="AC72" s="651"/>
      <c r="AD72" s="651"/>
      <c r="AE72" s="652"/>
      <c r="AF72" s="651"/>
      <c r="AG72" s="651"/>
      <c r="AH72" s="651"/>
      <c r="AI72" s="651"/>
      <c r="AJ72" s="652"/>
      <c r="AK72" s="651"/>
      <c r="AL72" s="651"/>
      <c r="AM72" s="651"/>
      <c r="AN72" s="651"/>
      <c r="AO72" s="652"/>
      <c r="AP72" s="651"/>
      <c r="AQ72" s="651"/>
      <c r="AR72" s="651"/>
      <c r="AS72" s="651"/>
      <c r="AT72" s="652"/>
      <c r="AU72" s="651"/>
      <c r="AV72" s="651"/>
      <c r="AW72" s="651"/>
      <c r="AX72" s="651"/>
      <c r="AY72" s="652"/>
      <c r="AZ72" s="651"/>
      <c r="BA72" s="651"/>
      <c r="BB72" s="651"/>
      <c r="BC72" s="651"/>
      <c r="BD72" s="652"/>
      <c r="BE72" s="651"/>
      <c r="BF72" s="651"/>
      <c r="BG72" s="651"/>
      <c r="BH72" s="651"/>
      <c r="BI72" s="652"/>
      <c r="BJ72" s="651"/>
      <c r="BK72" s="651"/>
      <c r="BL72" s="651"/>
      <c r="BM72" s="651"/>
      <c r="BN72" s="652"/>
      <c r="BO72" s="651"/>
      <c r="BP72" s="651"/>
      <c r="BQ72" s="651"/>
      <c r="BR72" s="651"/>
      <c r="BS72" s="652"/>
      <c r="BT72" s="651"/>
      <c r="BU72" s="651"/>
      <c r="BV72" s="651"/>
      <c r="BW72" s="651"/>
      <c r="BX72" s="652"/>
      <c r="BY72" s="651"/>
      <c r="BZ72" s="651"/>
      <c r="CA72" s="651"/>
      <c r="CB72" s="651"/>
      <c r="CC72" s="652"/>
      <c r="CD72" s="652"/>
      <c r="CE72" s="652"/>
      <c r="CF72" s="652"/>
      <c r="CG72" s="652"/>
      <c r="CH72" s="652"/>
    </row>
    <row r="73" spans="1:86" s="76" customFormat="1" ht="13.5" hidden="1">
      <c r="A73" s="85"/>
      <c r="B73" s="85"/>
      <c r="C73" s="85"/>
      <c r="D73" s="85"/>
      <c r="E73" s="85"/>
      <c r="F73" s="85"/>
      <c r="G73" s="85"/>
      <c r="H73" s="649"/>
      <c r="I73" s="649"/>
      <c r="J73" s="649"/>
      <c r="K73" s="649"/>
      <c r="L73" s="653"/>
      <c r="M73" s="653"/>
      <c r="N73" s="653"/>
      <c r="O73" s="653"/>
      <c r="P73" s="654"/>
      <c r="Q73" s="653"/>
      <c r="R73" s="653"/>
      <c r="S73" s="653"/>
      <c r="T73" s="653"/>
      <c r="U73" s="654"/>
      <c r="V73" s="653"/>
      <c r="W73" s="653"/>
      <c r="X73" s="653"/>
      <c r="Y73" s="653"/>
      <c r="Z73" s="654"/>
      <c r="AA73" s="653"/>
      <c r="AB73" s="653"/>
      <c r="AC73" s="653"/>
      <c r="AD73" s="653"/>
      <c r="AE73" s="652"/>
      <c r="AF73" s="653"/>
      <c r="AG73" s="653"/>
      <c r="AH73" s="653"/>
      <c r="AI73" s="653"/>
      <c r="AJ73" s="654"/>
      <c r="AK73" s="653"/>
      <c r="AL73" s="653"/>
      <c r="AM73" s="653"/>
      <c r="AN73" s="653"/>
      <c r="AO73" s="654"/>
      <c r="AP73" s="653"/>
      <c r="AQ73" s="653"/>
      <c r="AR73" s="653"/>
      <c r="AS73" s="653"/>
      <c r="AT73" s="654"/>
      <c r="AU73" s="653"/>
      <c r="AV73" s="653"/>
      <c r="AW73" s="653"/>
      <c r="AX73" s="653"/>
      <c r="AY73" s="654"/>
      <c r="AZ73" s="653"/>
      <c r="BA73" s="653"/>
      <c r="BB73" s="653"/>
      <c r="BC73" s="653"/>
      <c r="BD73" s="654"/>
      <c r="BE73" s="653"/>
      <c r="BF73" s="653"/>
      <c r="BG73" s="653"/>
      <c r="BH73" s="653"/>
      <c r="BI73" s="654"/>
      <c r="BJ73" s="653"/>
      <c r="BK73" s="653"/>
      <c r="BL73" s="653"/>
      <c r="BM73" s="653"/>
      <c r="BN73" s="654"/>
      <c r="BO73" s="653"/>
      <c r="BP73" s="653"/>
      <c r="BQ73" s="653"/>
      <c r="BR73" s="653"/>
      <c r="BS73" s="654"/>
      <c r="BT73" s="653"/>
      <c r="BU73" s="653"/>
      <c r="BV73" s="653"/>
      <c r="BW73" s="653"/>
      <c r="BX73" s="654"/>
      <c r="BY73" s="653"/>
      <c r="BZ73" s="653"/>
      <c r="CA73" s="653"/>
      <c r="CB73" s="653"/>
      <c r="CC73" s="654"/>
      <c r="CD73" s="654"/>
      <c r="CE73" s="654"/>
      <c r="CF73" s="654"/>
      <c r="CG73" s="654"/>
      <c r="CH73" s="654"/>
    </row>
    <row r="74" spans="1:86" s="76" customFormat="1" ht="13.5" hidden="1">
      <c r="A74" s="85"/>
      <c r="B74" s="85"/>
      <c r="C74" s="85"/>
      <c r="D74" s="85"/>
      <c r="E74" s="85"/>
      <c r="F74" s="85"/>
      <c r="G74" s="85"/>
      <c r="H74" s="649"/>
      <c r="I74" s="649"/>
      <c r="J74" s="649"/>
      <c r="K74" s="649"/>
      <c r="L74" s="651"/>
      <c r="M74" s="651"/>
      <c r="N74" s="651"/>
      <c r="O74" s="651"/>
      <c r="P74" s="652"/>
      <c r="Q74" s="651"/>
      <c r="R74" s="651"/>
      <c r="S74" s="651"/>
      <c r="T74" s="651"/>
      <c r="U74" s="652"/>
      <c r="V74" s="651"/>
      <c r="W74" s="651"/>
      <c r="X74" s="651"/>
      <c r="Y74" s="651"/>
      <c r="Z74" s="655"/>
      <c r="AA74" s="651"/>
      <c r="AB74" s="651"/>
      <c r="AC74" s="651"/>
      <c r="AD74" s="651"/>
      <c r="AE74" s="655"/>
      <c r="AF74" s="651"/>
      <c r="AG74" s="651"/>
      <c r="AH74" s="651"/>
      <c r="AI74" s="651"/>
      <c r="AJ74" s="652"/>
      <c r="AK74" s="651"/>
      <c r="AL74" s="651"/>
      <c r="AM74" s="651"/>
      <c r="AN74" s="651"/>
      <c r="AO74" s="652"/>
      <c r="AP74" s="651"/>
      <c r="AQ74" s="651"/>
      <c r="AR74" s="651"/>
      <c r="AS74" s="651"/>
      <c r="AT74" s="652"/>
      <c r="AU74" s="651"/>
      <c r="AV74" s="651"/>
      <c r="AW74" s="651"/>
      <c r="AX74" s="651"/>
      <c r="AY74" s="652"/>
      <c r="AZ74" s="651"/>
      <c r="BA74" s="651"/>
      <c r="BB74" s="651"/>
      <c r="BC74" s="651"/>
      <c r="BD74" s="652"/>
      <c r="BE74" s="651"/>
      <c r="BF74" s="651"/>
      <c r="BG74" s="651"/>
      <c r="BH74" s="651"/>
      <c r="BI74" s="652"/>
      <c r="BJ74" s="651"/>
      <c r="BK74" s="651"/>
      <c r="BL74" s="651"/>
      <c r="BM74" s="651"/>
      <c r="BN74" s="652"/>
      <c r="BO74" s="651"/>
      <c r="BP74" s="651"/>
      <c r="BQ74" s="651"/>
      <c r="BR74" s="651"/>
      <c r="BS74" s="652"/>
      <c r="BT74" s="651"/>
      <c r="BU74" s="651"/>
      <c r="BV74" s="651"/>
      <c r="BW74" s="651"/>
      <c r="BX74" s="652"/>
      <c r="BY74" s="651"/>
      <c r="BZ74" s="651"/>
      <c r="CA74" s="651"/>
      <c r="CB74" s="651"/>
      <c r="CC74" s="652"/>
      <c r="CD74" s="652"/>
      <c r="CE74" s="652"/>
      <c r="CF74" s="652"/>
      <c r="CG74" s="652"/>
      <c r="CH74" s="652"/>
    </row>
    <row r="75" spans="1:86" s="76" customFormat="1" ht="13.5" hidden="1">
      <c r="A75" s="85"/>
      <c r="B75" s="85"/>
      <c r="C75" s="85"/>
      <c r="D75" s="85"/>
      <c r="E75" s="85"/>
      <c r="F75" s="85"/>
      <c r="G75" s="85"/>
      <c r="H75" s="48"/>
      <c r="I75" s="48"/>
      <c r="J75" s="48"/>
      <c r="K75" s="48"/>
      <c r="L75" s="331"/>
      <c r="M75" s="331"/>
      <c r="N75" s="331"/>
      <c r="O75" s="331"/>
      <c r="P75" s="337"/>
      <c r="Q75" s="331"/>
      <c r="R75" s="331"/>
      <c r="S75" s="331"/>
      <c r="T75" s="331"/>
      <c r="U75" s="337"/>
      <c r="V75" s="331"/>
      <c r="W75" s="331"/>
      <c r="X75" s="331"/>
      <c r="Y75" s="331"/>
      <c r="Z75" s="337"/>
      <c r="AA75" s="331"/>
      <c r="AB75" s="331"/>
      <c r="AC75" s="331"/>
      <c r="AD75" s="331"/>
      <c r="AE75" s="659"/>
      <c r="AF75" s="331"/>
      <c r="AG75" s="331"/>
      <c r="AH75" s="331"/>
      <c r="AI75" s="331"/>
      <c r="AJ75" s="659"/>
      <c r="AK75" s="331"/>
      <c r="AL75" s="331"/>
      <c r="AM75" s="331"/>
      <c r="AN75" s="331"/>
      <c r="AO75" s="659"/>
      <c r="AP75" s="331"/>
      <c r="AQ75" s="331"/>
      <c r="AR75" s="331"/>
      <c r="AS75" s="331"/>
      <c r="AT75" s="659"/>
      <c r="AU75" s="331"/>
      <c r="AV75" s="331"/>
      <c r="AW75" s="331"/>
      <c r="AX75" s="331"/>
      <c r="AY75" s="659"/>
      <c r="AZ75" s="331"/>
      <c r="BA75" s="331"/>
      <c r="BB75" s="331"/>
      <c r="BC75" s="331"/>
      <c r="BD75" s="659"/>
      <c r="BE75" s="331"/>
      <c r="BF75" s="331"/>
      <c r="BG75" s="331"/>
      <c r="BH75" s="331"/>
      <c r="BI75" s="659"/>
      <c r="BJ75" s="331"/>
      <c r="BK75" s="331"/>
      <c r="BL75" s="331"/>
      <c r="BM75" s="331"/>
      <c r="BN75" s="659"/>
      <c r="BO75" s="331"/>
      <c r="BP75" s="331"/>
      <c r="BQ75" s="331"/>
      <c r="BR75" s="331"/>
      <c r="BS75" s="659"/>
      <c r="BT75" s="331"/>
      <c r="BU75" s="331"/>
      <c r="BV75" s="331"/>
      <c r="BW75" s="331"/>
      <c r="BX75" s="659"/>
      <c r="BY75" s="331"/>
      <c r="BZ75" s="331"/>
      <c r="CA75" s="331"/>
      <c r="CB75" s="331"/>
      <c r="CC75" s="659"/>
      <c r="CD75" s="659"/>
      <c r="CE75" s="659"/>
      <c r="CF75" s="659"/>
      <c r="CG75" s="659"/>
      <c r="CH75" s="659"/>
    </row>
    <row r="76" spans="1:86" s="76" customFormat="1" ht="13.5" hidden="1">
      <c r="A76" s="85"/>
      <c r="B76" s="85"/>
      <c r="C76" s="85"/>
      <c r="D76" s="85"/>
      <c r="E76" s="85"/>
      <c r="F76" s="85"/>
      <c r="G76" s="85"/>
      <c r="H76" s="649"/>
      <c r="I76" s="649"/>
      <c r="J76" s="649"/>
      <c r="K76" s="649"/>
      <c r="L76" s="651"/>
      <c r="M76" s="651"/>
      <c r="N76" s="651"/>
      <c r="O76" s="651"/>
      <c r="P76" s="652"/>
      <c r="Q76" s="651"/>
      <c r="R76" s="651"/>
      <c r="S76" s="651"/>
      <c r="T76" s="651"/>
      <c r="U76" s="652"/>
      <c r="V76" s="651"/>
      <c r="W76" s="651"/>
      <c r="X76" s="651"/>
      <c r="Y76" s="651"/>
      <c r="Z76" s="652"/>
      <c r="AA76" s="651"/>
      <c r="AB76" s="651"/>
      <c r="AC76" s="651"/>
      <c r="AD76" s="651"/>
      <c r="AE76" s="652"/>
      <c r="AF76" s="651"/>
      <c r="AG76" s="651"/>
      <c r="AH76" s="651"/>
      <c r="AI76" s="651"/>
      <c r="AJ76" s="652"/>
      <c r="AK76" s="651"/>
      <c r="AL76" s="651"/>
      <c r="AM76" s="651"/>
      <c r="AN76" s="651"/>
      <c r="AO76" s="652"/>
      <c r="AP76" s="651"/>
      <c r="AQ76" s="651"/>
      <c r="AR76" s="651"/>
      <c r="AS76" s="651"/>
      <c r="AT76" s="652"/>
      <c r="AU76" s="651"/>
      <c r="AV76" s="651"/>
      <c r="AW76" s="651"/>
      <c r="AX76" s="651"/>
      <c r="AY76" s="652"/>
      <c r="AZ76" s="651"/>
      <c r="BA76" s="651"/>
      <c r="BB76" s="651"/>
      <c r="BC76" s="651"/>
      <c r="BD76" s="652"/>
      <c r="BE76" s="651"/>
      <c r="BF76" s="651"/>
      <c r="BG76" s="651"/>
      <c r="BH76" s="651"/>
      <c r="BI76" s="652"/>
      <c r="BJ76" s="651"/>
      <c r="BK76" s="651"/>
      <c r="BL76" s="651"/>
      <c r="BM76" s="651"/>
      <c r="BN76" s="652"/>
      <c r="BO76" s="651"/>
      <c r="BP76" s="651"/>
      <c r="BQ76" s="651"/>
      <c r="BR76" s="651"/>
      <c r="BS76" s="652"/>
      <c r="BT76" s="651"/>
      <c r="BU76" s="651"/>
      <c r="BV76" s="651"/>
      <c r="BW76" s="651"/>
      <c r="BX76" s="652"/>
      <c r="BY76" s="651"/>
      <c r="BZ76" s="651"/>
      <c r="CA76" s="651"/>
      <c r="CB76" s="651"/>
      <c r="CC76" s="652"/>
      <c r="CD76" s="652"/>
      <c r="CE76" s="652"/>
      <c r="CF76" s="652"/>
      <c r="CG76" s="652"/>
      <c r="CH76" s="652"/>
    </row>
    <row r="77" spans="1:86" s="76" customFormat="1" ht="13.5" hidden="1">
      <c r="A77" s="85"/>
      <c r="B77" s="85"/>
      <c r="C77" s="85"/>
      <c r="D77" s="85"/>
      <c r="E77" s="85"/>
      <c r="F77" s="85"/>
      <c r="G77" s="85"/>
      <c r="H77" s="649"/>
      <c r="I77" s="649"/>
      <c r="J77" s="649"/>
      <c r="K77" s="649"/>
      <c r="L77" s="651"/>
      <c r="M77" s="651"/>
      <c r="N77" s="651"/>
      <c r="O77" s="651"/>
      <c r="P77" s="652"/>
      <c r="Q77" s="651"/>
      <c r="R77" s="651"/>
      <c r="S77" s="651"/>
      <c r="T77" s="651"/>
      <c r="U77" s="652"/>
      <c r="V77" s="651"/>
      <c r="W77" s="651"/>
      <c r="X77" s="651"/>
      <c r="Y77" s="651"/>
      <c r="Z77" s="652"/>
      <c r="AA77" s="651"/>
      <c r="AB77" s="651"/>
      <c r="AC77" s="651"/>
      <c r="AD77" s="651"/>
      <c r="AE77" s="652"/>
      <c r="AF77" s="651"/>
      <c r="AG77" s="651"/>
      <c r="AH77" s="651"/>
      <c r="AI77" s="651"/>
      <c r="AJ77" s="652"/>
      <c r="AK77" s="651"/>
      <c r="AL77" s="651"/>
      <c r="AM77" s="651"/>
      <c r="AN77" s="651"/>
      <c r="AO77" s="652"/>
      <c r="AP77" s="651"/>
      <c r="AQ77" s="651"/>
      <c r="AR77" s="651"/>
      <c r="AS77" s="651"/>
      <c r="AT77" s="652"/>
      <c r="AU77" s="651"/>
      <c r="AV77" s="651"/>
      <c r="AW77" s="651"/>
      <c r="AX77" s="651"/>
      <c r="AY77" s="652"/>
      <c r="AZ77" s="651"/>
      <c r="BA77" s="651"/>
      <c r="BB77" s="651"/>
      <c r="BC77" s="651"/>
      <c r="BD77" s="652"/>
      <c r="BE77" s="651"/>
      <c r="BF77" s="651"/>
      <c r="BG77" s="651"/>
      <c r="BH77" s="651"/>
      <c r="BI77" s="652"/>
      <c r="BJ77" s="651"/>
      <c r="BK77" s="651"/>
      <c r="BL77" s="651"/>
      <c r="BM77" s="651"/>
      <c r="BN77" s="652"/>
      <c r="BO77" s="651"/>
      <c r="BP77" s="651"/>
      <c r="BQ77" s="651"/>
      <c r="BR77" s="651"/>
      <c r="BS77" s="652"/>
      <c r="BT77" s="651"/>
      <c r="BU77" s="651"/>
      <c r="BV77" s="651"/>
      <c r="BW77" s="651"/>
      <c r="BX77" s="652"/>
      <c r="BY77" s="651"/>
      <c r="BZ77" s="651"/>
      <c r="CA77" s="651"/>
      <c r="CB77" s="651"/>
      <c r="CC77" s="652"/>
      <c r="CD77" s="652"/>
      <c r="CE77" s="652"/>
      <c r="CF77" s="652"/>
      <c r="CG77" s="652"/>
      <c r="CH77" s="652"/>
    </row>
    <row r="78" spans="1:86" s="76" customFormat="1" ht="13.5">
      <c r="A78" s="85"/>
      <c r="B78" s="85"/>
      <c r="C78" s="85"/>
      <c r="D78" s="85"/>
      <c r="E78" s="85"/>
      <c r="F78" s="85"/>
      <c r="G78" s="85"/>
      <c r="H78" s="658" t="s">
        <v>804</v>
      </c>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658"/>
      <c r="AJ78" s="658"/>
      <c r="AK78" s="658"/>
      <c r="AL78" s="658"/>
      <c r="AM78" s="658"/>
      <c r="AN78" s="658"/>
      <c r="AO78" s="658"/>
      <c r="AP78" s="658"/>
      <c r="AQ78" s="658"/>
      <c r="AR78" s="658"/>
      <c r="AS78" s="658"/>
      <c r="AT78" s="658"/>
      <c r="AU78" s="658"/>
      <c r="AV78" s="658"/>
      <c r="AW78" s="658"/>
      <c r="AX78" s="658"/>
      <c r="AY78" s="658"/>
      <c r="AZ78" s="658"/>
      <c r="BA78" s="658"/>
      <c r="BB78" s="658"/>
      <c r="BC78" s="658"/>
      <c r="BD78" s="658"/>
      <c r="BE78" s="658"/>
      <c r="BF78" s="658"/>
      <c r="BG78" s="658"/>
      <c r="BH78" s="658"/>
      <c r="BI78" s="658"/>
      <c r="BJ78" s="658"/>
      <c r="BK78" s="658"/>
      <c r="BL78" s="658"/>
      <c r="BM78" s="658"/>
      <c r="BN78" s="658"/>
      <c r="BO78" s="658"/>
      <c r="BP78" s="658"/>
      <c r="BQ78" s="658"/>
      <c r="BR78" s="658"/>
      <c r="BS78" s="658"/>
      <c r="BT78" s="658"/>
      <c r="BU78" s="658"/>
      <c r="BV78" s="658"/>
      <c r="BW78" s="658"/>
      <c r="BX78" s="658"/>
      <c r="BY78" s="658"/>
      <c r="BZ78" s="658"/>
      <c r="CA78" s="658"/>
      <c r="CB78" s="658"/>
      <c r="CC78" s="658"/>
      <c r="CD78" s="658"/>
      <c r="CE78" s="658"/>
      <c r="CF78" s="658"/>
      <c r="CG78" s="658"/>
      <c r="CH78" s="658"/>
    </row>
    <row r="79" spans="1:86" s="76" customFormat="1" ht="13.5">
      <c r="A79" s="85"/>
      <c r="B79" s="85"/>
      <c r="C79" s="85"/>
      <c r="D79" s="85"/>
      <c r="E79" s="85"/>
      <c r="F79" s="85"/>
      <c r="G79" s="85"/>
      <c r="H79" s="649" t="s">
        <v>441</v>
      </c>
      <c r="I79" s="649"/>
      <c r="J79" s="649"/>
      <c r="K79" s="649"/>
      <c r="L79" s="651"/>
      <c r="M79" s="651"/>
      <c r="N79" s="651"/>
      <c r="O79" s="651"/>
      <c r="P79" s="652"/>
      <c r="Q79" s="651"/>
      <c r="R79" s="651"/>
      <c r="S79" s="651"/>
      <c r="T79" s="651"/>
      <c r="U79" s="652"/>
      <c r="V79" s="651"/>
      <c r="W79" s="651"/>
      <c r="X79" s="651"/>
      <c r="Y79" s="651"/>
      <c r="Z79" s="652"/>
      <c r="AA79" s="651"/>
      <c r="AB79" s="651"/>
      <c r="AC79" s="651"/>
      <c r="AD79" s="651"/>
      <c r="AE79" s="652"/>
      <c r="AF79" s="651"/>
      <c r="AG79" s="651"/>
      <c r="AH79" s="651"/>
      <c r="AI79" s="651"/>
      <c r="AJ79" s="652">
        <f>AE81</f>
        <v>0</v>
      </c>
      <c r="AK79" s="651"/>
      <c r="AL79" s="651"/>
      <c r="AM79" s="651"/>
      <c r="AN79" s="651"/>
      <c r="AO79" s="652">
        <f>AJ81</f>
        <v>1000</v>
      </c>
      <c r="AP79" s="651"/>
      <c r="AQ79" s="651"/>
      <c r="AR79" s="651"/>
      <c r="AS79" s="651"/>
      <c r="AT79" s="652"/>
      <c r="AU79" s="651"/>
      <c r="AV79" s="651"/>
      <c r="AW79" s="651"/>
      <c r="AX79" s="651"/>
      <c r="AY79" s="652"/>
      <c r="AZ79" s="651"/>
      <c r="BA79" s="651"/>
      <c r="BB79" s="651"/>
      <c r="BC79" s="651"/>
      <c r="BD79" s="652"/>
      <c r="BE79" s="651"/>
      <c r="BF79" s="651"/>
      <c r="BG79" s="651"/>
      <c r="BH79" s="651"/>
      <c r="BI79" s="652">
        <f>BD81</f>
        <v>0</v>
      </c>
      <c r="BJ79" s="651"/>
      <c r="BK79" s="651"/>
      <c r="BL79" s="651"/>
      <c r="BM79" s="651"/>
      <c r="BN79" s="652">
        <f>BI81</f>
        <v>600</v>
      </c>
      <c r="BO79" s="651"/>
      <c r="BP79" s="651"/>
      <c r="BQ79" s="651"/>
      <c r="BR79" s="651"/>
      <c r="BS79" s="652">
        <f>BN81</f>
        <v>600</v>
      </c>
      <c r="BT79" s="651"/>
      <c r="BU79" s="651"/>
      <c r="BV79" s="651"/>
      <c r="BW79" s="651"/>
      <c r="BX79" s="652">
        <f>BS81</f>
        <v>600</v>
      </c>
      <c r="BY79" s="651"/>
      <c r="BZ79" s="651"/>
      <c r="CA79" s="651"/>
      <c r="CB79" s="651"/>
      <c r="CC79" s="652">
        <f>BX81</f>
        <v>600</v>
      </c>
      <c r="CD79" s="652">
        <f>CC81</f>
        <v>600</v>
      </c>
      <c r="CE79" s="652">
        <f>CD81</f>
        <v>0</v>
      </c>
      <c r="CF79" s="652">
        <f>CE81</f>
        <v>0</v>
      </c>
      <c r="CG79" s="652">
        <f>CF81</f>
        <v>0</v>
      </c>
      <c r="CH79" s="652">
        <f>CG81</f>
        <v>0</v>
      </c>
    </row>
    <row r="80" spans="1:86" s="76" customFormat="1" ht="13.5">
      <c r="A80" s="85"/>
      <c r="B80" s="85"/>
      <c r="C80" s="85"/>
      <c r="D80" s="85"/>
      <c r="E80" s="85"/>
      <c r="F80" s="85"/>
      <c r="G80" s="85"/>
      <c r="H80" s="649" t="s">
        <v>606</v>
      </c>
      <c r="I80" s="649"/>
      <c r="J80" s="649"/>
      <c r="K80" s="649"/>
      <c r="L80" s="653"/>
      <c r="M80" s="653"/>
      <c r="N80" s="653"/>
      <c r="O80" s="653"/>
      <c r="P80" s="654"/>
      <c r="Q80" s="653"/>
      <c r="R80" s="653"/>
      <c r="S80" s="653"/>
      <c r="T80" s="653"/>
      <c r="U80" s="654"/>
      <c r="V80" s="653"/>
      <c r="W80" s="653"/>
      <c r="X80" s="653"/>
      <c r="Y80" s="653"/>
      <c r="Z80" s="654"/>
      <c r="AA80" s="653"/>
      <c r="AB80" s="653"/>
      <c r="AC80" s="653"/>
      <c r="AD80" s="653"/>
      <c r="AE80" s="652"/>
      <c r="AF80" s="653"/>
      <c r="AG80" s="653"/>
      <c r="AH80" s="653"/>
      <c r="AI80" s="653"/>
      <c r="AJ80" s="654">
        <v>1000</v>
      </c>
      <c r="AK80" s="653"/>
      <c r="AL80" s="653"/>
      <c r="AM80" s="653"/>
      <c r="AN80" s="653"/>
      <c r="AO80" s="654">
        <v>0</v>
      </c>
      <c r="AP80" s="653"/>
      <c r="AQ80" s="653"/>
      <c r="AR80" s="653"/>
      <c r="AS80" s="653"/>
      <c r="AT80" s="654"/>
      <c r="AU80" s="653"/>
      <c r="AV80" s="653"/>
      <c r="AW80" s="653"/>
      <c r="AX80" s="653"/>
      <c r="AY80" s="654"/>
      <c r="AZ80" s="653"/>
      <c r="BA80" s="653"/>
      <c r="BB80" s="653"/>
      <c r="BC80" s="653"/>
      <c r="BD80" s="654"/>
      <c r="BE80" s="653"/>
      <c r="BF80" s="653"/>
      <c r="BG80" s="653"/>
      <c r="BH80" s="653"/>
      <c r="BI80" s="654">
        <v>600</v>
      </c>
      <c r="BJ80" s="653"/>
      <c r="BK80" s="653"/>
      <c r="BL80" s="653"/>
      <c r="BM80" s="653"/>
      <c r="BN80" s="654">
        <v>0</v>
      </c>
      <c r="BO80" s="653"/>
      <c r="BP80" s="653"/>
      <c r="BQ80" s="653"/>
      <c r="BR80" s="653"/>
      <c r="BS80" s="654">
        <v>0</v>
      </c>
      <c r="BT80" s="653"/>
      <c r="BU80" s="653"/>
      <c r="BV80" s="653"/>
      <c r="BW80" s="653"/>
      <c r="BX80" s="654">
        <v>0</v>
      </c>
      <c r="BY80" s="653"/>
      <c r="BZ80" s="653"/>
      <c r="CA80" s="653"/>
      <c r="CB80" s="653"/>
      <c r="CC80" s="654">
        <v>0</v>
      </c>
      <c r="CD80" s="654">
        <v>-600</v>
      </c>
      <c r="CE80" s="654">
        <v>0</v>
      </c>
      <c r="CF80" s="654">
        <v>0</v>
      </c>
      <c r="CG80" s="654">
        <v>0</v>
      </c>
      <c r="CH80" s="654">
        <v>0</v>
      </c>
    </row>
    <row r="81" spans="1:86" s="76" customFormat="1" ht="13.5">
      <c r="A81" s="85"/>
      <c r="B81" s="85"/>
      <c r="C81" s="85"/>
      <c r="D81" s="85"/>
      <c r="E81" s="85"/>
      <c r="F81" s="85"/>
      <c r="G81" s="85"/>
      <c r="H81" s="649" t="s">
        <v>397</v>
      </c>
      <c r="I81" s="649"/>
      <c r="J81" s="649"/>
      <c r="K81" s="649"/>
      <c r="L81" s="651"/>
      <c r="M81" s="651"/>
      <c r="N81" s="651"/>
      <c r="O81" s="651"/>
      <c r="P81" s="652"/>
      <c r="Q81" s="651"/>
      <c r="R81" s="651"/>
      <c r="S81" s="651"/>
      <c r="T81" s="651"/>
      <c r="U81" s="652"/>
      <c r="V81" s="651"/>
      <c r="W81" s="651"/>
      <c r="X81" s="651"/>
      <c r="Y81" s="651"/>
      <c r="Z81" s="655"/>
      <c r="AA81" s="651"/>
      <c r="AB81" s="651"/>
      <c r="AC81" s="651"/>
      <c r="AD81" s="651"/>
      <c r="AE81" s="655"/>
      <c r="AF81" s="651"/>
      <c r="AG81" s="651"/>
      <c r="AH81" s="651"/>
      <c r="AI81" s="651"/>
      <c r="AJ81" s="652">
        <f>AJ79+AJ80</f>
        <v>1000</v>
      </c>
      <c r="AK81" s="651"/>
      <c r="AL81" s="651"/>
      <c r="AM81" s="651"/>
      <c r="AN81" s="651"/>
      <c r="AO81" s="652">
        <f>AO79+AO80</f>
        <v>1000</v>
      </c>
      <c r="AP81" s="651"/>
      <c r="AQ81" s="651"/>
      <c r="AR81" s="651"/>
      <c r="AS81" s="651"/>
      <c r="AT81" s="652"/>
      <c r="AU81" s="651"/>
      <c r="AV81" s="651"/>
      <c r="AW81" s="651"/>
      <c r="AX81" s="651"/>
      <c r="AY81" s="652"/>
      <c r="AZ81" s="651"/>
      <c r="BA81" s="651"/>
      <c r="BB81" s="651"/>
      <c r="BC81" s="651"/>
      <c r="BD81" s="654">
        <v>0</v>
      </c>
      <c r="BE81" s="651"/>
      <c r="BF81" s="651"/>
      <c r="BG81" s="651"/>
      <c r="BH81" s="651"/>
      <c r="BI81" s="652">
        <f>BI79+BI80</f>
        <v>600</v>
      </c>
      <c r="BJ81" s="651"/>
      <c r="BK81" s="651"/>
      <c r="BL81" s="651"/>
      <c r="BM81" s="651"/>
      <c r="BN81" s="652">
        <f>BN79+BN80</f>
        <v>600</v>
      </c>
      <c r="BO81" s="651"/>
      <c r="BP81" s="651"/>
      <c r="BQ81" s="651"/>
      <c r="BR81" s="651"/>
      <c r="BS81" s="652">
        <f>BS79+BS80</f>
        <v>600</v>
      </c>
      <c r="BT81" s="651"/>
      <c r="BU81" s="651"/>
      <c r="BV81" s="651"/>
      <c r="BW81" s="651"/>
      <c r="BX81" s="652">
        <f>BX79+BX80</f>
        <v>600</v>
      </c>
      <c r="BY81" s="651"/>
      <c r="BZ81" s="651"/>
      <c r="CA81" s="651"/>
      <c r="CB81" s="651"/>
      <c r="CC81" s="652">
        <f t="shared" ref="CC81:CH81" si="11">CC79+CC80</f>
        <v>600</v>
      </c>
      <c r="CD81" s="652">
        <f t="shared" si="11"/>
        <v>0</v>
      </c>
      <c r="CE81" s="652">
        <f t="shared" si="11"/>
        <v>0</v>
      </c>
      <c r="CF81" s="652">
        <f t="shared" si="11"/>
        <v>0</v>
      </c>
      <c r="CG81" s="652">
        <f t="shared" si="11"/>
        <v>0</v>
      </c>
      <c r="CH81" s="652">
        <f t="shared" si="11"/>
        <v>0</v>
      </c>
    </row>
    <row r="82" spans="1:86" s="76" customFormat="1" ht="13.5">
      <c r="A82" s="85"/>
      <c r="B82" s="85"/>
      <c r="C82" s="85"/>
      <c r="D82" s="85"/>
      <c r="E82" s="85"/>
      <c r="F82" s="85"/>
      <c r="G82" s="85"/>
      <c r="H82" s="48" t="s">
        <v>398</v>
      </c>
      <c r="I82" s="48"/>
      <c r="J82" s="48"/>
      <c r="K82" s="48"/>
      <c r="L82" s="331"/>
      <c r="M82" s="331"/>
      <c r="N82" s="331"/>
      <c r="O82" s="331"/>
      <c r="P82" s="337"/>
      <c r="Q82" s="331"/>
      <c r="R82" s="331"/>
      <c r="S82" s="331"/>
      <c r="T82" s="331"/>
      <c r="U82" s="337"/>
      <c r="V82" s="331"/>
      <c r="W82" s="331"/>
      <c r="X82" s="331"/>
      <c r="Y82" s="331"/>
      <c r="Z82" s="337"/>
      <c r="AA82" s="331"/>
      <c r="AB82" s="331"/>
      <c r="AC82" s="331"/>
      <c r="AD82" s="331"/>
      <c r="AE82" s="659"/>
      <c r="AF82" s="331"/>
      <c r="AG82" s="331"/>
      <c r="AH82" s="331"/>
      <c r="AI82" s="331"/>
      <c r="AJ82" s="659">
        <v>4.2000000000000003E-2</v>
      </c>
      <c r="AK82" s="331"/>
      <c r="AL82" s="331"/>
      <c r="AM82" s="331"/>
      <c r="AN82" s="331"/>
      <c r="AO82" s="659">
        <f>AJ82</f>
        <v>4.2000000000000003E-2</v>
      </c>
      <c r="AP82" s="331"/>
      <c r="AQ82" s="331"/>
      <c r="AR82" s="331"/>
      <c r="AS82" s="331"/>
      <c r="AT82" s="659"/>
      <c r="AU82" s="331"/>
      <c r="AV82" s="331"/>
      <c r="AW82" s="331"/>
      <c r="AX82" s="331"/>
      <c r="AY82" s="659"/>
      <c r="AZ82" s="331"/>
      <c r="BA82" s="331"/>
      <c r="BB82" s="331"/>
      <c r="BC82" s="331"/>
      <c r="BD82" s="659"/>
      <c r="BE82" s="331"/>
      <c r="BF82" s="331"/>
      <c r="BG82" s="331"/>
      <c r="BH82" s="331"/>
      <c r="BI82" s="659">
        <v>1.95E-2</v>
      </c>
      <c r="BJ82" s="331"/>
      <c r="BK82" s="331"/>
      <c r="BL82" s="331"/>
      <c r="BM82" s="331"/>
      <c r="BN82" s="659">
        <f>BI82</f>
        <v>1.95E-2</v>
      </c>
      <c r="BO82" s="331"/>
      <c r="BP82" s="331"/>
      <c r="BQ82" s="331"/>
      <c r="BR82" s="331"/>
      <c r="BS82" s="659">
        <f>BN82</f>
        <v>1.95E-2</v>
      </c>
      <c r="BT82" s="331"/>
      <c r="BU82" s="331"/>
      <c r="BV82" s="331"/>
      <c r="BW82" s="331"/>
      <c r="BX82" s="659">
        <f>BS82</f>
        <v>1.95E-2</v>
      </c>
      <c r="BY82" s="331"/>
      <c r="BZ82" s="331"/>
      <c r="CA82" s="331"/>
      <c r="CB82" s="331"/>
      <c r="CC82" s="659">
        <f>BX82</f>
        <v>1.95E-2</v>
      </c>
      <c r="CD82" s="659">
        <f>CC82</f>
        <v>1.95E-2</v>
      </c>
      <c r="CE82" s="659">
        <f>CD82</f>
        <v>1.95E-2</v>
      </c>
      <c r="CF82" s="659">
        <f>CE82</f>
        <v>1.95E-2</v>
      </c>
      <c r="CG82" s="659">
        <f>CF82</f>
        <v>1.95E-2</v>
      </c>
      <c r="CH82" s="659">
        <f>CG82</f>
        <v>1.95E-2</v>
      </c>
    </row>
    <row r="83" spans="1:86" s="76" customFormat="1" ht="13.5">
      <c r="A83" s="85"/>
      <c r="B83" s="85"/>
      <c r="C83" s="85"/>
      <c r="D83" s="85"/>
      <c r="E83" s="85"/>
      <c r="F83" s="85"/>
      <c r="G83" s="85"/>
      <c r="H83" s="649" t="s">
        <v>686</v>
      </c>
      <c r="I83" s="649"/>
      <c r="J83" s="649"/>
      <c r="K83" s="649"/>
      <c r="L83" s="651"/>
      <c r="M83" s="651"/>
      <c r="N83" s="651"/>
      <c r="O83" s="651"/>
      <c r="P83" s="652"/>
      <c r="Q83" s="651"/>
      <c r="R83" s="651"/>
      <c r="S83" s="651"/>
      <c r="T83" s="651"/>
      <c r="U83" s="652"/>
      <c r="V83" s="651"/>
      <c r="W83" s="651"/>
      <c r="X83" s="651"/>
      <c r="Y83" s="651"/>
      <c r="Z83" s="652"/>
      <c r="AA83" s="651"/>
      <c r="AB83" s="651"/>
      <c r="AC83" s="651"/>
      <c r="AD83" s="651"/>
      <c r="AE83" s="652"/>
      <c r="AF83" s="651"/>
      <c r="AG83" s="651"/>
      <c r="AH83" s="651"/>
      <c r="AI83" s="651"/>
      <c r="AJ83" s="652">
        <f>AJ82*AVERAGE(AJ81, AE81)</f>
        <v>42</v>
      </c>
      <c r="AK83" s="651"/>
      <c r="AL83" s="651"/>
      <c r="AM83" s="651"/>
      <c r="AN83" s="651"/>
      <c r="AO83" s="652">
        <f>AO82*AVERAGE(AO81, AJ81)</f>
        <v>42</v>
      </c>
      <c r="AP83" s="651"/>
      <c r="AQ83" s="651"/>
      <c r="AR83" s="651"/>
      <c r="AS83" s="651"/>
      <c r="AT83" s="652"/>
      <c r="AU83" s="651"/>
      <c r="AV83" s="651"/>
      <c r="AW83" s="651"/>
      <c r="AX83" s="651"/>
      <c r="AY83" s="652"/>
      <c r="AZ83" s="651"/>
      <c r="BA83" s="651"/>
      <c r="BB83" s="651"/>
      <c r="BC83" s="651"/>
      <c r="BD83" s="652"/>
      <c r="BE83" s="651"/>
      <c r="BF83" s="651"/>
      <c r="BG83" s="651"/>
      <c r="BH83" s="651"/>
      <c r="BI83" s="652">
        <f>BI82*AVERAGE(BI81, BD81)</f>
        <v>5.85</v>
      </c>
      <c r="BJ83" s="651"/>
      <c r="BK83" s="651"/>
      <c r="BL83" s="651"/>
      <c r="BM83" s="651"/>
      <c r="BN83" s="652">
        <f>BN82*AVERAGE(BN81, BI81)</f>
        <v>11.7</v>
      </c>
      <c r="BO83" s="651"/>
      <c r="BP83" s="651"/>
      <c r="BQ83" s="651"/>
      <c r="BR83" s="651"/>
      <c r="BS83" s="652">
        <f>BS82*AVERAGE(BS81, BN81)</f>
        <v>11.7</v>
      </c>
      <c r="BT83" s="651"/>
      <c r="BU83" s="651"/>
      <c r="BV83" s="651"/>
      <c r="BW83" s="651"/>
      <c r="BX83" s="652">
        <f>BX82*AVERAGE(BX81, BS81)</f>
        <v>11.7</v>
      </c>
      <c r="BY83" s="651"/>
      <c r="BZ83" s="651"/>
      <c r="CA83" s="651"/>
      <c r="CB83" s="651"/>
      <c r="CC83" s="652">
        <f>CC82*AVERAGE(CC81, BX81)</f>
        <v>11.7</v>
      </c>
      <c r="CD83" s="652">
        <f>CD82*AVERAGE(CD81, CC81)</f>
        <v>5.85</v>
      </c>
      <c r="CE83" s="652">
        <f>CE82*AVERAGE(CE81, CD81)</f>
        <v>0</v>
      </c>
      <c r="CF83" s="652">
        <f>CF82*AVERAGE(CF81, CE81)</f>
        <v>0</v>
      </c>
      <c r="CG83" s="652">
        <f>CG82*AVERAGE(CG81, CF81)</f>
        <v>0</v>
      </c>
      <c r="CH83" s="652">
        <f>CH82*AVERAGE(CH81, CG81)</f>
        <v>0</v>
      </c>
    </row>
    <row r="84" spans="1:86" s="76" customFormat="1" ht="13.5">
      <c r="A84" s="85"/>
      <c r="B84" s="85"/>
      <c r="C84" s="85"/>
      <c r="D84" s="85"/>
      <c r="E84" s="85"/>
      <c r="F84" s="85"/>
      <c r="G84" s="85"/>
      <c r="H84" s="649"/>
      <c r="I84" s="649"/>
      <c r="J84" s="649"/>
      <c r="K84" s="649"/>
      <c r="L84" s="650"/>
      <c r="M84" s="650"/>
      <c r="N84" s="650"/>
      <c r="O84" s="650"/>
      <c r="P84" s="649"/>
      <c r="Q84" s="650"/>
      <c r="R84" s="650"/>
      <c r="S84" s="650"/>
      <c r="T84" s="650"/>
      <c r="U84" s="649"/>
      <c r="V84" s="650"/>
      <c r="W84" s="650"/>
      <c r="X84" s="650"/>
      <c r="Y84" s="650"/>
      <c r="Z84" s="649"/>
      <c r="AA84" s="650"/>
      <c r="AB84" s="650"/>
      <c r="AC84" s="650"/>
      <c r="AD84" s="650"/>
      <c r="AE84" s="649"/>
      <c r="AF84" s="650"/>
      <c r="AG84" s="650"/>
      <c r="AH84" s="650"/>
      <c r="AI84" s="650"/>
      <c r="AJ84" s="649"/>
      <c r="AK84" s="650"/>
      <c r="AL84" s="650"/>
      <c r="AM84" s="650"/>
      <c r="AN84" s="650"/>
      <c r="AO84" s="649"/>
      <c r="AP84" s="650"/>
      <c r="AQ84" s="650"/>
      <c r="AR84" s="650"/>
      <c r="AS84" s="650"/>
      <c r="AT84" s="649"/>
      <c r="AU84" s="650"/>
      <c r="AV84" s="650"/>
      <c r="AW84" s="650"/>
      <c r="AX84" s="650"/>
      <c r="AY84" s="649"/>
      <c r="AZ84" s="650"/>
      <c r="BA84" s="650"/>
      <c r="BB84" s="650"/>
      <c r="BC84" s="650"/>
      <c r="BD84" s="649"/>
      <c r="BE84" s="650"/>
      <c r="BF84" s="650"/>
      <c r="BG84" s="650"/>
      <c r="BH84" s="650"/>
      <c r="BI84" s="649"/>
      <c r="BJ84" s="650"/>
      <c r="BK84" s="650"/>
      <c r="BL84" s="650"/>
      <c r="BM84" s="650"/>
      <c r="BN84" s="649"/>
      <c r="BO84" s="650"/>
      <c r="BP84" s="650"/>
      <c r="BQ84" s="650"/>
      <c r="BR84" s="650"/>
      <c r="BS84" s="649"/>
      <c r="BT84" s="650"/>
      <c r="BU84" s="650"/>
      <c r="BV84" s="650"/>
      <c r="BW84" s="650"/>
      <c r="BX84" s="649"/>
      <c r="BY84" s="650"/>
      <c r="BZ84" s="650"/>
      <c r="CA84" s="650"/>
      <c r="CB84" s="650"/>
      <c r="CC84" s="649"/>
      <c r="CD84" s="649"/>
      <c r="CE84" s="649"/>
      <c r="CF84" s="649"/>
      <c r="CG84" s="649"/>
      <c r="CH84" s="649"/>
    </row>
    <row r="85" spans="1:86" s="76" customFormat="1" ht="13.5">
      <c r="A85" s="85"/>
      <c r="B85" s="85"/>
      <c r="C85" s="85"/>
      <c r="D85" s="85"/>
      <c r="E85" s="85"/>
      <c r="F85" s="85"/>
      <c r="G85" s="85"/>
      <c r="H85" s="658" t="s">
        <v>805</v>
      </c>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658"/>
      <c r="AJ85" s="658"/>
      <c r="AK85" s="658"/>
      <c r="AL85" s="658"/>
      <c r="AM85" s="658"/>
      <c r="AN85" s="658"/>
      <c r="AO85" s="658"/>
      <c r="AP85" s="658"/>
      <c r="AQ85" s="658"/>
      <c r="AR85" s="658"/>
      <c r="AS85" s="658"/>
      <c r="AT85" s="658"/>
      <c r="AU85" s="658"/>
      <c r="AV85" s="658"/>
      <c r="AW85" s="658"/>
      <c r="AX85" s="658"/>
      <c r="AY85" s="658"/>
      <c r="AZ85" s="658"/>
      <c r="BA85" s="658"/>
      <c r="BB85" s="658"/>
      <c r="BC85" s="658"/>
      <c r="BD85" s="658"/>
      <c r="BE85" s="658"/>
      <c r="BF85" s="658"/>
      <c r="BG85" s="658"/>
      <c r="BH85" s="658"/>
      <c r="BI85" s="658"/>
      <c r="BJ85" s="658"/>
      <c r="BK85" s="658"/>
      <c r="BL85" s="658"/>
      <c r="BM85" s="658"/>
      <c r="BN85" s="658"/>
      <c r="BO85" s="658"/>
      <c r="BP85" s="658"/>
      <c r="BQ85" s="658"/>
      <c r="BR85" s="658"/>
      <c r="BS85" s="658"/>
      <c r="BT85" s="658"/>
      <c r="BU85" s="658"/>
      <c r="BV85" s="658"/>
      <c r="BW85" s="658"/>
      <c r="BX85" s="658"/>
      <c r="BY85" s="658"/>
      <c r="BZ85" s="658"/>
      <c r="CA85" s="658"/>
      <c r="CB85" s="658"/>
      <c r="CC85" s="658"/>
      <c r="CD85" s="658"/>
      <c r="CE85" s="658"/>
      <c r="CF85" s="658"/>
      <c r="CG85" s="658"/>
      <c r="CH85" s="658"/>
    </row>
    <row r="86" spans="1:86" s="76" customFormat="1" ht="13.5">
      <c r="A86" s="85"/>
      <c r="B86" s="85"/>
      <c r="C86" s="85"/>
      <c r="D86" s="85"/>
      <c r="E86" s="85"/>
      <c r="F86" s="85"/>
      <c r="G86" s="85"/>
      <c r="H86" s="649" t="s">
        <v>441</v>
      </c>
      <c r="I86" s="649"/>
      <c r="J86" s="649"/>
      <c r="K86" s="649"/>
      <c r="L86" s="651"/>
      <c r="M86" s="651"/>
      <c r="N86" s="651"/>
      <c r="O86" s="651"/>
      <c r="P86" s="652"/>
      <c r="Q86" s="651"/>
      <c r="R86" s="651"/>
      <c r="S86" s="651"/>
      <c r="T86" s="651"/>
      <c r="U86" s="652"/>
      <c r="V86" s="651"/>
      <c r="W86" s="651"/>
      <c r="X86" s="651"/>
      <c r="Y86" s="651"/>
      <c r="Z86" s="652"/>
      <c r="AA86" s="651"/>
      <c r="AB86" s="651"/>
      <c r="AC86" s="651"/>
      <c r="AD86" s="651"/>
      <c r="AE86" s="652"/>
      <c r="AF86" s="651"/>
      <c r="AG86" s="651"/>
      <c r="AH86" s="651"/>
      <c r="AI86" s="651"/>
      <c r="AJ86" s="652">
        <f>AE88</f>
        <v>0</v>
      </c>
      <c r="AK86" s="651"/>
      <c r="AL86" s="651"/>
      <c r="AM86" s="651"/>
      <c r="AN86" s="651"/>
      <c r="AO86" s="652">
        <f>AJ88</f>
        <v>1000</v>
      </c>
      <c r="AP86" s="651"/>
      <c r="AQ86" s="651"/>
      <c r="AR86" s="651"/>
      <c r="AS86" s="651"/>
      <c r="AT86" s="652"/>
      <c r="AU86" s="651"/>
      <c r="AV86" s="651"/>
      <c r="AW86" s="651"/>
      <c r="AX86" s="651"/>
      <c r="AY86" s="652"/>
      <c r="AZ86" s="651"/>
      <c r="BA86" s="651"/>
      <c r="BB86" s="651"/>
      <c r="BC86" s="651"/>
      <c r="BD86" s="652"/>
      <c r="BE86" s="651"/>
      <c r="BF86" s="651"/>
      <c r="BG86" s="651"/>
      <c r="BH86" s="651"/>
      <c r="BI86" s="652">
        <f>BD88</f>
        <v>0</v>
      </c>
      <c r="BJ86" s="651"/>
      <c r="BK86" s="651"/>
      <c r="BL86" s="651"/>
      <c r="BM86" s="651"/>
      <c r="BN86" s="652">
        <f>BI88</f>
        <v>400</v>
      </c>
      <c r="BO86" s="651"/>
      <c r="BP86" s="651"/>
      <c r="BQ86" s="651"/>
      <c r="BR86" s="651"/>
      <c r="BS86" s="652">
        <f>BN88</f>
        <v>400</v>
      </c>
      <c r="BT86" s="651"/>
      <c r="BU86" s="651"/>
      <c r="BV86" s="651"/>
      <c r="BW86" s="651"/>
      <c r="BX86" s="652">
        <f>BS88</f>
        <v>400</v>
      </c>
      <c r="BY86" s="651"/>
      <c r="BZ86" s="651"/>
      <c r="CA86" s="651"/>
      <c r="CB86" s="651"/>
      <c r="CC86" s="652">
        <f>BX88</f>
        <v>400</v>
      </c>
      <c r="CD86" s="652">
        <f>CC88</f>
        <v>0</v>
      </c>
      <c r="CE86" s="652">
        <f>CD88</f>
        <v>0</v>
      </c>
      <c r="CF86" s="652">
        <f>CE88</f>
        <v>0</v>
      </c>
      <c r="CG86" s="652">
        <f>CF88</f>
        <v>0</v>
      </c>
      <c r="CH86" s="652">
        <f>CG88</f>
        <v>0</v>
      </c>
    </row>
    <row r="87" spans="1:86" s="76" customFormat="1" ht="13.5">
      <c r="A87" s="85"/>
      <c r="B87" s="85"/>
      <c r="C87" s="85"/>
      <c r="D87" s="85"/>
      <c r="E87" s="85"/>
      <c r="F87" s="85"/>
      <c r="G87" s="85"/>
      <c r="H87" s="649" t="s">
        <v>606</v>
      </c>
      <c r="I87" s="649"/>
      <c r="J87" s="649"/>
      <c r="K87" s="649"/>
      <c r="L87" s="653"/>
      <c r="M87" s="653"/>
      <c r="N87" s="653"/>
      <c r="O87" s="653"/>
      <c r="P87" s="654"/>
      <c r="Q87" s="653"/>
      <c r="R87" s="653"/>
      <c r="S87" s="653"/>
      <c r="T87" s="653"/>
      <c r="U87" s="654"/>
      <c r="V87" s="653"/>
      <c r="W87" s="653"/>
      <c r="X87" s="653"/>
      <c r="Y87" s="653"/>
      <c r="Z87" s="654"/>
      <c r="AA87" s="653"/>
      <c r="AB87" s="653"/>
      <c r="AC87" s="653"/>
      <c r="AD87" s="653"/>
      <c r="AE87" s="652"/>
      <c r="AF87" s="653"/>
      <c r="AG87" s="653"/>
      <c r="AH87" s="653"/>
      <c r="AI87" s="653"/>
      <c r="AJ87" s="654">
        <v>1000</v>
      </c>
      <c r="AK87" s="653"/>
      <c r="AL87" s="653"/>
      <c r="AM87" s="653"/>
      <c r="AN87" s="653"/>
      <c r="AO87" s="654">
        <v>0</v>
      </c>
      <c r="AP87" s="653"/>
      <c r="AQ87" s="653"/>
      <c r="AR87" s="653"/>
      <c r="AS87" s="653"/>
      <c r="AT87" s="654"/>
      <c r="AU87" s="653"/>
      <c r="AV87" s="653"/>
      <c r="AW87" s="653"/>
      <c r="AX87" s="653"/>
      <c r="AY87" s="654"/>
      <c r="AZ87" s="653"/>
      <c r="BA87" s="653"/>
      <c r="BB87" s="653"/>
      <c r="BC87" s="653"/>
      <c r="BD87" s="654"/>
      <c r="BE87" s="653"/>
      <c r="BF87" s="653"/>
      <c r="BG87" s="653"/>
      <c r="BH87" s="653"/>
      <c r="BI87" s="654">
        <v>400</v>
      </c>
      <c r="BJ87" s="653"/>
      <c r="BK87" s="653"/>
      <c r="BL87" s="653"/>
      <c r="BM87" s="653"/>
      <c r="BN87" s="654">
        <v>0</v>
      </c>
      <c r="BO87" s="653"/>
      <c r="BP87" s="653"/>
      <c r="BQ87" s="653"/>
      <c r="BR87" s="653"/>
      <c r="BS87" s="654">
        <v>0</v>
      </c>
      <c r="BT87" s="653"/>
      <c r="BU87" s="653"/>
      <c r="BV87" s="653"/>
      <c r="BW87" s="653"/>
      <c r="BX87" s="654">
        <v>0</v>
      </c>
      <c r="BY87" s="653"/>
      <c r="BZ87" s="653"/>
      <c r="CA87" s="653"/>
      <c r="CB87" s="653"/>
      <c r="CC87" s="654">
        <f>-CC86</f>
        <v>-400</v>
      </c>
      <c r="CD87" s="654">
        <v>0</v>
      </c>
      <c r="CE87" s="654">
        <v>0</v>
      </c>
      <c r="CF87" s="654">
        <v>0</v>
      </c>
      <c r="CG87" s="654">
        <v>0</v>
      </c>
      <c r="CH87" s="654">
        <v>0</v>
      </c>
    </row>
    <row r="88" spans="1:86" s="76" customFormat="1" ht="13.5">
      <c r="A88" s="85"/>
      <c r="B88" s="85"/>
      <c r="C88" s="85"/>
      <c r="D88" s="85"/>
      <c r="E88" s="85"/>
      <c r="F88" s="85"/>
      <c r="G88" s="85"/>
      <c r="H88" s="649" t="s">
        <v>397</v>
      </c>
      <c r="I88" s="649"/>
      <c r="J88" s="649"/>
      <c r="K88" s="649"/>
      <c r="L88" s="651"/>
      <c r="M88" s="651"/>
      <c r="N88" s="651"/>
      <c r="O88" s="651"/>
      <c r="P88" s="652"/>
      <c r="Q88" s="651"/>
      <c r="R88" s="651"/>
      <c r="S88" s="651"/>
      <c r="T88" s="651"/>
      <c r="U88" s="652"/>
      <c r="V88" s="651"/>
      <c r="W88" s="651"/>
      <c r="X88" s="651"/>
      <c r="Y88" s="651"/>
      <c r="Z88" s="655"/>
      <c r="AA88" s="651"/>
      <c r="AB88" s="651"/>
      <c r="AC88" s="651"/>
      <c r="AD88" s="651"/>
      <c r="AE88" s="655"/>
      <c r="AF88" s="651"/>
      <c r="AG88" s="651"/>
      <c r="AH88" s="651"/>
      <c r="AI88" s="651"/>
      <c r="AJ88" s="652">
        <f>AJ86+AJ87</f>
        <v>1000</v>
      </c>
      <c r="AK88" s="651"/>
      <c r="AL88" s="651"/>
      <c r="AM88" s="651"/>
      <c r="AN88" s="651"/>
      <c r="AO88" s="652">
        <f>AO86+AO87</f>
        <v>1000</v>
      </c>
      <c r="AP88" s="651"/>
      <c r="AQ88" s="651"/>
      <c r="AR88" s="651"/>
      <c r="AS88" s="651"/>
      <c r="AT88" s="652"/>
      <c r="AU88" s="651"/>
      <c r="AV88" s="651"/>
      <c r="AW88" s="651"/>
      <c r="AX88" s="651"/>
      <c r="AY88" s="652"/>
      <c r="AZ88" s="651"/>
      <c r="BA88" s="651"/>
      <c r="BB88" s="651"/>
      <c r="BC88" s="651"/>
      <c r="BD88" s="654">
        <v>0</v>
      </c>
      <c r="BE88" s="651"/>
      <c r="BF88" s="651"/>
      <c r="BG88" s="651"/>
      <c r="BH88" s="651"/>
      <c r="BI88" s="652">
        <f>BI86+BI87</f>
        <v>400</v>
      </c>
      <c r="BJ88" s="651"/>
      <c r="BK88" s="651"/>
      <c r="BL88" s="651"/>
      <c r="BM88" s="651"/>
      <c r="BN88" s="652">
        <f>BN86+BN87</f>
        <v>400</v>
      </c>
      <c r="BO88" s="651"/>
      <c r="BP88" s="651"/>
      <c r="BQ88" s="651"/>
      <c r="BR88" s="651"/>
      <c r="BS88" s="652">
        <f>BS86+BS87</f>
        <v>400</v>
      </c>
      <c r="BT88" s="651"/>
      <c r="BU88" s="651"/>
      <c r="BV88" s="651"/>
      <c r="BW88" s="651"/>
      <c r="BX88" s="652">
        <f>BX86+BX87</f>
        <v>400</v>
      </c>
      <c r="BY88" s="651"/>
      <c r="BZ88" s="651"/>
      <c r="CA88" s="651"/>
      <c r="CB88" s="651"/>
      <c r="CC88" s="652">
        <f t="shared" ref="CC88:CH88" si="12">CC86+CC87</f>
        <v>0</v>
      </c>
      <c r="CD88" s="652">
        <f t="shared" si="12"/>
        <v>0</v>
      </c>
      <c r="CE88" s="652">
        <f t="shared" si="12"/>
        <v>0</v>
      </c>
      <c r="CF88" s="652">
        <f t="shared" si="12"/>
        <v>0</v>
      </c>
      <c r="CG88" s="652">
        <f t="shared" si="12"/>
        <v>0</v>
      </c>
      <c r="CH88" s="652">
        <f t="shared" si="12"/>
        <v>0</v>
      </c>
    </row>
    <row r="89" spans="1:86" s="76" customFormat="1" ht="13.5">
      <c r="A89" s="85"/>
      <c r="B89" s="85"/>
      <c r="C89" s="85"/>
      <c r="D89" s="85"/>
      <c r="E89" s="85"/>
      <c r="F89" s="85"/>
      <c r="G89" s="85"/>
      <c r="H89" s="48" t="s">
        <v>398</v>
      </c>
      <c r="I89" s="48"/>
      <c r="J89" s="48"/>
      <c r="K89" s="48"/>
      <c r="L89" s="331"/>
      <c r="M89" s="331"/>
      <c r="N89" s="331"/>
      <c r="O89" s="331"/>
      <c r="P89" s="337"/>
      <c r="Q89" s="331"/>
      <c r="R89" s="331"/>
      <c r="S89" s="331"/>
      <c r="T89" s="331"/>
      <c r="U89" s="337"/>
      <c r="V89" s="331"/>
      <c r="W89" s="331"/>
      <c r="X89" s="331"/>
      <c r="Y89" s="331"/>
      <c r="Z89" s="337"/>
      <c r="AA89" s="331"/>
      <c r="AB89" s="331"/>
      <c r="AC89" s="331"/>
      <c r="AD89" s="331"/>
      <c r="AE89" s="659"/>
      <c r="AF89" s="331"/>
      <c r="AG89" s="331"/>
      <c r="AH89" s="331"/>
      <c r="AI89" s="331"/>
      <c r="AJ89" s="659">
        <v>4.2000000000000003E-2</v>
      </c>
      <c r="AK89" s="331"/>
      <c r="AL89" s="331"/>
      <c r="AM89" s="331"/>
      <c r="AN89" s="331"/>
      <c r="AO89" s="659">
        <f>AJ89</f>
        <v>4.2000000000000003E-2</v>
      </c>
      <c r="AP89" s="331"/>
      <c r="AQ89" s="331"/>
      <c r="AR89" s="331"/>
      <c r="AS89" s="331"/>
      <c r="AT89" s="659"/>
      <c r="AU89" s="331"/>
      <c r="AV89" s="331"/>
      <c r="AW89" s="331"/>
      <c r="AX89" s="331"/>
      <c r="AY89" s="659"/>
      <c r="AZ89" s="331"/>
      <c r="BA89" s="331"/>
      <c r="BB89" s="331"/>
      <c r="BC89" s="331"/>
      <c r="BD89" s="659"/>
      <c r="BE89" s="331"/>
      <c r="BF89" s="331"/>
      <c r="BG89" s="331"/>
      <c r="BH89" s="331"/>
      <c r="BI89" s="659">
        <v>4.65E-2</v>
      </c>
      <c r="BJ89" s="331"/>
      <c r="BK89" s="331"/>
      <c r="BL89" s="331"/>
      <c r="BM89" s="331"/>
      <c r="BN89" s="659">
        <f>BI89</f>
        <v>4.65E-2</v>
      </c>
      <c r="BO89" s="331"/>
      <c r="BP89" s="331"/>
      <c r="BQ89" s="331"/>
      <c r="BR89" s="331"/>
      <c r="BS89" s="659">
        <f>BN89</f>
        <v>4.65E-2</v>
      </c>
      <c r="BT89" s="331"/>
      <c r="BU89" s="331"/>
      <c r="BV89" s="331"/>
      <c r="BW89" s="331"/>
      <c r="BX89" s="659">
        <f>BS89</f>
        <v>4.65E-2</v>
      </c>
      <c r="BY89" s="331"/>
      <c r="BZ89" s="331"/>
      <c r="CA89" s="331"/>
      <c r="CB89" s="331"/>
      <c r="CC89" s="659">
        <f>BX89</f>
        <v>4.65E-2</v>
      </c>
      <c r="CD89" s="659">
        <f>CC89</f>
        <v>4.65E-2</v>
      </c>
      <c r="CE89" s="659">
        <f>CD89</f>
        <v>4.65E-2</v>
      </c>
      <c r="CF89" s="659">
        <f>CE89</f>
        <v>4.65E-2</v>
      </c>
      <c r="CG89" s="659">
        <f>CF89</f>
        <v>4.65E-2</v>
      </c>
      <c r="CH89" s="659">
        <f>CG89</f>
        <v>4.65E-2</v>
      </c>
    </row>
    <row r="90" spans="1:86" s="76" customFormat="1" ht="13.5">
      <c r="A90" s="85"/>
      <c r="B90" s="85"/>
      <c r="C90" s="85"/>
      <c r="D90" s="85"/>
      <c r="E90" s="85"/>
      <c r="F90" s="85"/>
      <c r="G90" s="85"/>
      <c r="H90" s="649" t="s">
        <v>686</v>
      </c>
      <c r="I90" s="649"/>
      <c r="J90" s="649"/>
      <c r="K90" s="649"/>
      <c r="L90" s="651"/>
      <c r="M90" s="651"/>
      <c r="N90" s="651"/>
      <c r="O90" s="651"/>
      <c r="P90" s="652"/>
      <c r="Q90" s="651"/>
      <c r="R90" s="651"/>
      <c r="S90" s="651"/>
      <c r="T90" s="651"/>
      <c r="U90" s="652"/>
      <c r="V90" s="651"/>
      <c r="W90" s="651"/>
      <c r="X90" s="651"/>
      <c r="Y90" s="651"/>
      <c r="Z90" s="652"/>
      <c r="AA90" s="651"/>
      <c r="AB90" s="651"/>
      <c r="AC90" s="651"/>
      <c r="AD90" s="651"/>
      <c r="AE90" s="652"/>
      <c r="AF90" s="651"/>
      <c r="AG90" s="651"/>
      <c r="AH90" s="651"/>
      <c r="AI90" s="651"/>
      <c r="AJ90" s="652">
        <f>AJ89*AVERAGE(AJ88, AE88)</f>
        <v>42</v>
      </c>
      <c r="AK90" s="651"/>
      <c r="AL90" s="651"/>
      <c r="AM90" s="651"/>
      <c r="AN90" s="651"/>
      <c r="AO90" s="652">
        <f>AO89*AVERAGE(AO88, AJ88)</f>
        <v>42</v>
      </c>
      <c r="AP90" s="651"/>
      <c r="AQ90" s="651"/>
      <c r="AR90" s="651"/>
      <c r="AS90" s="651"/>
      <c r="AT90" s="652"/>
      <c r="AU90" s="651"/>
      <c r="AV90" s="651"/>
      <c r="AW90" s="651"/>
      <c r="AX90" s="651"/>
      <c r="AY90" s="652"/>
      <c r="AZ90" s="651"/>
      <c r="BA90" s="651"/>
      <c r="BB90" s="651"/>
      <c r="BC90" s="651"/>
      <c r="BD90" s="652"/>
      <c r="BE90" s="651"/>
      <c r="BF90" s="651"/>
      <c r="BG90" s="651"/>
      <c r="BH90" s="651"/>
      <c r="BI90" s="652">
        <f>BI89*AVERAGE(BI88, BD88)</f>
        <v>9.3000000000000007</v>
      </c>
      <c r="BJ90" s="651"/>
      <c r="BK90" s="651"/>
      <c r="BL90" s="651"/>
      <c r="BM90" s="651"/>
      <c r="BN90" s="652">
        <f>BN89*AVERAGE(BN88, BI88)</f>
        <v>18.600000000000001</v>
      </c>
      <c r="BO90" s="651"/>
      <c r="BP90" s="651"/>
      <c r="BQ90" s="651"/>
      <c r="BR90" s="651"/>
      <c r="BS90" s="652">
        <f>BS89*AVERAGE(BS88, BN88)</f>
        <v>18.600000000000001</v>
      </c>
      <c r="BT90" s="651"/>
      <c r="BU90" s="651"/>
      <c r="BV90" s="651"/>
      <c r="BW90" s="651"/>
      <c r="BX90" s="652">
        <f>BX89*AVERAGE(BX88, BS88)</f>
        <v>18.600000000000001</v>
      </c>
      <c r="BY90" s="651"/>
      <c r="BZ90" s="651"/>
      <c r="CA90" s="651"/>
      <c r="CB90" s="651"/>
      <c r="CC90" s="652">
        <f>CC89*AVERAGE(CC88, BX88)</f>
        <v>9.3000000000000007</v>
      </c>
      <c r="CD90" s="652">
        <f>CD89*AVERAGE(CD88, CC88)</f>
        <v>0</v>
      </c>
      <c r="CE90" s="652">
        <f>CE89*AVERAGE(CE88, CD88)</f>
        <v>0</v>
      </c>
      <c r="CF90" s="652">
        <f>CF89*AVERAGE(CF88, CE88)</f>
        <v>0</v>
      </c>
      <c r="CG90" s="652">
        <f>CG89*AVERAGE(CG88, CF88)</f>
        <v>0</v>
      </c>
      <c r="CH90" s="652">
        <f>CH89*AVERAGE(CH88, CG88)</f>
        <v>0</v>
      </c>
    </row>
    <row r="91" spans="1:86" s="76" customFormat="1" ht="13.5">
      <c r="A91" s="85"/>
      <c r="B91" s="85"/>
      <c r="C91" s="85"/>
      <c r="D91" s="85"/>
      <c r="E91" s="85"/>
      <c r="F91" s="85"/>
      <c r="G91" s="85"/>
      <c r="H91" s="649"/>
      <c r="I91" s="649"/>
      <c r="J91" s="649"/>
      <c r="K91" s="649"/>
      <c r="L91" s="650"/>
      <c r="M91" s="650"/>
      <c r="N91" s="650"/>
      <c r="O91" s="650"/>
      <c r="P91" s="649"/>
      <c r="Q91" s="650"/>
      <c r="R91" s="650"/>
      <c r="S91" s="650"/>
      <c r="T91" s="650"/>
      <c r="U91" s="649"/>
      <c r="V91" s="650"/>
      <c r="W91" s="650"/>
      <c r="X91" s="650"/>
      <c r="Y91" s="650"/>
      <c r="Z91" s="649"/>
      <c r="AA91" s="650"/>
      <c r="AB91" s="650"/>
      <c r="AC91" s="650"/>
      <c r="AD91" s="650"/>
      <c r="AE91" s="649"/>
      <c r="AF91" s="650"/>
      <c r="AG91" s="650"/>
      <c r="AH91" s="650"/>
      <c r="AI91" s="650"/>
      <c r="AJ91" s="649"/>
      <c r="AK91" s="650"/>
      <c r="AL91" s="650"/>
      <c r="AM91" s="650"/>
      <c r="AN91" s="650"/>
      <c r="AO91" s="649"/>
      <c r="AP91" s="650"/>
      <c r="AQ91" s="650"/>
      <c r="AR91" s="650"/>
      <c r="AS91" s="650"/>
      <c r="AT91" s="649"/>
      <c r="AU91" s="650"/>
      <c r="AV91" s="650"/>
      <c r="AW91" s="650"/>
      <c r="AX91" s="650"/>
      <c r="AY91" s="649"/>
      <c r="AZ91" s="650"/>
      <c r="BA91" s="650"/>
      <c r="BB91" s="650"/>
      <c r="BC91" s="650"/>
      <c r="BD91" s="649"/>
      <c r="BE91" s="650"/>
      <c r="BF91" s="650"/>
      <c r="BG91" s="650"/>
      <c r="BH91" s="650"/>
      <c r="BI91" s="649"/>
      <c r="BJ91" s="650"/>
      <c r="BK91" s="650"/>
      <c r="BL91" s="650"/>
      <c r="BM91" s="650"/>
      <c r="BN91" s="649"/>
      <c r="BO91" s="650"/>
      <c r="BP91" s="650"/>
      <c r="BQ91" s="650"/>
      <c r="BR91" s="650"/>
      <c r="BS91" s="649"/>
      <c r="BT91" s="650"/>
      <c r="BU91" s="650"/>
      <c r="BV91" s="650"/>
      <c r="BW91" s="650"/>
      <c r="BX91" s="649"/>
      <c r="BY91" s="650"/>
      <c r="BZ91" s="650"/>
      <c r="CA91" s="650"/>
      <c r="CB91" s="650"/>
      <c r="CC91" s="649"/>
      <c r="CD91" s="649"/>
      <c r="CE91" s="649"/>
      <c r="CF91" s="649"/>
      <c r="CG91" s="649"/>
      <c r="CH91" s="649"/>
    </row>
    <row r="92" spans="1:86" s="76" customFormat="1" ht="13.5">
      <c r="A92" s="85"/>
      <c r="B92" s="85"/>
      <c r="C92" s="85"/>
      <c r="D92" s="85"/>
      <c r="E92" s="85"/>
      <c r="F92" s="85"/>
      <c r="G92" s="85"/>
      <c r="H92" s="658" t="s">
        <v>128</v>
      </c>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658"/>
      <c r="AQ92" s="658"/>
      <c r="AR92" s="658"/>
      <c r="AS92" s="658"/>
      <c r="AT92" s="658"/>
      <c r="AU92" s="658"/>
      <c r="AV92" s="658"/>
      <c r="AW92" s="658"/>
      <c r="AX92" s="658"/>
      <c r="AY92" s="658"/>
      <c r="AZ92" s="658"/>
      <c r="BA92" s="658"/>
      <c r="BB92" s="658"/>
      <c r="BC92" s="658"/>
      <c r="BD92" s="658"/>
      <c r="BE92" s="658"/>
      <c r="BF92" s="658"/>
      <c r="BG92" s="658"/>
      <c r="BH92" s="658"/>
      <c r="BI92" s="658"/>
      <c r="BJ92" s="658"/>
      <c r="BK92" s="658"/>
      <c r="BL92" s="658"/>
      <c r="BM92" s="658"/>
      <c r="BN92" s="658"/>
      <c r="BO92" s="658"/>
      <c r="BP92" s="658"/>
      <c r="BQ92" s="658"/>
      <c r="BR92" s="658"/>
      <c r="BS92" s="658"/>
      <c r="BT92" s="658"/>
      <c r="BU92" s="658"/>
      <c r="BV92" s="658"/>
      <c r="BW92" s="658"/>
      <c r="BX92" s="658"/>
      <c r="BY92" s="658"/>
      <c r="BZ92" s="658"/>
      <c r="CA92" s="658"/>
      <c r="CB92" s="658"/>
      <c r="CC92" s="658"/>
      <c r="CD92" s="658"/>
      <c r="CE92" s="658"/>
      <c r="CF92" s="658"/>
      <c r="CG92" s="658"/>
      <c r="CH92" s="658"/>
    </row>
    <row r="93" spans="1:86" s="76" customFormat="1" ht="13.5">
      <c r="A93" s="85"/>
      <c r="B93" s="85"/>
      <c r="C93" s="85"/>
      <c r="D93" s="85"/>
      <c r="E93" s="85"/>
      <c r="F93" s="85"/>
      <c r="G93" s="85"/>
      <c r="H93" s="649" t="s">
        <v>441</v>
      </c>
      <c r="I93" s="649"/>
      <c r="J93" s="649"/>
      <c r="K93" s="649"/>
      <c r="L93" s="651"/>
      <c r="M93" s="651"/>
      <c r="N93" s="651"/>
      <c r="O93" s="651"/>
      <c r="P93" s="652"/>
      <c r="Q93" s="651"/>
      <c r="R93" s="651"/>
      <c r="S93" s="651"/>
      <c r="T93" s="651"/>
      <c r="U93" s="652"/>
      <c r="V93" s="651"/>
      <c r="W93" s="651"/>
      <c r="X93" s="651"/>
      <c r="Y93" s="651"/>
      <c r="Z93" s="652"/>
      <c r="AA93" s="651"/>
      <c r="AB93" s="651"/>
      <c r="AC93" s="651"/>
      <c r="AD93" s="651"/>
      <c r="AE93" s="652"/>
      <c r="AF93" s="651"/>
      <c r="AG93" s="651"/>
      <c r="AH93" s="651"/>
      <c r="AI93" s="651"/>
      <c r="AJ93" s="652">
        <f>AE95</f>
        <v>0</v>
      </c>
      <c r="AK93" s="651"/>
      <c r="AL93" s="651"/>
      <c r="AM93" s="651"/>
      <c r="AN93" s="651"/>
      <c r="AO93" s="652">
        <f>AJ95</f>
        <v>1000</v>
      </c>
      <c r="AP93" s="651"/>
      <c r="AQ93" s="651"/>
      <c r="AR93" s="651"/>
      <c r="AS93" s="651"/>
      <c r="AT93" s="652">
        <f>AO95</f>
        <v>1000</v>
      </c>
      <c r="AU93" s="651"/>
      <c r="AV93" s="651"/>
      <c r="AW93" s="651"/>
      <c r="AX93" s="651"/>
      <c r="AY93" s="652">
        <f>AT95</f>
        <v>1000</v>
      </c>
      <c r="AZ93" s="651"/>
      <c r="BA93" s="651"/>
      <c r="BB93" s="651"/>
      <c r="BC93" s="651"/>
      <c r="BD93" s="652">
        <f>AY95</f>
        <v>1000</v>
      </c>
      <c r="BE93" s="651"/>
      <c r="BF93" s="651"/>
      <c r="BG93" s="651"/>
      <c r="BH93" s="651"/>
      <c r="BI93" s="652">
        <f>BD95</f>
        <v>1000</v>
      </c>
      <c r="BJ93" s="651"/>
      <c r="BK93" s="651"/>
      <c r="BL93" s="651"/>
      <c r="BM93" s="651"/>
      <c r="BN93" s="652">
        <f>BI95</f>
        <v>0</v>
      </c>
      <c r="BO93" s="651"/>
      <c r="BP93" s="651"/>
      <c r="BQ93" s="651"/>
      <c r="BR93" s="651"/>
      <c r="BS93" s="652">
        <f>BN95</f>
        <v>0</v>
      </c>
      <c r="BT93" s="651"/>
      <c r="BU93" s="651"/>
      <c r="BV93" s="651"/>
      <c r="BW93" s="651"/>
      <c r="BX93" s="652">
        <f>BS95</f>
        <v>0</v>
      </c>
      <c r="BY93" s="651"/>
      <c r="BZ93" s="651"/>
      <c r="CA93" s="651"/>
      <c r="CB93" s="651"/>
      <c r="CC93" s="652">
        <f>BX95</f>
        <v>0</v>
      </c>
      <c r="CD93" s="652">
        <f>CC95</f>
        <v>0</v>
      </c>
      <c r="CE93" s="652">
        <f>CD95</f>
        <v>0</v>
      </c>
      <c r="CF93" s="652">
        <f>CE95</f>
        <v>0</v>
      </c>
      <c r="CG93" s="652">
        <f>CF95</f>
        <v>0</v>
      </c>
      <c r="CH93" s="652">
        <f>CG95</f>
        <v>0</v>
      </c>
    </row>
    <row r="94" spans="1:86" s="76" customFormat="1" ht="13.5">
      <c r="A94" s="85"/>
      <c r="B94" s="85"/>
      <c r="C94" s="85"/>
      <c r="D94" s="85"/>
      <c r="E94" s="85"/>
      <c r="F94" s="85"/>
      <c r="G94" s="85"/>
      <c r="H94" s="649" t="s">
        <v>606</v>
      </c>
      <c r="I94" s="649"/>
      <c r="J94" s="649"/>
      <c r="K94" s="649"/>
      <c r="L94" s="653"/>
      <c r="M94" s="653"/>
      <c r="N94" s="653"/>
      <c r="O94" s="653"/>
      <c r="P94" s="654"/>
      <c r="Q94" s="653"/>
      <c r="R94" s="653"/>
      <c r="S94" s="653"/>
      <c r="T94" s="653"/>
      <c r="U94" s="654"/>
      <c r="V94" s="653"/>
      <c r="W94" s="653"/>
      <c r="X94" s="653"/>
      <c r="Y94" s="653"/>
      <c r="Z94" s="654"/>
      <c r="AA94" s="653"/>
      <c r="AB94" s="653"/>
      <c r="AC94" s="653"/>
      <c r="AD94" s="653"/>
      <c r="AE94" s="652"/>
      <c r="AF94" s="653"/>
      <c r="AG94" s="653"/>
      <c r="AH94" s="653"/>
      <c r="AI94" s="653"/>
      <c r="AJ94" s="654">
        <v>1000</v>
      </c>
      <c r="AK94" s="653"/>
      <c r="AL94" s="653"/>
      <c r="AM94" s="653"/>
      <c r="AN94" s="653"/>
      <c r="AO94" s="654">
        <v>0</v>
      </c>
      <c r="AP94" s="653"/>
      <c r="AQ94" s="653"/>
      <c r="AR94" s="653"/>
      <c r="AS94" s="653"/>
      <c r="AT94" s="654">
        <v>0</v>
      </c>
      <c r="AU94" s="653"/>
      <c r="AV94" s="653"/>
      <c r="AW94" s="653"/>
      <c r="AX94" s="653"/>
      <c r="AY94" s="654">
        <v>0</v>
      </c>
      <c r="AZ94" s="653"/>
      <c r="BA94" s="653"/>
      <c r="BB94" s="653"/>
      <c r="BC94" s="653"/>
      <c r="BD94" s="654">
        <v>0</v>
      </c>
      <c r="BE94" s="653"/>
      <c r="BF94" s="653"/>
      <c r="BG94" s="653"/>
      <c r="BH94" s="653"/>
      <c r="BI94" s="654">
        <v>-1000</v>
      </c>
      <c r="BJ94" s="653"/>
      <c r="BK94" s="653"/>
      <c r="BL94" s="653"/>
      <c r="BM94" s="653"/>
      <c r="BN94" s="654">
        <v>0</v>
      </c>
      <c r="BO94" s="653"/>
      <c r="BP94" s="653"/>
      <c r="BQ94" s="653"/>
      <c r="BR94" s="653"/>
      <c r="BS94" s="654">
        <v>0</v>
      </c>
      <c r="BT94" s="653"/>
      <c r="BU94" s="653"/>
      <c r="BV94" s="653"/>
      <c r="BW94" s="653"/>
      <c r="BX94" s="654">
        <v>0</v>
      </c>
      <c r="BY94" s="653"/>
      <c r="BZ94" s="653"/>
      <c r="CA94" s="653"/>
      <c r="CB94" s="653"/>
      <c r="CC94" s="654">
        <v>0</v>
      </c>
      <c r="CD94" s="654">
        <v>0</v>
      </c>
      <c r="CE94" s="654">
        <v>0</v>
      </c>
      <c r="CF94" s="654">
        <v>0</v>
      </c>
      <c r="CG94" s="654">
        <v>0</v>
      </c>
      <c r="CH94" s="654">
        <v>0</v>
      </c>
    </row>
    <row r="95" spans="1:86" s="76" customFormat="1" ht="13.5">
      <c r="A95" s="85"/>
      <c r="B95" s="85"/>
      <c r="C95" s="85"/>
      <c r="D95" s="85"/>
      <c r="E95" s="85"/>
      <c r="F95" s="85"/>
      <c r="G95" s="85"/>
      <c r="H95" s="649" t="s">
        <v>397</v>
      </c>
      <c r="I95" s="649"/>
      <c r="J95" s="649"/>
      <c r="K95" s="649"/>
      <c r="L95" s="651"/>
      <c r="M95" s="651"/>
      <c r="N95" s="651"/>
      <c r="O95" s="651"/>
      <c r="P95" s="652"/>
      <c r="Q95" s="651"/>
      <c r="R95" s="651"/>
      <c r="S95" s="651"/>
      <c r="T95" s="651"/>
      <c r="U95" s="652"/>
      <c r="V95" s="651"/>
      <c r="W95" s="651"/>
      <c r="X95" s="651"/>
      <c r="Y95" s="651"/>
      <c r="Z95" s="655"/>
      <c r="AA95" s="651"/>
      <c r="AB95" s="651"/>
      <c r="AC95" s="651"/>
      <c r="AD95" s="651"/>
      <c r="AE95" s="655"/>
      <c r="AF95" s="651"/>
      <c r="AG95" s="651"/>
      <c r="AH95" s="651"/>
      <c r="AI95" s="651"/>
      <c r="AJ95" s="652">
        <f>AJ93+AJ94</f>
        <v>1000</v>
      </c>
      <c r="AK95" s="651"/>
      <c r="AL95" s="651"/>
      <c r="AM95" s="651"/>
      <c r="AN95" s="651"/>
      <c r="AO95" s="652">
        <f>AO93+AO94</f>
        <v>1000</v>
      </c>
      <c r="AP95" s="651"/>
      <c r="AQ95" s="651"/>
      <c r="AR95" s="651"/>
      <c r="AS95" s="651"/>
      <c r="AT95" s="652">
        <f>AT93+AT94</f>
        <v>1000</v>
      </c>
      <c r="AU95" s="651"/>
      <c r="AV95" s="651"/>
      <c r="AW95" s="651"/>
      <c r="AX95" s="651"/>
      <c r="AY95" s="652">
        <f>AY93+AY94</f>
        <v>1000</v>
      </c>
      <c r="AZ95" s="651"/>
      <c r="BA95" s="651"/>
      <c r="BB95" s="651"/>
      <c r="BC95" s="651"/>
      <c r="BD95" s="652">
        <f>BD93+BD94</f>
        <v>1000</v>
      </c>
      <c r="BE95" s="651"/>
      <c r="BF95" s="651"/>
      <c r="BG95" s="651"/>
      <c r="BH95" s="651"/>
      <c r="BI95" s="652">
        <f>BI93+BI94</f>
        <v>0</v>
      </c>
      <c r="BJ95" s="651"/>
      <c r="BK95" s="651"/>
      <c r="BL95" s="651"/>
      <c r="BM95" s="651"/>
      <c r="BN95" s="652">
        <f>BN93+BN94</f>
        <v>0</v>
      </c>
      <c r="BO95" s="651"/>
      <c r="BP95" s="651"/>
      <c r="BQ95" s="651"/>
      <c r="BR95" s="651"/>
      <c r="BS95" s="652">
        <f>BS93+BS94</f>
        <v>0</v>
      </c>
      <c r="BT95" s="651"/>
      <c r="BU95" s="651"/>
      <c r="BV95" s="651"/>
      <c r="BW95" s="651"/>
      <c r="BX95" s="652">
        <f>BX93+BX94</f>
        <v>0</v>
      </c>
      <c r="BY95" s="651"/>
      <c r="BZ95" s="651"/>
      <c r="CA95" s="651"/>
      <c r="CB95" s="651"/>
      <c r="CC95" s="652">
        <f t="shared" ref="CC95:CH95" si="13">CC93+CC94</f>
        <v>0</v>
      </c>
      <c r="CD95" s="652">
        <f t="shared" si="13"/>
        <v>0</v>
      </c>
      <c r="CE95" s="652">
        <f t="shared" si="13"/>
        <v>0</v>
      </c>
      <c r="CF95" s="652">
        <f t="shared" si="13"/>
        <v>0</v>
      </c>
      <c r="CG95" s="652">
        <f t="shared" si="13"/>
        <v>0</v>
      </c>
      <c r="CH95" s="652">
        <f t="shared" si="13"/>
        <v>0</v>
      </c>
    </row>
    <row r="96" spans="1:86" s="76" customFormat="1" ht="13.5">
      <c r="A96" s="85"/>
      <c r="B96" s="85"/>
      <c r="C96" s="85"/>
      <c r="D96" s="85"/>
      <c r="E96" s="85"/>
      <c r="F96" s="85"/>
      <c r="G96" s="85"/>
      <c r="H96" s="48" t="s">
        <v>398</v>
      </c>
      <c r="I96" s="48"/>
      <c r="J96" s="48"/>
      <c r="K96" s="48"/>
      <c r="L96" s="331"/>
      <c r="M96" s="331"/>
      <c r="N96" s="331"/>
      <c r="O96" s="331"/>
      <c r="P96" s="337"/>
      <c r="Q96" s="331"/>
      <c r="R96" s="331"/>
      <c r="S96" s="331"/>
      <c r="T96" s="331"/>
      <c r="U96" s="337"/>
      <c r="V96" s="331"/>
      <c r="W96" s="331"/>
      <c r="X96" s="331"/>
      <c r="Y96" s="331"/>
      <c r="Z96" s="337"/>
      <c r="AA96" s="331"/>
      <c r="AB96" s="331"/>
      <c r="AC96" s="331"/>
      <c r="AD96" s="331"/>
      <c r="AE96" s="659"/>
      <c r="AF96" s="331"/>
      <c r="AG96" s="331"/>
      <c r="AH96" s="331"/>
      <c r="AI96" s="331"/>
      <c r="AJ96" s="659">
        <v>4.2000000000000003E-2</v>
      </c>
      <c r="AK96" s="331"/>
      <c r="AL96" s="331"/>
      <c r="AM96" s="331"/>
      <c r="AN96" s="331"/>
      <c r="AO96" s="659">
        <f>AJ96</f>
        <v>4.2000000000000003E-2</v>
      </c>
      <c r="AP96" s="331"/>
      <c r="AQ96" s="331"/>
      <c r="AR96" s="331"/>
      <c r="AS96" s="331"/>
      <c r="AT96" s="659">
        <f>AO96</f>
        <v>4.2000000000000003E-2</v>
      </c>
      <c r="AU96" s="331"/>
      <c r="AV96" s="331"/>
      <c r="AW96" s="331"/>
      <c r="AX96" s="331"/>
      <c r="AY96" s="659">
        <f>AT96</f>
        <v>4.2000000000000003E-2</v>
      </c>
      <c r="AZ96" s="331"/>
      <c r="BA96" s="331"/>
      <c r="BB96" s="331"/>
      <c r="BC96" s="331"/>
      <c r="BD96" s="659">
        <f>AY96</f>
        <v>4.2000000000000003E-2</v>
      </c>
      <c r="BE96" s="331"/>
      <c r="BF96" s="331"/>
      <c r="BG96" s="331"/>
      <c r="BH96" s="331"/>
      <c r="BI96" s="659">
        <f>BD96</f>
        <v>4.2000000000000003E-2</v>
      </c>
      <c r="BJ96" s="331"/>
      <c r="BK96" s="331"/>
      <c r="BL96" s="331"/>
      <c r="BM96" s="331"/>
      <c r="BN96" s="659">
        <f>BI96</f>
        <v>4.2000000000000003E-2</v>
      </c>
      <c r="BO96" s="331"/>
      <c r="BP96" s="331"/>
      <c r="BQ96" s="331"/>
      <c r="BR96" s="331"/>
      <c r="BS96" s="659">
        <f>BN96</f>
        <v>4.2000000000000003E-2</v>
      </c>
      <c r="BT96" s="331"/>
      <c r="BU96" s="331"/>
      <c r="BV96" s="331"/>
      <c r="BW96" s="331"/>
      <c r="BX96" s="659">
        <f>BS96</f>
        <v>4.2000000000000003E-2</v>
      </c>
      <c r="BY96" s="331"/>
      <c r="BZ96" s="331"/>
      <c r="CA96" s="331"/>
      <c r="CB96" s="331"/>
      <c r="CC96" s="659">
        <f>BX96</f>
        <v>4.2000000000000003E-2</v>
      </c>
      <c r="CD96" s="659">
        <f>CC96</f>
        <v>4.2000000000000003E-2</v>
      </c>
      <c r="CE96" s="659">
        <f>CD96</f>
        <v>4.2000000000000003E-2</v>
      </c>
      <c r="CF96" s="659">
        <f>CE96</f>
        <v>4.2000000000000003E-2</v>
      </c>
      <c r="CG96" s="659">
        <f>CF96</f>
        <v>4.2000000000000003E-2</v>
      </c>
      <c r="CH96" s="659">
        <f>CG96</f>
        <v>4.2000000000000003E-2</v>
      </c>
    </row>
    <row r="97" spans="1:86" s="76" customFormat="1" ht="13.5">
      <c r="A97" s="85"/>
      <c r="B97" s="85"/>
      <c r="C97" s="85"/>
      <c r="D97" s="85"/>
      <c r="E97" s="85"/>
      <c r="F97" s="85"/>
      <c r="G97" s="85"/>
      <c r="H97" s="649" t="s">
        <v>686</v>
      </c>
      <c r="I97" s="649"/>
      <c r="J97" s="649"/>
      <c r="K97" s="649"/>
      <c r="L97" s="651"/>
      <c r="M97" s="651"/>
      <c r="N97" s="651"/>
      <c r="O97" s="651"/>
      <c r="P97" s="652"/>
      <c r="Q97" s="651"/>
      <c r="R97" s="651"/>
      <c r="S97" s="651"/>
      <c r="T97" s="651"/>
      <c r="U97" s="652"/>
      <c r="V97" s="651"/>
      <c r="W97" s="651"/>
      <c r="X97" s="651"/>
      <c r="Y97" s="651"/>
      <c r="Z97" s="652"/>
      <c r="AA97" s="651"/>
      <c r="AB97" s="651"/>
      <c r="AC97" s="651"/>
      <c r="AD97" s="651"/>
      <c r="AE97" s="652"/>
      <c r="AF97" s="651"/>
      <c r="AG97" s="651"/>
      <c r="AH97" s="651"/>
      <c r="AI97" s="651"/>
      <c r="AJ97" s="652">
        <f>AJ96*AVERAGE(AJ95, AE95)</f>
        <v>42</v>
      </c>
      <c r="AK97" s="651"/>
      <c r="AL97" s="651"/>
      <c r="AM97" s="651"/>
      <c r="AN97" s="651"/>
      <c r="AO97" s="652">
        <f>AO96*AVERAGE(AO95, AJ95)</f>
        <v>42</v>
      </c>
      <c r="AP97" s="651"/>
      <c r="AQ97" s="651"/>
      <c r="AR97" s="651"/>
      <c r="AS97" s="651"/>
      <c r="AT97" s="652">
        <f>AT96*AVERAGE(AT95, AO95)</f>
        <v>42</v>
      </c>
      <c r="AU97" s="651"/>
      <c r="AV97" s="651"/>
      <c r="AW97" s="651"/>
      <c r="AX97" s="651"/>
      <c r="AY97" s="652">
        <f>AY96*AVERAGE(AY95, AT95)</f>
        <v>42</v>
      </c>
      <c r="AZ97" s="651"/>
      <c r="BA97" s="651"/>
      <c r="BB97" s="651"/>
      <c r="BC97" s="651"/>
      <c r="BD97" s="652">
        <f>BD96*AVERAGE(BD95, AY95)</f>
        <v>42</v>
      </c>
      <c r="BE97" s="651"/>
      <c r="BF97" s="651"/>
      <c r="BG97" s="651"/>
      <c r="BH97" s="651"/>
      <c r="BI97" s="652">
        <f>BI96*AVERAGE(BI95, BI95)</f>
        <v>0</v>
      </c>
      <c r="BJ97" s="651"/>
      <c r="BK97" s="651"/>
      <c r="BL97" s="651"/>
      <c r="BM97" s="651"/>
      <c r="BN97" s="652">
        <f>BN96*AVERAGE(BN95, BI95)</f>
        <v>0</v>
      </c>
      <c r="BO97" s="651"/>
      <c r="BP97" s="651"/>
      <c r="BQ97" s="651"/>
      <c r="BR97" s="651"/>
      <c r="BS97" s="652">
        <f>BS96*AVERAGE(BS95, BN95)</f>
        <v>0</v>
      </c>
      <c r="BT97" s="651"/>
      <c r="BU97" s="651"/>
      <c r="BV97" s="651"/>
      <c r="BW97" s="651"/>
      <c r="BX97" s="652">
        <f>BX96*AVERAGE(BX95, BS95)</f>
        <v>0</v>
      </c>
      <c r="BY97" s="651"/>
      <c r="BZ97" s="651"/>
      <c r="CA97" s="651"/>
      <c r="CB97" s="651"/>
      <c r="CC97" s="652">
        <f>CC96*AVERAGE(CC95, BX95)</f>
        <v>0</v>
      </c>
      <c r="CD97" s="652">
        <f>CD96*AVERAGE(CD95, CC95)</f>
        <v>0</v>
      </c>
      <c r="CE97" s="652">
        <f>CE96*AVERAGE(CE95, CD95)</f>
        <v>0</v>
      </c>
      <c r="CF97" s="652">
        <f>CF96*AVERAGE(CF95, CE95)</f>
        <v>0</v>
      </c>
      <c r="CG97" s="652">
        <f>CG96*AVERAGE(CG95, CF95)</f>
        <v>0</v>
      </c>
      <c r="CH97" s="652">
        <f>CH96*AVERAGE(CH95, CG95)</f>
        <v>0</v>
      </c>
    </row>
    <row r="98" spans="1:86" s="76" customFormat="1" ht="13.5">
      <c r="A98" s="85"/>
      <c r="B98" s="85"/>
      <c r="C98" s="85"/>
      <c r="D98" s="85"/>
      <c r="E98" s="85"/>
      <c r="F98" s="85"/>
      <c r="G98" s="85"/>
      <c r="H98" s="649"/>
      <c r="I98" s="649"/>
      <c r="J98" s="649"/>
      <c r="K98" s="649"/>
      <c r="L98" s="650"/>
      <c r="M98" s="650"/>
      <c r="N98" s="650"/>
      <c r="O98" s="650"/>
      <c r="P98" s="649"/>
      <c r="Q98" s="650"/>
      <c r="R98" s="650"/>
      <c r="S98" s="650"/>
      <c r="T98" s="650"/>
      <c r="U98" s="649"/>
      <c r="V98" s="650"/>
      <c r="W98" s="650"/>
      <c r="X98" s="650"/>
      <c r="Y98" s="650"/>
      <c r="Z98" s="649"/>
      <c r="AA98" s="650"/>
      <c r="AB98" s="650"/>
      <c r="AC98" s="650"/>
      <c r="AD98" s="650"/>
      <c r="AE98" s="649"/>
      <c r="AF98" s="650"/>
      <c r="AG98" s="650"/>
      <c r="AH98" s="650"/>
      <c r="AI98" s="650"/>
      <c r="AJ98" s="649"/>
      <c r="AK98" s="650"/>
      <c r="AL98" s="650"/>
      <c r="AM98" s="650"/>
      <c r="AN98" s="650"/>
      <c r="AO98" s="649"/>
      <c r="AP98" s="650"/>
      <c r="AQ98" s="650"/>
      <c r="AR98" s="650"/>
      <c r="AS98" s="650"/>
      <c r="AT98" s="649"/>
      <c r="AU98" s="650"/>
      <c r="AV98" s="650"/>
      <c r="AW98" s="650"/>
      <c r="AX98" s="650"/>
      <c r="AY98" s="649"/>
      <c r="AZ98" s="650"/>
      <c r="BA98" s="650"/>
      <c r="BB98" s="650"/>
      <c r="BC98" s="650"/>
      <c r="BD98" s="649"/>
      <c r="BE98" s="650"/>
      <c r="BF98" s="650"/>
      <c r="BG98" s="650"/>
      <c r="BH98" s="650"/>
      <c r="BI98" s="649"/>
      <c r="BJ98" s="650"/>
      <c r="BK98" s="650"/>
      <c r="BL98" s="650"/>
      <c r="BM98" s="650"/>
      <c r="BN98" s="649"/>
      <c r="BO98" s="650"/>
      <c r="BP98" s="650"/>
      <c r="BQ98" s="650"/>
      <c r="BR98" s="650"/>
      <c r="BS98" s="649"/>
      <c r="BT98" s="650"/>
      <c r="BU98" s="650"/>
      <c r="BV98" s="650"/>
      <c r="BW98" s="650"/>
      <c r="BX98" s="649"/>
      <c r="BY98" s="650"/>
      <c r="BZ98" s="650"/>
      <c r="CA98" s="650"/>
      <c r="CB98" s="650"/>
      <c r="CC98" s="649"/>
      <c r="CD98" s="649"/>
      <c r="CE98" s="649"/>
      <c r="CF98" s="649"/>
      <c r="CG98" s="649"/>
      <c r="CH98" s="649"/>
    </row>
    <row r="99" spans="1:86" s="76" customFormat="1" ht="13.5">
      <c r="A99" s="85"/>
      <c r="B99" s="85"/>
      <c r="C99" s="85"/>
      <c r="D99" s="85"/>
      <c r="E99" s="85"/>
      <c r="F99" s="85"/>
      <c r="G99" s="85"/>
      <c r="H99" s="658" t="s">
        <v>689</v>
      </c>
      <c r="I99" s="658"/>
      <c r="J99" s="658"/>
      <c r="K99" s="658"/>
      <c r="L99" s="658"/>
      <c r="M99" s="658"/>
      <c r="N99" s="658"/>
      <c r="O99" s="658"/>
      <c r="P99" s="658"/>
      <c r="Q99" s="658"/>
      <c r="R99" s="658"/>
      <c r="S99" s="658"/>
      <c r="T99" s="658"/>
      <c r="U99" s="658"/>
      <c r="V99" s="658"/>
      <c r="W99" s="658"/>
      <c r="X99" s="658"/>
      <c r="Y99" s="658"/>
      <c r="Z99" s="658"/>
      <c r="AA99" s="658"/>
      <c r="AB99" s="658"/>
      <c r="AC99" s="658"/>
      <c r="AD99" s="658"/>
      <c r="AE99" s="658"/>
      <c r="AF99" s="658"/>
      <c r="AG99" s="658"/>
      <c r="AH99" s="658"/>
      <c r="AI99" s="658"/>
      <c r="AJ99" s="658"/>
      <c r="AK99" s="658"/>
      <c r="AL99" s="658"/>
      <c r="AM99" s="658"/>
      <c r="AN99" s="658"/>
      <c r="AO99" s="658"/>
      <c r="AP99" s="658"/>
      <c r="AQ99" s="658"/>
      <c r="AR99" s="658"/>
      <c r="AS99" s="658"/>
      <c r="AT99" s="658"/>
      <c r="AU99" s="658"/>
      <c r="AV99" s="658"/>
      <c r="AW99" s="658"/>
      <c r="AX99" s="658"/>
      <c r="AY99" s="658"/>
      <c r="AZ99" s="658"/>
      <c r="BA99" s="658"/>
      <c r="BB99" s="658"/>
      <c r="BC99" s="658"/>
      <c r="BD99" s="658"/>
      <c r="BE99" s="658"/>
      <c r="BF99" s="658"/>
      <c r="BG99" s="658"/>
      <c r="BH99" s="658"/>
      <c r="BI99" s="658"/>
      <c r="BJ99" s="658"/>
      <c r="BK99" s="658"/>
      <c r="BL99" s="658"/>
      <c r="BM99" s="658"/>
      <c r="BN99" s="658"/>
      <c r="BO99" s="658"/>
      <c r="BP99" s="658"/>
      <c r="BQ99" s="658"/>
      <c r="BR99" s="658"/>
      <c r="BS99" s="658"/>
      <c r="BT99" s="658"/>
      <c r="BU99" s="658"/>
      <c r="BV99" s="658"/>
      <c r="BW99" s="658"/>
      <c r="BX99" s="658"/>
      <c r="BY99" s="658"/>
      <c r="BZ99" s="658"/>
      <c r="CA99" s="658"/>
      <c r="CB99" s="658"/>
      <c r="CC99" s="658"/>
      <c r="CD99" s="658"/>
      <c r="CE99" s="658"/>
      <c r="CF99" s="658"/>
      <c r="CG99" s="658"/>
      <c r="CH99" s="658"/>
    </row>
    <row r="100" spans="1:86" s="76" customFormat="1" ht="13.5">
      <c r="A100" s="85"/>
      <c r="B100" s="85"/>
      <c r="C100" s="85"/>
      <c r="D100" s="85"/>
      <c r="E100" s="85"/>
      <c r="F100" s="85"/>
      <c r="G100" s="85"/>
      <c r="H100" s="649" t="s">
        <v>441</v>
      </c>
      <c r="I100" s="649"/>
      <c r="J100" s="649"/>
      <c r="K100" s="649"/>
      <c r="L100" s="651"/>
      <c r="M100" s="651"/>
      <c r="N100" s="651"/>
      <c r="O100" s="651"/>
      <c r="P100" s="652"/>
      <c r="Q100" s="651"/>
      <c r="R100" s="651"/>
      <c r="S100" s="651"/>
      <c r="T100" s="651"/>
      <c r="U100" s="652"/>
      <c r="V100" s="651"/>
      <c r="W100" s="651"/>
      <c r="X100" s="651"/>
      <c r="Y100" s="651"/>
      <c r="Z100" s="652"/>
      <c r="AA100" s="651"/>
      <c r="AB100" s="651"/>
      <c r="AC100" s="651"/>
      <c r="AD100" s="651"/>
      <c r="AE100" s="652"/>
      <c r="AF100" s="651"/>
      <c r="AG100" s="651"/>
      <c r="AH100" s="651"/>
      <c r="AI100" s="651"/>
      <c r="AJ100" s="652">
        <f>AE102</f>
        <v>0</v>
      </c>
      <c r="AK100" s="651"/>
      <c r="AL100" s="651"/>
      <c r="AM100" s="651"/>
      <c r="AN100" s="651"/>
      <c r="AO100" s="652">
        <f>AJ102</f>
        <v>400</v>
      </c>
      <c r="AP100" s="651"/>
      <c r="AQ100" s="651"/>
      <c r="AR100" s="651"/>
      <c r="AS100" s="651"/>
      <c r="AT100" s="652">
        <f>AO102</f>
        <v>400</v>
      </c>
      <c r="AU100" s="651"/>
      <c r="AV100" s="651"/>
      <c r="AW100" s="651"/>
      <c r="AX100" s="651"/>
      <c r="AY100" s="652">
        <f>AT102</f>
        <v>400</v>
      </c>
      <c r="AZ100" s="651"/>
      <c r="BA100" s="651"/>
      <c r="BB100" s="651"/>
      <c r="BC100" s="651"/>
      <c r="BD100" s="652">
        <f>AY102</f>
        <v>400</v>
      </c>
      <c r="BE100" s="651"/>
      <c r="BF100" s="651"/>
      <c r="BG100" s="651"/>
      <c r="BH100" s="651"/>
      <c r="BI100" s="652">
        <f>BD102</f>
        <v>400</v>
      </c>
      <c r="BJ100" s="651"/>
      <c r="BK100" s="651"/>
      <c r="BL100" s="651"/>
      <c r="BM100" s="651"/>
      <c r="BN100" s="652">
        <f>BI102</f>
        <v>400</v>
      </c>
      <c r="BO100" s="651"/>
      <c r="BP100" s="651"/>
      <c r="BQ100" s="651"/>
      <c r="BR100" s="651"/>
      <c r="BS100" s="652">
        <f>BN102</f>
        <v>400</v>
      </c>
      <c r="BT100" s="651"/>
      <c r="BU100" s="651"/>
      <c r="BV100" s="651"/>
      <c r="BW100" s="651"/>
      <c r="BX100" s="652">
        <f>BS102</f>
        <v>400</v>
      </c>
      <c r="BY100" s="651"/>
      <c r="BZ100" s="651"/>
      <c r="CA100" s="651"/>
      <c r="CB100" s="651"/>
      <c r="CC100" s="652">
        <f>BX102</f>
        <v>400</v>
      </c>
      <c r="CD100" s="652">
        <f>CC102</f>
        <v>0</v>
      </c>
      <c r="CE100" s="652">
        <f>CD102</f>
        <v>0</v>
      </c>
      <c r="CF100" s="652">
        <f>CE102</f>
        <v>0</v>
      </c>
      <c r="CG100" s="652">
        <f>CF102</f>
        <v>0</v>
      </c>
      <c r="CH100" s="652">
        <f>CG102</f>
        <v>0</v>
      </c>
    </row>
    <row r="101" spans="1:86" s="76" customFormat="1" ht="13.5">
      <c r="A101" s="85"/>
      <c r="B101" s="85"/>
      <c r="C101" s="85"/>
      <c r="D101" s="85"/>
      <c r="E101" s="85"/>
      <c r="F101" s="85"/>
      <c r="G101" s="85"/>
      <c r="H101" s="649" t="s">
        <v>606</v>
      </c>
      <c r="I101" s="649"/>
      <c r="J101" s="649"/>
      <c r="K101" s="649"/>
      <c r="L101" s="653"/>
      <c r="M101" s="653"/>
      <c r="N101" s="653"/>
      <c r="O101" s="653"/>
      <c r="P101" s="654"/>
      <c r="Q101" s="653"/>
      <c r="R101" s="653"/>
      <c r="S101" s="653"/>
      <c r="T101" s="653"/>
      <c r="U101" s="654"/>
      <c r="V101" s="653"/>
      <c r="W101" s="653"/>
      <c r="X101" s="653"/>
      <c r="Y101" s="653"/>
      <c r="Z101" s="654"/>
      <c r="AA101" s="653"/>
      <c r="AB101" s="653"/>
      <c r="AC101" s="653"/>
      <c r="AD101" s="653"/>
      <c r="AE101" s="652"/>
      <c r="AF101" s="653"/>
      <c r="AG101" s="653"/>
      <c r="AH101" s="653"/>
      <c r="AI101" s="653"/>
      <c r="AJ101" s="654">
        <v>400</v>
      </c>
      <c r="AK101" s="653"/>
      <c r="AL101" s="653"/>
      <c r="AM101" s="653"/>
      <c r="AN101" s="653"/>
      <c r="AO101" s="654">
        <v>0</v>
      </c>
      <c r="AP101" s="653"/>
      <c r="AQ101" s="653"/>
      <c r="AR101" s="653"/>
      <c r="AS101" s="653"/>
      <c r="AT101" s="654">
        <v>0</v>
      </c>
      <c r="AU101" s="653"/>
      <c r="AV101" s="653"/>
      <c r="AW101" s="653"/>
      <c r="AX101" s="653"/>
      <c r="AY101" s="654">
        <v>0</v>
      </c>
      <c r="AZ101" s="653"/>
      <c r="BA101" s="653"/>
      <c r="BB101" s="653"/>
      <c r="BC101" s="653"/>
      <c r="BD101" s="654">
        <v>0</v>
      </c>
      <c r="BE101" s="653"/>
      <c r="BF101" s="653"/>
      <c r="BG101" s="653"/>
      <c r="BH101" s="653"/>
      <c r="BI101" s="654">
        <v>0</v>
      </c>
      <c r="BJ101" s="653"/>
      <c r="BK101" s="653"/>
      <c r="BL101" s="653"/>
      <c r="BM101" s="653"/>
      <c r="BN101" s="654">
        <v>0</v>
      </c>
      <c r="BO101" s="653"/>
      <c r="BP101" s="653"/>
      <c r="BQ101" s="653"/>
      <c r="BR101" s="653"/>
      <c r="BS101" s="654">
        <v>0</v>
      </c>
      <c r="BT101" s="653"/>
      <c r="BU101" s="653"/>
      <c r="BV101" s="653"/>
      <c r="BW101" s="653"/>
      <c r="BX101" s="654">
        <v>0</v>
      </c>
      <c r="BY101" s="653"/>
      <c r="BZ101" s="653"/>
      <c r="CA101" s="653"/>
      <c r="CB101" s="653"/>
      <c r="CC101" s="654">
        <f>-CC100</f>
        <v>-400</v>
      </c>
      <c r="CD101" s="654">
        <v>0</v>
      </c>
      <c r="CE101" s="654">
        <v>0</v>
      </c>
      <c r="CF101" s="654">
        <v>0</v>
      </c>
      <c r="CG101" s="654">
        <v>0</v>
      </c>
      <c r="CH101" s="654">
        <v>0</v>
      </c>
    </row>
    <row r="102" spans="1:86" s="76" customFormat="1" ht="13.5">
      <c r="A102" s="85"/>
      <c r="B102" s="85"/>
      <c r="C102" s="85"/>
      <c r="D102" s="85"/>
      <c r="E102" s="85"/>
      <c r="F102" s="85"/>
      <c r="G102" s="85"/>
      <c r="H102" s="649" t="s">
        <v>397</v>
      </c>
      <c r="I102" s="649"/>
      <c r="J102" s="649"/>
      <c r="K102" s="649"/>
      <c r="L102" s="651"/>
      <c r="M102" s="651"/>
      <c r="N102" s="651"/>
      <c r="O102" s="651"/>
      <c r="P102" s="652"/>
      <c r="Q102" s="651"/>
      <c r="R102" s="651"/>
      <c r="S102" s="651"/>
      <c r="T102" s="651"/>
      <c r="U102" s="652"/>
      <c r="V102" s="651"/>
      <c r="W102" s="651"/>
      <c r="X102" s="651"/>
      <c r="Y102" s="651"/>
      <c r="Z102" s="655"/>
      <c r="AA102" s="651"/>
      <c r="AB102" s="651"/>
      <c r="AC102" s="651"/>
      <c r="AD102" s="651"/>
      <c r="AE102" s="655"/>
      <c r="AF102" s="651"/>
      <c r="AG102" s="651"/>
      <c r="AH102" s="651"/>
      <c r="AI102" s="651"/>
      <c r="AJ102" s="652">
        <f>AJ100+AJ101</f>
        <v>400</v>
      </c>
      <c r="AK102" s="651"/>
      <c r="AL102" s="651"/>
      <c r="AM102" s="651"/>
      <c r="AN102" s="651"/>
      <c r="AO102" s="652">
        <f>AO100+AO101</f>
        <v>400</v>
      </c>
      <c r="AP102" s="651"/>
      <c r="AQ102" s="651"/>
      <c r="AR102" s="651"/>
      <c r="AS102" s="651"/>
      <c r="AT102" s="652">
        <f>AT100+AT101</f>
        <v>400</v>
      </c>
      <c r="AU102" s="651"/>
      <c r="AV102" s="651"/>
      <c r="AW102" s="651"/>
      <c r="AX102" s="651"/>
      <c r="AY102" s="652">
        <f>AY100+AY101</f>
        <v>400</v>
      </c>
      <c r="AZ102" s="651"/>
      <c r="BA102" s="651"/>
      <c r="BB102" s="651"/>
      <c r="BC102" s="651"/>
      <c r="BD102" s="652">
        <f>BD100+BD101</f>
        <v>400</v>
      </c>
      <c r="BE102" s="651"/>
      <c r="BF102" s="651"/>
      <c r="BG102" s="651"/>
      <c r="BH102" s="651"/>
      <c r="BI102" s="652">
        <f>BI100+BI101</f>
        <v>400</v>
      </c>
      <c r="BJ102" s="651"/>
      <c r="BK102" s="651"/>
      <c r="BL102" s="651"/>
      <c r="BM102" s="651"/>
      <c r="BN102" s="652">
        <f>BN100+BN101</f>
        <v>400</v>
      </c>
      <c r="BO102" s="651"/>
      <c r="BP102" s="651"/>
      <c r="BQ102" s="651"/>
      <c r="BR102" s="651"/>
      <c r="BS102" s="652">
        <f>BS100+BS101</f>
        <v>400</v>
      </c>
      <c r="BT102" s="651"/>
      <c r="BU102" s="651"/>
      <c r="BV102" s="651"/>
      <c r="BW102" s="651"/>
      <c r="BX102" s="652">
        <f>BX100+BX101</f>
        <v>400</v>
      </c>
      <c r="BY102" s="651"/>
      <c r="BZ102" s="651"/>
      <c r="CA102" s="651"/>
      <c r="CB102" s="651"/>
      <c r="CC102" s="652">
        <f t="shared" ref="CC102:CH102" si="14">CC100+CC101</f>
        <v>0</v>
      </c>
      <c r="CD102" s="652">
        <f t="shared" si="14"/>
        <v>0</v>
      </c>
      <c r="CE102" s="652">
        <f t="shared" si="14"/>
        <v>0</v>
      </c>
      <c r="CF102" s="652">
        <f t="shared" si="14"/>
        <v>0</v>
      </c>
      <c r="CG102" s="652">
        <f t="shared" si="14"/>
        <v>0</v>
      </c>
      <c r="CH102" s="652">
        <f t="shared" si="14"/>
        <v>0</v>
      </c>
    </row>
    <row r="103" spans="1:86" s="76" customFormat="1" ht="13.5">
      <c r="A103" s="85"/>
      <c r="B103" s="85"/>
      <c r="C103" s="85"/>
      <c r="D103" s="85"/>
      <c r="E103" s="85"/>
      <c r="F103" s="85"/>
      <c r="G103" s="85"/>
      <c r="H103" s="48" t="s">
        <v>398</v>
      </c>
      <c r="I103" s="48"/>
      <c r="J103" s="48"/>
      <c r="K103" s="48"/>
      <c r="L103" s="331"/>
      <c r="M103" s="331"/>
      <c r="N103" s="331"/>
      <c r="O103" s="331"/>
      <c r="P103" s="337"/>
      <c r="Q103" s="331"/>
      <c r="R103" s="331"/>
      <c r="S103" s="331"/>
      <c r="T103" s="331"/>
      <c r="U103" s="337"/>
      <c r="V103" s="331"/>
      <c r="W103" s="331"/>
      <c r="X103" s="331"/>
      <c r="Y103" s="331"/>
      <c r="Z103" s="337"/>
      <c r="AA103" s="331"/>
      <c r="AB103" s="331"/>
      <c r="AC103" s="331"/>
      <c r="AD103" s="331"/>
      <c r="AE103" s="659"/>
      <c r="AF103" s="331"/>
      <c r="AG103" s="331"/>
      <c r="AH103" s="331"/>
      <c r="AI103" s="331"/>
      <c r="AJ103" s="660">
        <v>5.9499999999999997E-2</v>
      </c>
      <c r="AK103" s="331"/>
      <c r="AL103" s="331"/>
      <c r="AM103" s="331"/>
      <c r="AN103" s="331"/>
      <c r="AO103" s="660">
        <f>AJ103</f>
        <v>5.9499999999999997E-2</v>
      </c>
      <c r="AP103" s="661"/>
      <c r="AQ103" s="661"/>
      <c r="AR103" s="661"/>
      <c r="AS103" s="661"/>
      <c r="AT103" s="660">
        <f>AO103</f>
        <v>5.9499999999999997E-2</v>
      </c>
      <c r="AU103" s="661"/>
      <c r="AV103" s="661"/>
      <c r="AW103" s="661"/>
      <c r="AX103" s="661"/>
      <c r="AY103" s="660">
        <f>AT103</f>
        <v>5.9499999999999997E-2</v>
      </c>
      <c r="AZ103" s="661"/>
      <c r="BA103" s="661"/>
      <c r="BB103" s="661"/>
      <c r="BC103" s="661"/>
      <c r="BD103" s="660">
        <f>AY103</f>
        <v>5.9499999999999997E-2</v>
      </c>
      <c r="BE103" s="661"/>
      <c r="BF103" s="661"/>
      <c r="BG103" s="661"/>
      <c r="BH103" s="661"/>
      <c r="BI103" s="660">
        <f>BD103</f>
        <v>5.9499999999999997E-2</v>
      </c>
      <c r="BJ103" s="661"/>
      <c r="BK103" s="661"/>
      <c r="BL103" s="661"/>
      <c r="BM103" s="661"/>
      <c r="BN103" s="660">
        <f>BI103</f>
        <v>5.9499999999999997E-2</v>
      </c>
      <c r="BO103" s="661"/>
      <c r="BP103" s="661"/>
      <c r="BQ103" s="661"/>
      <c r="BR103" s="661"/>
      <c r="BS103" s="660">
        <f>BN103</f>
        <v>5.9499999999999997E-2</v>
      </c>
      <c r="BT103" s="661"/>
      <c r="BU103" s="661"/>
      <c r="BV103" s="661"/>
      <c r="BW103" s="661"/>
      <c r="BX103" s="660">
        <f>BS103</f>
        <v>5.9499999999999997E-2</v>
      </c>
      <c r="BY103" s="661"/>
      <c r="BZ103" s="661"/>
      <c r="CA103" s="661"/>
      <c r="CB103" s="661"/>
      <c r="CC103" s="660">
        <f>BX103</f>
        <v>5.9499999999999997E-2</v>
      </c>
      <c r="CD103" s="660">
        <f>CC103</f>
        <v>5.9499999999999997E-2</v>
      </c>
      <c r="CE103" s="660">
        <f>CD103</f>
        <v>5.9499999999999997E-2</v>
      </c>
      <c r="CF103" s="660">
        <f>CE103</f>
        <v>5.9499999999999997E-2</v>
      </c>
      <c r="CG103" s="660">
        <f>CF103</f>
        <v>5.9499999999999997E-2</v>
      </c>
      <c r="CH103" s="660">
        <f>CG103</f>
        <v>5.9499999999999997E-2</v>
      </c>
    </row>
    <row r="104" spans="1:86" s="76" customFormat="1" ht="13.5">
      <c r="A104" s="85"/>
      <c r="B104" s="85"/>
      <c r="C104" s="85"/>
      <c r="D104" s="85"/>
      <c r="E104" s="85"/>
      <c r="F104" s="85"/>
      <c r="G104" s="85"/>
      <c r="H104" s="649" t="s">
        <v>686</v>
      </c>
      <c r="I104" s="649"/>
      <c r="J104" s="649"/>
      <c r="K104" s="649"/>
      <c r="L104" s="651"/>
      <c r="M104" s="651"/>
      <c r="N104" s="651"/>
      <c r="O104" s="651"/>
      <c r="P104" s="652"/>
      <c r="Q104" s="651"/>
      <c r="R104" s="651"/>
      <c r="S104" s="651"/>
      <c r="T104" s="651"/>
      <c r="U104" s="652"/>
      <c r="V104" s="651"/>
      <c r="W104" s="651"/>
      <c r="X104" s="651"/>
      <c r="Y104" s="651"/>
      <c r="Z104" s="652"/>
      <c r="AA104" s="651"/>
      <c r="AB104" s="651"/>
      <c r="AC104" s="651"/>
      <c r="AD104" s="651"/>
      <c r="AE104" s="652"/>
      <c r="AF104" s="651"/>
      <c r="AG104" s="651"/>
      <c r="AH104" s="651"/>
      <c r="AI104" s="651"/>
      <c r="AJ104" s="652">
        <f>AJ103*AVERAGE(AJ102, AE102)</f>
        <v>23.799999999999997</v>
      </c>
      <c r="AK104" s="651"/>
      <c r="AL104" s="651"/>
      <c r="AM104" s="651"/>
      <c r="AN104" s="651"/>
      <c r="AO104" s="652">
        <f>AO103*AVERAGE(AO102, AJ102)</f>
        <v>23.799999999999997</v>
      </c>
      <c r="AP104" s="651"/>
      <c r="AQ104" s="651"/>
      <c r="AR104" s="651"/>
      <c r="AS104" s="651"/>
      <c r="AT104" s="652">
        <f>AT103*AVERAGE(AT102, AO102)</f>
        <v>23.799999999999997</v>
      </c>
      <c r="AU104" s="651"/>
      <c r="AV104" s="651"/>
      <c r="AW104" s="651"/>
      <c r="AX104" s="651"/>
      <c r="AY104" s="652">
        <f>AY103*AVERAGE(AY102, AT102)</f>
        <v>23.799999999999997</v>
      </c>
      <c r="AZ104" s="651"/>
      <c r="BA104" s="651"/>
      <c r="BB104" s="651"/>
      <c r="BC104" s="651"/>
      <c r="BD104" s="652">
        <f>BD103*AVERAGE(BD102, AY102)</f>
        <v>23.799999999999997</v>
      </c>
      <c r="BE104" s="651"/>
      <c r="BF104" s="651"/>
      <c r="BG104" s="651"/>
      <c r="BH104" s="651"/>
      <c r="BI104" s="652">
        <f>BI103*AVERAGE(BI102, BD102)</f>
        <v>23.799999999999997</v>
      </c>
      <c r="BJ104" s="651"/>
      <c r="BK104" s="651"/>
      <c r="BL104" s="651"/>
      <c r="BM104" s="651"/>
      <c r="BN104" s="652">
        <f>BN103*AVERAGE(BN102, BI102)</f>
        <v>23.799999999999997</v>
      </c>
      <c r="BO104" s="651"/>
      <c r="BP104" s="651"/>
      <c r="BQ104" s="651"/>
      <c r="BR104" s="651"/>
      <c r="BS104" s="652">
        <f>BS103*AVERAGE(BS102, BN102)</f>
        <v>23.799999999999997</v>
      </c>
      <c r="BT104" s="651"/>
      <c r="BU104" s="651"/>
      <c r="BV104" s="651"/>
      <c r="BW104" s="651"/>
      <c r="BX104" s="652">
        <f>BX103*AVERAGE(BX102, BS102)</f>
        <v>23.799999999999997</v>
      </c>
      <c r="BY104" s="651"/>
      <c r="BZ104" s="651"/>
      <c r="CA104" s="651"/>
      <c r="CB104" s="651"/>
      <c r="CC104" s="652">
        <f>CC103*AVERAGE(CC102, BX102)</f>
        <v>11.899999999999999</v>
      </c>
      <c r="CD104" s="652">
        <f>CD103*AVERAGE(CD102, CC102)</f>
        <v>0</v>
      </c>
      <c r="CE104" s="652">
        <f>CE103*AVERAGE(CE102, CD102)</f>
        <v>0</v>
      </c>
      <c r="CF104" s="652">
        <f>CF103*AVERAGE(CF102, CE102)</f>
        <v>0</v>
      </c>
      <c r="CG104" s="652">
        <f>CG103*AVERAGE(CG102, CF102)</f>
        <v>0</v>
      </c>
      <c r="CH104" s="652">
        <f>CH103*AVERAGE(CH102, CG102)</f>
        <v>0</v>
      </c>
    </row>
    <row r="105" spans="1:86" s="76" customFormat="1" ht="13.5">
      <c r="A105" s="85"/>
      <c r="B105" s="85"/>
      <c r="C105" s="85"/>
      <c r="D105" s="85"/>
      <c r="E105" s="85"/>
      <c r="F105" s="85"/>
      <c r="G105" s="85"/>
      <c r="H105" s="649"/>
      <c r="I105" s="649"/>
      <c r="J105" s="649"/>
      <c r="K105" s="649"/>
      <c r="L105" s="650"/>
      <c r="M105" s="650"/>
      <c r="N105" s="650"/>
      <c r="O105" s="650"/>
      <c r="P105" s="649"/>
      <c r="Q105" s="650"/>
      <c r="R105" s="650"/>
      <c r="S105" s="650"/>
      <c r="T105" s="650"/>
      <c r="U105" s="649"/>
      <c r="V105" s="650"/>
      <c r="W105" s="650"/>
      <c r="X105" s="650"/>
      <c r="Y105" s="650"/>
      <c r="Z105" s="649"/>
      <c r="AA105" s="650"/>
      <c r="AB105" s="650"/>
      <c r="AC105" s="650"/>
      <c r="AD105" s="650"/>
      <c r="AE105" s="649"/>
      <c r="AF105" s="650"/>
      <c r="AG105" s="650"/>
      <c r="AH105" s="650"/>
      <c r="AI105" s="650"/>
      <c r="AJ105" s="649"/>
      <c r="AK105" s="650"/>
      <c r="AL105" s="650"/>
      <c r="AM105" s="650"/>
      <c r="AN105" s="650"/>
      <c r="AO105" s="649"/>
      <c r="AP105" s="650"/>
      <c r="AQ105" s="650"/>
      <c r="AR105" s="650"/>
      <c r="AS105" s="650"/>
      <c r="AT105" s="649"/>
      <c r="AU105" s="650"/>
      <c r="AV105" s="650"/>
      <c r="AW105" s="650"/>
      <c r="AX105" s="650"/>
      <c r="AY105" s="649"/>
      <c r="AZ105" s="650"/>
      <c r="BA105" s="650"/>
      <c r="BB105" s="650"/>
      <c r="BC105" s="650"/>
      <c r="BD105" s="649"/>
      <c r="BE105" s="650"/>
      <c r="BF105" s="650"/>
      <c r="BG105" s="650"/>
      <c r="BH105" s="650"/>
      <c r="BI105" s="649"/>
      <c r="BJ105" s="650"/>
      <c r="BK105" s="650"/>
      <c r="BL105" s="650"/>
      <c r="BM105" s="650"/>
      <c r="BN105" s="649"/>
      <c r="BO105" s="650"/>
      <c r="BP105" s="650"/>
      <c r="BQ105" s="650"/>
      <c r="BR105" s="650"/>
      <c r="BS105" s="649"/>
      <c r="BT105" s="650"/>
      <c r="BU105" s="650"/>
      <c r="BV105" s="650"/>
      <c r="BW105" s="650"/>
      <c r="BX105" s="649"/>
      <c r="BY105" s="650"/>
      <c r="BZ105" s="650"/>
      <c r="CA105" s="650"/>
      <c r="CB105" s="650"/>
      <c r="CC105" s="649"/>
      <c r="CD105" s="649"/>
      <c r="CE105" s="649"/>
      <c r="CF105" s="649"/>
      <c r="CG105" s="649"/>
      <c r="CH105" s="649"/>
    </row>
    <row r="106" spans="1:86" s="76" customFormat="1" ht="13.5">
      <c r="A106" s="85"/>
      <c r="B106" s="85"/>
      <c r="C106" s="85"/>
      <c r="D106" s="85"/>
      <c r="E106" s="85"/>
      <c r="F106" s="85"/>
      <c r="G106" s="85"/>
      <c r="H106" s="658" t="s">
        <v>690</v>
      </c>
      <c r="I106" s="658"/>
      <c r="J106" s="658"/>
      <c r="K106" s="658"/>
      <c r="L106" s="658"/>
      <c r="M106" s="658"/>
      <c r="N106" s="658"/>
      <c r="O106" s="658"/>
      <c r="P106" s="658"/>
      <c r="Q106" s="658"/>
      <c r="R106" s="658"/>
      <c r="S106" s="658"/>
      <c r="T106" s="658"/>
      <c r="U106" s="658"/>
      <c r="V106" s="658"/>
      <c r="W106" s="658"/>
      <c r="X106" s="658"/>
      <c r="Y106" s="658"/>
      <c r="Z106" s="658"/>
      <c r="AA106" s="658"/>
      <c r="AB106" s="658"/>
      <c r="AC106" s="658"/>
      <c r="AD106" s="658"/>
      <c r="AE106" s="658"/>
      <c r="AF106" s="658"/>
      <c r="AG106" s="658"/>
      <c r="AH106" s="658"/>
      <c r="AI106" s="658"/>
      <c r="AJ106" s="658"/>
      <c r="AK106" s="658"/>
      <c r="AL106" s="658"/>
      <c r="AM106" s="658"/>
      <c r="AN106" s="658"/>
      <c r="AO106" s="658"/>
      <c r="AP106" s="658"/>
      <c r="AQ106" s="658"/>
      <c r="AR106" s="658"/>
      <c r="AS106" s="658"/>
      <c r="AT106" s="658"/>
      <c r="AU106" s="658"/>
      <c r="AV106" s="658"/>
      <c r="AW106" s="658"/>
      <c r="AX106" s="658"/>
      <c r="AY106" s="658"/>
      <c r="AZ106" s="658"/>
      <c r="BA106" s="658"/>
      <c r="BB106" s="658"/>
      <c r="BC106" s="658"/>
      <c r="BD106" s="658"/>
      <c r="BE106" s="658"/>
      <c r="BF106" s="658"/>
      <c r="BG106" s="658"/>
      <c r="BH106" s="658"/>
      <c r="BI106" s="658"/>
      <c r="BJ106" s="658"/>
      <c r="BK106" s="658"/>
      <c r="BL106" s="658"/>
      <c r="BM106" s="658"/>
      <c r="BN106" s="658"/>
      <c r="BO106" s="658"/>
      <c r="BP106" s="658"/>
      <c r="BQ106" s="658"/>
      <c r="BR106" s="658"/>
      <c r="BS106" s="658"/>
      <c r="BT106" s="658"/>
      <c r="BU106" s="658"/>
      <c r="BV106" s="658"/>
      <c r="BW106" s="658"/>
      <c r="BX106" s="658"/>
      <c r="BY106" s="658"/>
      <c r="BZ106" s="658"/>
      <c r="CA106" s="658"/>
      <c r="CB106" s="658"/>
      <c r="CC106" s="658"/>
      <c r="CD106" s="658"/>
      <c r="CE106" s="658"/>
      <c r="CF106" s="658"/>
      <c r="CG106" s="658"/>
      <c r="CH106" s="658"/>
    </row>
    <row r="107" spans="1:86" s="76" customFormat="1" ht="13.5">
      <c r="A107" s="85"/>
      <c r="B107" s="85"/>
      <c r="C107" s="85"/>
      <c r="D107" s="85"/>
      <c r="E107" s="85"/>
      <c r="F107" s="85"/>
      <c r="G107" s="85"/>
      <c r="H107" s="649" t="s">
        <v>441</v>
      </c>
      <c r="I107" s="649"/>
      <c r="J107" s="649"/>
      <c r="K107" s="649"/>
      <c r="L107" s="651"/>
      <c r="M107" s="651"/>
      <c r="N107" s="651"/>
      <c r="O107" s="651"/>
      <c r="P107" s="652"/>
      <c r="Q107" s="651"/>
      <c r="R107" s="651"/>
      <c r="S107" s="651"/>
      <c r="T107" s="651"/>
      <c r="U107" s="652"/>
      <c r="V107" s="651"/>
      <c r="W107" s="651"/>
      <c r="X107" s="651"/>
      <c r="Y107" s="651"/>
      <c r="Z107" s="652"/>
      <c r="AA107" s="651"/>
      <c r="AB107" s="651"/>
      <c r="AC107" s="651"/>
      <c r="AD107" s="651"/>
      <c r="AE107" s="652"/>
      <c r="AF107" s="651"/>
      <c r="AG107" s="651"/>
      <c r="AH107" s="651"/>
      <c r="AI107" s="651"/>
      <c r="AJ107" s="652">
        <f>AE109</f>
        <v>500</v>
      </c>
      <c r="AK107" s="651"/>
      <c r="AL107" s="651"/>
      <c r="AM107" s="651"/>
      <c r="AN107" s="651"/>
      <c r="AO107" s="652">
        <f>AJ109</f>
        <v>500</v>
      </c>
      <c r="AP107" s="651"/>
      <c r="AQ107" s="651"/>
      <c r="AR107" s="651"/>
      <c r="AS107" s="651"/>
      <c r="AT107" s="652">
        <f>AO109</f>
        <v>500</v>
      </c>
      <c r="AU107" s="651"/>
      <c r="AV107" s="651"/>
      <c r="AW107" s="651"/>
      <c r="AX107" s="651"/>
      <c r="AY107" s="652">
        <f>AT109</f>
        <v>500</v>
      </c>
      <c r="AZ107" s="651"/>
      <c r="BA107" s="651"/>
      <c r="BB107" s="651"/>
      <c r="BC107" s="651"/>
      <c r="BD107" s="652">
        <f>AY109</f>
        <v>0</v>
      </c>
      <c r="BE107" s="651"/>
      <c r="BF107" s="651"/>
      <c r="BG107" s="651"/>
      <c r="BH107" s="651"/>
      <c r="BI107" s="652">
        <f>BD109</f>
        <v>0</v>
      </c>
      <c r="BJ107" s="651"/>
      <c r="BK107" s="651"/>
      <c r="BL107" s="651"/>
      <c r="BM107" s="651"/>
      <c r="BN107" s="652">
        <f>BI109</f>
        <v>0</v>
      </c>
      <c r="BO107" s="651"/>
      <c r="BP107" s="651"/>
      <c r="BQ107" s="651"/>
      <c r="BR107" s="651"/>
      <c r="BS107" s="652">
        <f>BN109</f>
        <v>0</v>
      </c>
      <c r="BT107" s="651"/>
      <c r="BU107" s="651"/>
      <c r="BV107" s="651"/>
      <c r="BW107" s="651"/>
      <c r="BX107" s="652">
        <f>BS109</f>
        <v>0</v>
      </c>
      <c r="BY107" s="651"/>
      <c r="BZ107" s="651"/>
      <c r="CA107" s="651"/>
      <c r="CB107" s="651"/>
      <c r="CC107" s="652">
        <f>BX109</f>
        <v>0</v>
      </c>
      <c r="CD107" s="652">
        <f>CC109</f>
        <v>0</v>
      </c>
      <c r="CE107" s="652">
        <f>CD109</f>
        <v>0</v>
      </c>
      <c r="CF107" s="652">
        <f>CE109</f>
        <v>0</v>
      </c>
      <c r="CG107" s="652">
        <f>CF109</f>
        <v>0</v>
      </c>
      <c r="CH107" s="652">
        <f>CG109</f>
        <v>0</v>
      </c>
    </row>
    <row r="108" spans="1:86" s="76" customFormat="1" ht="13.5">
      <c r="A108" s="85"/>
      <c r="B108" s="85"/>
      <c r="C108" s="85"/>
      <c r="D108" s="85"/>
      <c r="E108" s="85"/>
      <c r="F108" s="85"/>
      <c r="G108" s="85"/>
      <c r="H108" s="649" t="s">
        <v>606</v>
      </c>
      <c r="I108" s="649"/>
      <c r="J108" s="649"/>
      <c r="K108" s="649"/>
      <c r="L108" s="653"/>
      <c r="M108" s="653"/>
      <c r="N108" s="653"/>
      <c r="O108" s="653"/>
      <c r="P108" s="654"/>
      <c r="Q108" s="653"/>
      <c r="R108" s="653"/>
      <c r="S108" s="653"/>
      <c r="T108" s="653"/>
      <c r="U108" s="654"/>
      <c r="V108" s="653"/>
      <c r="W108" s="653"/>
      <c r="X108" s="653"/>
      <c r="Y108" s="653"/>
      <c r="Z108" s="654"/>
      <c r="AA108" s="653"/>
      <c r="AB108" s="653"/>
      <c r="AC108" s="653"/>
      <c r="AD108" s="653"/>
      <c r="AE108" s="652"/>
      <c r="AF108" s="653"/>
      <c r="AG108" s="653"/>
      <c r="AH108" s="653"/>
      <c r="AI108" s="653"/>
      <c r="AJ108" s="654">
        <v>0</v>
      </c>
      <c r="AK108" s="653"/>
      <c r="AL108" s="653"/>
      <c r="AM108" s="653"/>
      <c r="AN108" s="653"/>
      <c r="AO108" s="654">
        <v>0</v>
      </c>
      <c r="AP108" s="653"/>
      <c r="AQ108" s="653"/>
      <c r="AR108" s="653"/>
      <c r="AS108" s="653"/>
      <c r="AT108" s="654">
        <v>0</v>
      </c>
      <c r="AU108" s="653"/>
      <c r="AV108" s="653"/>
      <c r="AW108" s="653"/>
      <c r="AX108" s="653"/>
      <c r="AY108" s="654">
        <v>-500</v>
      </c>
      <c r="AZ108" s="653"/>
      <c r="BA108" s="653"/>
      <c r="BB108" s="653"/>
      <c r="BC108" s="653"/>
      <c r="BD108" s="654">
        <v>0</v>
      </c>
      <c r="BE108" s="653"/>
      <c r="BF108" s="653"/>
      <c r="BG108" s="653"/>
      <c r="BH108" s="653"/>
      <c r="BI108" s="654">
        <v>0</v>
      </c>
      <c r="BJ108" s="653"/>
      <c r="BK108" s="653"/>
      <c r="BL108" s="653"/>
      <c r="BM108" s="653"/>
      <c r="BN108" s="654">
        <v>0</v>
      </c>
      <c r="BO108" s="653"/>
      <c r="BP108" s="653"/>
      <c r="BQ108" s="653"/>
      <c r="BR108" s="653"/>
      <c r="BS108" s="654">
        <v>0</v>
      </c>
      <c r="BT108" s="653"/>
      <c r="BU108" s="653"/>
      <c r="BV108" s="653"/>
      <c r="BW108" s="653"/>
      <c r="BX108" s="654">
        <v>0</v>
      </c>
      <c r="BY108" s="653"/>
      <c r="BZ108" s="653"/>
      <c r="CA108" s="653"/>
      <c r="CB108" s="653"/>
      <c r="CC108" s="654">
        <v>0</v>
      </c>
      <c r="CD108" s="654">
        <v>0</v>
      </c>
      <c r="CE108" s="654">
        <v>0</v>
      </c>
      <c r="CF108" s="654">
        <v>0</v>
      </c>
      <c r="CG108" s="654">
        <v>0</v>
      </c>
      <c r="CH108" s="654">
        <v>0</v>
      </c>
    </row>
    <row r="109" spans="1:86" s="76" customFormat="1" ht="13.5">
      <c r="A109" s="85"/>
      <c r="B109" s="85"/>
      <c r="C109" s="85"/>
      <c r="D109" s="85"/>
      <c r="E109" s="85"/>
      <c r="F109" s="85"/>
      <c r="G109" s="85"/>
      <c r="H109" s="649" t="s">
        <v>397</v>
      </c>
      <c r="I109" s="649"/>
      <c r="J109" s="649"/>
      <c r="K109" s="649"/>
      <c r="L109" s="651"/>
      <c r="M109" s="651"/>
      <c r="N109" s="651"/>
      <c r="O109" s="651"/>
      <c r="P109" s="652"/>
      <c r="Q109" s="651"/>
      <c r="R109" s="651"/>
      <c r="S109" s="651"/>
      <c r="T109" s="651"/>
      <c r="U109" s="652"/>
      <c r="V109" s="651"/>
      <c r="W109" s="651"/>
      <c r="X109" s="651"/>
      <c r="Y109" s="651"/>
      <c r="Z109" s="655"/>
      <c r="AA109" s="651"/>
      <c r="AB109" s="651"/>
      <c r="AC109" s="651"/>
      <c r="AD109" s="651"/>
      <c r="AE109" s="655">
        <v>500</v>
      </c>
      <c r="AF109" s="651"/>
      <c r="AG109" s="651"/>
      <c r="AH109" s="651"/>
      <c r="AI109" s="651"/>
      <c r="AJ109" s="652">
        <f>AJ107+AJ108</f>
        <v>500</v>
      </c>
      <c r="AK109" s="651"/>
      <c r="AL109" s="651"/>
      <c r="AM109" s="651"/>
      <c r="AN109" s="651"/>
      <c r="AO109" s="652">
        <f>AO107+AO108</f>
        <v>500</v>
      </c>
      <c r="AP109" s="651"/>
      <c r="AQ109" s="651"/>
      <c r="AR109" s="651"/>
      <c r="AS109" s="651"/>
      <c r="AT109" s="652">
        <f>AT107+AT108</f>
        <v>500</v>
      </c>
      <c r="AU109" s="651"/>
      <c r="AV109" s="651"/>
      <c r="AW109" s="651"/>
      <c r="AX109" s="651"/>
      <c r="AY109" s="652">
        <f>AY107+AY108</f>
        <v>0</v>
      </c>
      <c r="AZ109" s="651"/>
      <c r="BA109" s="651"/>
      <c r="BB109" s="651"/>
      <c r="BC109" s="651"/>
      <c r="BD109" s="652">
        <f>BD107+BD108</f>
        <v>0</v>
      </c>
      <c r="BE109" s="651"/>
      <c r="BF109" s="651"/>
      <c r="BG109" s="651"/>
      <c r="BH109" s="651"/>
      <c r="BI109" s="652">
        <f>BI107+BI108</f>
        <v>0</v>
      </c>
      <c r="BJ109" s="651"/>
      <c r="BK109" s="651"/>
      <c r="BL109" s="651"/>
      <c r="BM109" s="651"/>
      <c r="BN109" s="652">
        <f>BN107+BN108</f>
        <v>0</v>
      </c>
      <c r="BO109" s="651"/>
      <c r="BP109" s="651"/>
      <c r="BQ109" s="651"/>
      <c r="BR109" s="651"/>
      <c r="BS109" s="652">
        <f>BS107+BS108</f>
        <v>0</v>
      </c>
      <c r="BT109" s="651"/>
      <c r="BU109" s="651"/>
      <c r="BV109" s="651"/>
      <c r="BW109" s="651"/>
      <c r="BX109" s="652">
        <f>BX107+BX108</f>
        <v>0</v>
      </c>
      <c r="BY109" s="651"/>
      <c r="BZ109" s="651"/>
      <c r="CA109" s="651"/>
      <c r="CB109" s="651"/>
      <c r="CC109" s="652">
        <f t="shared" ref="CC109:CH109" si="15">CC107+CC108</f>
        <v>0</v>
      </c>
      <c r="CD109" s="652">
        <f t="shared" si="15"/>
        <v>0</v>
      </c>
      <c r="CE109" s="652">
        <f t="shared" si="15"/>
        <v>0</v>
      </c>
      <c r="CF109" s="652">
        <f t="shared" si="15"/>
        <v>0</v>
      </c>
      <c r="CG109" s="652">
        <f t="shared" si="15"/>
        <v>0</v>
      </c>
      <c r="CH109" s="652">
        <f t="shared" si="15"/>
        <v>0</v>
      </c>
    </row>
    <row r="110" spans="1:86" s="76" customFormat="1" ht="13.5">
      <c r="A110" s="85"/>
      <c r="B110" s="85"/>
      <c r="C110" s="85"/>
      <c r="D110" s="85"/>
      <c r="E110" s="85"/>
      <c r="F110" s="85"/>
      <c r="G110" s="85"/>
      <c r="H110" s="48" t="s">
        <v>398</v>
      </c>
      <c r="I110" s="48"/>
      <c r="J110" s="48"/>
      <c r="K110" s="48"/>
      <c r="L110" s="331"/>
      <c r="M110" s="331"/>
      <c r="N110" s="331"/>
      <c r="O110" s="331"/>
      <c r="P110" s="337"/>
      <c r="Q110" s="331"/>
      <c r="R110" s="331"/>
      <c r="S110" s="331"/>
      <c r="T110" s="331"/>
      <c r="U110" s="337"/>
      <c r="V110" s="331"/>
      <c r="W110" s="331"/>
      <c r="X110" s="331"/>
      <c r="Y110" s="331"/>
      <c r="Z110" s="337"/>
      <c r="AA110" s="331"/>
      <c r="AB110" s="331"/>
      <c r="AC110" s="331"/>
      <c r="AD110" s="331"/>
      <c r="AE110" s="659"/>
      <c r="AF110" s="331"/>
      <c r="AG110" s="331"/>
      <c r="AH110" s="331"/>
      <c r="AI110" s="331"/>
      <c r="AJ110" s="659">
        <v>0.06</v>
      </c>
      <c r="AK110" s="331"/>
      <c r="AL110" s="331"/>
      <c r="AM110" s="331"/>
      <c r="AN110" s="331"/>
      <c r="AO110" s="659">
        <v>0.06</v>
      </c>
      <c r="AP110" s="331"/>
      <c r="AQ110" s="331"/>
      <c r="AR110" s="331"/>
      <c r="AS110" s="331"/>
      <c r="AT110" s="659">
        <v>0.06</v>
      </c>
      <c r="AU110" s="331"/>
      <c r="AV110" s="331"/>
      <c r="AW110" s="331"/>
      <c r="AX110" s="331"/>
      <c r="AY110" s="659">
        <v>0.06</v>
      </c>
      <c r="AZ110" s="331"/>
      <c r="BA110" s="331"/>
      <c r="BB110" s="331"/>
      <c r="BC110" s="331"/>
      <c r="BD110" s="659">
        <v>0.06</v>
      </c>
      <c r="BE110" s="331"/>
      <c r="BF110" s="331"/>
      <c r="BG110" s="331"/>
      <c r="BH110" s="331"/>
      <c r="BI110" s="659">
        <v>0.06</v>
      </c>
      <c r="BJ110" s="331"/>
      <c r="BK110" s="331"/>
      <c r="BL110" s="331"/>
      <c r="BM110" s="331"/>
      <c r="BN110" s="659">
        <v>0.06</v>
      </c>
      <c r="BO110" s="331"/>
      <c r="BP110" s="331"/>
      <c r="BQ110" s="331"/>
      <c r="BR110" s="331"/>
      <c r="BS110" s="659">
        <v>0.06</v>
      </c>
      <c r="BT110" s="331"/>
      <c r="BU110" s="331"/>
      <c r="BV110" s="331"/>
      <c r="BW110" s="331"/>
      <c r="BX110" s="659">
        <v>0.06</v>
      </c>
      <c r="BY110" s="331"/>
      <c r="BZ110" s="331"/>
      <c r="CA110" s="331"/>
      <c r="CB110" s="331"/>
      <c r="CC110" s="659">
        <v>0.06</v>
      </c>
      <c r="CD110" s="659">
        <v>0.06</v>
      </c>
      <c r="CE110" s="659">
        <v>0.06</v>
      </c>
      <c r="CF110" s="659">
        <v>0.06</v>
      </c>
      <c r="CG110" s="659">
        <v>0.06</v>
      </c>
      <c r="CH110" s="659">
        <v>0.06</v>
      </c>
    </row>
    <row r="111" spans="1:86" s="76" customFormat="1" ht="13.5">
      <c r="A111" s="85"/>
      <c r="B111" s="85"/>
      <c r="C111" s="85"/>
      <c r="D111" s="85"/>
      <c r="E111" s="85"/>
      <c r="F111" s="85"/>
      <c r="G111" s="85"/>
      <c r="H111" s="649" t="s">
        <v>686</v>
      </c>
      <c r="I111" s="649"/>
      <c r="J111" s="649"/>
      <c r="K111" s="649"/>
      <c r="L111" s="651"/>
      <c r="M111" s="651"/>
      <c r="N111" s="651"/>
      <c r="O111" s="651"/>
      <c r="P111" s="652"/>
      <c r="Q111" s="651"/>
      <c r="R111" s="651"/>
      <c r="S111" s="651"/>
      <c r="T111" s="651"/>
      <c r="U111" s="652"/>
      <c r="V111" s="651"/>
      <c r="W111" s="651"/>
      <c r="X111" s="651"/>
      <c r="Y111" s="651"/>
      <c r="Z111" s="652"/>
      <c r="AA111" s="651"/>
      <c r="AB111" s="651"/>
      <c r="AC111" s="651"/>
      <c r="AD111" s="651"/>
      <c r="AE111" s="652"/>
      <c r="AF111" s="651"/>
      <c r="AG111" s="651"/>
      <c r="AH111" s="651"/>
      <c r="AI111" s="651"/>
      <c r="AJ111" s="652">
        <f>AJ110*AVERAGE(AJ109, AE109)</f>
        <v>30</v>
      </c>
      <c r="AK111" s="651"/>
      <c r="AL111" s="651"/>
      <c r="AM111" s="651"/>
      <c r="AN111" s="651"/>
      <c r="AO111" s="652">
        <f>AO110*AVERAGE(AO109, AJ109)</f>
        <v>30</v>
      </c>
      <c r="AP111" s="651"/>
      <c r="AQ111" s="651"/>
      <c r="AR111" s="651"/>
      <c r="AS111" s="651"/>
      <c r="AT111" s="652">
        <f>AT110*AVERAGE(AT109, AO109)</f>
        <v>30</v>
      </c>
      <c r="AU111" s="651"/>
      <c r="AV111" s="651"/>
      <c r="AW111" s="651"/>
      <c r="AX111" s="651"/>
      <c r="AY111" s="652">
        <f>AY110*AVERAGE(AY109, AT109)</f>
        <v>15</v>
      </c>
      <c r="AZ111" s="651"/>
      <c r="BA111" s="651"/>
      <c r="BB111" s="651"/>
      <c r="BC111" s="651"/>
      <c r="BD111" s="652">
        <f>BD110*AVERAGE(BD109, AY109)</f>
        <v>0</v>
      </c>
      <c r="BE111" s="651"/>
      <c r="BF111" s="651"/>
      <c r="BG111" s="651"/>
      <c r="BH111" s="651"/>
      <c r="BI111" s="652">
        <f>BI110*AVERAGE(BI109, BD109)</f>
        <v>0</v>
      </c>
      <c r="BJ111" s="651"/>
      <c r="BK111" s="651"/>
      <c r="BL111" s="651"/>
      <c r="BM111" s="651"/>
      <c r="BN111" s="652">
        <f>BN110*AVERAGE(BN109, BI109)</f>
        <v>0</v>
      </c>
      <c r="BO111" s="651"/>
      <c r="BP111" s="651"/>
      <c r="BQ111" s="651"/>
      <c r="BR111" s="651"/>
      <c r="BS111" s="652">
        <f>BS110*AVERAGE(BS109, BN109)</f>
        <v>0</v>
      </c>
      <c r="BT111" s="651"/>
      <c r="BU111" s="651"/>
      <c r="BV111" s="651"/>
      <c r="BW111" s="651"/>
      <c r="BX111" s="652">
        <f>BX110*AVERAGE(BX109, BS109)</f>
        <v>0</v>
      </c>
      <c r="BY111" s="651"/>
      <c r="BZ111" s="651"/>
      <c r="CA111" s="651"/>
      <c r="CB111" s="651"/>
      <c r="CC111" s="652">
        <f>CC110*AVERAGE(CC109, BX109)</f>
        <v>0</v>
      </c>
      <c r="CD111" s="652">
        <f>CD110*AVERAGE(CD109, CC109)</f>
        <v>0</v>
      </c>
      <c r="CE111" s="652">
        <f>CE110*AVERAGE(CE109, CD109)</f>
        <v>0</v>
      </c>
      <c r="CF111" s="652">
        <f>CF110*AVERAGE(CF109, CE109)</f>
        <v>0</v>
      </c>
      <c r="CG111" s="652">
        <f>CG110*AVERAGE(CG109, CF109)</f>
        <v>0</v>
      </c>
      <c r="CH111" s="652">
        <f>CH110*AVERAGE(CH109, CG109)</f>
        <v>0</v>
      </c>
    </row>
    <row r="112" spans="1:86" s="76" customFormat="1" ht="13.5">
      <c r="A112" s="85"/>
      <c r="B112" s="85"/>
      <c r="C112" s="85"/>
      <c r="D112" s="85"/>
      <c r="E112" s="85"/>
      <c r="F112" s="85"/>
      <c r="G112" s="85"/>
      <c r="H112" s="649"/>
      <c r="I112" s="649"/>
      <c r="J112" s="649"/>
      <c r="K112" s="649"/>
      <c r="L112" s="650"/>
      <c r="M112" s="650"/>
      <c r="N112" s="650"/>
      <c r="O112" s="650"/>
      <c r="P112" s="649"/>
      <c r="Q112" s="650"/>
      <c r="R112" s="650"/>
      <c r="S112" s="650"/>
      <c r="T112" s="650"/>
      <c r="U112" s="649"/>
      <c r="V112" s="650"/>
      <c r="W112" s="650"/>
      <c r="X112" s="650"/>
      <c r="Y112" s="650"/>
      <c r="Z112" s="649"/>
      <c r="AA112" s="650"/>
      <c r="AB112" s="650"/>
      <c r="AC112" s="650"/>
      <c r="AD112" s="650"/>
      <c r="AE112" s="649"/>
      <c r="AF112" s="650"/>
      <c r="AG112" s="650"/>
      <c r="AH112" s="650"/>
      <c r="AI112" s="650"/>
      <c r="AJ112" s="649"/>
      <c r="AK112" s="650"/>
      <c r="AL112" s="650"/>
      <c r="AM112" s="650"/>
      <c r="AN112" s="650"/>
      <c r="AO112" s="649"/>
      <c r="AP112" s="650"/>
      <c r="AQ112" s="650"/>
      <c r="AR112" s="650"/>
      <c r="AS112" s="650"/>
      <c r="AT112" s="649"/>
      <c r="AU112" s="650"/>
      <c r="AV112" s="650"/>
      <c r="AW112" s="650"/>
      <c r="AX112" s="650"/>
      <c r="AY112" s="649"/>
      <c r="AZ112" s="650"/>
      <c r="BA112" s="650"/>
      <c r="BB112" s="650"/>
      <c r="BC112" s="650"/>
      <c r="BD112" s="649"/>
      <c r="BE112" s="650"/>
      <c r="BF112" s="650"/>
      <c r="BG112" s="650"/>
      <c r="BH112" s="650"/>
      <c r="BI112" s="649"/>
      <c r="BJ112" s="650"/>
      <c r="BK112" s="650"/>
      <c r="BL112" s="650"/>
      <c r="BM112" s="650"/>
      <c r="BN112" s="649"/>
      <c r="BO112" s="650"/>
      <c r="BP112" s="650"/>
      <c r="BQ112" s="650"/>
      <c r="BR112" s="650"/>
      <c r="BS112" s="649"/>
      <c r="BT112" s="650"/>
      <c r="BU112" s="650"/>
      <c r="BV112" s="650"/>
      <c r="BW112" s="650"/>
      <c r="BX112" s="649"/>
      <c r="BY112" s="650"/>
      <c r="BZ112" s="650"/>
      <c r="CA112" s="650"/>
      <c r="CB112" s="650"/>
      <c r="CC112" s="649"/>
      <c r="CD112" s="649"/>
      <c r="CE112" s="649"/>
      <c r="CF112" s="649"/>
      <c r="CG112" s="649"/>
      <c r="CH112" s="649"/>
    </row>
    <row r="113" spans="1:86" s="76" customFormat="1" ht="13.5">
      <c r="A113" s="85"/>
      <c r="B113" s="85"/>
      <c r="C113" s="85"/>
      <c r="D113" s="85"/>
      <c r="E113" s="85"/>
      <c r="F113" s="85"/>
      <c r="G113" s="85"/>
      <c r="H113" s="658" t="s">
        <v>616</v>
      </c>
      <c r="I113" s="658"/>
      <c r="J113" s="658"/>
      <c r="K113" s="658"/>
      <c r="L113" s="658"/>
      <c r="M113" s="658"/>
      <c r="N113" s="658"/>
      <c r="O113" s="658"/>
      <c r="P113" s="658"/>
      <c r="Q113" s="658"/>
      <c r="R113" s="658"/>
      <c r="S113" s="658"/>
      <c r="T113" s="658"/>
      <c r="U113" s="658"/>
      <c r="V113" s="658"/>
      <c r="W113" s="658"/>
      <c r="X113" s="658"/>
      <c r="Y113" s="658"/>
      <c r="Z113" s="658"/>
      <c r="AA113" s="658"/>
      <c r="AB113" s="658"/>
      <c r="AC113" s="658"/>
      <c r="AD113" s="658"/>
      <c r="AE113" s="658"/>
      <c r="AF113" s="658"/>
      <c r="AG113" s="658"/>
      <c r="AH113" s="658"/>
      <c r="AI113" s="658"/>
      <c r="AJ113" s="658"/>
      <c r="AK113" s="658"/>
      <c r="AL113" s="658"/>
      <c r="AM113" s="658"/>
      <c r="AN113" s="658"/>
      <c r="AO113" s="658"/>
      <c r="AP113" s="658"/>
      <c r="AQ113" s="658"/>
      <c r="AR113" s="658"/>
      <c r="AS113" s="658"/>
      <c r="AT113" s="658"/>
      <c r="AU113" s="658"/>
      <c r="AV113" s="658"/>
      <c r="AW113" s="658"/>
      <c r="AX113" s="658"/>
      <c r="AY113" s="658"/>
      <c r="AZ113" s="658"/>
      <c r="BA113" s="658"/>
      <c r="BB113" s="658"/>
      <c r="BC113" s="658"/>
      <c r="BD113" s="658"/>
      <c r="BE113" s="658"/>
      <c r="BF113" s="658"/>
      <c r="BG113" s="658"/>
      <c r="BH113" s="658"/>
      <c r="BI113" s="658"/>
      <c r="BJ113" s="658"/>
      <c r="BK113" s="658"/>
      <c r="BL113" s="658"/>
      <c r="BM113" s="658"/>
      <c r="BN113" s="658"/>
      <c r="BO113" s="658"/>
      <c r="BP113" s="658"/>
      <c r="BQ113" s="658"/>
      <c r="BR113" s="658"/>
      <c r="BS113" s="658"/>
      <c r="BT113" s="658"/>
      <c r="BU113" s="658"/>
      <c r="BV113" s="658"/>
      <c r="BW113" s="658"/>
      <c r="BX113" s="658"/>
      <c r="BY113" s="658"/>
      <c r="BZ113" s="658"/>
      <c r="CA113" s="658"/>
      <c r="CB113" s="658"/>
      <c r="CC113" s="658"/>
      <c r="CD113" s="658"/>
      <c r="CE113" s="658"/>
      <c r="CF113" s="658"/>
      <c r="CG113" s="658"/>
      <c r="CH113" s="658"/>
    </row>
    <row r="114" spans="1:86" s="76" customFormat="1" ht="13.5">
      <c r="A114" s="85"/>
      <c r="B114" s="85"/>
      <c r="C114" s="85"/>
      <c r="D114" s="85"/>
      <c r="E114" s="85"/>
      <c r="F114" s="85"/>
      <c r="G114" s="85"/>
      <c r="H114" s="649" t="s">
        <v>441</v>
      </c>
      <c r="I114" s="649"/>
      <c r="J114" s="649"/>
      <c r="K114" s="649"/>
      <c r="L114" s="651"/>
      <c r="M114" s="651"/>
      <c r="N114" s="651"/>
      <c r="O114" s="651"/>
      <c r="P114" s="652"/>
      <c r="Q114" s="651"/>
      <c r="R114" s="651"/>
      <c r="S114" s="651"/>
      <c r="T114" s="651"/>
      <c r="U114" s="652"/>
      <c r="V114" s="651"/>
      <c r="W114" s="651"/>
      <c r="X114" s="651"/>
      <c r="Y114" s="651"/>
      <c r="Z114" s="652"/>
      <c r="AA114" s="651"/>
      <c r="AB114" s="651"/>
      <c r="AC114" s="651"/>
      <c r="AD114" s="651"/>
      <c r="AE114" s="652"/>
      <c r="AF114" s="651"/>
      <c r="AG114" s="651"/>
      <c r="AH114" s="651"/>
      <c r="AI114" s="651"/>
      <c r="AJ114" s="652">
        <f>AE116</f>
        <v>200</v>
      </c>
      <c r="AK114" s="651"/>
      <c r="AL114" s="651"/>
      <c r="AM114" s="651"/>
      <c r="AN114" s="651"/>
      <c r="AO114" s="652">
        <f>AJ116</f>
        <v>200</v>
      </c>
      <c r="AP114" s="651"/>
      <c r="AQ114" s="651"/>
      <c r="AR114" s="651"/>
      <c r="AS114" s="651"/>
      <c r="AT114" s="652">
        <f>AO116</f>
        <v>200</v>
      </c>
      <c r="AU114" s="651"/>
      <c r="AV114" s="651"/>
      <c r="AW114" s="651"/>
      <c r="AX114" s="651"/>
      <c r="AY114" s="652">
        <f>AT116</f>
        <v>200</v>
      </c>
      <c r="AZ114" s="651"/>
      <c r="BA114" s="651"/>
      <c r="BB114" s="651"/>
      <c r="BC114" s="651"/>
      <c r="BD114" s="652">
        <f>AY116</f>
        <v>200</v>
      </c>
      <c r="BE114" s="651"/>
      <c r="BF114" s="651"/>
      <c r="BG114" s="651"/>
      <c r="BH114" s="651"/>
      <c r="BI114" s="652">
        <f>BD116</f>
        <v>200</v>
      </c>
      <c r="BJ114" s="651"/>
      <c r="BK114" s="651"/>
      <c r="BL114" s="651"/>
      <c r="BM114" s="651"/>
      <c r="BN114" s="652">
        <f>BI116</f>
        <v>200</v>
      </c>
      <c r="BO114" s="651"/>
      <c r="BP114" s="651"/>
      <c r="BQ114" s="651"/>
      <c r="BR114" s="651"/>
      <c r="BS114" s="652">
        <f>BN116</f>
        <v>200</v>
      </c>
      <c r="BT114" s="651"/>
      <c r="BU114" s="651"/>
      <c r="BV114" s="651"/>
      <c r="BW114" s="651"/>
      <c r="BX114" s="652">
        <f>BS116</f>
        <v>0</v>
      </c>
      <c r="BY114" s="651"/>
      <c r="BZ114" s="651"/>
      <c r="CA114" s="651"/>
      <c r="CB114" s="651"/>
      <c r="CC114" s="652">
        <f>BX116</f>
        <v>0</v>
      </c>
      <c r="CD114" s="652">
        <f>CC116</f>
        <v>0</v>
      </c>
      <c r="CE114" s="652">
        <f>CD116</f>
        <v>0</v>
      </c>
      <c r="CF114" s="652">
        <f>CE116</f>
        <v>0</v>
      </c>
      <c r="CG114" s="652">
        <f>CF116</f>
        <v>0</v>
      </c>
      <c r="CH114" s="652">
        <f>CG116</f>
        <v>0</v>
      </c>
    </row>
    <row r="115" spans="1:86" s="76" customFormat="1" ht="13.5">
      <c r="A115" s="85"/>
      <c r="B115" s="85"/>
      <c r="C115" s="85"/>
      <c r="D115" s="85"/>
      <c r="E115" s="85"/>
      <c r="F115" s="85"/>
      <c r="G115" s="85"/>
      <c r="H115" s="649" t="s">
        <v>606</v>
      </c>
      <c r="I115" s="649"/>
      <c r="J115" s="649"/>
      <c r="K115" s="649"/>
      <c r="L115" s="653"/>
      <c r="M115" s="653"/>
      <c r="N115" s="653"/>
      <c r="O115" s="653"/>
      <c r="P115" s="654"/>
      <c r="Q115" s="653"/>
      <c r="R115" s="653"/>
      <c r="S115" s="653"/>
      <c r="T115" s="653"/>
      <c r="U115" s="654"/>
      <c r="V115" s="653"/>
      <c r="W115" s="653"/>
      <c r="X115" s="653"/>
      <c r="Y115" s="653"/>
      <c r="Z115" s="654"/>
      <c r="AA115" s="653"/>
      <c r="AB115" s="653"/>
      <c r="AC115" s="653"/>
      <c r="AD115" s="653"/>
      <c r="AE115" s="652"/>
      <c r="AF115" s="653"/>
      <c r="AG115" s="653"/>
      <c r="AH115" s="653"/>
      <c r="AI115" s="653"/>
      <c r="AJ115" s="654">
        <v>0</v>
      </c>
      <c r="AK115" s="653"/>
      <c r="AL115" s="653"/>
      <c r="AM115" s="653"/>
      <c r="AN115" s="653"/>
      <c r="AO115" s="654">
        <v>0</v>
      </c>
      <c r="AP115" s="653"/>
      <c r="AQ115" s="653"/>
      <c r="AR115" s="653"/>
      <c r="AS115" s="653"/>
      <c r="AT115" s="654">
        <v>0</v>
      </c>
      <c r="AU115" s="653"/>
      <c r="AV115" s="653"/>
      <c r="AW115" s="653"/>
      <c r="AX115" s="653"/>
      <c r="AY115" s="654">
        <v>0</v>
      </c>
      <c r="AZ115" s="653"/>
      <c r="BA115" s="653"/>
      <c r="BB115" s="653"/>
      <c r="BC115" s="653"/>
      <c r="BD115" s="654">
        <v>0</v>
      </c>
      <c r="BE115" s="653"/>
      <c r="BF115" s="653"/>
      <c r="BG115" s="653"/>
      <c r="BH115" s="653"/>
      <c r="BI115" s="654">
        <v>0</v>
      </c>
      <c r="BJ115" s="653"/>
      <c r="BK115" s="653"/>
      <c r="BL115" s="653"/>
      <c r="BM115" s="653"/>
      <c r="BN115" s="654">
        <v>0</v>
      </c>
      <c r="BO115" s="653"/>
      <c r="BP115" s="653"/>
      <c r="BQ115" s="653"/>
      <c r="BR115" s="653"/>
      <c r="BS115" s="654">
        <f>-BS114</f>
        <v>-200</v>
      </c>
      <c r="BT115" s="653"/>
      <c r="BU115" s="653"/>
      <c r="BV115" s="653"/>
      <c r="BW115" s="653"/>
      <c r="BX115" s="654">
        <v>0</v>
      </c>
      <c r="BY115" s="653"/>
      <c r="BZ115" s="653"/>
      <c r="CA115" s="653"/>
      <c r="CB115" s="653"/>
      <c r="CC115" s="654">
        <v>0</v>
      </c>
      <c r="CD115" s="654">
        <v>0</v>
      </c>
      <c r="CE115" s="654">
        <v>0</v>
      </c>
      <c r="CF115" s="654">
        <v>0</v>
      </c>
      <c r="CG115" s="654">
        <v>0</v>
      </c>
      <c r="CH115" s="654">
        <v>0</v>
      </c>
    </row>
    <row r="116" spans="1:86" s="76" customFormat="1" ht="13.5">
      <c r="A116" s="85"/>
      <c r="B116" s="85"/>
      <c r="C116" s="85"/>
      <c r="D116" s="85"/>
      <c r="E116" s="85"/>
      <c r="F116" s="85"/>
      <c r="G116" s="85"/>
      <c r="H116" s="649" t="s">
        <v>397</v>
      </c>
      <c r="I116" s="649"/>
      <c r="J116" s="649"/>
      <c r="K116" s="649"/>
      <c r="L116" s="651"/>
      <c r="M116" s="651"/>
      <c r="N116" s="651"/>
      <c r="O116" s="651"/>
      <c r="P116" s="652"/>
      <c r="Q116" s="651"/>
      <c r="R116" s="651"/>
      <c r="S116" s="651"/>
      <c r="T116" s="651"/>
      <c r="U116" s="652"/>
      <c r="V116" s="651"/>
      <c r="W116" s="651"/>
      <c r="X116" s="651"/>
      <c r="Y116" s="651"/>
      <c r="Z116" s="655"/>
      <c r="AA116" s="651"/>
      <c r="AB116" s="651"/>
      <c r="AC116" s="651"/>
      <c r="AD116" s="651"/>
      <c r="AE116" s="655">
        <v>200</v>
      </c>
      <c r="AF116" s="651"/>
      <c r="AG116" s="651"/>
      <c r="AH116" s="651"/>
      <c r="AI116" s="651"/>
      <c r="AJ116" s="652">
        <f>AJ114+AJ115</f>
        <v>200</v>
      </c>
      <c r="AK116" s="651"/>
      <c r="AL116" s="651"/>
      <c r="AM116" s="651"/>
      <c r="AN116" s="651"/>
      <c r="AO116" s="652">
        <f>AO114+AO115</f>
        <v>200</v>
      </c>
      <c r="AP116" s="651"/>
      <c r="AQ116" s="651"/>
      <c r="AR116" s="651"/>
      <c r="AS116" s="651"/>
      <c r="AT116" s="652">
        <f>AT114+AT115</f>
        <v>200</v>
      </c>
      <c r="AU116" s="651"/>
      <c r="AV116" s="651"/>
      <c r="AW116" s="651"/>
      <c r="AX116" s="651"/>
      <c r="AY116" s="652">
        <f>AY114+AY115</f>
        <v>200</v>
      </c>
      <c r="AZ116" s="651"/>
      <c r="BA116" s="651"/>
      <c r="BB116" s="651"/>
      <c r="BC116" s="651"/>
      <c r="BD116" s="652">
        <f>BD114+BD115</f>
        <v>200</v>
      </c>
      <c r="BE116" s="651"/>
      <c r="BF116" s="651"/>
      <c r="BG116" s="651"/>
      <c r="BH116" s="651"/>
      <c r="BI116" s="652">
        <f>BI114+BI115</f>
        <v>200</v>
      </c>
      <c r="BJ116" s="651"/>
      <c r="BK116" s="651"/>
      <c r="BL116" s="651"/>
      <c r="BM116" s="651"/>
      <c r="BN116" s="652">
        <f>BN114+BN115</f>
        <v>200</v>
      </c>
      <c r="BO116" s="651"/>
      <c r="BP116" s="651"/>
      <c r="BQ116" s="651"/>
      <c r="BR116" s="651"/>
      <c r="BS116" s="652">
        <f>BS114+BS115</f>
        <v>0</v>
      </c>
      <c r="BT116" s="651"/>
      <c r="BU116" s="651"/>
      <c r="BV116" s="651"/>
      <c r="BW116" s="651"/>
      <c r="BX116" s="652">
        <f>BX114+BX115</f>
        <v>0</v>
      </c>
      <c r="BY116" s="651"/>
      <c r="BZ116" s="651"/>
      <c r="CA116" s="651"/>
      <c r="CB116" s="651"/>
      <c r="CC116" s="652">
        <f t="shared" ref="CC116:CH116" si="16">CC114+CC115</f>
        <v>0</v>
      </c>
      <c r="CD116" s="652">
        <f t="shared" si="16"/>
        <v>0</v>
      </c>
      <c r="CE116" s="652">
        <f t="shared" si="16"/>
        <v>0</v>
      </c>
      <c r="CF116" s="652">
        <f t="shared" si="16"/>
        <v>0</v>
      </c>
      <c r="CG116" s="652">
        <f t="shared" si="16"/>
        <v>0</v>
      </c>
      <c r="CH116" s="652">
        <f t="shared" si="16"/>
        <v>0</v>
      </c>
    </row>
    <row r="117" spans="1:86" s="76" customFormat="1" ht="13.5">
      <c r="A117" s="85"/>
      <c r="B117" s="85"/>
      <c r="C117" s="85"/>
      <c r="D117" s="85"/>
      <c r="E117" s="85"/>
      <c r="F117" s="85"/>
      <c r="G117" s="85"/>
      <c r="H117" s="48" t="s">
        <v>398</v>
      </c>
      <c r="I117" s="48"/>
      <c r="J117" s="48"/>
      <c r="K117" s="48"/>
      <c r="L117" s="331"/>
      <c r="M117" s="331"/>
      <c r="N117" s="331"/>
      <c r="O117" s="331"/>
      <c r="P117" s="337"/>
      <c r="Q117" s="331"/>
      <c r="R117" s="331"/>
      <c r="S117" s="331"/>
      <c r="T117" s="331"/>
      <c r="U117" s="337"/>
      <c r="V117" s="331"/>
      <c r="W117" s="331"/>
      <c r="X117" s="331"/>
      <c r="Y117" s="331"/>
      <c r="Z117" s="337"/>
      <c r="AA117" s="331"/>
      <c r="AB117" s="331"/>
      <c r="AC117" s="331"/>
      <c r="AD117" s="331"/>
      <c r="AE117" s="659"/>
      <c r="AF117" s="331"/>
      <c r="AG117" s="331"/>
      <c r="AH117" s="331"/>
      <c r="AI117" s="331"/>
      <c r="AJ117" s="660">
        <v>6.5699999999999995E-2</v>
      </c>
      <c r="AK117" s="331"/>
      <c r="AL117" s="331"/>
      <c r="AM117" s="331"/>
      <c r="AN117" s="331"/>
      <c r="AO117" s="660">
        <v>6.5699999999999995E-2</v>
      </c>
      <c r="AP117" s="331"/>
      <c r="AQ117" s="331"/>
      <c r="AR117" s="331"/>
      <c r="AS117" s="331"/>
      <c r="AT117" s="660">
        <v>6.5699999999999995E-2</v>
      </c>
      <c r="AU117" s="331"/>
      <c r="AV117" s="331"/>
      <c r="AW117" s="331"/>
      <c r="AX117" s="331"/>
      <c r="AY117" s="660">
        <v>6.5699999999999995E-2</v>
      </c>
      <c r="AZ117" s="331"/>
      <c r="BA117" s="331"/>
      <c r="BB117" s="331"/>
      <c r="BC117" s="331"/>
      <c r="BD117" s="660">
        <v>6.5699999999999995E-2</v>
      </c>
      <c r="BE117" s="331"/>
      <c r="BF117" s="331"/>
      <c r="BG117" s="331"/>
      <c r="BH117" s="331"/>
      <c r="BI117" s="660">
        <v>6.5699999999999995E-2</v>
      </c>
      <c r="BJ117" s="331"/>
      <c r="BK117" s="331"/>
      <c r="BL117" s="331"/>
      <c r="BM117" s="331"/>
      <c r="BN117" s="660">
        <v>6.5699999999999995E-2</v>
      </c>
      <c r="BO117" s="331"/>
      <c r="BP117" s="331"/>
      <c r="BQ117" s="331"/>
      <c r="BR117" s="331"/>
      <c r="BS117" s="660">
        <v>6.5699999999999995E-2</v>
      </c>
      <c r="BT117" s="331"/>
      <c r="BU117" s="331"/>
      <c r="BV117" s="331"/>
      <c r="BW117" s="331"/>
      <c r="BX117" s="660">
        <v>6.5699999999999995E-2</v>
      </c>
      <c r="BY117" s="331"/>
      <c r="BZ117" s="331"/>
      <c r="CA117" s="331"/>
      <c r="CB117" s="331"/>
      <c r="CC117" s="660">
        <v>6.5699999999999995E-2</v>
      </c>
      <c r="CD117" s="660">
        <v>6.5699999999999995E-2</v>
      </c>
      <c r="CE117" s="660">
        <v>6.5699999999999995E-2</v>
      </c>
      <c r="CF117" s="660">
        <v>6.5699999999999995E-2</v>
      </c>
      <c r="CG117" s="660">
        <v>6.5699999999999995E-2</v>
      </c>
      <c r="CH117" s="660">
        <v>6.5699999999999995E-2</v>
      </c>
    </row>
    <row r="118" spans="1:86" s="76" customFormat="1" ht="13.5">
      <c r="A118" s="85"/>
      <c r="B118" s="85"/>
      <c r="C118" s="85"/>
      <c r="D118" s="85"/>
      <c r="E118" s="85"/>
      <c r="F118" s="85"/>
      <c r="G118" s="85"/>
      <c r="H118" s="649" t="s">
        <v>686</v>
      </c>
      <c r="I118" s="649"/>
      <c r="J118" s="649"/>
      <c r="K118" s="649"/>
      <c r="L118" s="651"/>
      <c r="M118" s="651"/>
      <c r="N118" s="651"/>
      <c r="O118" s="651"/>
      <c r="P118" s="652"/>
      <c r="Q118" s="651"/>
      <c r="R118" s="651"/>
      <c r="S118" s="651"/>
      <c r="T118" s="651"/>
      <c r="U118" s="652"/>
      <c r="V118" s="651"/>
      <c r="W118" s="651"/>
      <c r="X118" s="651"/>
      <c r="Y118" s="651"/>
      <c r="Z118" s="652"/>
      <c r="AA118" s="651"/>
      <c r="AB118" s="651"/>
      <c r="AC118" s="651"/>
      <c r="AD118" s="651"/>
      <c r="AE118" s="652"/>
      <c r="AF118" s="651"/>
      <c r="AG118" s="651"/>
      <c r="AH118" s="651"/>
      <c r="AI118" s="651"/>
      <c r="AJ118" s="652">
        <f>AJ117*AVERAGE(AJ116, AE116)</f>
        <v>13.139999999999999</v>
      </c>
      <c r="AK118" s="651"/>
      <c r="AL118" s="651"/>
      <c r="AM118" s="651"/>
      <c r="AN118" s="651"/>
      <c r="AO118" s="652">
        <f>AO117*AVERAGE(AO116, AJ116)</f>
        <v>13.139999999999999</v>
      </c>
      <c r="AP118" s="651"/>
      <c r="AQ118" s="651"/>
      <c r="AR118" s="651"/>
      <c r="AS118" s="651"/>
      <c r="AT118" s="652">
        <f>AT117*AVERAGE(AT116, AO116)</f>
        <v>13.139999999999999</v>
      </c>
      <c r="AU118" s="651"/>
      <c r="AV118" s="651"/>
      <c r="AW118" s="651"/>
      <c r="AX118" s="651"/>
      <c r="AY118" s="652">
        <f>AY117*AVERAGE(AY116, AT116)</f>
        <v>13.139999999999999</v>
      </c>
      <c r="AZ118" s="651"/>
      <c r="BA118" s="651"/>
      <c r="BB118" s="651"/>
      <c r="BC118" s="651"/>
      <c r="BD118" s="652">
        <f>BD117*AVERAGE(BD116, AY116)</f>
        <v>13.139999999999999</v>
      </c>
      <c r="BE118" s="651"/>
      <c r="BF118" s="651"/>
      <c r="BG118" s="651"/>
      <c r="BH118" s="651"/>
      <c r="BI118" s="652">
        <f>BI117*AVERAGE(BI116, BD116)</f>
        <v>13.139999999999999</v>
      </c>
      <c r="BJ118" s="651"/>
      <c r="BK118" s="651"/>
      <c r="BL118" s="651"/>
      <c r="BM118" s="651"/>
      <c r="BN118" s="652">
        <f>BN117*AVERAGE(BN116, BI116)</f>
        <v>13.139999999999999</v>
      </c>
      <c r="BO118" s="651"/>
      <c r="BP118" s="651"/>
      <c r="BQ118" s="651"/>
      <c r="BR118" s="651"/>
      <c r="BS118" s="652">
        <f>BS117*AVERAGE(BS116, BN116)</f>
        <v>6.5699999999999994</v>
      </c>
      <c r="BT118" s="651"/>
      <c r="BU118" s="651"/>
      <c r="BV118" s="651"/>
      <c r="BW118" s="651"/>
      <c r="BX118" s="652">
        <f>BX117*AVERAGE(BX116, BS116)</f>
        <v>0</v>
      </c>
      <c r="BY118" s="651"/>
      <c r="BZ118" s="651"/>
      <c r="CA118" s="651"/>
      <c r="CB118" s="651"/>
      <c r="CC118" s="652">
        <f>CC117*AVERAGE(CC116, BX116)</f>
        <v>0</v>
      </c>
      <c r="CD118" s="652">
        <f>CD117*AVERAGE(CD116, CC116)</f>
        <v>0</v>
      </c>
      <c r="CE118" s="652">
        <f>CE117*AVERAGE(CE116, CD116)</f>
        <v>0</v>
      </c>
      <c r="CF118" s="652">
        <f>CF117*AVERAGE(CF116, CE116)</f>
        <v>0</v>
      </c>
      <c r="CG118" s="652">
        <f>CG117*AVERAGE(CG116, CF116)</f>
        <v>0</v>
      </c>
      <c r="CH118" s="652">
        <f>CH117*AVERAGE(CH116, CG116)</f>
        <v>0</v>
      </c>
    </row>
    <row r="119" spans="1:86" s="76" customFormat="1" ht="13.5">
      <c r="A119" s="85"/>
      <c r="B119" s="85"/>
      <c r="C119" s="85"/>
      <c r="D119" s="85"/>
      <c r="E119" s="85"/>
      <c r="F119" s="85"/>
      <c r="G119" s="85"/>
      <c r="H119" s="649"/>
      <c r="I119" s="649"/>
      <c r="J119" s="649"/>
      <c r="K119" s="649"/>
      <c r="L119" s="650"/>
      <c r="M119" s="650"/>
      <c r="N119" s="650"/>
      <c r="O119" s="650"/>
      <c r="P119" s="649"/>
      <c r="Q119" s="650"/>
      <c r="R119" s="650"/>
      <c r="S119" s="650"/>
      <c r="T119" s="650"/>
      <c r="U119" s="649"/>
      <c r="V119" s="650"/>
      <c r="W119" s="650"/>
      <c r="X119" s="650"/>
      <c r="Y119" s="650"/>
      <c r="Z119" s="649"/>
      <c r="AA119" s="650"/>
      <c r="AB119" s="650"/>
      <c r="AC119" s="650"/>
      <c r="AD119" s="650"/>
      <c r="AE119" s="649"/>
      <c r="AF119" s="650"/>
      <c r="AG119" s="650"/>
      <c r="AH119" s="650"/>
      <c r="AI119" s="650"/>
      <c r="AJ119" s="649"/>
      <c r="AK119" s="650"/>
      <c r="AL119" s="650"/>
      <c r="AM119" s="650"/>
      <c r="AN119" s="650"/>
      <c r="AO119" s="649"/>
      <c r="AP119" s="650"/>
      <c r="AQ119" s="650"/>
      <c r="AR119" s="650"/>
      <c r="AS119" s="650"/>
      <c r="AT119" s="649"/>
      <c r="AU119" s="650"/>
      <c r="AV119" s="650"/>
      <c r="AW119" s="650"/>
      <c r="AX119" s="650"/>
      <c r="AY119" s="649"/>
      <c r="AZ119" s="650"/>
      <c r="BA119" s="650"/>
      <c r="BB119" s="650"/>
      <c r="BC119" s="650"/>
      <c r="BD119" s="649"/>
      <c r="BE119" s="650"/>
      <c r="BF119" s="650"/>
      <c r="BG119" s="650"/>
      <c r="BH119" s="650"/>
      <c r="BI119" s="649"/>
      <c r="BJ119" s="650"/>
      <c r="BK119" s="650"/>
      <c r="BL119" s="650"/>
      <c r="BM119" s="650"/>
      <c r="BN119" s="649"/>
      <c r="BO119" s="650"/>
      <c r="BP119" s="650"/>
      <c r="BQ119" s="650"/>
      <c r="BR119" s="650"/>
      <c r="BS119" s="649"/>
      <c r="BT119" s="650"/>
      <c r="BU119" s="650"/>
      <c r="BV119" s="650"/>
      <c r="BW119" s="650"/>
      <c r="BX119" s="649"/>
      <c r="BY119" s="650"/>
      <c r="BZ119" s="650"/>
      <c r="CA119" s="650"/>
      <c r="CB119" s="650"/>
      <c r="CC119" s="649"/>
      <c r="CD119" s="649"/>
      <c r="CE119" s="649"/>
      <c r="CF119" s="649"/>
      <c r="CG119" s="649"/>
      <c r="CH119" s="649"/>
    </row>
    <row r="120" spans="1:86" s="76" customFormat="1" ht="13.5">
      <c r="A120" s="85"/>
      <c r="B120" s="85"/>
      <c r="C120" s="85"/>
      <c r="D120" s="85"/>
      <c r="E120" s="85"/>
      <c r="F120" s="85"/>
      <c r="G120" s="85"/>
      <c r="H120" s="658" t="s">
        <v>617</v>
      </c>
      <c r="I120" s="658"/>
      <c r="J120" s="658"/>
      <c r="K120" s="658"/>
      <c r="L120" s="658"/>
      <c r="M120" s="658"/>
      <c r="N120" s="658"/>
      <c r="O120" s="658"/>
      <c r="P120" s="658"/>
      <c r="Q120" s="658"/>
      <c r="R120" s="658"/>
      <c r="S120" s="658"/>
      <c r="T120" s="658"/>
      <c r="U120" s="658"/>
      <c r="V120" s="658"/>
      <c r="W120" s="658"/>
      <c r="X120" s="658"/>
      <c r="Y120" s="658"/>
      <c r="Z120" s="658"/>
      <c r="AA120" s="658"/>
      <c r="AB120" s="658"/>
      <c r="AC120" s="658"/>
      <c r="AD120" s="658"/>
      <c r="AE120" s="658"/>
      <c r="AF120" s="658"/>
      <c r="AG120" s="658"/>
      <c r="AH120" s="658"/>
      <c r="AI120" s="658"/>
      <c r="AJ120" s="658"/>
      <c r="AK120" s="658"/>
      <c r="AL120" s="658"/>
      <c r="AM120" s="658"/>
      <c r="AN120" s="658"/>
      <c r="AO120" s="658"/>
      <c r="AP120" s="658"/>
      <c r="AQ120" s="658"/>
      <c r="AR120" s="658"/>
      <c r="AS120" s="658"/>
      <c r="AT120" s="658"/>
      <c r="AU120" s="658"/>
      <c r="AV120" s="658"/>
      <c r="AW120" s="658"/>
      <c r="AX120" s="658"/>
      <c r="AY120" s="658"/>
      <c r="AZ120" s="658"/>
      <c r="BA120" s="658"/>
      <c r="BB120" s="658"/>
      <c r="BC120" s="658"/>
      <c r="BD120" s="658"/>
      <c r="BE120" s="658"/>
      <c r="BF120" s="658"/>
      <c r="BG120" s="658"/>
      <c r="BH120" s="658"/>
      <c r="BI120" s="658"/>
      <c r="BJ120" s="658"/>
      <c r="BK120" s="658"/>
      <c r="BL120" s="658"/>
      <c r="BM120" s="658"/>
      <c r="BN120" s="658"/>
      <c r="BO120" s="658"/>
      <c r="BP120" s="658"/>
      <c r="BQ120" s="658"/>
      <c r="BR120" s="658"/>
      <c r="BS120" s="658"/>
      <c r="BT120" s="658"/>
      <c r="BU120" s="658"/>
      <c r="BV120" s="658"/>
      <c r="BW120" s="658"/>
      <c r="BX120" s="658"/>
      <c r="BY120" s="658"/>
      <c r="BZ120" s="658"/>
      <c r="CA120" s="658"/>
      <c r="CB120" s="658"/>
      <c r="CC120" s="658"/>
      <c r="CD120" s="658"/>
      <c r="CE120" s="658"/>
      <c r="CF120" s="658"/>
      <c r="CG120" s="658"/>
      <c r="CH120" s="658"/>
    </row>
    <row r="121" spans="1:86" s="76" customFormat="1" ht="13.5">
      <c r="A121" s="85"/>
      <c r="B121" s="85"/>
      <c r="C121" s="85"/>
      <c r="D121" s="85"/>
      <c r="E121" s="85"/>
      <c r="F121" s="85"/>
      <c r="G121" s="85"/>
      <c r="H121" s="649" t="s">
        <v>441</v>
      </c>
      <c r="I121" s="649"/>
      <c r="J121" s="649"/>
      <c r="K121" s="649"/>
      <c r="L121" s="651"/>
      <c r="M121" s="651"/>
      <c r="N121" s="651"/>
      <c r="O121" s="651"/>
      <c r="P121" s="652"/>
      <c r="Q121" s="651"/>
      <c r="R121" s="651"/>
      <c r="S121" s="651"/>
      <c r="T121" s="651"/>
      <c r="U121" s="652"/>
      <c r="V121" s="651"/>
      <c r="W121" s="651"/>
      <c r="X121" s="651"/>
      <c r="Y121" s="651"/>
      <c r="Z121" s="652"/>
      <c r="AA121" s="651"/>
      <c r="AB121" s="651"/>
      <c r="AC121" s="651"/>
      <c r="AD121" s="651"/>
      <c r="AE121" s="652"/>
      <c r="AF121" s="651"/>
      <c r="AG121" s="651"/>
      <c r="AH121" s="651"/>
      <c r="AI121" s="651"/>
      <c r="AJ121" s="652">
        <f>AE123</f>
        <v>1000</v>
      </c>
      <c r="AK121" s="651"/>
      <c r="AL121" s="651"/>
      <c r="AM121" s="651"/>
      <c r="AN121" s="651"/>
      <c r="AO121" s="652">
        <f>AJ123</f>
        <v>1000</v>
      </c>
      <c r="AP121" s="651"/>
      <c r="AQ121" s="651"/>
      <c r="AR121" s="651"/>
      <c r="AS121" s="651"/>
      <c r="AT121" s="652">
        <f>AO123</f>
        <v>1000</v>
      </c>
      <c r="AU121" s="651"/>
      <c r="AV121" s="651"/>
      <c r="AW121" s="651"/>
      <c r="AX121" s="651"/>
      <c r="AY121" s="652">
        <f>AT123</f>
        <v>1000</v>
      </c>
      <c r="AZ121" s="651"/>
      <c r="BA121" s="651"/>
      <c r="BB121" s="651"/>
      <c r="BC121" s="651"/>
      <c r="BD121" s="652">
        <f>AY123</f>
        <v>1000</v>
      </c>
      <c r="BE121" s="651"/>
      <c r="BF121" s="651"/>
      <c r="BG121" s="651"/>
      <c r="BH121" s="651"/>
      <c r="BI121" s="652">
        <f>BD123</f>
        <v>1000</v>
      </c>
      <c r="BJ121" s="651"/>
      <c r="BK121" s="651"/>
      <c r="BL121" s="651"/>
      <c r="BM121" s="651"/>
      <c r="BN121" s="652">
        <f>BI123</f>
        <v>1000</v>
      </c>
      <c r="BO121" s="651"/>
      <c r="BP121" s="651"/>
      <c r="BQ121" s="651"/>
      <c r="BR121" s="651"/>
      <c r="BS121" s="652">
        <f>BN123</f>
        <v>1000</v>
      </c>
      <c r="BT121" s="651"/>
      <c r="BU121" s="651"/>
      <c r="BV121" s="651"/>
      <c r="BW121" s="651"/>
      <c r="BX121" s="652">
        <f>BS123</f>
        <v>1000</v>
      </c>
      <c r="BY121" s="651"/>
      <c r="BZ121" s="651"/>
      <c r="CA121" s="651"/>
      <c r="CB121" s="651"/>
      <c r="CC121" s="652">
        <f>BX123</f>
        <v>0</v>
      </c>
      <c r="CD121" s="652">
        <f>CC123</f>
        <v>0</v>
      </c>
      <c r="CE121" s="652">
        <f>CD123</f>
        <v>0</v>
      </c>
      <c r="CF121" s="652">
        <f>CE123</f>
        <v>0</v>
      </c>
      <c r="CG121" s="652">
        <f>CF123</f>
        <v>0</v>
      </c>
      <c r="CH121" s="652">
        <f>CG123</f>
        <v>0</v>
      </c>
    </row>
    <row r="122" spans="1:86" s="76" customFormat="1" ht="13.5">
      <c r="A122" s="85"/>
      <c r="B122" s="85"/>
      <c r="C122" s="85"/>
      <c r="D122" s="85"/>
      <c r="E122" s="85"/>
      <c r="F122" s="85"/>
      <c r="G122" s="85"/>
      <c r="H122" s="649" t="s">
        <v>606</v>
      </c>
      <c r="I122" s="649"/>
      <c r="J122" s="649"/>
      <c r="K122" s="649"/>
      <c r="L122" s="653"/>
      <c r="M122" s="653"/>
      <c r="N122" s="653"/>
      <c r="O122" s="653"/>
      <c r="P122" s="654"/>
      <c r="Q122" s="653"/>
      <c r="R122" s="653"/>
      <c r="S122" s="653"/>
      <c r="T122" s="653"/>
      <c r="U122" s="654"/>
      <c r="V122" s="653"/>
      <c r="W122" s="653"/>
      <c r="X122" s="653"/>
      <c r="Y122" s="653"/>
      <c r="Z122" s="654"/>
      <c r="AA122" s="653"/>
      <c r="AB122" s="653"/>
      <c r="AC122" s="653"/>
      <c r="AD122" s="653"/>
      <c r="AE122" s="652"/>
      <c r="AF122" s="653"/>
      <c r="AG122" s="653"/>
      <c r="AH122" s="653"/>
      <c r="AI122" s="653"/>
      <c r="AJ122" s="654">
        <v>0</v>
      </c>
      <c r="AK122" s="653"/>
      <c r="AL122" s="653"/>
      <c r="AM122" s="653"/>
      <c r="AN122" s="653"/>
      <c r="AO122" s="654">
        <v>0</v>
      </c>
      <c r="AP122" s="653"/>
      <c r="AQ122" s="653"/>
      <c r="AR122" s="653"/>
      <c r="AS122" s="653"/>
      <c r="AT122" s="654">
        <v>0</v>
      </c>
      <c r="AU122" s="653"/>
      <c r="AV122" s="653"/>
      <c r="AW122" s="653"/>
      <c r="AX122" s="653"/>
      <c r="AY122" s="654">
        <v>0</v>
      </c>
      <c r="AZ122" s="653"/>
      <c r="BA122" s="653"/>
      <c r="BB122" s="653"/>
      <c r="BC122" s="653"/>
      <c r="BD122" s="654">
        <v>0</v>
      </c>
      <c r="BE122" s="653"/>
      <c r="BF122" s="653"/>
      <c r="BG122" s="653"/>
      <c r="BH122" s="653"/>
      <c r="BI122" s="654">
        <v>0</v>
      </c>
      <c r="BJ122" s="653"/>
      <c r="BK122" s="653"/>
      <c r="BL122" s="653"/>
      <c r="BM122" s="653"/>
      <c r="BN122" s="654">
        <v>0</v>
      </c>
      <c r="BO122" s="653"/>
      <c r="BP122" s="653"/>
      <c r="BQ122" s="653"/>
      <c r="BR122" s="653"/>
      <c r="BS122" s="654">
        <v>0</v>
      </c>
      <c r="BT122" s="653"/>
      <c r="BU122" s="653"/>
      <c r="BV122" s="653"/>
      <c r="BW122" s="653"/>
      <c r="BX122" s="654">
        <v>-1000</v>
      </c>
      <c r="BY122" s="653"/>
      <c r="BZ122" s="653"/>
      <c r="CA122" s="653"/>
      <c r="CB122" s="653"/>
      <c r="CC122" s="654">
        <v>0</v>
      </c>
      <c r="CD122" s="654">
        <v>0</v>
      </c>
      <c r="CE122" s="654">
        <v>0</v>
      </c>
      <c r="CF122" s="654">
        <v>0</v>
      </c>
      <c r="CG122" s="654">
        <v>0</v>
      </c>
      <c r="CH122" s="654">
        <v>0</v>
      </c>
    </row>
    <row r="123" spans="1:86" s="76" customFormat="1" ht="13.5">
      <c r="A123" s="85"/>
      <c r="B123" s="85"/>
      <c r="C123" s="85"/>
      <c r="D123" s="85"/>
      <c r="E123" s="85"/>
      <c r="F123" s="85"/>
      <c r="G123" s="85"/>
      <c r="H123" s="649" t="s">
        <v>397</v>
      </c>
      <c r="I123" s="649"/>
      <c r="J123" s="649"/>
      <c r="K123" s="649"/>
      <c r="L123" s="651"/>
      <c r="M123" s="651"/>
      <c r="N123" s="651"/>
      <c r="O123" s="651"/>
      <c r="P123" s="652"/>
      <c r="Q123" s="651"/>
      <c r="R123" s="651"/>
      <c r="S123" s="651"/>
      <c r="T123" s="651"/>
      <c r="U123" s="652"/>
      <c r="V123" s="651"/>
      <c r="W123" s="651"/>
      <c r="X123" s="651"/>
      <c r="Y123" s="651"/>
      <c r="Z123" s="655"/>
      <c r="AA123" s="651"/>
      <c r="AB123" s="651"/>
      <c r="AC123" s="651"/>
      <c r="AD123" s="651"/>
      <c r="AE123" s="655">
        <v>1000</v>
      </c>
      <c r="AF123" s="651"/>
      <c r="AG123" s="651"/>
      <c r="AH123" s="651"/>
      <c r="AI123" s="651"/>
      <c r="AJ123" s="652">
        <f>AJ121+AJ122</f>
        <v>1000</v>
      </c>
      <c r="AK123" s="651"/>
      <c r="AL123" s="651"/>
      <c r="AM123" s="651"/>
      <c r="AN123" s="651"/>
      <c r="AO123" s="652">
        <f>AO121+AO122</f>
        <v>1000</v>
      </c>
      <c r="AP123" s="651"/>
      <c r="AQ123" s="651"/>
      <c r="AR123" s="651"/>
      <c r="AS123" s="651"/>
      <c r="AT123" s="652">
        <f>AT121+AT122</f>
        <v>1000</v>
      </c>
      <c r="AU123" s="651"/>
      <c r="AV123" s="651"/>
      <c r="AW123" s="651"/>
      <c r="AX123" s="651"/>
      <c r="AY123" s="652">
        <f>AY121+AY122</f>
        <v>1000</v>
      </c>
      <c r="AZ123" s="651"/>
      <c r="BA123" s="651"/>
      <c r="BB123" s="651"/>
      <c r="BC123" s="651"/>
      <c r="BD123" s="652">
        <f>BD121+BD122</f>
        <v>1000</v>
      </c>
      <c r="BE123" s="651"/>
      <c r="BF123" s="651"/>
      <c r="BG123" s="651"/>
      <c r="BH123" s="651"/>
      <c r="BI123" s="652">
        <f>BI121+BI122</f>
        <v>1000</v>
      </c>
      <c r="BJ123" s="651"/>
      <c r="BK123" s="651"/>
      <c r="BL123" s="651"/>
      <c r="BM123" s="651"/>
      <c r="BN123" s="652">
        <f>BN121+BN122</f>
        <v>1000</v>
      </c>
      <c r="BO123" s="651"/>
      <c r="BP123" s="651"/>
      <c r="BQ123" s="651"/>
      <c r="BR123" s="651"/>
      <c r="BS123" s="652">
        <f>BS121+BS122</f>
        <v>1000</v>
      </c>
      <c r="BT123" s="651"/>
      <c r="BU123" s="651"/>
      <c r="BV123" s="651"/>
      <c r="BW123" s="651"/>
      <c r="BX123" s="652">
        <f>BX121+BX122</f>
        <v>0</v>
      </c>
      <c r="BY123" s="651"/>
      <c r="BZ123" s="651"/>
      <c r="CA123" s="651"/>
      <c r="CB123" s="651"/>
      <c r="CC123" s="652">
        <f t="shared" ref="CC123:CH123" si="17">CC121+CC122</f>
        <v>0</v>
      </c>
      <c r="CD123" s="652">
        <f t="shared" si="17"/>
        <v>0</v>
      </c>
      <c r="CE123" s="652">
        <f t="shared" si="17"/>
        <v>0</v>
      </c>
      <c r="CF123" s="652">
        <f t="shared" si="17"/>
        <v>0</v>
      </c>
      <c r="CG123" s="652">
        <f t="shared" si="17"/>
        <v>0</v>
      </c>
      <c r="CH123" s="652">
        <f t="shared" si="17"/>
        <v>0</v>
      </c>
    </row>
    <row r="124" spans="1:86" s="76" customFormat="1" ht="13.5">
      <c r="A124" s="85"/>
      <c r="B124" s="85"/>
      <c r="C124" s="85"/>
      <c r="D124" s="85"/>
      <c r="E124" s="85"/>
      <c r="F124" s="85"/>
      <c r="G124" s="85"/>
      <c r="H124" s="48" t="s">
        <v>398</v>
      </c>
      <c r="I124" s="48"/>
      <c r="J124" s="48"/>
      <c r="K124" s="48"/>
      <c r="L124" s="331"/>
      <c r="M124" s="331"/>
      <c r="N124" s="331"/>
      <c r="O124" s="331"/>
      <c r="P124" s="337"/>
      <c r="Q124" s="331"/>
      <c r="R124" s="331"/>
      <c r="S124" s="331"/>
      <c r="T124" s="331"/>
      <c r="U124" s="337"/>
      <c r="V124" s="331"/>
      <c r="W124" s="331"/>
      <c r="X124" s="331"/>
      <c r="Y124" s="331"/>
      <c r="Z124" s="337"/>
      <c r="AA124" s="331"/>
      <c r="AB124" s="331"/>
      <c r="AC124" s="331"/>
      <c r="AD124" s="331"/>
      <c r="AE124" s="659"/>
      <c r="AF124" s="331"/>
      <c r="AG124" s="331"/>
      <c r="AH124" s="331"/>
      <c r="AI124" s="331"/>
      <c r="AJ124" s="659">
        <v>5.1999999999999998E-2</v>
      </c>
      <c r="AK124" s="331"/>
      <c r="AL124" s="331"/>
      <c r="AM124" s="331"/>
      <c r="AN124" s="331"/>
      <c r="AO124" s="659">
        <v>5.1999999999999998E-2</v>
      </c>
      <c r="AP124" s="331"/>
      <c r="AQ124" s="331"/>
      <c r="AR124" s="331"/>
      <c r="AS124" s="331"/>
      <c r="AT124" s="659">
        <v>5.1999999999999998E-2</v>
      </c>
      <c r="AU124" s="331"/>
      <c r="AV124" s="331"/>
      <c r="AW124" s="331"/>
      <c r="AX124" s="331"/>
      <c r="AY124" s="659">
        <v>5.1999999999999998E-2</v>
      </c>
      <c r="AZ124" s="331"/>
      <c r="BA124" s="331"/>
      <c r="BB124" s="331"/>
      <c r="BC124" s="331"/>
      <c r="BD124" s="659">
        <v>5.1999999999999998E-2</v>
      </c>
      <c r="BE124" s="331"/>
      <c r="BF124" s="331"/>
      <c r="BG124" s="331"/>
      <c r="BH124" s="331"/>
      <c r="BI124" s="659">
        <v>5.1999999999999998E-2</v>
      </c>
      <c r="BJ124" s="331"/>
      <c r="BK124" s="331"/>
      <c r="BL124" s="331"/>
      <c r="BM124" s="331"/>
      <c r="BN124" s="659">
        <v>5.1999999999999998E-2</v>
      </c>
      <c r="BO124" s="331"/>
      <c r="BP124" s="331"/>
      <c r="BQ124" s="331"/>
      <c r="BR124" s="331"/>
      <c r="BS124" s="659">
        <v>5.1999999999999998E-2</v>
      </c>
      <c r="BT124" s="331"/>
      <c r="BU124" s="331"/>
      <c r="BV124" s="331"/>
      <c r="BW124" s="331"/>
      <c r="BX124" s="659">
        <v>5.1999999999999998E-2</v>
      </c>
      <c r="BY124" s="331"/>
      <c r="BZ124" s="331"/>
      <c r="CA124" s="331"/>
      <c r="CB124" s="331"/>
      <c r="CC124" s="659">
        <v>5.1999999999999998E-2</v>
      </c>
      <c r="CD124" s="659">
        <v>5.1999999999999998E-2</v>
      </c>
      <c r="CE124" s="659">
        <v>5.1999999999999998E-2</v>
      </c>
      <c r="CF124" s="659">
        <v>5.1999999999999998E-2</v>
      </c>
      <c r="CG124" s="659">
        <v>5.1999999999999998E-2</v>
      </c>
      <c r="CH124" s="659">
        <v>5.1999999999999998E-2</v>
      </c>
    </row>
    <row r="125" spans="1:86" s="76" customFormat="1" ht="13.5">
      <c r="A125" s="85"/>
      <c r="B125" s="85"/>
      <c r="C125" s="85"/>
      <c r="D125" s="85"/>
      <c r="E125" s="85"/>
      <c r="F125" s="85"/>
      <c r="G125" s="85"/>
      <c r="H125" s="649" t="s">
        <v>686</v>
      </c>
      <c r="I125" s="649"/>
      <c r="J125" s="649"/>
      <c r="K125" s="649"/>
      <c r="L125" s="651"/>
      <c r="M125" s="651"/>
      <c r="N125" s="651"/>
      <c r="O125" s="651"/>
      <c r="P125" s="652"/>
      <c r="Q125" s="651"/>
      <c r="R125" s="651"/>
      <c r="S125" s="651"/>
      <c r="T125" s="651"/>
      <c r="U125" s="652"/>
      <c r="V125" s="651"/>
      <c r="W125" s="651"/>
      <c r="X125" s="651"/>
      <c r="Y125" s="651"/>
      <c r="Z125" s="652"/>
      <c r="AA125" s="651"/>
      <c r="AB125" s="651"/>
      <c r="AC125" s="651"/>
      <c r="AD125" s="651"/>
      <c r="AE125" s="652"/>
      <c r="AF125" s="651"/>
      <c r="AG125" s="651"/>
      <c r="AH125" s="651"/>
      <c r="AI125" s="651"/>
      <c r="AJ125" s="652">
        <f>AJ124*AVERAGE(AJ123, AE123)</f>
        <v>52</v>
      </c>
      <c r="AK125" s="651"/>
      <c r="AL125" s="651"/>
      <c r="AM125" s="651"/>
      <c r="AN125" s="651"/>
      <c r="AO125" s="652">
        <f>AO124*AVERAGE(AO123, AJ123)</f>
        <v>52</v>
      </c>
      <c r="AP125" s="651"/>
      <c r="AQ125" s="651"/>
      <c r="AR125" s="651"/>
      <c r="AS125" s="651"/>
      <c r="AT125" s="652">
        <f>AT124*AVERAGE(AT123, AO123)</f>
        <v>52</v>
      </c>
      <c r="AU125" s="651"/>
      <c r="AV125" s="651"/>
      <c r="AW125" s="651"/>
      <c r="AX125" s="651"/>
      <c r="AY125" s="652">
        <f>AY124*AVERAGE(AY123, AT123)</f>
        <v>52</v>
      </c>
      <c r="AZ125" s="651"/>
      <c r="BA125" s="651"/>
      <c r="BB125" s="651"/>
      <c r="BC125" s="651"/>
      <c r="BD125" s="652">
        <f>BD124*AVERAGE(BD123, AY123)</f>
        <v>52</v>
      </c>
      <c r="BE125" s="651"/>
      <c r="BF125" s="651"/>
      <c r="BG125" s="651"/>
      <c r="BH125" s="651"/>
      <c r="BI125" s="652">
        <f>BI124*AVERAGE(BI123, BD123)</f>
        <v>52</v>
      </c>
      <c r="BJ125" s="651"/>
      <c r="BK125" s="651"/>
      <c r="BL125" s="651"/>
      <c r="BM125" s="651"/>
      <c r="BN125" s="652">
        <f>BN124*AVERAGE(BN123, BI123)</f>
        <v>52</v>
      </c>
      <c r="BO125" s="651"/>
      <c r="BP125" s="651"/>
      <c r="BQ125" s="651"/>
      <c r="BR125" s="651"/>
      <c r="BS125" s="652">
        <f>BS124*AVERAGE(BS123, BN123)</f>
        <v>52</v>
      </c>
      <c r="BT125" s="651"/>
      <c r="BU125" s="651"/>
      <c r="BV125" s="651"/>
      <c r="BW125" s="651"/>
      <c r="BX125" s="652">
        <f>BX124*AVERAGE(BX123, BS123)</f>
        <v>26</v>
      </c>
      <c r="BY125" s="651"/>
      <c r="BZ125" s="651"/>
      <c r="CA125" s="651"/>
      <c r="CB125" s="651"/>
      <c r="CC125" s="652">
        <f>CC124*AVERAGE(CC123, BX123)</f>
        <v>0</v>
      </c>
      <c r="CD125" s="652">
        <f>CD124*AVERAGE(CD123, CC123)</f>
        <v>0</v>
      </c>
      <c r="CE125" s="652">
        <f>CE124*AVERAGE(CE123, CD123)</f>
        <v>0</v>
      </c>
      <c r="CF125" s="652">
        <f>CF124*AVERAGE(CF123, CE123)</f>
        <v>0</v>
      </c>
      <c r="CG125" s="652">
        <f>CG124*AVERAGE(CG123, CF123)</f>
        <v>0</v>
      </c>
      <c r="CH125" s="652">
        <f>CH124*AVERAGE(CH123, CG123)</f>
        <v>0</v>
      </c>
    </row>
    <row r="126" spans="1:86" s="76" customFormat="1" ht="13.5">
      <c r="A126" s="85"/>
      <c r="B126" s="85"/>
      <c r="C126" s="85"/>
      <c r="D126" s="85"/>
      <c r="E126" s="85"/>
      <c r="F126" s="85"/>
      <c r="G126" s="85"/>
      <c r="H126" s="649"/>
      <c r="I126" s="649"/>
      <c r="J126" s="649"/>
      <c r="K126" s="649"/>
      <c r="L126" s="650"/>
      <c r="M126" s="650"/>
      <c r="N126" s="650"/>
      <c r="O126" s="650"/>
      <c r="P126" s="649"/>
      <c r="Q126" s="650"/>
      <c r="R126" s="650"/>
      <c r="S126" s="650"/>
      <c r="T126" s="650"/>
      <c r="U126" s="649"/>
      <c r="V126" s="650"/>
      <c r="W126" s="650"/>
      <c r="X126" s="650"/>
      <c r="Y126" s="650"/>
      <c r="Z126" s="649"/>
      <c r="AA126" s="650"/>
      <c r="AB126" s="650"/>
      <c r="AC126" s="650"/>
      <c r="AD126" s="650"/>
      <c r="AE126" s="649"/>
      <c r="AF126" s="650"/>
      <c r="AG126" s="650"/>
      <c r="AH126" s="650"/>
      <c r="AI126" s="650"/>
      <c r="AJ126" s="649"/>
      <c r="AK126" s="650"/>
      <c r="AL126" s="650"/>
      <c r="AM126" s="650"/>
      <c r="AN126" s="650"/>
      <c r="AO126" s="649"/>
      <c r="AP126" s="650"/>
      <c r="AQ126" s="650"/>
      <c r="AR126" s="650"/>
      <c r="AS126" s="650"/>
      <c r="AT126" s="649"/>
      <c r="AU126" s="650"/>
      <c r="AV126" s="650"/>
      <c r="AW126" s="650"/>
      <c r="AX126" s="650"/>
      <c r="AY126" s="649"/>
      <c r="AZ126" s="650"/>
      <c r="BA126" s="650"/>
      <c r="BB126" s="650"/>
      <c r="BC126" s="650"/>
      <c r="BD126" s="649"/>
      <c r="BE126" s="650"/>
      <c r="BF126" s="650"/>
      <c r="BG126" s="650"/>
      <c r="BH126" s="650"/>
      <c r="BI126" s="649"/>
      <c r="BJ126" s="650"/>
      <c r="BK126" s="650"/>
      <c r="BL126" s="650"/>
      <c r="BM126" s="650"/>
      <c r="BN126" s="649"/>
      <c r="BO126" s="650"/>
      <c r="BP126" s="650"/>
      <c r="BQ126" s="650"/>
      <c r="BR126" s="650"/>
      <c r="BS126" s="649"/>
      <c r="BT126" s="650"/>
      <c r="BU126" s="650"/>
      <c r="BV126" s="650"/>
      <c r="BW126" s="650"/>
      <c r="BX126" s="649"/>
      <c r="BY126" s="650"/>
      <c r="BZ126" s="650"/>
      <c r="CA126" s="650"/>
      <c r="CB126" s="650"/>
      <c r="CC126" s="649"/>
      <c r="CD126" s="649"/>
      <c r="CE126" s="649"/>
      <c r="CF126" s="649"/>
      <c r="CG126" s="649"/>
      <c r="CH126" s="649"/>
    </row>
    <row r="127" spans="1:86" s="76" customFormat="1" ht="13.5">
      <c r="A127" s="85"/>
      <c r="B127" s="85"/>
      <c r="C127" s="85"/>
      <c r="D127" s="85"/>
      <c r="E127" s="85"/>
      <c r="F127" s="85"/>
      <c r="G127" s="85"/>
      <c r="H127" s="658" t="s">
        <v>618</v>
      </c>
      <c r="I127" s="658"/>
      <c r="J127" s="658"/>
      <c r="K127" s="658"/>
      <c r="L127" s="658"/>
      <c r="M127" s="658"/>
      <c r="N127" s="658"/>
      <c r="O127" s="658"/>
      <c r="P127" s="658"/>
      <c r="Q127" s="658"/>
      <c r="R127" s="658"/>
      <c r="S127" s="658"/>
      <c r="T127" s="658"/>
      <c r="U127" s="658"/>
      <c r="V127" s="658"/>
      <c r="W127" s="658"/>
      <c r="X127" s="658"/>
      <c r="Y127" s="658"/>
      <c r="Z127" s="658"/>
      <c r="AA127" s="658"/>
      <c r="AB127" s="658"/>
      <c r="AC127" s="658"/>
      <c r="AD127" s="658"/>
      <c r="AE127" s="658"/>
      <c r="AF127" s="658"/>
      <c r="AG127" s="658"/>
      <c r="AH127" s="658"/>
      <c r="AI127" s="658"/>
      <c r="AJ127" s="658"/>
      <c r="AK127" s="658"/>
      <c r="AL127" s="658"/>
      <c r="AM127" s="658"/>
      <c r="AN127" s="658"/>
      <c r="AO127" s="658"/>
      <c r="AP127" s="658"/>
      <c r="AQ127" s="658"/>
      <c r="AR127" s="658"/>
      <c r="AS127" s="658"/>
      <c r="AT127" s="658"/>
      <c r="AU127" s="658"/>
      <c r="AV127" s="658"/>
      <c r="AW127" s="658"/>
      <c r="AX127" s="658"/>
      <c r="AY127" s="658"/>
      <c r="AZ127" s="658"/>
      <c r="BA127" s="658"/>
      <c r="BB127" s="658"/>
      <c r="BC127" s="658"/>
      <c r="BD127" s="658"/>
      <c r="BE127" s="658"/>
      <c r="BF127" s="658"/>
      <c r="BG127" s="658"/>
      <c r="BH127" s="658"/>
      <c r="BI127" s="658"/>
      <c r="BJ127" s="658"/>
      <c r="BK127" s="658"/>
      <c r="BL127" s="658"/>
      <c r="BM127" s="658"/>
      <c r="BN127" s="658"/>
      <c r="BO127" s="658"/>
      <c r="BP127" s="658"/>
      <c r="BQ127" s="658"/>
      <c r="BR127" s="658"/>
      <c r="BS127" s="658"/>
      <c r="BT127" s="658"/>
      <c r="BU127" s="658"/>
      <c r="BV127" s="658"/>
      <c r="BW127" s="658"/>
      <c r="BX127" s="658"/>
      <c r="BY127" s="658"/>
      <c r="BZ127" s="658"/>
      <c r="CA127" s="658"/>
      <c r="CB127" s="658"/>
      <c r="CC127" s="658"/>
      <c r="CD127" s="658"/>
      <c r="CE127" s="658"/>
      <c r="CF127" s="658"/>
      <c r="CG127" s="658"/>
      <c r="CH127" s="658"/>
    </row>
    <row r="128" spans="1:86" s="76" customFormat="1" ht="13.5">
      <c r="A128" s="85"/>
      <c r="B128" s="85"/>
      <c r="C128" s="85"/>
      <c r="D128" s="85"/>
      <c r="E128" s="85"/>
      <c r="F128" s="85"/>
      <c r="G128" s="85"/>
      <c r="H128" s="649" t="s">
        <v>441</v>
      </c>
      <c r="I128" s="649"/>
      <c r="J128" s="649"/>
      <c r="K128" s="649"/>
      <c r="L128" s="651"/>
      <c r="M128" s="651"/>
      <c r="N128" s="651"/>
      <c r="O128" s="651"/>
      <c r="P128" s="652"/>
      <c r="Q128" s="651"/>
      <c r="R128" s="651"/>
      <c r="S128" s="651"/>
      <c r="T128" s="651"/>
      <c r="U128" s="652"/>
      <c r="V128" s="651"/>
      <c r="W128" s="651"/>
      <c r="X128" s="651"/>
      <c r="Y128" s="651"/>
      <c r="Z128" s="652"/>
      <c r="AA128" s="651"/>
      <c r="AB128" s="651"/>
      <c r="AC128" s="651"/>
      <c r="AD128" s="651"/>
      <c r="AE128" s="652"/>
      <c r="AF128" s="651"/>
      <c r="AG128" s="651"/>
      <c r="AH128" s="651"/>
      <c r="AI128" s="651"/>
      <c r="AJ128" s="652">
        <f>AE130</f>
        <v>200</v>
      </c>
      <c r="AK128" s="651"/>
      <c r="AL128" s="651"/>
      <c r="AM128" s="651"/>
      <c r="AN128" s="651"/>
      <c r="AO128" s="652">
        <f>AJ130</f>
        <v>200</v>
      </c>
      <c r="AP128" s="651"/>
      <c r="AQ128" s="651"/>
      <c r="AR128" s="651"/>
      <c r="AS128" s="651"/>
      <c r="AT128" s="652">
        <f>AO130</f>
        <v>200</v>
      </c>
      <c r="AU128" s="651"/>
      <c r="AV128" s="651"/>
      <c r="AW128" s="651"/>
      <c r="AX128" s="651"/>
      <c r="AY128" s="652">
        <f>AT130</f>
        <v>200</v>
      </c>
      <c r="AZ128" s="651"/>
      <c r="BA128" s="651"/>
      <c r="BB128" s="651"/>
      <c r="BC128" s="651"/>
      <c r="BD128" s="652">
        <f>AY130</f>
        <v>200</v>
      </c>
      <c r="BE128" s="651"/>
      <c r="BF128" s="651"/>
      <c r="BG128" s="651"/>
      <c r="BH128" s="651"/>
      <c r="BI128" s="652">
        <f>BD130</f>
        <v>200</v>
      </c>
      <c r="BJ128" s="651"/>
      <c r="BK128" s="651"/>
      <c r="BL128" s="651"/>
      <c r="BM128" s="651"/>
      <c r="BN128" s="652">
        <f>BI130</f>
        <v>200</v>
      </c>
      <c r="BO128" s="651"/>
      <c r="BP128" s="651"/>
      <c r="BQ128" s="651"/>
      <c r="BR128" s="651"/>
      <c r="BS128" s="652">
        <f>BN130</f>
        <v>200</v>
      </c>
      <c r="BT128" s="651"/>
      <c r="BU128" s="651"/>
      <c r="BV128" s="651"/>
      <c r="BW128" s="651"/>
      <c r="BX128" s="652">
        <f>BS130</f>
        <v>200</v>
      </c>
      <c r="BY128" s="651"/>
      <c r="BZ128" s="651"/>
      <c r="CA128" s="651"/>
      <c r="CB128" s="651"/>
      <c r="CC128" s="652">
        <f>BX130</f>
        <v>200</v>
      </c>
      <c r="CD128" s="652">
        <f>CC130</f>
        <v>0</v>
      </c>
      <c r="CE128" s="652">
        <f>CD130</f>
        <v>0</v>
      </c>
      <c r="CF128" s="652">
        <f>CE130</f>
        <v>0</v>
      </c>
      <c r="CG128" s="652">
        <f>CF130</f>
        <v>0</v>
      </c>
      <c r="CH128" s="652">
        <f>CG130</f>
        <v>0</v>
      </c>
    </row>
    <row r="129" spans="1:86" s="76" customFormat="1" ht="13.5">
      <c r="A129" s="85"/>
      <c r="B129" s="85"/>
      <c r="C129" s="85"/>
      <c r="D129" s="85"/>
      <c r="E129" s="85"/>
      <c r="F129" s="85"/>
      <c r="G129" s="85"/>
      <c r="H129" s="649" t="s">
        <v>606</v>
      </c>
      <c r="I129" s="649"/>
      <c r="J129" s="649"/>
      <c r="K129" s="649"/>
      <c r="L129" s="653"/>
      <c r="M129" s="653"/>
      <c r="N129" s="653"/>
      <c r="O129" s="653"/>
      <c r="P129" s="654"/>
      <c r="Q129" s="653"/>
      <c r="R129" s="653"/>
      <c r="S129" s="653"/>
      <c r="T129" s="653"/>
      <c r="U129" s="654"/>
      <c r="V129" s="653"/>
      <c r="W129" s="653"/>
      <c r="X129" s="653"/>
      <c r="Y129" s="653"/>
      <c r="Z129" s="654"/>
      <c r="AA129" s="653"/>
      <c r="AB129" s="653"/>
      <c r="AC129" s="653"/>
      <c r="AD129" s="653"/>
      <c r="AE129" s="652"/>
      <c r="AF129" s="653"/>
      <c r="AG129" s="653"/>
      <c r="AH129" s="653"/>
      <c r="AI129" s="653"/>
      <c r="AJ129" s="654">
        <v>0</v>
      </c>
      <c r="AK129" s="653"/>
      <c r="AL129" s="653"/>
      <c r="AM129" s="653"/>
      <c r="AN129" s="653"/>
      <c r="AO129" s="654">
        <v>0</v>
      </c>
      <c r="AP129" s="653"/>
      <c r="AQ129" s="653"/>
      <c r="AR129" s="653"/>
      <c r="AS129" s="653"/>
      <c r="AT129" s="654">
        <v>0</v>
      </c>
      <c r="AU129" s="653"/>
      <c r="AV129" s="653"/>
      <c r="AW129" s="653"/>
      <c r="AX129" s="653"/>
      <c r="AY129" s="654">
        <v>0</v>
      </c>
      <c r="AZ129" s="653"/>
      <c r="BA129" s="653"/>
      <c r="BB129" s="653"/>
      <c r="BC129" s="653"/>
      <c r="BD129" s="654">
        <v>0</v>
      </c>
      <c r="BE129" s="653"/>
      <c r="BF129" s="653"/>
      <c r="BG129" s="653"/>
      <c r="BH129" s="653"/>
      <c r="BI129" s="654">
        <v>0</v>
      </c>
      <c r="BJ129" s="653"/>
      <c r="BK129" s="653"/>
      <c r="BL129" s="653"/>
      <c r="BM129" s="653"/>
      <c r="BN129" s="654">
        <v>0</v>
      </c>
      <c r="BO129" s="653"/>
      <c r="BP129" s="653"/>
      <c r="BQ129" s="653"/>
      <c r="BR129" s="653"/>
      <c r="BS129" s="654">
        <v>0</v>
      </c>
      <c r="BT129" s="653"/>
      <c r="BU129" s="653"/>
      <c r="BV129" s="653"/>
      <c r="BW129" s="653"/>
      <c r="BX129" s="654">
        <v>0</v>
      </c>
      <c r="BY129" s="653"/>
      <c r="BZ129" s="653"/>
      <c r="CA129" s="653"/>
      <c r="CB129" s="653"/>
      <c r="CC129" s="654">
        <v>-200</v>
      </c>
      <c r="CD129" s="654">
        <v>0</v>
      </c>
      <c r="CE129" s="654">
        <v>0</v>
      </c>
      <c r="CF129" s="654">
        <v>0</v>
      </c>
      <c r="CG129" s="654">
        <v>0</v>
      </c>
      <c r="CH129" s="654">
        <v>0</v>
      </c>
    </row>
    <row r="130" spans="1:86" s="76" customFormat="1" ht="13.5">
      <c r="A130" s="85"/>
      <c r="B130" s="85"/>
      <c r="C130" s="85"/>
      <c r="D130" s="85"/>
      <c r="E130" s="85"/>
      <c r="F130" s="85"/>
      <c r="G130" s="85"/>
      <c r="H130" s="649" t="s">
        <v>397</v>
      </c>
      <c r="I130" s="649"/>
      <c r="J130" s="649"/>
      <c r="K130" s="649"/>
      <c r="L130" s="651"/>
      <c r="M130" s="651"/>
      <c r="N130" s="651"/>
      <c r="O130" s="651"/>
      <c r="P130" s="652"/>
      <c r="Q130" s="651"/>
      <c r="R130" s="651"/>
      <c r="S130" s="651"/>
      <c r="T130" s="651"/>
      <c r="U130" s="652"/>
      <c r="V130" s="651"/>
      <c r="W130" s="651"/>
      <c r="X130" s="651"/>
      <c r="Y130" s="651"/>
      <c r="Z130" s="655"/>
      <c r="AA130" s="651"/>
      <c r="AB130" s="651"/>
      <c r="AC130" s="651"/>
      <c r="AD130" s="651"/>
      <c r="AE130" s="655">
        <v>200</v>
      </c>
      <c r="AF130" s="651"/>
      <c r="AG130" s="651"/>
      <c r="AH130" s="651"/>
      <c r="AI130" s="651"/>
      <c r="AJ130" s="652">
        <f>AJ128+AJ129</f>
        <v>200</v>
      </c>
      <c r="AK130" s="651"/>
      <c r="AL130" s="651"/>
      <c r="AM130" s="651"/>
      <c r="AN130" s="651"/>
      <c r="AO130" s="652">
        <f>AO128+AO129</f>
        <v>200</v>
      </c>
      <c r="AP130" s="651"/>
      <c r="AQ130" s="651"/>
      <c r="AR130" s="651"/>
      <c r="AS130" s="651"/>
      <c r="AT130" s="652">
        <f>AT128+AT129</f>
        <v>200</v>
      </c>
      <c r="AU130" s="651"/>
      <c r="AV130" s="651"/>
      <c r="AW130" s="651"/>
      <c r="AX130" s="651"/>
      <c r="AY130" s="652">
        <f>AY128+AY129</f>
        <v>200</v>
      </c>
      <c r="AZ130" s="651"/>
      <c r="BA130" s="651"/>
      <c r="BB130" s="651"/>
      <c r="BC130" s="651"/>
      <c r="BD130" s="652">
        <f>BD128+BD129</f>
        <v>200</v>
      </c>
      <c r="BE130" s="651"/>
      <c r="BF130" s="651"/>
      <c r="BG130" s="651"/>
      <c r="BH130" s="651"/>
      <c r="BI130" s="652">
        <f>BI128+BI129</f>
        <v>200</v>
      </c>
      <c r="BJ130" s="651"/>
      <c r="BK130" s="651"/>
      <c r="BL130" s="651"/>
      <c r="BM130" s="651"/>
      <c r="BN130" s="652">
        <f>BN128+BN129</f>
        <v>200</v>
      </c>
      <c r="BO130" s="651"/>
      <c r="BP130" s="651"/>
      <c r="BQ130" s="651"/>
      <c r="BR130" s="651"/>
      <c r="BS130" s="652">
        <f>BS128+BS129</f>
        <v>200</v>
      </c>
      <c r="BT130" s="651"/>
      <c r="BU130" s="651"/>
      <c r="BV130" s="651"/>
      <c r="BW130" s="651"/>
      <c r="BX130" s="652">
        <f>BX128+BX129</f>
        <v>200</v>
      </c>
      <c r="BY130" s="651"/>
      <c r="BZ130" s="651"/>
      <c r="CA130" s="651"/>
      <c r="CB130" s="651"/>
      <c r="CC130" s="652">
        <f t="shared" ref="CC130:CH130" si="18">CC128+CC129</f>
        <v>0</v>
      </c>
      <c r="CD130" s="652">
        <f t="shared" si="18"/>
        <v>0</v>
      </c>
      <c r="CE130" s="652">
        <f t="shared" si="18"/>
        <v>0</v>
      </c>
      <c r="CF130" s="652">
        <f t="shared" si="18"/>
        <v>0</v>
      </c>
      <c r="CG130" s="652">
        <f t="shared" si="18"/>
        <v>0</v>
      </c>
      <c r="CH130" s="652">
        <f t="shared" si="18"/>
        <v>0</v>
      </c>
    </row>
    <row r="131" spans="1:86" s="76" customFormat="1" ht="13.5">
      <c r="A131" s="85"/>
      <c r="B131" s="85"/>
      <c r="C131" s="85"/>
      <c r="D131" s="85"/>
      <c r="E131" s="85"/>
      <c r="F131" s="85"/>
      <c r="G131" s="85"/>
      <c r="H131" s="48" t="s">
        <v>398</v>
      </c>
      <c r="I131" s="48"/>
      <c r="J131" s="48"/>
      <c r="K131" s="48"/>
      <c r="L131" s="331"/>
      <c r="M131" s="331"/>
      <c r="N131" s="331"/>
      <c r="O131" s="331"/>
      <c r="P131" s="337"/>
      <c r="Q131" s="331"/>
      <c r="R131" s="331"/>
      <c r="S131" s="331"/>
      <c r="T131" s="331"/>
      <c r="U131" s="337"/>
      <c r="V131" s="331"/>
      <c r="W131" s="331"/>
      <c r="X131" s="331"/>
      <c r="Y131" s="331"/>
      <c r="Z131" s="337"/>
      <c r="AA131" s="331"/>
      <c r="AB131" s="331"/>
      <c r="AC131" s="331"/>
      <c r="AD131" s="331"/>
      <c r="AE131" s="659"/>
      <c r="AF131" s="331"/>
      <c r="AG131" s="331"/>
      <c r="AH131" s="331"/>
      <c r="AI131" s="331"/>
      <c r="AJ131" s="659">
        <v>4.4999999999999998E-2</v>
      </c>
      <c r="AK131" s="331"/>
      <c r="AL131" s="331"/>
      <c r="AM131" s="331"/>
      <c r="AN131" s="331"/>
      <c r="AO131" s="659">
        <v>4.4999999999999998E-2</v>
      </c>
      <c r="AP131" s="331"/>
      <c r="AQ131" s="331"/>
      <c r="AR131" s="331"/>
      <c r="AS131" s="331"/>
      <c r="AT131" s="659">
        <v>4.4999999999999998E-2</v>
      </c>
      <c r="AU131" s="331"/>
      <c r="AV131" s="331"/>
      <c r="AW131" s="331"/>
      <c r="AX131" s="331"/>
      <c r="AY131" s="659">
        <v>4.4999999999999998E-2</v>
      </c>
      <c r="AZ131" s="331"/>
      <c r="BA131" s="331"/>
      <c r="BB131" s="331"/>
      <c r="BC131" s="331"/>
      <c r="BD131" s="659">
        <v>4.4999999999999998E-2</v>
      </c>
      <c r="BE131" s="331"/>
      <c r="BF131" s="331"/>
      <c r="BG131" s="331"/>
      <c r="BH131" s="331"/>
      <c r="BI131" s="659">
        <v>4.4999999999999998E-2</v>
      </c>
      <c r="BJ131" s="331"/>
      <c r="BK131" s="331"/>
      <c r="BL131" s="331"/>
      <c r="BM131" s="331"/>
      <c r="BN131" s="659">
        <v>4.4999999999999998E-2</v>
      </c>
      <c r="BO131" s="331"/>
      <c r="BP131" s="331"/>
      <c r="BQ131" s="331"/>
      <c r="BR131" s="331"/>
      <c r="BS131" s="659">
        <v>4.4999999999999998E-2</v>
      </c>
      <c r="BT131" s="331"/>
      <c r="BU131" s="331"/>
      <c r="BV131" s="331"/>
      <c r="BW131" s="331"/>
      <c r="BX131" s="659">
        <v>4.4999999999999998E-2</v>
      </c>
      <c r="BY131" s="331"/>
      <c r="BZ131" s="331"/>
      <c r="CA131" s="331"/>
      <c r="CB131" s="331"/>
      <c r="CC131" s="659">
        <v>4.4999999999999998E-2</v>
      </c>
      <c r="CD131" s="659">
        <v>4.4999999999999998E-2</v>
      </c>
      <c r="CE131" s="659">
        <v>4.4999999999999998E-2</v>
      </c>
      <c r="CF131" s="659">
        <v>4.4999999999999998E-2</v>
      </c>
      <c r="CG131" s="659">
        <v>4.4999999999999998E-2</v>
      </c>
      <c r="CH131" s="659">
        <v>4.4999999999999998E-2</v>
      </c>
    </row>
    <row r="132" spans="1:86" s="76" customFormat="1" ht="13.5">
      <c r="A132" s="85"/>
      <c r="B132" s="85"/>
      <c r="C132" s="85"/>
      <c r="D132" s="85"/>
      <c r="E132" s="85"/>
      <c r="F132" s="85"/>
      <c r="G132" s="85"/>
      <c r="H132" s="649" t="s">
        <v>686</v>
      </c>
      <c r="I132" s="649"/>
      <c r="J132" s="649"/>
      <c r="K132" s="649"/>
      <c r="L132" s="651"/>
      <c r="M132" s="651"/>
      <c r="N132" s="651"/>
      <c r="O132" s="651"/>
      <c r="P132" s="652"/>
      <c r="Q132" s="651"/>
      <c r="R132" s="651"/>
      <c r="S132" s="651"/>
      <c r="T132" s="651"/>
      <c r="U132" s="652"/>
      <c r="V132" s="651"/>
      <c r="W132" s="651"/>
      <c r="X132" s="651"/>
      <c r="Y132" s="651"/>
      <c r="Z132" s="652"/>
      <c r="AA132" s="651"/>
      <c r="AB132" s="651"/>
      <c r="AC132" s="651"/>
      <c r="AD132" s="651"/>
      <c r="AE132" s="652"/>
      <c r="AF132" s="651"/>
      <c r="AG132" s="651"/>
      <c r="AH132" s="651"/>
      <c r="AI132" s="651"/>
      <c r="AJ132" s="652">
        <f>AJ131*AVERAGE(AJ130, AE130)</f>
        <v>9</v>
      </c>
      <c r="AK132" s="651"/>
      <c r="AL132" s="651"/>
      <c r="AM132" s="651"/>
      <c r="AN132" s="651"/>
      <c r="AO132" s="652">
        <f>AO131*AVERAGE(AO130, AJ130)</f>
        <v>9</v>
      </c>
      <c r="AP132" s="651"/>
      <c r="AQ132" s="651"/>
      <c r="AR132" s="651"/>
      <c r="AS132" s="651"/>
      <c r="AT132" s="652">
        <f>AT131*AVERAGE(AT130, AO130)</f>
        <v>9</v>
      </c>
      <c r="AU132" s="651"/>
      <c r="AV132" s="651"/>
      <c r="AW132" s="651"/>
      <c r="AX132" s="651"/>
      <c r="AY132" s="652">
        <f>AY131*AVERAGE(AY130, AT130)</f>
        <v>9</v>
      </c>
      <c r="AZ132" s="651"/>
      <c r="BA132" s="651"/>
      <c r="BB132" s="651"/>
      <c r="BC132" s="651"/>
      <c r="BD132" s="652">
        <f>BD131*AVERAGE(BD130, AY130)</f>
        <v>9</v>
      </c>
      <c r="BE132" s="651"/>
      <c r="BF132" s="651"/>
      <c r="BG132" s="651"/>
      <c r="BH132" s="651"/>
      <c r="BI132" s="652">
        <f>BI131*AVERAGE(BI130, BD130)</f>
        <v>9</v>
      </c>
      <c r="BJ132" s="651"/>
      <c r="BK132" s="651"/>
      <c r="BL132" s="651"/>
      <c r="BM132" s="651"/>
      <c r="BN132" s="652">
        <f>BN131*AVERAGE(BN130, BI130)</f>
        <v>9</v>
      </c>
      <c r="BO132" s="651"/>
      <c r="BP132" s="651"/>
      <c r="BQ132" s="651"/>
      <c r="BR132" s="651"/>
      <c r="BS132" s="652">
        <f>BS131*AVERAGE(BS130, BN130)</f>
        <v>9</v>
      </c>
      <c r="BT132" s="651"/>
      <c r="BU132" s="651"/>
      <c r="BV132" s="651"/>
      <c r="BW132" s="651"/>
      <c r="BX132" s="652">
        <f>BX131*AVERAGE(BX130, BS130)</f>
        <v>9</v>
      </c>
      <c r="BY132" s="651"/>
      <c r="BZ132" s="651"/>
      <c r="CA132" s="651"/>
      <c r="CB132" s="651"/>
      <c r="CC132" s="652">
        <f>CC131*AVERAGE(CC130, BX130)</f>
        <v>4.5</v>
      </c>
      <c r="CD132" s="652">
        <f>CD131*AVERAGE(CD130, CC130)</f>
        <v>0</v>
      </c>
      <c r="CE132" s="652">
        <f>CE131*AVERAGE(CE130, CD130)</f>
        <v>0</v>
      </c>
      <c r="CF132" s="652">
        <f>CF131*AVERAGE(CF130, CE130)</f>
        <v>0</v>
      </c>
      <c r="CG132" s="652">
        <f>CG131*AVERAGE(CG130, CF130)</f>
        <v>0</v>
      </c>
      <c r="CH132" s="652">
        <f>CH131*AVERAGE(CH130, CG130)</f>
        <v>0</v>
      </c>
    </row>
    <row r="133" spans="1:86" s="76" customFormat="1" ht="13.5">
      <c r="A133" s="85"/>
      <c r="B133" s="85"/>
      <c r="C133" s="85"/>
      <c r="D133" s="85"/>
      <c r="E133" s="85"/>
      <c r="F133" s="85"/>
      <c r="G133" s="85"/>
      <c r="H133" s="649"/>
      <c r="I133" s="649"/>
      <c r="J133" s="649"/>
      <c r="K133" s="649"/>
      <c r="L133" s="650"/>
      <c r="M133" s="650"/>
      <c r="N133" s="650"/>
      <c r="O133" s="650"/>
      <c r="P133" s="649"/>
      <c r="Q133" s="650"/>
      <c r="R133" s="650"/>
      <c r="S133" s="650"/>
      <c r="T133" s="650"/>
      <c r="U133" s="649"/>
      <c r="V133" s="650"/>
      <c r="W133" s="650"/>
      <c r="X133" s="650"/>
      <c r="Y133" s="650"/>
      <c r="Z133" s="649"/>
      <c r="AA133" s="650"/>
      <c r="AB133" s="650"/>
      <c r="AC133" s="650"/>
      <c r="AD133" s="650"/>
      <c r="AE133" s="649"/>
      <c r="AF133" s="650"/>
      <c r="AG133" s="650"/>
      <c r="AH133" s="650"/>
      <c r="AI133" s="650"/>
      <c r="AJ133" s="649"/>
      <c r="AK133" s="650"/>
      <c r="AL133" s="650"/>
      <c r="AM133" s="650"/>
      <c r="AN133" s="650"/>
      <c r="AO133" s="649"/>
      <c r="AP133" s="650"/>
      <c r="AQ133" s="650"/>
      <c r="AR133" s="650"/>
      <c r="AS133" s="650"/>
      <c r="AT133" s="649"/>
      <c r="AU133" s="650"/>
      <c r="AV133" s="650"/>
      <c r="AW133" s="650"/>
      <c r="AX133" s="650"/>
      <c r="AY133" s="649"/>
      <c r="AZ133" s="650"/>
      <c r="BA133" s="650"/>
      <c r="BB133" s="650"/>
      <c r="BC133" s="650"/>
      <c r="BD133" s="649"/>
      <c r="BE133" s="650"/>
      <c r="BF133" s="650"/>
      <c r="BG133" s="650"/>
      <c r="BH133" s="650"/>
      <c r="BI133" s="649"/>
      <c r="BJ133" s="650"/>
      <c r="BK133" s="650"/>
      <c r="BL133" s="650"/>
      <c r="BM133" s="650"/>
      <c r="BN133" s="649"/>
      <c r="BO133" s="650"/>
      <c r="BP133" s="650"/>
      <c r="BQ133" s="650"/>
      <c r="BR133" s="650"/>
      <c r="BS133" s="649"/>
      <c r="BT133" s="650"/>
      <c r="BU133" s="650"/>
      <c r="BV133" s="650"/>
      <c r="BW133" s="650"/>
      <c r="BX133" s="649"/>
      <c r="BY133" s="650"/>
      <c r="BZ133" s="650"/>
      <c r="CA133" s="650"/>
      <c r="CB133" s="650"/>
      <c r="CC133" s="649"/>
      <c r="CD133" s="649"/>
      <c r="CE133" s="649"/>
      <c r="CF133" s="649"/>
      <c r="CG133" s="649"/>
      <c r="CH133" s="649"/>
    </row>
    <row r="134" spans="1:86" s="76" customFormat="1" ht="13.5">
      <c r="A134" s="85"/>
      <c r="B134" s="85"/>
      <c r="C134" s="85"/>
      <c r="D134" s="85"/>
      <c r="E134" s="85"/>
      <c r="F134" s="85"/>
      <c r="G134" s="85"/>
      <c r="H134" s="658" t="s">
        <v>716</v>
      </c>
      <c r="I134" s="658"/>
      <c r="J134" s="658"/>
      <c r="K134" s="658"/>
      <c r="L134" s="658"/>
      <c r="M134" s="658"/>
      <c r="N134" s="658"/>
      <c r="O134" s="658"/>
      <c r="P134" s="658"/>
      <c r="Q134" s="658"/>
      <c r="R134" s="658"/>
      <c r="S134" s="658"/>
      <c r="T134" s="658"/>
      <c r="U134" s="658"/>
      <c r="V134" s="658"/>
      <c r="W134" s="658"/>
      <c r="X134" s="658"/>
      <c r="Y134" s="658"/>
      <c r="Z134" s="658"/>
      <c r="AA134" s="658"/>
      <c r="AB134" s="658"/>
      <c r="AC134" s="658"/>
      <c r="AD134" s="658"/>
      <c r="AE134" s="658"/>
      <c r="AF134" s="658"/>
      <c r="AG134" s="658"/>
      <c r="AH134" s="658"/>
      <c r="AI134" s="658"/>
      <c r="AJ134" s="658"/>
      <c r="AK134" s="658"/>
      <c r="AL134" s="658"/>
      <c r="AM134" s="658"/>
      <c r="AN134" s="658"/>
      <c r="AO134" s="658"/>
      <c r="AP134" s="658"/>
      <c r="AQ134" s="658"/>
      <c r="AR134" s="658"/>
      <c r="AS134" s="658"/>
      <c r="AT134" s="658"/>
      <c r="AU134" s="658"/>
      <c r="AV134" s="658"/>
      <c r="AW134" s="658"/>
      <c r="AX134" s="658"/>
      <c r="AY134" s="658"/>
      <c r="AZ134" s="658"/>
      <c r="BA134" s="658"/>
      <c r="BB134" s="658"/>
      <c r="BC134" s="658"/>
      <c r="BD134" s="658"/>
      <c r="BE134" s="658"/>
      <c r="BF134" s="658"/>
      <c r="BG134" s="658"/>
      <c r="BH134" s="658"/>
      <c r="BI134" s="658"/>
      <c r="BJ134" s="658"/>
      <c r="BK134" s="658"/>
      <c r="BL134" s="658"/>
      <c r="BM134" s="658"/>
      <c r="BN134" s="658"/>
      <c r="BO134" s="658"/>
      <c r="BP134" s="658"/>
      <c r="BQ134" s="658"/>
      <c r="BR134" s="658"/>
      <c r="BS134" s="658"/>
      <c r="BT134" s="658"/>
      <c r="BU134" s="658"/>
      <c r="BV134" s="658"/>
      <c r="BW134" s="658"/>
      <c r="BX134" s="658"/>
      <c r="BY134" s="658"/>
      <c r="BZ134" s="658"/>
      <c r="CA134" s="658"/>
      <c r="CB134" s="658"/>
      <c r="CC134" s="658"/>
      <c r="CD134" s="658"/>
      <c r="CE134" s="658"/>
      <c r="CF134" s="658"/>
      <c r="CG134" s="658"/>
      <c r="CH134" s="658"/>
    </row>
    <row r="135" spans="1:86" s="76" customFormat="1" ht="13.5">
      <c r="A135" s="85"/>
      <c r="B135" s="85"/>
      <c r="C135" s="85"/>
      <c r="D135" s="85"/>
      <c r="E135" s="85"/>
      <c r="F135" s="85"/>
      <c r="G135" s="85"/>
      <c r="H135" s="649" t="s">
        <v>441</v>
      </c>
      <c r="I135" s="649"/>
      <c r="J135" s="649"/>
      <c r="K135" s="649"/>
      <c r="L135" s="651"/>
      <c r="M135" s="651"/>
      <c r="N135" s="651"/>
      <c r="O135" s="651"/>
      <c r="P135" s="652"/>
      <c r="Q135" s="651"/>
      <c r="R135" s="651"/>
      <c r="S135" s="651"/>
      <c r="T135" s="651"/>
      <c r="U135" s="652"/>
      <c r="V135" s="651"/>
      <c r="W135" s="651"/>
      <c r="X135" s="651"/>
      <c r="Y135" s="651"/>
      <c r="Z135" s="652"/>
      <c r="AA135" s="651"/>
      <c r="AB135" s="651"/>
      <c r="AC135" s="651"/>
      <c r="AD135" s="651"/>
      <c r="AE135" s="652"/>
      <c r="AF135" s="651"/>
      <c r="AG135" s="651"/>
      <c r="AH135" s="651"/>
      <c r="AI135" s="651"/>
      <c r="AJ135" s="652">
        <f>AE137</f>
        <v>301.37</v>
      </c>
      <c r="AK135" s="651"/>
      <c r="AL135" s="651"/>
      <c r="AM135" s="651"/>
      <c r="AN135" s="651"/>
      <c r="AO135" s="652">
        <f>AJ137</f>
        <v>301.37</v>
      </c>
      <c r="AP135" s="651"/>
      <c r="AQ135" s="651"/>
      <c r="AR135" s="651"/>
      <c r="AS135" s="651"/>
      <c r="AT135" s="652">
        <f>AO137</f>
        <v>301.37</v>
      </c>
      <c r="AU135" s="651"/>
      <c r="AV135" s="651"/>
      <c r="AW135" s="651"/>
      <c r="AX135" s="651"/>
      <c r="AY135" s="652">
        <f>AT137</f>
        <v>301.37</v>
      </c>
      <c r="AZ135" s="651"/>
      <c r="BA135" s="651"/>
      <c r="BB135" s="651"/>
      <c r="BC135" s="651"/>
      <c r="BD135" s="652">
        <f>AY137</f>
        <v>301.37</v>
      </c>
      <c r="BE135" s="651"/>
      <c r="BF135" s="651"/>
      <c r="BG135" s="651"/>
      <c r="BH135" s="651"/>
      <c r="BI135" s="652">
        <f>BD137</f>
        <v>301.37</v>
      </c>
      <c r="BJ135" s="651"/>
      <c r="BK135" s="651"/>
      <c r="BL135" s="651"/>
      <c r="BM135" s="651"/>
      <c r="BN135" s="652">
        <f>BI137</f>
        <v>301.37</v>
      </c>
      <c r="BO135" s="651"/>
      <c r="BP135" s="651"/>
      <c r="BQ135" s="651"/>
      <c r="BR135" s="651"/>
      <c r="BS135" s="652">
        <f>BN137</f>
        <v>301.37</v>
      </c>
      <c r="BT135" s="651"/>
      <c r="BU135" s="651"/>
      <c r="BV135" s="651"/>
      <c r="BW135" s="651"/>
      <c r="BX135" s="652">
        <f>BS137</f>
        <v>301.37</v>
      </c>
      <c r="BY135" s="651"/>
      <c r="BZ135" s="651"/>
      <c r="CA135" s="651"/>
      <c r="CB135" s="651"/>
      <c r="CC135" s="652">
        <f>BX137</f>
        <v>301.37</v>
      </c>
      <c r="CD135" s="652">
        <f>CC137</f>
        <v>301.37</v>
      </c>
      <c r="CE135" s="652">
        <f>CD137</f>
        <v>0</v>
      </c>
      <c r="CF135" s="652">
        <f>CE137</f>
        <v>0</v>
      </c>
      <c r="CG135" s="652">
        <f>CF137</f>
        <v>0</v>
      </c>
      <c r="CH135" s="652">
        <f>CG137</f>
        <v>0</v>
      </c>
    </row>
    <row r="136" spans="1:86" s="76" customFormat="1" ht="13.5">
      <c r="A136" s="85"/>
      <c r="B136" s="85"/>
      <c r="C136" s="85"/>
      <c r="D136" s="85"/>
      <c r="E136" s="85"/>
      <c r="F136" s="85"/>
      <c r="G136" s="85"/>
      <c r="H136" s="649" t="s">
        <v>606</v>
      </c>
      <c r="I136" s="649"/>
      <c r="J136" s="649"/>
      <c r="K136" s="649"/>
      <c r="L136" s="653"/>
      <c r="M136" s="653"/>
      <c r="N136" s="653"/>
      <c r="O136" s="653"/>
      <c r="P136" s="654"/>
      <c r="Q136" s="653"/>
      <c r="R136" s="653"/>
      <c r="S136" s="653"/>
      <c r="T136" s="653"/>
      <c r="U136" s="654"/>
      <c r="V136" s="653"/>
      <c r="W136" s="653"/>
      <c r="X136" s="653"/>
      <c r="Y136" s="653"/>
      <c r="Z136" s="654"/>
      <c r="AA136" s="653"/>
      <c r="AB136" s="653"/>
      <c r="AC136" s="653"/>
      <c r="AD136" s="653"/>
      <c r="AE136" s="652"/>
      <c r="AF136" s="653"/>
      <c r="AG136" s="653"/>
      <c r="AH136" s="653"/>
      <c r="AI136" s="653"/>
      <c r="AJ136" s="654">
        <v>0</v>
      </c>
      <c r="AK136" s="653"/>
      <c r="AL136" s="653"/>
      <c r="AM136" s="653"/>
      <c r="AN136" s="653"/>
      <c r="AO136" s="654">
        <v>0</v>
      </c>
      <c r="AP136" s="653"/>
      <c r="AQ136" s="653"/>
      <c r="AR136" s="653"/>
      <c r="AS136" s="653"/>
      <c r="AT136" s="654">
        <v>0</v>
      </c>
      <c r="AU136" s="653"/>
      <c r="AV136" s="653"/>
      <c r="AW136" s="653"/>
      <c r="AX136" s="653"/>
      <c r="AY136" s="654">
        <v>0</v>
      </c>
      <c r="AZ136" s="653"/>
      <c r="BA136" s="653"/>
      <c r="BB136" s="653"/>
      <c r="BC136" s="653"/>
      <c r="BD136" s="654">
        <v>0</v>
      </c>
      <c r="BE136" s="653"/>
      <c r="BF136" s="653"/>
      <c r="BG136" s="653"/>
      <c r="BH136" s="653"/>
      <c r="BI136" s="654">
        <v>0</v>
      </c>
      <c r="BJ136" s="653"/>
      <c r="BK136" s="653"/>
      <c r="BL136" s="653"/>
      <c r="BM136" s="653"/>
      <c r="BN136" s="654">
        <v>0</v>
      </c>
      <c r="BO136" s="653"/>
      <c r="BP136" s="653"/>
      <c r="BQ136" s="653"/>
      <c r="BR136" s="653"/>
      <c r="BS136" s="654">
        <v>0</v>
      </c>
      <c r="BT136" s="653"/>
      <c r="BU136" s="653"/>
      <c r="BV136" s="653"/>
      <c r="BW136" s="653"/>
      <c r="BX136" s="654">
        <v>0</v>
      </c>
      <c r="BY136" s="653"/>
      <c r="BZ136" s="653"/>
      <c r="CA136" s="653"/>
      <c r="CB136" s="653"/>
      <c r="CC136" s="654">
        <v>0</v>
      </c>
      <c r="CD136" s="654">
        <f>-CD135</f>
        <v>-301.37</v>
      </c>
      <c r="CE136" s="654">
        <v>0</v>
      </c>
      <c r="CF136" s="654">
        <v>0</v>
      </c>
      <c r="CG136" s="654">
        <v>0</v>
      </c>
      <c r="CH136" s="654">
        <v>0</v>
      </c>
    </row>
    <row r="137" spans="1:86" s="76" customFormat="1" ht="13.5">
      <c r="A137" s="85"/>
      <c r="B137" s="85"/>
      <c r="C137" s="85"/>
      <c r="D137" s="85"/>
      <c r="E137" s="85"/>
      <c r="F137" s="85"/>
      <c r="G137" s="85"/>
      <c r="H137" s="649" t="s">
        <v>397</v>
      </c>
      <c r="I137" s="649"/>
      <c r="J137" s="649"/>
      <c r="K137" s="649"/>
      <c r="L137" s="651"/>
      <c r="M137" s="651"/>
      <c r="N137" s="651"/>
      <c r="O137" s="651"/>
      <c r="P137" s="652"/>
      <c r="Q137" s="651"/>
      <c r="R137" s="651"/>
      <c r="S137" s="651"/>
      <c r="T137" s="651"/>
      <c r="U137" s="652"/>
      <c r="V137" s="651"/>
      <c r="W137" s="651"/>
      <c r="X137" s="651"/>
      <c r="Y137" s="651"/>
      <c r="Z137" s="655"/>
      <c r="AA137" s="651"/>
      <c r="AB137" s="651"/>
      <c r="AC137" s="651"/>
      <c r="AD137" s="651"/>
      <c r="AE137" s="655">
        <v>301.37</v>
      </c>
      <c r="AF137" s="651"/>
      <c r="AG137" s="651"/>
      <c r="AH137" s="651"/>
      <c r="AI137" s="651"/>
      <c r="AJ137" s="652">
        <f>AJ135+AJ136</f>
        <v>301.37</v>
      </c>
      <c r="AK137" s="651"/>
      <c r="AL137" s="651"/>
      <c r="AM137" s="651"/>
      <c r="AN137" s="651"/>
      <c r="AO137" s="652">
        <f>AO135+AO136</f>
        <v>301.37</v>
      </c>
      <c r="AP137" s="651"/>
      <c r="AQ137" s="651"/>
      <c r="AR137" s="651"/>
      <c r="AS137" s="651"/>
      <c r="AT137" s="652">
        <f>AT135+AT136</f>
        <v>301.37</v>
      </c>
      <c r="AU137" s="651"/>
      <c r="AV137" s="651"/>
      <c r="AW137" s="651"/>
      <c r="AX137" s="651"/>
      <c r="AY137" s="652">
        <f>AY135+AY136</f>
        <v>301.37</v>
      </c>
      <c r="AZ137" s="651"/>
      <c r="BA137" s="651"/>
      <c r="BB137" s="651"/>
      <c r="BC137" s="651"/>
      <c r="BD137" s="652">
        <f>BD135+BD136</f>
        <v>301.37</v>
      </c>
      <c r="BE137" s="651"/>
      <c r="BF137" s="651"/>
      <c r="BG137" s="651"/>
      <c r="BH137" s="651"/>
      <c r="BI137" s="652">
        <f>BI135+BI136</f>
        <v>301.37</v>
      </c>
      <c r="BJ137" s="651"/>
      <c r="BK137" s="651"/>
      <c r="BL137" s="651"/>
      <c r="BM137" s="651"/>
      <c r="BN137" s="652">
        <f>BN135+BN136</f>
        <v>301.37</v>
      </c>
      <c r="BO137" s="651"/>
      <c r="BP137" s="651"/>
      <c r="BQ137" s="651"/>
      <c r="BR137" s="651"/>
      <c r="BS137" s="652">
        <f>BS135+BS136</f>
        <v>301.37</v>
      </c>
      <c r="BT137" s="651"/>
      <c r="BU137" s="651"/>
      <c r="BV137" s="651"/>
      <c r="BW137" s="651"/>
      <c r="BX137" s="652">
        <f>BX135+BX136</f>
        <v>301.37</v>
      </c>
      <c r="BY137" s="651"/>
      <c r="BZ137" s="651"/>
      <c r="CA137" s="651"/>
      <c r="CB137" s="651"/>
      <c r="CC137" s="652">
        <f t="shared" ref="CC137:CH137" si="19">CC135+CC136</f>
        <v>301.37</v>
      </c>
      <c r="CD137" s="652">
        <f t="shared" si="19"/>
        <v>0</v>
      </c>
      <c r="CE137" s="652">
        <f t="shared" si="19"/>
        <v>0</v>
      </c>
      <c r="CF137" s="652">
        <f t="shared" si="19"/>
        <v>0</v>
      </c>
      <c r="CG137" s="652">
        <f t="shared" si="19"/>
        <v>0</v>
      </c>
      <c r="CH137" s="652">
        <f t="shared" si="19"/>
        <v>0</v>
      </c>
    </row>
    <row r="138" spans="1:86" s="76" customFormat="1" ht="13.5">
      <c r="A138" s="85"/>
      <c r="B138" s="85"/>
      <c r="C138" s="85"/>
      <c r="D138" s="85"/>
      <c r="E138" s="85"/>
      <c r="F138" s="85"/>
      <c r="G138" s="85"/>
      <c r="H138" s="48" t="s">
        <v>398</v>
      </c>
      <c r="I138" s="48"/>
      <c r="J138" s="48"/>
      <c r="K138" s="48"/>
      <c r="L138" s="331"/>
      <c r="M138" s="331"/>
      <c r="N138" s="331"/>
      <c r="O138" s="331"/>
      <c r="P138" s="337"/>
      <c r="Q138" s="331"/>
      <c r="R138" s="331"/>
      <c r="S138" s="331"/>
      <c r="T138" s="331"/>
      <c r="U138" s="337"/>
      <c r="V138" s="331"/>
      <c r="W138" s="331"/>
      <c r="X138" s="331"/>
      <c r="Y138" s="331"/>
      <c r="Z138" s="337"/>
      <c r="AA138" s="331"/>
      <c r="AB138" s="331"/>
      <c r="AC138" s="331"/>
      <c r="AD138" s="331"/>
      <c r="AE138" s="659"/>
      <c r="AF138" s="331"/>
      <c r="AG138" s="331"/>
      <c r="AH138" s="331"/>
      <c r="AI138" s="331"/>
      <c r="AJ138" s="662">
        <v>7.1249999999999994E-2</v>
      </c>
      <c r="AK138" s="331"/>
      <c r="AL138" s="331"/>
      <c r="AM138" s="331"/>
      <c r="AN138" s="331"/>
      <c r="AO138" s="662">
        <v>7.1249999999999994E-2</v>
      </c>
      <c r="AP138" s="331"/>
      <c r="AQ138" s="331"/>
      <c r="AR138" s="331"/>
      <c r="AS138" s="331"/>
      <c r="AT138" s="662">
        <v>7.1249999999999994E-2</v>
      </c>
      <c r="AU138" s="331"/>
      <c r="AV138" s="331"/>
      <c r="AW138" s="331"/>
      <c r="AX138" s="331"/>
      <c r="AY138" s="662">
        <v>7.1249999999999994E-2</v>
      </c>
      <c r="AZ138" s="331"/>
      <c r="BA138" s="331"/>
      <c r="BB138" s="331"/>
      <c r="BC138" s="331"/>
      <c r="BD138" s="662">
        <v>7.1249999999999994E-2</v>
      </c>
      <c r="BE138" s="331"/>
      <c r="BF138" s="331"/>
      <c r="BG138" s="331"/>
      <c r="BH138" s="331"/>
      <c r="BI138" s="662">
        <v>7.1249999999999994E-2</v>
      </c>
      <c r="BJ138" s="331"/>
      <c r="BK138" s="331"/>
      <c r="BL138" s="331"/>
      <c r="BM138" s="331"/>
      <c r="BN138" s="662">
        <v>7.1249999999999994E-2</v>
      </c>
      <c r="BO138" s="331"/>
      <c r="BP138" s="331"/>
      <c r="BQ138" s="331"/>
      <c r="BR138" s="331"/>
      <c r="BS138" s="662">
        <v>7.1249999999999994E-2</v>
      </c>
      <c r="BT138" s="331"/>
      <c r="BU138" s="331"/>
      <c r="BV138" s="331"/>
      <c r="BW138" s="331"/>
      <c r="BX138" s="662">
        <v>7.1249999999999994E-2</v>
      </c>
      <c r="BY138" s="331"/>
      <c r="BZ138" s="331"/>
      <c r="CA138" s="331"/>
      <c r="CB138" s="331"/>
      <c r="CC138" s="662">
        <v>7.1249999999999994E-2</v>
      </c>
      <c r="CD138" s="662">
        <v>7.1249999999999994E-2</v>
      </c>
      <c r="CE138" s="662">
        <v>7.1249999999999994E-2</v>
      </c>
      <c r="CF138" s="662">
        <v>7.1249999999999994E-2</v>
      </c>
      <c r="CG138" s="662">
        <v>7.1249999999999994E-2</v>
      </c>
      <c r="CH138" s="662">
        <v>7.1249999999999994E-2</v>
      </c>
    </row>
    <row r="139" spans="1:86" s="76" customFormat="1" ht="13.5">
      <c r="A139" s="85"/>
      <c r="B139" s="85"/>
      <c r="C139" s="85"/>
      <c r="D139" s="85"/>
      <c r="E139" s="85"/>
      <c r="F139" s="85"/>
      <c r="G139" s="85"/>
      <c r="H139" s="649" t="s">
        <v>686</v>
      </c>
      <c r="I139" s="649"/>
      <c r="J139" s="649"/>
      <c r="K139" s="649"/>
      <c r="L139" s="651"/>
      <c r="M139" s="651"/>
      <c r="N139" s="651"/>
      <c r="O139" s="651"/>
      <c r="P139" s="652"/>
      <c r="Q139" s="651"/>
      <c r="R139" s="651"/>
      <c r="S139" s="651"/>
      <c r="T139" s="651"/>
      <c r="U139" s="652"/>
      <c r="V139" s="651"/>
      <c r="W139" s="651"/>
      <c r="X139" s="651"/>
      <c r="Y139" s="651"/>
      <c r="Z139" s="652"/>
      <c r="AA139" s="651"/>
      <c r="AB139" s="651"/>
      <c r="AC139" s="651"/>
      <c r="AD139" s="651"/>
      <c r="AE139" s="652"/>
      <c r="AF139" s="651"/>
      <c r="AG139" s="651"/>
      <c r="AH139" s="651"/>
      <c r="AI139" s="651"/>
      <c r="AJ139" s="652">
        <f>AJ138*AVERAGE(AJ137, AE137)</f>
        <v>21.472612499999997</v>
      </c>
      <c r="AK139" s="651"/>
      <c r="AL139" s="651"/>
      <c r="AM139" s="651"/>
      <c r="AN139" s="651"/>
      <c r="AO139" s="652">
        <f>AO138*AVERAGE(AO137, AJ137)</f>
        <v>21.472612499999997</v>
      </c>
      <c r="AP139" s="651"/>
      <c r="AQ139" s="651"/>
      <c r="AR139" s="651"/>
      <c r="AS139" s="651"/>
      <c r="AT139" s="652">
        <f>AT138*AVERAGE(AT137, AO137)</f>
        <v>21.472612499999997</v>
      </c>
      <c r="AU139" s="651"/>
      <c r="AV139" s="651"/>
      <c r="AW139" s="651"/>
      <c r="AX139" s="651"/>
      <c r="AY139" s="652">
        <f>AY138*AVERAGE(AY137, AT137)</f>
        <v>21.472612499999997</v>
      </c>
      <c r="AZ139" s="651"/>
      <c r="BA139" s="651"/>
      <c r="BB139" s="651"/>
      <c r="BC139" s="651"/>
      <c r="BD139" s="652">
        <f>BD138*AVERAGE(BD137, AY137)</f>
        <v>21.472612499999997</v>
      </c>
      <c r="BE139" s="651"/>
      <c r="BF139" s="651"/>
      <c r="BG139" s="651"/>
      <c r="BH139" s="651"/>
      <c r="BI139" s="652">
        <f>BI138*AVERAGE(BI137, BD137)</f>
        <v>21.472612499999997</v>
      </c>
      <c r="BJ139" s="651"/>
      <c r="BK139" s="651"/>
      <c r="BL139" s="651"/>
      <c r="BM139" s="651"/>
      <c r="BN139" s="652">
        <f>BN138*AVERAGE(BN137, BI137)</f>
        <v>21.472612499999997</v>
      </c>
      <c r="BO139" s="651"/>
      <c r="BP139" s="651"/>
      <c r="BQ139" s="651"/>
      <c r="BR139" s="651"/>
      <c r="BS139" s="652">
        <f>BS138*AVERAGE(BS137, BN137)</f>
        <v>21.472612499999997</v>
      </c>
      <c r="BT139" s="651"/>
      <c r="BU139" s="651"/>
      <c r="BV139" s="651"/>
      <c r="BW139" s="651"/>
      <c r="BX139" s="652">
        <f>BX138*AVERAGE(BX137, BS137)</f>
        <v>21.472612499999997</v>
      </c>
      <c r="BY139" s="651"/>
      <c r="BZ139" s="651"/>
      <c r="CA139" s="651"/>
      <c r="CB139" s="651"/>
      <c r="CC139" s="652">
        <f>CC138*AVERAGE(CC137, BX137)</f>
        <v>21.472612499999997</v>
      </c>
      <c r="CD139" s="652">
        <f>CD138*AVERAGE(CD137, CC137)</f>
        <v>10.736306249999998</v>
      </c>
      <c r="CE139" s="652">
        <f>CE138*AVERAGE(CE137, CD137)</f>
        <v>0</v>
      </c>
      <c r="CF139" s="652">
        <f>CF138*AVERAGE(CF137, CE137)</f>
        <v>0</v>
      </c>
      <c r="CG139" s="652">
        <f>CG138*AVERAGE(CG137, CF137)</f>
        <v>0</v>
      </c>
      <c r="CH139" s="652">
        <f>CH138*AVERAGE(CH137, CG137)</f>
        <v>0</v>
      </c>
    </row>
    <row r="140" spans="1:86" s="76" customFormat="1" ht="13.5">
      <c r="A140" s="85"/>
      <c r="B140" s="85"/>
      <c r="C140" s="85"/>
      <c r="D140" s="85"/>
      <c r="E140" s="85"/>
      <c r="F140" s="85"/>
      <c r="G140" s="85"/>
      <c r="H140" s="649"/>
      <c r="I140" s="649"/>
      <c r="J140" s="649"/>
      <c r="K140" s="649"/>
      <c r="L140" s="650"/>
      <c r="M140" s="650"/>
      <c r="N140" s="650"/>
      <c r="O140" s="650"/>
      <c r="P140" s="649"/>
      <c r="Q140" s="650"/>
      <c r="R140" s="650"/>
      <c r="S140" s="650"/>
      <c r="T140" s="650"/>
      <c r="U140" s="649"/>
      <c r="V140" s="650"/>
      <c r="W140" s="650"/>
      <c r="X140" s="650"/>
      <c r="Y140" s="650"/>
      <c r="Z140" s="649"/>
      <c r="AA140" s="650"/>
      <c r="AB140" s="650"/>
      <c r="AC140" s="650"/>
      <c r="AD140" s="650"/>
      <c r="AE140" s="649"/>
      <c r="AF140" s="650"/>
      <c r="AG140" s="650"/>
      <c r="AH140" s="650"/>
      <c r="AI140" s="650"/>
      <c r="AJ140" s="649"/>
      <c r="AK140" s="650"/>
      <c r="AL140" s="650"/>
      <c r="AM140" s="650"/>
      <c r="AN140" s="650"/>
      <c r="AO140" s="649"/>
      <c r="AP140" s="650"/>
      <c r="AQ140" s="650"/>
      <c r="AR140" s="650"/>
      <c r="AS140" s="650"/>
      <c r="AT140" s="649"/>
      <c r="AU140" s="650"/>
      <c r="AV140" s="650"/>
      <c r="AW140" s="650"/>
      <c r="AX140" s="650"/>
      <c r="AY140" s="649"/>
      <c r="AZ140" s="650"/>
      <c r="BA140" s="650"/>
      <c r="BB140" s="650"/>
      <c r="BC140" s="650"/>
      <c r="BD140" s="649"/>
      <c r="BE140" s="650"/>
      <c r="BF140" s="650"/>
      <c r="BG140" s="650"/>
      <c r="BH140" s="650"/>
      <c r="BI140" s="649"/>
      <c r="BJ140" s="650"/>
      <c r="BK140" s="650"/>
      <c r="BL140" s="650"/>
      <c r="BM140" s="650"/>
      <c r="BN140" s="649"/>
      <c r="BO140" s="650"/>
      <c r="BP140" s="650"/>
      <c r="BQ140" s="650"/>
      <c r="BR140" s="650"/>
      <c r="BS140" s="649"/>
      <c r="BT140" s="650"/>
      <c r="BU140" s="650"/>
      <c r="BV140" s="650"/>
      <c r="BW140" s="650"/>
      <c r="BX140" s="649"/>
      <c r="BY140" s="650"/>
      <c r="BZ140" s="650"/>
      <c r="CA140" s="650"/>
      <c r="CB140" s="650"/>
      <c r="CC140" s="649"/>
      <c r="CD140" s="649"/>
      <c r="CE140" s="649"/>
      <c r="CF140" s="649"/>
      <c r="CG140" s="649"/>
      <c r="CH140" s="649"/>
    </row>
    <row r="141" spans="1:86" s="76" customFormat="1" ht="13.5">
      <c r="A141" s="85"/>
      <c r="B141" s="85"/>
      <c r="C141" s="85"/>
      <c r="D141" s="85"/>
      <c r="E141" s="85"/>
      <c r="F141" s="85"/>
      <c r="G141" s="85"/>
      <c r="H141" s="658" t="s">
        <v>717</v>
      </c>
      <c r="I141" s="658"/>
      <c r="J141" s="658"/>
      <c r="K141" s="658"/>
      <c r="L141" s="658"/>
      <c r="M141" s="658"/>
      <c r="N141" s="658"/>
      <c r="O141" s="658"/>
      <c r="P141" s="658"/>
      <c r="Q141" s="658"/>
      <c r="R141" s="658"/>
      <c r="S141" s="658"/>
      <c r="T141" s="658"/>
      <c r="U141" s="658"/>
      <c r="V141" s="658"/>
      <c r="W141" s="658"/>
      <c r="X141" s="658"/>
      <c r="Y141" s="658"/>
      <c r="Z141" s="658"/>
      <c r="AA141" s="658"/>
      <c r="AB141" s="658"/>
      <c r="AC141" s="658"/>
      <c r="AD141" s="658"/>
      <c r="AE141" s="658"/>
      <c r="AF141" s="658"/>
      <c r="AG141" s="658"/>
      <c r="AH141" s="658"/>
      <c r="AI141" s="658"/>
      <c r="AJ141" s="658"/>
      <c r="AK141" s="658"/>
      <c r="AL141" s="658"/>
      <c r="AM141" s="658"/>
      <c r="AN141" s="658"/>
      <c r="AO141" s="658"/>
      <c r="AP141" s="658"/>
      <c r="AQ141" s="658"/>
      <c r="AR141" s="658"/>
      <c r="AS141" s="658"/>
      <c r="AT141" s="658"/>
      <c r="AU141" s="658"/>
      <c r="AV141" s="658"/>
      <c r="AW141" s="658"/>
      <c r="AX141" s="658"/>
      <c r="AY141" s="658"/>
      <c r="AZ141" s="658"/>
      <c r="BA141" s="658"/>
      <c r="BB141" s="658"/>
      <c r="BC141" s="658"/>
      <c r="BD141" s="658"/>
      <c r="BE141" s="658"/>
      <c r="BF141" s="658"/>
      <c r="BG141" s="658"/>
      <c r="BH141" s="658"/>
      <c r="BI141" s="658"/>
      <c r="BJ141" s="658"/>
      <c r="BK141" s="658"/>
      <c r="BL141" s="658"/>
      <c r="BM141" s="658"/>
      <c r="BN141" s="658"/>
      <c r="BO141" s="658"/>
      <c r="BP141" s="658"/>
      <c r="BQ141" s="658"/>
      <c r="BR141" s="658"/>
      <c r="BS141" s="658"/>
      <c r="BT141" s="658"/>
      <c r="BU141" s="658"/>
      <c r="BV141" s="658"/>
      <c r="BW141" s="658"/>
      <c r="BX141" s="658"/>
      <c r="BY141" s="658"/>
      <c r="BZ141" s="658"/>
      <c r="CA141" s="658"/>
      <c r="CB141" s="658"/>
      <c r="CC141" s="658"/>
      <c r="CD141" s="658"/>
      <c r="CE141" s="658"/>
      <c r="CF141" s="658"/>
      <c r="CG141" s="658"/>
      <c r="CH141" s="658"/>
    </row>
    <row r="142" spans="1:86" s="76" customFormat="1" ht="13.5">
      <c r="A142" s="85"/>
      <c r="B142" s="85"/>
      <c r="C142" s="85"/>
      <c r="D142" s="85"/>
      <c r="E142" s="85"/>
      <c r="F142" s="85"/>
      <c r="G142" s="85"/>
      <c r="H142" s="649" t="s">
        <v>441</v>
      </c>
      <c r="I142" s="649"/>
      <c r="J142" s="649"/>
      <c r="K142" s="649"/>
      <c r="L142" s="651"/>
      <c r="M142" s="651"/>
      <c r="N142" s="651"/>
      <c r="O142" s="651"/>
      <c r="P142" s="652"/>
      <c r="Q142" s="651"/>
      <c r="R142" s="651"/>
      <c r="S142" s="651"/>
      <c r="T142" s="651"/>
      <c r="U142" s="652"/>
      <c r="V142" s="651"/>
      <c r="W142" s="651"/>
      <c r="X142" s="651"/>
      <c r="Y142" s="651"/>
      <c r="Z142" s="652"/>
      <c r="AA142" s="651"/>
      <c r="AB142" s="651"/>
      <c r="AC142" s="651"/>
      <c r="AD142" s="651"/>
      <c r="AE142" s="652"/>
      <c r="AF142" s="651"/>
      <c r="AG142" s="651"/>
      <c r="AH142" s="651"/>
      <c r="AI142" s="651"/>
      <c r="AJ142" s="652">
        <f>AE144</f>
        <v>700</v>
      </c>
      <c r="AK142" s="651"/>
      <c r="AL142" s="651"/>
      <c r="AM142" s="651"/>
      <c r="AN142" s="651"/>
      <c r="AO142" s="652">
        <f>AJ144</f>
        <v>700</v>
      </c>
      <c r="AP142" s="651"/>
      <c r="AQ142" s="651"/>
      <c r="AR142" s="651"/>
      <c r="AS142" s="651"/>
      <c r="AT142" s="652">
        <f>AO144</f>
        <v>700</v>
      </c>
      <c r="AU142" s="651"/>
      <c r="AV142" s="651"/>
      <c r="AW142" s="651"/>
      <c r="AX142" s="651"/>
      <c r="AY142" s="652">
        <f>AT144</f>
        <v>700</v>
      </c>
      <c r="AZ142" s="651"/>
      <c r="BA142" s="651"/>
      <c r="BB142" s="651"/>
      <c r="BC142" s="651"/>
      <c r="BD142" s="652">
        <f>AY144</f>
        <v>700</v>
      </c>
      <c r="BE142" s="651"/>
      <c r="BF142" s="651"/>
      <c r="BG142" s="651"/>
      <c r="BH142" s="651"/>
      <c r="BI142" s="652">
        <f>BD144</f>
        <v>700</v>
      </c>
      <c r="BJ142" s="651"/>
      <c r="BK142" s="651"/>
      <c r="BL142" s="651"/>
      <c r="BM142" s="651"/>
      <c r="BN142" s="652">
        <f>BI144</f>
        <v>700</v>
      </c>
      <c r="BO142" s="651"/>
      <c r="BP142" s="651"/>
      <c r="BQ142" s="651"/>
      <c r="BR142" s="651"/>
      <c r="BS142" s="652">
        <f>BN144</f>
        <v>700</v>
      </c>
      <c r="BT142" s="651"/>
      <c r="BU142" s="651"/>
      <c r="BV142" s="651"/>
      <c r="BW142" s="651"/>
      <c r="BX142" s="652">
        <f>BS144</f>
        <v>700</v>
      </c>
      <c r="BY142" s="651"/>
      <c r="BZ142" s="651"/>
      <c r="CA142" s="651"/>
      <c r="CB142" s="651"/>
      <c r="CC142" s="652">
        <f>BX144</f>
        <v>700</v>
      </c>
      <c r="CD142" s="652">
        <f>CC144</f>
        <v>0</v>
      </c>
      <c r="CE142" s="652">
        <f>CD144</f>
        <v>0</v>
      </c>
      <c r="CF142" s="652">
        <f>CE144</f>
        <v>0</v>
      </c>
      <c r="CG142" s="652">
        <f>CF144</f>
        <v>0</v>
      </c>
      <c r="CH142" s="652">
        <f>CG144</f>
        <v>0</v>
      </c>
    </row>
    <row r="143" spans="1:86" s="76" customFormat="1" ht="13.5">
      <c r="A143" s="85"/>
      <c r="B143" s="85"/>
      <c r="C143" s="85"/>
      <c r="D143" s="85"/>
      <c r="E143" s="85"/>
      <c r="F143" s="85"/>
      <c r="G143" s="85"/>
      <c r="H143" s="649" t="s">
        <v>606</v>
      </c>
      <c r="I143" s="649"/>
      <c r="J143" s="649"/>
      <c r="K143" s="649"/>
      <c r="L143" s="653"/>
      <c r="M143" s="653"/>
      <c r="N143" s="653"/>
      <c r="O143" s="653"/>
      <c r="P143" s="654"/>
      <c r="Q143" s="653"/>
      <c r="R143" s="653"/>
      <c r="S143" s="653"/>
      <c r="T143" s="653"/>
      <c r="U143" s="654"/>
      <c r="V143" s="653"/>
      <c r="W143" s="653"/>
      <c r="X143" s="653"/>
      <c r="Y143" s="653"/>
      <c r="Z143" s="654"/>
      <c r="AA143" s="653"/>
      <c r="AB143" s="653"/>
      <c r="AC143" s="653"/>
      <c r="AD143" s="653"/>
      <c r="AE143" s="652"/>
      <c r="AF143" s="653"/>
      <c r="AG143" s="653"/>
      <c r="AH143" s="653"/>
      <c r="AI143" s="653"/>
      <c r="AJ143" s="654">
        <v>0</v>
      </c>
      <c r="AK143" s="653"/>
      <c r="AL143" s="653"/>
      <c r="AM143" s="653"/>
      <c r="AN143" s="653"/>
      <c r="AO143" s="654">
        <v>0</v>
      </c>
      <c r="AP143" s="653"/>
      <c r="AQ143" s="653"/>
      <c r="AR143" s="653"/>
      <c r="AS143" s="653"/>
      <c r="AT143" s="654">
        <v>0</v>
      </c>
      <c r="AU143" s="653"/>
      <c r="AV143" s="653"/>
      <c r="AW143" s="653"/>
      <c r="AX143" s="653"/>
      <c r="AY143" s="654">
        <v>0</v>
      </c>
      <c r="AZ143" s="653"/>
      <c r="BA143" s="653"/>
      <c r="BB143" s="653"/>
      <c r="BC143" s="653"/>
      <c r="BD143" s="654">
        <v>0</v>
      </c>
      <c r="BE143" s="653"/>
      <c r="BF143" s="653"/>
      <c r="BG143" s="653"/>
      <c r="BH143" s="653"/>
      <c r="BI143" s="654">
        <v>0</v>
      </c>
      <c r="BJ143" s="653"/>
      <c r="BK143" s="653"/>
      <c r="BL143" s="653"/>
      <c r="BM143" s="653"/>
      <c r="BN143" s="654">
        <v>0</v>
      </c>
      <c r="BO143" s="653"/>
      <c r="BP143" s="653"/>
      <c r="BQ143" s="653"/>
      <c r="BR143" s="653"/>
      <c r="BS143" s="654">
        <v>0</v>
      </c>
      <c r="BT143" s="653"/>
      <c r="BU143" s="653"/>
      <c r="BV143" s="653"/>
      <c r="BW143" s="653"/>
      <c r="BX143" s="654">
        <v>0</v>
      </c>
      <c r="BY143" s="653"/>
      <c r="BZ143" s="653"/>
      <c r="CA143" s="653"/>
      <c r="CB143" s="653"/>
      <c r="CC143" s="654">
        <f>-CC142</f>
        <v>-700</v>
      </c>
      <c r="CD143" s="654">
        <v>0</v>
      </c>
      <c r="CE143" s="654">
        <v>0</v>
      </c>
      <c r="CF143" s="654">
        <v>0</v>
      </c>
      <c r="CG143" s="654">
        <v>0</v>
      </c>
      <c r="CH143" s="654">
        <v>0</v>
      </c>
    </row>
    <row r="144" spans="1:86" s="76" customFormat="1" ht="13.5">
      <c r="A144" s="85"/>
      <c r="B144" s="85"/>
      <c r="C144" s="85"/>
      <c r="D144" s="85"/>
      <c r="E144" s="85"/>
      <c r="F144" s="85"/>
      <c r="G144" s="85"/>
      <c r="H144" s="649" t="s">
        <v>397</v>
      </c>
      <c r="I144" s="649"/>
      <c r="J144" s="649"/>
      <c r="K144" s="649"/>
      <c r="L144" s="651"/>
      <c r="M144" s="651"/>
      <c r="N144" s="651"/>
      <c r="O144" s="651"/>
      <c r="P144" s="652"/>
      <c r="Q144" s="651"/>
      <c r="R144" s="651"/>
      <c r="S144" s="651"/>
      <c r="T144" s="651"/>
      <c r="U144" s="652"/>
      <c r="V144" s="651"/>
      <c r="W144" s="651"/>
      <c r="X144" s="651"/>
      <c r="Y144" s="651"/>
      <c r="Z144" s="655"/>
      <c r="AA144" s="651"/>
      <c r="AB144" s="651"/>
      <c r="AC144" s="651"/>
      <c r="AD144" s="651"/>
      <c r="AE144" s="655">
        <v>700</v>
      </c>
      <c r="AF144" s="651"/>
      <c r="AG144" s="651"/>
      <c r="AH144" s="651"/>
      <c r="AI144" s="651"/>
      <c r="AJ144" s="652">
        <f>AJ142+AJ143</f>
        <v>700</v>
      </c>
      <c r="AK144" s="651"/>
      <c r="AL144" s="651"/>
      <c r="AM144" s="651"/>
      <c r="AN144" s="651"/>
      <c r="AO144" s="652">
        <f>AO142+AO143</f>
        <v>700</v>
      </c>
      <c r="AP144" s="651"/>
      <c r="AQ144" s="651"/>
      <c r="AR144" s="651"/>
      <c r="AS144" s="651"/>
      <c r="AT144" s="652">
        <f>AT142+AT143</f>
        <v>700</v>
      </c>
      <c r="AU144" s="651"/>
      <c r="AV144" s="651"/>
      <c r="AW144" s="651"/>
      <c r="AX144" s="651"/>
      <c r="AY144" s="652">
        <f>AY142+AY143</f>
        <v>700</v>
      </c>
      <c r="AZ144" s="651"/>
      <c r="BA144" s="651"/>
      <c r="BB144" s="651"/>
      <c r="BC144" s="651"/>
      <c r="BD144" s="652">
        <f>BD142+BD143</f>
        <v>700</v>
      </c>
      <c r="BE144" s="651"/>
      <c r="BF144" s="651"/>
      <c r="BG144" s="651"/>
      <c r="BH144" s="651"/>
      <c r="BI144" s="652">
        <f>BI142+BI143</f>
        <v>700</v>
      </c>
      <c r="BJ144" s="651"/>
      <c r="BK144" s="651"/>
      <c r="BL144" s="651"/>
      <c r="BM144" s="651"/>
      <c r="BN144" s="652">
        <f>BN142+BN143</f>
        <v>700</v>
      </c>
      <c r="BO144" s="651"/>
      <c r="BP144" s="651"/>
      <c r="BQ144" s="651"/>
      <c r="BR144" s="651"/>
      <c r="BS144" s="652">
        <f>BS142+BS143</f>
        <v>700</v>
      </c>
      <c r="BT144" s="651"/>
      <c r="BU144" s="651"/>
      <c r="BV144" s="651"/>
      <c r="BW144" s="651"/>
      <c r="BX144" s="652">
        <f>BX142+BX143</f>
        <v>700</v>
      </c>
      <c r="BY144" s="651"/>
      <c r="BZ144" s="651"/>
      <c r="CA144" s="651"/>
      <c r="CB144" s="651"/>
      <c r="CC144" s="652">
        <f t="shared" ref="CC144:CH144" si="20">CC142+CC143</f>
        <v>0</v>
      </c>
      <c r="CD144" s="652">
        <f t="shared" si="20"/>
        <v>0</v>
      </c>
      <c r="CE144" s="652">
        <f t="shared" si="20"/>
        <v>0</v>
      </c>
      <c r="CF144" s="652">
        <f t="shared" si="20"/>
        <v>0</v>
      </c>
      <c r="CG144" s="652">
        <f t="shared" si="20"/>
        <v>0</v>
      </c>
      <c r="CH144" s="652">
        <f t="shared" si="20"/>
        <v>0</v>
      </c>
    </row>
    <row r="145" spans="1:86" s="76" customFormat="1" ht="13.5">
      <c r="A145" s="85"/>
      <c r="B145" s="85"/>
      <c r="C145" s="85"/>
      <c r="D145" s="85"/>
      <c r="E145" s="85"/>
      <c r="F145" s="85"/>
      <c r="G145" s="85"/>
      <c r="H145" s="48" t="s">
        <v>398</v>
      </c>
      <c r="I145" s="48"/>
      <c r="J145" s="48"/>
      <c r="K145" s="48"/>
      <c r="L145" s="331"/>
      <c r="M145" s="331"/>
      <c r="N145" s="331"/>
      <c r="O145" s="331"/>
      <c r="P145" s="337"/>
      <c r="Q145" s="331"/>
      <c r="R145" s="331"/>
      <c r="S145" s="331"/>
      <c r="T145" s="331"/>
      <c r="U145" s="337"/>
      <c r="V145" s="331"/>
      <c r="W145" s="331"/>
      <c r="X145" s="331"/>
      <c r="Y145" s="331"/>
      <c r="Z145" s="337"/>
      <c r="AA145" s="331"/>
      <c r="AB145" s="331"/>
      <c r="AC145" s="331"/>
      <c r="AD145" s="331"/>
      <c r="AE145" s="659"/>
      <c r="AF145" s="331"/>
      <c r="AG145" s="331"/>
      <c r="AH145" s="331"/>
      <c r="AI145" s="331"/>
      <c r="AJ145" s="659">
        <v>5.5E-2</v>
      </c>
      <c r="AK145" s="331"/>
      <c r="AL145" s="331"/>
      <c r="AM145" s="331"/>
      <c r="AN145" s="331"/>
      <c r="AO145" s="659">
        <v>5.5E-2</v>
      </c>
      <c r="AP145" s="331"/>
      <c r="AQ145" s="331"/>
      <c r="AR145" s="331"/>
      <c r="AS145" s="331"/>
      <c r="AT145" s="659">
        <v>5.5E-2</v>
      </c>
      <c r="AU145" s="331"/>
      <c r="AV145" s="331"/>
      <c r="AW145" s="331"/>
      <c r="AX145" s="331"/>
      <c r="AY145" s="659">
        <v>5.5E-2</v>
      </c>
      <c r="AZ145" s="331"/>
      <c r="BA145" s="331"/>
      <c r="BB145" s="331"/>
      <c r="BC145" s="331"/>
      <c r="BD145" s="659">
        <v>5.5E-2</v>
      </c>
      <c r="BE145" s="331"/>
      <c r="BF145" s="331"/>
      <c r="BG145" s="331"/>
      <c r="BH145" s="331"/>
      <c r="BI145" s="659">
        <v>5.5E-2</v>
      </c>
      <c r="BJ145" s="331"/>
      <c r="BK145" s="331"/>
      <c r="BL145" s="331"/>
      <c r="BM145" s="331"/>
      <c r="BN145" s="659">
        <v>5.5E-2</v>
      </c>
      <c r="BO145" s="331"/>
      <c r="BP145" s="331"/>
      <c r="BQ145" s="331"/>
      <c r="BR145" s="331"/>
      <c r="BS145" s="659">
        <v>5.5E-2</v>
      </c>
      <c r="BT145" s="331"/>
      <c r="BU145" s="331"/>
      <c r="BV145" s="331"/>
      <c r="BW145" s="331"/>
      <c r="BX145" s="659">
        <v>5.5E-2</v>
      </c>
      <c r="BY145" s="331"/>
      <c r="BZ145" s="331"/>
      <c r="CA145" s="331"/>
      <c r="CB145" s="331"/>
      <c r="CC145" s="659">
        <v>5.5E-2</v>
      </c>
      <c r="CD145" s="659">
        <v>5.5E-2</v>
      </c>
      <c r="CE145" s="659">
        <v>5.5E-2</v>
      </c>
      <c r="CF145" s="659">
        <v>5.5E-2</v>
      </c>
      <c r="CG145" s="659">
        <v>5.5E-2</v>
      </c>
      <c r="CH145" s="659">
        <v>5.5E-2</v>
      </c>
    </row>
    <row r="146" spans="1:86" s="76" customFormat="1" ht="13.5">
      <c r="A146" s="85"/>
      <c r="B146" s="85"/>
      <c r="C146" s="85"/>
      <c r="D146" s="85"/>
      <c r="E146" s="85"/>
      <c r="F146" s="85"/>
      <c r="G146" s="85"/>
      <c r="H146" s="649" t="s">
        <v>686</v>
      </c>
      <c r="I146" s="649"/>
      <c r="J146" s="649"/>
      <c r="K146" s="649"/>
      <c r="L146" s="651"/>
      <c r="M146" s="651"/>
      <c r="N146" s="651"/>
      <c r="O146" s="651"/>
      <c r="P146" s="652"/>
      <c r="Q146" s="651"/>
      <c r="R146" s="651"/>
      <c r="S146" s="651"/>
      <c r="T146" s="651"/>
      <c r="U146" s="652"/>
      <c r="V146" s="651"/>
      <c r="W146" s="651"/>
      <c r="X146" s="651"/>
      <c r="Y146" s="651"/>
      <c r="Z146" s="652"/>
      <c r="AA146" s="651"/>
      <c r="AB146" s="651"/>
      <c r="AC146" s="651"/>
      <c r="AD146" s="651"/>
      <c r="AE146" s="652"/>
      <c r="AF146" s="651"/>
      <c r="AG146" s="651"/>
      <c r="AH146" s="651"/>
      <c r="AI146" s="651"/>
      <c r="AJ146" s="652">
        <f>AJ145*AVERAGE(AJ144, AE144)</f>
        <v>38.5</v>
      </c>
      <c r="AK146" s="651"/>
      <c r="AL146" s="651"/>
      <c r="AM146" s="651"/>
      <c r="AN146" s="651"/>
      <c r="AO146" s="652">
        <f>AO145*AVERAGE(AO144, AJ144)</f>
        <v>38.5</v>
      </c>
      <c r="AP146" s="651"/>
      <c r="AQ146" s="651"/>
      <c r="AR146" s="651"/>
      <c r="AS146" s="651"/>
      <c r="AT146" s="652">
        <f>AT145*AVERAGE(AT144, AO144)</f>
        <v>38.5</v>
      </c>
      <c r="AU146" s="651"/>
      <c r="AV146" s="651"/>
      <c r="AW146" s="651"/>
      <c r="AX146" s="651"/>
      <c r="AY146" s="652">
        <f>AY145*AVERAGE(AY144, AT144)</f>
        <v>38.5</v>
      </c>
      <c r="AZ146" s="651"/>
      <c r="BA146" s="651"/>
      <c r="BB146" s="651"/>
      <c r="BC146" s="651"/>
      <c r="BD146" s="652">
        <f>BD145*AVERAGE(BD144, AY144)</f>
        <v>38.5</v>
      </c>
      <c r="BE146" s="651"/>
      <c r="BF146" s="651"/>
      <c r="BG146" s="651"/>
      <c r="BH146" s="651"/>
      <c r="BI146" s="652">
        <f>BI145*AVERAGE(BI144, BD144)</f>
        <v>38.5</v>
      </c>
      <c r="BJ146" s="651"/>
      <c r="BK146" s="651"/>
      <c r="BL146" s="651"/>
      <c r="BM146" s="651"/>
      <c r="BN146" s="652">
        <f>BN145*AVERAGE(BN144, BI144)</f>
        <v>38.5</v>
      </c>
      <c r="BO146" s="651"/>
      <c r="BP146" s="651"/>
      <c r="BQ146" s="651"/>
      <c r="BR146" s="651"/>
      <c r="BS146" s="652">
        <f>BS145*AVERAGE(BS144, BN144)</f>
        <v>38.5</v>
      </c>
      <c r="BT146" s="651"/>
      <c r="BU146" s="651"/>
      <c r="BV146" s="651"/>
      <c r="BW146" s="651"/>
      <c r="BX146" s="652">
        <f>BX145*AVERAGE(BX144, BS144)</f>
        <v>38.5</v>
      </c>
      <c r="BY146" s="651"/>
      <c r="BZ146" s="651"/>
      <c r="CA146" s="651"/>
      <c r="CB146" s="651"/>
      <c r="CC146" s="652">
        <f>CC145*AVERAGE(CC144, BX144)</f>
        <v>19.25</v>
      </c>
      <c r="CD146" s="652">
        <f>CD145*AVERAGE(CD144, CC144)</f>
        <v>0</v>
      </c>
      <c r="CE146" s="652">
        <f>CE145*AVERAGE(CE144, CD144)</f>
        <v>0</v>
      </c>
      <c r="CF146" s="652">
        <f>CF145*AVERAGE(CF144, CE144)</f>
        <v>0</v>
      </c>
      <c r="CG146" s="652">
        <f>CG145*AVERAGE(CG144, CF144)</f>
        <v>0</v>
      </c>
      <c r="CH146" s="652">
        <f>CH145*AVERAGE(CH144, CG144)</f>
        <v>0</v>
      </c>
    </row>
    <row r="147" spans="1:86" s="76" customFormat="1" ht="13.5">
      <c r="A147" s="85"/>
      <c r="B147" s="85"/>
      <c r="C147" s="85"/>
      <c r="D147" s="85"/>
      <c r="E147" s="85"/>
      <c r="F147" s="85"/>
      <c r="G147" s="85"/>
      <c r="H147" s="649"/>
      <c r="I147" s="649"/>
      <c r="J147" s="649"/>
      <c r="K147" s="649"/>
      <c r="L147" s="650"/>
      <c r="M147" s="650"/>
      <c r="N147" s="650"/>
      <c r="O147" s="650"/>
      <c r="P147" s="649"/>
      <c r="Q147" s="650"/>
      <c r="R147" s="650"/>
      <c r="S147" s="650"/>
      <c r="T147" s="650"/>
      <c r="U147" s="649"/>
      <c r="V147" s="650"/>
      <c r="W147" s="650"/>
      <c r="X147" s="650"/>
      <c r="Y147" s="650"/>
      <c r="Z147" s="649"/>
      <c r="AA147" s="650"/>
      <c r="AB147" s="650"/>
      <c r="AC147" s="650"/>
      <c r="AD147" s="650"/>
      <c r="AE147" s="649"/>
      <c r="AF147" s="650"/>
      <c r="AG147" s="650"/>
      <c r="AH147" s="650"/>
      <c r="AI147" s="650"/>
      <c r="AJ147" s="649"/>
      <c r="AK147" s="650"/>
      <c r="AL147" s="650"/>
      <c r="AM147" s="650"/>
      <c r="AN147" s="650"/>
      <c r="AO147" s="649"/>
      <c r="AP147" s="650"/>
      <c r="AQ147" s="650"/>
      <c r="AR147" s="650"/>
      <c r="AS147" s="650"/>
      <c r="AT147" s="649"/>
      <c r="AU147" s="650"/>
      <c r="AV147" s="650"/>
      <c r="AW147" s="650"/>
      <c r="AX147" s="650"/>
      <c r="AY147" s="649"/>
      <c r="AZ147" s="650"/>
      <c r="BA147" s="650"/>
      <c r="BB147" s="650"/>
      <c r="BC147" s="650"/>
      <c r="BD147" s="649"/>
      <c r="BE147" s="650"/>
      <c r="BF147" s="650"/>
      <c r="BG147" s="650"/>
      <c r="BH147" s="650"/>
      <c r="BI147" s="649"/>
      <c r="BJ147" s="650"/>
      <c r="BK147" s="650"/>
      <c r="BL147" s="650"/>
      <c r="BM147" s="650"/>
      <c r="BN147" s="649"/>
      <c r="BO147" s="650"/>
      <c r="BP147" s="650"/>
      <c r="BQ147" s="650"/>
      <c r="BR147" s="650"/>
      <c r="BS147" s="649"/>
      <c r="BT147" s="650"/>
      <c r="BU147" s="650"/>
      <c r="BV147" s="650"/>
      <c r="BW147" s="650"/>
      <c r="BX147" s="649"/>
      <c r="BY147" s="650"/>
      <c r="BZ147" s="650"/>
      <c r="CA147" s="650"/>
      <c r="CB147" s="650"/>
      <c r="CC147" s="649"/>
      <c r="CD147" s="649"/>
      <c r="CE147" s="649"/>
      <c r="CF147" s="649"/>
      <c r="CG147" s="649"/>
      <c r="CH147" s="649"/>
    </row>
    <row r="148" spans="1:86" s="76" customFormat="1" ht="13.5">
      <c r="A148" s="85"/>
      <c r="B148" s="85"/>
      <c r="C148" s="85"/>
      <c r="D148" s="85"/>
      <c r="E148" s="85"/>
      <c r="F148" s="85"/>
      <c r="G148" s="85"/>
      <c r="H148" s="658" t="s">
        <v>403</v>
      </c>
      <c r="I148" s="658"/>
      <c r="J148" s="658"/>
      <c r="K148" s="658"/>
      <c r="L148" s="658"/>
      <c r="M148" s="658"/>
      <c r="N148" s="658"/>
      <c r="O148" s="658"/>
      <c r="P148" s="658"/>
      <c r="Q148" s="658"/>
      <c r="R148" s="658"/>
      <c r="S148" s="658"/>
      <c r="T148" s="658"/>
      <c r="U148" s="658"/>
      <c r="V148" s="658"/>
      <c r="W148" s="658"/>
      <c r="X148" s="658"/>
      <c r="Y148" s="658"/>
      <c r="Z148" s="658"/>
      <c r="AA148" s="658"/>
      <c r="AB148" s="658"/>
      <c r="AC148" s="658"/>
      <c r="AD148" s="658"/>
      <c r="AE148" s="658"/>
      <c r="AF148" s="658"/>
      <c r="AG148" s="658"/>
      <c r="AH148" s="658"/>
      <c r="AI148" s="658"/>
      <c r="AJ148" s="658"/>
      <c r="AK148" s="658"/>
      <c r="AL148" s="658"/>
      <c r="AM148" s="658"/>
      <c r="AN148" s="658"/>
      <c r="AO148" s="658"/>
      <c r="AP148" s="658"/>
      <c r="AQ148" s="658"/>
      <c r="AR148" s="658"/>
      <c r="AS148" s="658"/>
      <c r="AT148" s="658"/>
      <c r="AU148" s="658"/>
      <c r="AV148" s="658"/>
      <c r="AW148" s="658"/>
      <c r="AX148" s="658"/>
      <c r="AY148" s="658"/>
      <c r="AZ148" s="658"/>
      <c r="BA148" s="658"/>
      <c r="BB148" s="658"/>
      <c r="BC148" s="658"/>
      <c r="BD148" s="658"/>
      <c r="BE148" s="658"/>
      <c r="BF148" s="658"/>
      <c r="BG148" s="658"/>
      <c r="BH148" s="658"/>
      <c r="BI148" s="658"/>
      <c r="BJ148" s="658"/>
      <c r="BK148" s="658"/>
      <c r="BL148" s="658"/>
      <c r="BM148" s="658"/>
      <c r="BN148" s="658"/>
      <c r="BO148" s="658"/>
      <c r="BP148" s="658"/>
      <c r="BQ148" s="658"/>
      <c r="BR148" s="658"/>
      <c r="BS148" s="658"/>
      <c r="BT148" s="658"/>
      <c r="BU148" s="658"/>
      <c r="BV148" s="658"/>
      <c r="BW148" s="658"/>
      <c r="BX148" s="658"/>
      <c r="BY148" s="658"/>
      <c r="BZ148" s="658"/>
      <c r="CA148" s="658"/>
      <c r="CB148" s="658"/>
      <c r="CC148" s="658"/>
      <c r="CD148" s="658"/>
      <c r="CE148" s="658"/>
      <c r="CF148" s="658"/>
      <c r="CG148" s="658"/>
      <c r="CH148" s="658"/>
    </row>
    <row r="149" spans="1:86" s="76" customFormat="1" ht="13.5">
      <c r="A149" s="85"/>
      <c r="B149" s="85"/>
      <c r="C149" s="85"/>
      <c r="D149" s="85"/>
      <c r="E149" s="85"/>
      <c r="F149" s="85"/>
      <c r="G149" s="85"/>
      <c r="H149" s="649" t="s">
        <v>441</v>
      </c>
      <c r="I149" s="649"/>
      <c r="J149" s="649"/>
      <c r="K149" s="649"/>
      <c r="L149" s="651"/>
      <c r="M149" s="651"/>
      <c r="N149" s="651"/>
      <c r="O149" s="651"/>
      <c r="P149" s="652"/>
      <c r="Q149" s="651"/>
      <c r="R149" s="651"/>
      <c r="S149" s="651"/>
      <c r="T149" s="651"/>
      <c r="U149" s="652"/>
      <c r="V149" s="651"/>
      <c r="W149" s="651"/>
      <c r="X149" s="651"/>
      <c r="Y149" s="651"/>
      <c r="Z149" s="652"/>
      <c r="AA149" s="651"/>
      <c r="AB149" s="651"/>
      <c r="AC149" s="651"/>
      <c r="AD149" s="651"/>
      <c r="AE149" s="652"/>
      <c r="AF149" s="651"/>
      <c r="AG149" s="651"/>
      <c r="AH149" s="651"/>
      <c r="AI149" s="651"/>
      <c r="AJ149" s="652">
        <f>AE151</f>
        <v>286</v>
      </c>
      <c r="AK149" s="651"/>
      <c r="AL149" s="651"/>
      <c r="AM149" s="651"/>
      <c r="AN149" s="651"/>
      <c r="AO149" s="652">
        <f>AJ151</f>
        <v>286</v>
      </c>
      <c r="AP149" s="651"/>
      <c r="AQ149" s="651"/>
      <c r="AR149" s="651"/>
      <c r="AS149" s="651"/>
      <c r="AT149" s="652">
        <f>AO151</f>
        <v>286</v>
      </c>
      <c r="AU149" s="651"/>
      <c r="AV149" s="651"/>
      <c r="AW149" s="651"/>
      <c r="AX149" s="651"/>
      <c r="AY149" s="652">
        <f>AT151</f>
        <v>286</v>
      </c>
      <c r="AZ149" s="651"/>
      <c r="BA149" s="651"/>
      <c r="BB149" s="651"/>
      <c r="BC149" s="651"/>
      <c r="BD149" s="652">
        <f>AY151</f>
        <v>286</v>
      </c>
      <c r="BE149" s="651"/>
      <c r="BF149" s="651"/>
      <c r="BG149" s="651"/>
      <c r="BH149" s="651"/>
      <c r="BI149" s="652">
        <f>BD151</f>
        <v>286</v>
      </c>
      <c r="BJ149" s="651"/>
      <c r="BK149" s="651"/>
      <c r="BL149" s="651"/>
      <c r="BM149" s="651"/>
      <c r="BN149" s="652">
        <f>BI151</f>
        <v>286</v>
      </c>
      <c r="BO149" s="651"/>
      <c r="BP149" s="651"/>
      <c r="BQ149" s="651"/>
      <c r="BR149" s="651"/>
      <c r="BS149" s="652">
        <f>BN151</f>
        <v>286</v>
      </c>
      <c r="BT149" s="651"/>
      <c r="BU149" s="651"/>
      <c r="BV149" s="651"/>
      <c r="BW149" s="651"/>
      <c r="BX149" s="652">
        <f>BS151</f>
        <v>286</v>
      </c>
      <c r="BY149" s="651"/>
      <c r="BZ149" s="651"/>
      <c r="CA149" s="651"/>
      <c r="CB149" s="651"/>
      <c r="CC149" s="652">
        <f>BX151</f>
        <v>286</v>
      </c>
      <c r="CD149" s="652">
        <f>CC151</f>
        <v>0</v>
      </c>
      <c r="CE149" s="652">
        <f>CD151</f>
        <v>0</v>
      </c>
      <c r="CF149" s="652">
        <f>CE151</f>
        <v>0</v>
      </c>
      <c r="CG149" s="652">
        <f>CF151</f>
        <v>0</v>
      </c>
      <c r="CH149" s="652">
        <f>CG151</f>
        <v>0</v>
      </c>
    </row>
    <row r="150" spans="1:86" s="76" customFormat="1" ht="13.5">
      <c r="A150" s="85"/>
      <c r="B150" s="85"/>
      <c r="C150" s="85"/>
      <c r="D150" s="85"/>
      <c r="E150" s="85"/>
      <c r="F150" s="85"/>
      <c r="G150" s="85"/>
      <c r="H150" s="649" t="s">
        <v>606</v>
      </c>
      <c r="I150" s="649"/>
      <c r="J150" s="649"/>
      <c r="K150" s="649"/>
      <c r="L150" s="653"/>
      <c r="M150" s="653"/>
      <c r="N150" s="653"/>
      <c r="O150" s="653"/>
      <c r="P150" s="654"/>
      <c r="Q150" s="653"/>
      <c r="R150" s="653"/>
      <c r="S150" s="653"/>
      <c r="T150" s="653"/>
      <c r="U150" s="654"/>
      <c r="V150" s="653"/>
      <c r="W150" s="653"/>
      <c r="X150" s="653"/>
      <c r="Y150" s="653"/>
      <c r="Z150" s="654"/>
      <c r="AA150" s="653"/>
      <c r="AB150" s="653"/>
      <c r="AC150" s="653"/>
      <c r="AD150" s="653"/>
      <c r="AE150" s="652"/>
      <c r="AF150" s="653"/>
      <c r="AG150" s="653"/>
      <c r="AH150" s="653"/>
      <c r="AI150" s="653"/>
      <c r="AJ150" s="654">
        <v>0</v>
      </c>
      <c r="AK150" s="653"/>
      <c r="AL150" s="653"/>
      <c r="AM150" s="653"/>
      <c r="AN150" s="653"/>
      <c r="AO150" s="654">
        <v>0</v>
      </c>
      <c r="AP150" s="653"/>
      <c r="AQ150" s="653"/>
      <c r="AR150" s="653"/>
      <c r="AS150" s="653"/>
      <c r="AT150" s="654">
        <v>0</v>
      </c>
      <c r="AU150" s="653"/>
      <c r="AV150" s="653"/>
      <c r="AW150" s="653"/>
      <c r="AX150" s="653"/>
      <c r="AY150" s="654">
        <v>0</v>
      </c>
      <c r="AZ150" s="653"/>
      <c r="BA150" s="653"/>
      <c r="BB150" s="653"/>
      <c r="BC150" s="653"/>
      <c r="BD150" s="654">
        <v>0</v>
      </c>
      <c r="BE150" s="653"/>
      <c r="BF150" s="653"/>
      <c r="BG150" s="653"/>
      <c r="BH150" s="653"/>
      <c r="BI150" s="654">
        <v>0</v>
      </c>
      <c r="BJ150" s="653"/>
      <c r="BK150" s="653"/>
      <c r="BL150" s="653"/>
      <c r="BM150" s="653"/>
      <c r="BN150" s="654">
        <v>0</v>
      </c>
      <c r="BO150" s="653"/>
      <c r="BP150" s="653"/>
      <c r="BQ150" s="653"/>
      <c r="BR150" s="653"/>
      <c r="BS150" s="654">
        <v>0</v>
      </c>
      <c r="BT150" s="653"/>
      <c r="BU150" s="653"/>
      <c r="BV150" s="653"/>
      <c r="BW150" s="653"/>
      <c r="BX150" s="654">
        <v>0</v>
      </c>
      <c r="BY150" s="653"/>
      <c r="BZ150" s="653"/>
      <c r="CA150" s="653"/>
      <c r="CB150" s="653"/>
      <c r="CC150" s="654">
        <f>-CC149</f>
        <v>-286</v>
      </c>
      <c r="CD150" s="654">
        <v>0</v>
      </c>
      <c r="CE150" s="654">
        <v>0</v>
      </c>
      <c r="CF150" s="654">
        <v>0</v>
      </c>
      <c r="CG150" s="654">
        <v>0</v>
      </c>
      <c r="CH150" s="654">
        <v>0</v>
      </c>
    </row>
    <row r="151" spans="1:86" s="76" customFormat="1" ht="13.5">
      <c r="A151" s="85"/>
      <c r="B151" s="85"/>
      <c r="C151" s="85"/>
      <c r="D151" s="85"/>
      <c r="E151" s="85"/>
      <c r="F151" s="85"/>
      <c r="G151" s="85"/>
      <c r="H151" s="649" t="s">
        <v>397</v>
      </c>
      <c r="I151" s="649"/>
      <c r="J151" s="649"/>
      <c r="K151" s="649"/>
      <c r="L151" s="651"/>
      <c r="M151" s="651"/>
      <c r="N151" s="651"/>
      <c r="O151" s="651"/>
      <c r="P151" s="652"/>
      <c r="Q151" s="651"/>
      <c r="R151" s="651"/>
      <c r="S151" s="651"/>
      <c r="T151" s="651"/>
      <c r="U151" s="652"/>
      <c r="V151" s="651"/>
      <c r="W151" s="651"/>
      <c r="X151" s="651"/>
      <c r="Y151" s="651"/>
      <c r="Z151" s="655"/>
      <c r="AA151" s="651"/>
      <c r="AB151" s="651"/>
      <c r="AC151" s="651"/>
      <c r="AD151" s="651"/>
      <c r="AE151" s="655">
        <v>286</v>
      </c>
      <c r="AF151" s="651"/>
      <c r="AG151" s="651"/>
      <c r="AH151" s="651"/>
      <c r="AI151" s="651"/>
      <c r="AJ151" s="652">
        <f>AJ149+AJ150</f>
        <v>286</v>
      </c>
      <c r="AK151" s="651"/>
      <c r="AL151" s="651"/>
      <c r="AM151" s="651"/>
      <c r="AN151" s="651"/>
      <c r="AO151" s="652">
        <f>AO149+AO150</f>
        <v>286</v>
      </c>
      <c r="AP151" s="651"/>
      <c r="AQ151" s="651"/>
      <c r="AR151" s="651"/>
      <c r="AS151" s="651"/>
      <c r="AT151" s="652">
        <f>AT149+AT150</f>
        <v>286</v>
      </c>
      <c r="AU151" s="651"/>
      <c r="AV151" s="651"/>
      <c r="AW151" s="651"/>
      <c r="AX151" s="651"/>
      <c r="AY151" s="652">
        <f>AY149+AY150</f>
        <v>286</v>
      </c>
      <c r="AZ151" s="651"/>
      <c r="BA151" s="651"/>
      <c r="BB151" s="651"/>
      <c r="BC151" s="651"/>
      <c r="BD151" s="652">
        <f>BD149+BD150</f>
        <v>286</v>
      </c>
      <c r="BE151" s="651"/>
      <c r="BF151" s="651"/>
      <c r="BG151" s="651"/>
      <c r="BH151" s="651"/>
      <c r="BI151" s="652">
        <f>BI149+BI150</f>
        <v>286</v>
      </c>
      <c r="BJ151" s="651"/>
      <c r="BK151" s="651"/>
      <c r="BL151" s="651"/>
      <c r="BM151" s="651"/>
      <c r="BN151" s="652">
        <f>BN149+BN150</f>
        <v>286</v>
      </c>
      <c r="BO151" s="651"/>
      <c r="BP151" s="651"/>
      <c r="BQ151" s="651"/>
      <c r="BR151" s="651"/>
      <c r="BS151" s="652">
        <f>BS149+BS150</f>
        <v>286</v>
      </c>
      <c r="BT151" s="651"/>
      <c r="BU151" s="651"/>
      <c r="BV151" s="651"/>
      <c r="BW151" s="651"/>
      <c r="BX151" s="652">
        <f>BX149+BX150</f>
        <v>286</v>
      </c>
      <c r="BY151" s="651"/>
      <c r="BZ151" s="651"/>
      <c r="CA151" s="651"/>
      <c r="CB151" s="651"/>
      <c r="CC151" s="652">
        <f t="shared" ref="CC151:CH151" si="21">CC149+CC150</f>
        <v>0</v>
      </c>
      <c r="CD151" s="652">
        <f t="shared" si="21"/>
        <v>0</v>
      </c>
      <c r="CE151" s="652">
        <f t="shared" si="21"/>
        <v>0</v>
      </c>
      <c r="CF151" s="652">
        <f t="shared" si="21"/>
        <v>0</v>
      </c>
      <c r="CG151" s="652">
        <f t="shared" si="21"/>
        <v>0</v>
      </c>
      <c r="CH151" s="652">
        <f t="shared" si="21"/>
        <v>0</v>
      </c>
    </row>
    <row r="152" spans="1:86" s="76" customFormat="1" ht="13.5">
      <c r="A152" s="85"/>
      <c r="B152" s="85"/>
      <c r="C152" s="85"/>
      <c r="D152" s="85"/>
      <c r="E152" s="85"/>
      <c r="F152" s="85"/>
      <c r="G152" s="85"/>
      <c r="H152" s="48" t="s">
        <v>398</v>
      </c>
      <c r="I152" s="48"/>
      <c r="J152" s="48"/>
      <c r="K152" s="48"/>
      <c r="L152" s="331"/>
      <c r="M152" s="331"/>
      <c r="N152" s="331"/>
      <c r="O152" s="331"/>
      <c r="P152" s="337"/>
      <c r="Q152" s="331"/>
      <c r="R152" s="331"/>
      <c r="S152" s="331"/>
      <c r="T152" s="331"/>
      <c r="U152" s="337"/>
      <c r="V152" s="331"/>
      <c r="W152" s="331"/>
      <c r="X152" s="331"/>
      <c r="Y152" s="331"/>
      <c r="Z152" s="337"/>
      <c r="AA152" s="331"/>
      <c r="AB152" s="331"/>
      <c r="AC152" s="331"/>
      <c r="AD152" s="331"/>
      <c r="AE152" s="659"/>
      <c r="AF152" s="331"/>
      <c r="AG152" s="331"/>
      <c r="AH152" s="331"/>
      <c r="AI152" s="331"/>
      <c r="AJ152" s="660">
        <v>6.7699999999999996E-2</v>
      </c>
      <c r="AK152" s="331"/>
      <c r="AL152" s="331"/>
      <c r="AM152" s="331"/>
      <c r="AN152" s="331"/>
      <c r="AO152" s="660">
        <v>6.7699999999999996E-2</v>
      </c>
      <c r="AP152" s="331"/>
      <c r="AQ152" s="331"/>
      <c r="AR152" s="331"/>
      <c r="AS152" s="331"/>
      <c r="AT152" s="660">
        <v>6.7699999999999996E-2</v>
      </c>
      <c r="AU152" s="331"/>
      <c r="AV152" s="331"/>
      <c r="AW152" s="331"/>
      <c r="AX152" s="331"/>
      <c r="AY152" s="660">
        <v>6.7699999999999996E-2</v>
      </c>
      <c r="AZ152" s="331"/>
      <c r="BA152" s="331"/>
      <c r="BB152" s="331"/>
      <c r="BC152" s="331"/>
      <c r="BD152" s="660">
        <v>6.7699999999999996E-2</v>
      </c>
      <c r="BE152" s="331"/>
      <c r="BF152" s="331"/>
      <c r="BG152" s="331"/>
      <c r="BH152" s="331"/>
      <c r="BI152" s="660">
        <v>6.7699999999999996E-2</v>
      </c>
      <c r="BJ152" s="331"/>
      <c r="BK152" s="331"/>
      <c r="BL152" s="331"/>
      <c r="BM152" s="331"/>
      <c r="BN152" s="660">
        <v>6.7699999999999996E-2</v>
      </c>
      <c r="BO152" s="331"/>
      <c r="BP152" s="331"/>
      <c r="BQ152" s="331"/>
      <c r="BR152" s="331"/>
      <c r="BS152" s="660">
        <v>6.7699999999999996E-2</v>
      </c>
      <c r="BT152" s="331"/>
      <c r="BU152" s="331"/>
      <c r="BV152" s="331"/>
      <c r="BW152" s="331"/>
      <c r="BX152" s="660">
        <v>6.7699999999999996E-2</v>
      </c>
      <c r="BY152" s="331"/>
      <c r="BZ152" s="331"/>
      <c r="CA152" s="331"/>
      <c r="CB152" s="331"/>
      <c r="CC152" s="660">
        <v>6.7699999999999996E-2</v>
      </c>
      <c r="CD152" s="660">
        <v>6.7699999999999996E-2</v>
      </c>
      <c r="CE152" s="660">
        <v>6.7699999999999996E-2</v>
      </c>
      <c r="CF152" s="660">
        <v>6.7699999999999996E-2</v>
      </c>
      <c r="CG152" s="660">
        <v>6.7699999999999996E-2</v>
      </c>
      <c r="CH152" s="660">
        <v>6.7699999999999996E-2</v>
      </c>
    </row>
    <row r="153" spans="1:86" s="76" customFormat="1" ht="13.5">
      <c r="A153" s="85"/>
      <c r="B153" s="85"/>
      <c r="C153" s="85"/>
      <c r="D153" s="85"/>
      <c r="E153" s="85"/>
      <c r="F153" s="85"/>
      <c r="G153" s="85"/>
      <c r="H153" s="649" t="s">
        <v>686</v>
      </c>
      <c r="I153" s="649"/>
      <c r="J153" s="649"/>
      <c r="K153" s="649"/>
      <c r="L153" s="651"/>
      <c r="M153" s="651"/>
      <c r="N153" s="651"/>
      <c r="O153" s="651"/>
      <c r="P153" s="652"/>
      <c r="Q153" s="651"/>
      <c r="R153" s="651"/>
      <c r="S153" s="651"/>
      <c r="T153" s="651"/>
      <c r="U153" s="652"/>
      <c r="V153" s="651"/>
      <c r="W153" s="651"/>
      <c r="X153" s="651"/>
      <c r="Y153" s="651"/>
      <c r="Z153" s="652"/>
      <c r="AA153" s="651"/>
      <c r="AB153" s="651"/>
      <c r="AC153" s="651"/>
      <c r="AD153" s="651"/>
      <c r="AE153" s="652"/>
      <c r="AF153" s="651"/>
      <c r="AG153" s="651"/>
      <c r="AH153" s="651"/>
      <c r="AI153" s="651"/>
      <c r="AJ153" s="652">
        <f>AJ152*AVERAGE(AJ151, AE151)</f>
        <v>19.362199999999998</v>
      </c>
      <c r="AK153" s="651"/>
      <c r="AL153" s="651"/>
      <c r="AM153" s="651"/>
      <c r="AN153" s="651"/>
      <c r="AO153" s="652">
        <f>AO152*AVERAGE(AO151, AJ151)</f>
        <v>19.362199999999998</v>
      </c>
      <c r="AP153" s="651"/>
      <c r="AQ153" s="651"/>
      <c r="AR153" s="651"/>
      <c r="AS153" s="651"/>
      <c r="AT153" s="652">
        <f>AT152*AVERAGE(AT151, AO151)</f>
        <v>19.362199999999998</v>
      </c>
      <c r="AU153" s="651"/>
      <c r="AV153" s="651"/>
      <c r="AW153" s="651"/>
      <c r="AX153" s="651"/>
      <c r="AY153" s="652">
        <f>AY152*AVERAGE(AY151, AT151)</f>
        <v>19.362199999999998</v>
      </c>
      <c r="AZ153" s="651"/>
      <c r="BA153" s="651"/>
      <c r="BB153" s="651"/>
      <c r="BC153" s="651"/>
      <c r="BD153" s="652">
        <f>BD152*AVERAGE(BD151, AY151)</f>
        <v>19.362199999999998</v>
      </c>
      <c r="BE153" s="651"/>
      <c r="BF153" s="651"/>
      <c r="BG153" s="651"/>
      <c r="BH153" s="651"/>
      <c r="BI153" s="652">
        <f>BI152*AVERAGE(BI151, BD151)</f>
        <v>19.362199999999998</v>
      </c>
      <c r="BJ153" s="651"/>
      <c r="BK153" s="651"/>
      <c r="BL153" s="651"/>
      <c r="BM153" s="651"/>
      <c r="BN153" s="652">
        <f>BN152*AVERAGE(BN151, BI151)</f>
        <v>19.362199999999998</v>
      </c>
      <c r="BO153" s="651"/>
      <c r="BP153" s="651"/>
      <c r="BQ153" s="651"/>
      <c r="BR153" s="651"/>
      <c r="BS153" s="652">
        <f>BS152*AVERAGE(BS151, BN151)</f>
        <v>19.362199999999998</v>
      </c>
      <c r="BT153" s="651"/>
      <c r="BU153" s="651"/>
      <c r="BV153" s="651"/>
      <c r="BW153" s="651"/>
      <c r="BX153" s="652">
        <f>BX152*AVERAGE(BX151, BS151)</f>
        <v>19.362199999999998</v>
      </c>
      <c r="BY153" s="651"/>
      <c r="BZ153" s="651"/>
      <c r="CA153" s="651"/>
      <c r="CB153" s="651"/>
      <c r="CC153" s="652">
        <f>CC152*AVERAGE(CC151, BX151)</f>
        <v>9.6810999999999989</v>
      </c>
      <c r="CD153" s="652">
        <f>CD152*AVERAGE(CD151, CC151)</f>
        <v>0</v>
      </c>
      <c r="CE153" s="652">
        <f>CE152*AVERAGE(CE151, CD151)</f>
        <v>0</v>
      </c>
      <c r="CF153" s="652">
        <f>CF152*AVERAGE(CF151, CE151)</f>
        <v>0</v>
      </c>
      <c r="CG153" s="652">
        <f>CG152*AVERAGE(CG151, CF151)</f>
        <v>0</v>
      </c>
      <c r="CH153" s="652">
        <f>CH152*AVERAGE(CH151, CG151)</f>
        <v>0</v>
      </c>
    </row>
    <row r="154" spans="1:86" s="76" customFormat="1" ht="13.5">
      <c r="A154" s="85"/>
      <c r="B154" s="85"/>
      <c r="C154" s="85"/>
      <c r="D154" s="85"/>
      <c r="E154" s="85"/>
      <c r="F154" s="85"/>
      <c r="G154" s="85"/>
      <c r="H154" s="649"/>
      <c r="I154" s="649"/>
      <c r="J154" s="649"/>
      <c r="K154" s="649"/>
      <c r="L154" s="650"/>
      <c r="M154" s="650"/>
      <c r="N154" s="650"/>
      <c r="O154" s="650"/>
      <c r="P154" s="649"/>
      <c r="Q154" s="650"/>
      <c r="R154" s="650"/>
      <c r="S154" s="650"/>
      <c r="T154" s="650"/>
      <c r="U154" s="649"/>
      <c r="V154" s="650"/>
      <c r="W154" s="650"/>
      <c r="X154" s="650"/>
      <c r="Y154" s="650"/>
      <c r="Z154" s="649"/>
      <c r="AA154" s="650"/>
      <c r="AB154" s="650"/>
      <c r="AC154" s="650"/>
      <c r="AD154" s="650"/>
      <c r="AE154" s="649"/>
      <c r="AF154" s="650"/>
      <c r="AG154" s="650"/>
      <c r="AH154" s="650"/>
      <c r="AI154" s="650"/>
      <c r="AJ154" s="649"/>
      <c r="AK154" s="650"/>
      <c r="AL154" s="650"/>
      <c r="AM154" s="650"/>
      <c r="AN154" s="650"/>
      <c r="AO154" s="649"/>
      <c r="AP154" s="650"/>
      <c r="AQ154" s="650"/>
      <c r="AR154" s="650"/>
      <c r="AS154" s="650"/>
      <c r="AT154" s="649"/>
      <c r="AU154" s="650"/>
      <c r="AV154" s="650"/>
      <c r="AW154" s="650"/>
      <c r="AX154" s="650"/>
      <c r="AY154" s="649"/>
      <c r="AZ154" s="650"/>
      <c r="BA154" s="650"/>
      <c r="BB154" s="650"/>
      <c r="BC154" s="650"/>
      <c r="BD154" s="649"/>
      <c r="BE154" s="650"/>
      <c r="BF154" s="650"/>
      <c r="BG154" s="650"/>
      <c r="BH154" s="650"/>
      <c r="BI154" s="649"/>
      <c r="BJ154" s="650"/>
      <c r="BK154" s="650"/>
      <c r="BL154" s="650"/>
      <c r="BM154" s="650"/>
      <c r="BN154" s="649"/>
      <c r="BO154" s="650"/>
      <c r="BP154" s="650"/>
      <c r="BQ154" s="650"/>
      <c r="BR154" s="650"/>
      <c r="BS154" s="649"/>
      <c r="BT154" s="650"/>
      <c r="BU154" s="650"/>
      <c r="BV154" s="650"/>
      <c r="BW154" s="650"/>
      <c r="BX154" s="649"/>
      <c r="BY154" s="650"/>
      <c r="BZ154" s="650"/>
      <c r="CA154" s="650"/>
      <c r="CB154" s="650"/>
      <c r="CC154" s="649"/>
      <c r="CD154" s="649"/>
      <c r="CE154" s="649"/>
      <c r="CF154" s="649"/>
      <c r="CG154" s="649"/>
      <c r="CH154" s="649"/>
    </row>
    <row r="155" spans="1:86" s="76" customFormat="1" ht="13.5">
      <c r="A155" s="85"/>
      <c r="B155" s="85"/>
      <c r="C155" s="85"/>
      <c r="D155" s="85"/>
      <c r="E155" s="85"/>
      <c r="F155" s="85"/>
      <c r="G155" s="85"/>
      <c r="H155" s="658" t="s">
        <v>404</v>
      </c>
      <c r="I155" s="658"/>
      <c r="J155" s="658"/>
      <c r="K155" s="658"/>
      <c r="L155" s="658"/>
      <c r="M155" s="658"/>
      <c r="N155" s="658"/>
      <c r="O155" s="658"/>
      <c r="P155" s="658"/>
      <c r="Q155" s="658"/>
      <c r="R155" s="658"/>
      <c r="S155" s="658"/>
      <c r="T155" s="658"/>
      <c r="U155" s="658"/>
      <c r="V155" s="658"/>
      <c r="W155" s="658"/>
      <c r="X155" s="658"/>
      <c r="Y155" s="658"/>
      <c r="Z155" s="658"/>
      <c r="AA155" s="658"/>
      <c r="AB155" s="658"/>
      <c r="AC155" s="658"/>
      <c r="AD155" s="658"/>
      <c r="AE155" s="658"/>
      <c r="AF155" s="658"/>
      <c r="AG155" s="658"/>
      <c r="AH155" s="658"/>
      <c r="AI155" s="658"/>
      <c r="AJ155" s="658"/>
      <c r="AK155" s="658"/>
      <c r="AL155" s="658"/>
      <c r="AM155" s="658"/>
      <c r="AN155" s="658"/>
      <c r="AO155" s="658"/>
      <c r="AP155" s="658"/>
      <c r="AQ155" s="658"/>
      <c r="AR155" s="658"/>
      <c r="AS155" s="658"/>
      <c r="AT155" s="658"/>
      <c r="AU155" s="658"/>
      <c r="AV155" s="658"/>
      <c r="AW155" s="658"/>
      <c r="AX155" s="658"/>
      <c r="AY155" s="658"/>
      <c r="AZ155" s="658"/>
      <c r="BA155" s="658"/>
      <c r="BB155" s="658"/>
      <c r="BC155" s="658"/>
      <c r="BD155" s="658"/>
      <c r="BE155" s="658"/>
      <c r="BF155" s="658"/>
      <c r="BG155" s="658"/>
      <c r="BH155" s="658"/>
      <c r="BI155" s="658"/>
      <c r="BJ155" s="658"/>
      <c r="BK155" s="658"/>
      <c r="BL155" s="658"/>
      <c r="BM155" s="658"/>
      <c r="BN155" s="658"/>
      <c r="BO155" s="658"/>
      <c r="BP155" s="658"/>
      <c r="BQ155" s="658"/>
      <c r="BR155" s="658"/>
      <c r="BS155" s="658"/>
      <c r="BT155" s="658"/>
      <c r="BU155" s="658"/>
      <c r="BV155" s="658"/>
      <c r="BW155" s="658"/>
      <c r="BX155" s="658"/>
      <c r="BY155" s="658"/>
      <c r="BZ155" s="658"/>
      <c r="CA155" s="658"/>
      <c r="CB155" s="658"/>
      <c r="CC155" s="658"/>
      <c r="CD155" s="658"/>
      <c r="CE155" s="658"/>
      <c r="CF155" s="658"/>
      <c r="CG155" s="658"/>
      <c r="CH155" s="658"/>
    </row>
    <row r="156" spans="1:86" s="76" customFormat="1" ht="13.5">
      <c r="A156" s="85"/>
      <c r="B156" s="85"/>
      <c r="C156" s="85"/>
      <c r="D156" s="85"/>
      <c r="E156" s="85"/>
      <c r="F156" s="85"/>
      <c r="G156" s="85"/>
      <c r="H156" s="649" t="s">
        <v>441</v>
      </c>
      <c r="I156" s="649"/>
      <c r="J156" s="649"/>
      <c r="K156" s="649"/>
      <c r="L156" s="651"/>
      <c r="M156" s="651"/>
      <c r="N156" s="651"/>
      <c r="O156" s="651"/>
      <c r="P156" s="652"/>
      <c r="Q156" s="651"/>
      <c r="R156" s="651"/>
      <c r="S156" s="651"/>
      <c r="T156" s="651"/>
      <c r="U156" s="652"/>
      <c r="V156" s="651"/>
      <c r="W156" s="651"/>
      <c r="X156" s="651"/>
      <c r="Y156" s="651"/>
      <c r="Z156" s="652"/>
      <c r="AA156" s="651"/>
      <c r="AB156" s="651"/>
      <c r="AC156" s="651"/>
      <c r="AD156" s="651"/>
      <c r="AE156" s="652"/>
      <c r="AF156" s="651"/>
      <c r="AG156" s="651"/>
      <c r="AH156" s="651"/>
      <c r="AI156" s="651"/>
      <c r="AJ156" s="652">
        <f>AE158</f>
        <v>800</v>
      </c>
      <c r="AK156" s="651"/>
      <c r="AL156" s="651"/>
      <c r="AM156" s="651"/>
      <c r="AN156" s="651"/>
      <c r="AO156" s="652">
        <f>AJ158</f>
        <v>800</v>
      </c>
      <c r="AP156" s="651"/>
      <c r="AQ156" s="651"/>
      <c r="AR156" s="651"/>
      <c r="AS156" s="651"/>
      <c r="AT156" s="652">
        <f>AO158</f>
        <v>800</v>
      </c>
      <c r="AU156" s="651"/>
      <c r="AV156" s="651"/>
      <c r="AW156" s="651"/>
      <c r="AX156" s="651"/>
      <c r="AY156" s="652">
        <f>AT158</f>
        <v>800</v>
      </c>
      <c r="AZ156" s="651"/>
      <c r="BA156" s="651"/>
      <c r="BB156" s="651"/>
      <c r="BC156" s="651"/>
      <c r="BD156" s="652">
        <f>AY158</f>
        <v>800</v>
      </c>
      <c r="BE156" s="651"/>
      <c r="BF156" s="651"/>
      <c r="BG156" s="651"/>
      <c r="BH156" s="651"/>
      <c r="BI156" s="652">
        <f>BD158</f>
        <v>800</v>
      </c>
      <c r="BJ156" s="651"/>
      <c r="BK156" s="651"/>
      <c r="BL156" s="651"/>
      <c r="BM156" s="651"/>
      <c r="BN156" s="652">
        <f>BI158</f>
        <v>800</v>
      </c>
      <c r="BO156" s="651"/>
      <c r="BP156" s="651"/>
      <c r="BQ156" s="651"/>
      <c r="BR156" s="651"/>
      <c r="BS156" s="652">
        <f>BN158</f>
        <v>800</v>
      </c>
      <c r="BT156" s="651"/>
      <c r="BU156" s="651"/>
      <c r="BV156" s="651"/>
      <c r="BW156" s="651"/>
      <c r="BX156" s="652">
        <f>BS158</f>
        <v>800</v>
      </c>
      <c r="BY156" s="651"/>
      <c r="BZ156" s="651"/>
      <c r="CA156" s="651"/>
      <c r="CB156" s="651"/>
      <c r="CC156" s="652">
        <f>BX158</f>
        <v>800</v>
      </c>
      <c r="CD156" s="652">
        <f>CC158</f>
        <v>800</v>
      </c>
      <c r="CE156" s="652">
        <f>CD158</f>
        <v>800</v>
      </c>
      <c r="CF156" s="652">
        <f>CE158</f>
        <v>800</v>
      </c>
      <c r="CG156" s="652">
        <f>CF158</f>
        <v>800</v>
      </c>
      <c r="CH156" s="652">
        <f>CG158</f>
        <v>800</v>
      </c>
    </row>
    <row r="157" spans="1:86" s="76" customFormat="1" ht="13.5">
      <c r="A157" s="85"/>
      <c r="B157" s="85"/>
      <c r="C157" s="85"/>
      <c r="D157" s="85"/>
      <c r="E157" s="85"/>
      <c r="F157" s="85"/>
      <c r="G157" s="85"/>
      <c r="H157" s="649" t="s">
        <v>606</v>
      </c>
      <c r="I157" s="649"/>
      <c r="J157" s="649"/>
      <c r="K157" s="649"/>
      <c r="L157" s="653"/>
      <c r="M157" s="653"/>
      <c r="N157" s="653"/>
      <c r="O157" s="653"/>
      <c r="P157" s="654"/>
      <c r="Q157" s="653"/>
      <c r="R157" s="653"/>
      <c r="S157" s="653"/>
      <c r="T157" s="653"/>
      <c r="U157" s="654"/>
      <c r="V157" s="653"/>
      <c r="W157" s="653"/>
      <c r="X157" s="653"/>
      <c r="Y157" s="653"/>
      <c r="Z157" s="654"/>
      <c r="AA157" s="653"/>
      <c r="AB157" s="653"/>
      <c r="AC157" s="653"/>
      <c r="AD157" s="653"/>
      <c r="AE157" s="652"/>
      <c r="AF157" s="653"/>
      <c r="AG157" s="653"/>
      <c r="AH157" s="653"/>
      <c r="AI157" s="653"/>
      <c r="AJ157" s="654">
        <v>0</v>
      </c>
      <c r="AK157" s="653"/>
      <c r="AL157" s="653"/>
      <c r="AM157" s="653"/>
      <c r="AN157" s="653"/>
      <c r="AO157" s="654">
        <v>0</v>
      </c>
      <c r="AP157" s="653"/>
      <c r="AQ157" s="653"/>
      <c r="AR157" s="653"/>
      <c r="AS157" s="653"/>
      <c r="AT157" s="654">
        <v>0</v>
      </c>
      <c r="AU157" s="653"/>
      <c r="AV157" s="653"/>
      <c r="AW157" s="653"/>
      <c r="AX157" s="653"/>
      <c r="AY157" s="654">
        <v>0</v>
      </c>
      <c r="AZ157" s="653"/>
      <c r="BA157" s="653"/>
      <c r="BB157" s="653"/>
      <c r="BC157" s="653"/>
      <c r="BD157" s="654">
        <v>0</v>
      </c>
      <c r="BE157" s="653"/>
      <c r="BF157" s="653"/>
      <c r="BG157" s="653"/>
      <c r="BH157" s="653"/>
      <c r="BI157" s="654">
        <v>0</v>
      </c>
      <c r="BJ157" s="653"/>
      <c r="BK157" s="653"/>
      <c r="BL157" s="653"/>
      <c r="BM157" s="653"/>
      <c r="BN157" s="654">
        <v>0</v>
      </c>
      <c r="BO157" s="653"/>
      <c r="BP157" s="653"/>
      <c r="BQ157" s="653"/>
      <c r="BR157" s="653"/>
      <c r="BS157" s="654">
        <v>0</v>
      </c>
      <c r="BT157" s="653"/>
      <c r="BU157" s="653"/>
      <c r="BV157" s="653"/>
      <c r="BW157" s="653"/>
      <c r="BX157" s="654">
        <v>0</v>
      </c>
      <c r="BY157" s="653"/>
      <c r="BZ157" s="653"/>
      <c r="CA157" s="653"/>
      <c r="CB157" s="653"/>
      <c r="CC157" s="654">
        <v>0</v>
      </c>
      <c r="CD157" s="654">
        <v>0</v>
      </c>
      <c r="CE157" s="654">
        <v>0</v>
      </c>
      <c r="CF157" s="654">
        <v>0</v>
      </c>
      <c r="CG157" s="654">
        <v>0</v>
      </c>
      <c r="CH157" s="654">
        <v>0</v>
      </c>
    </row>
    <row r="158" spans="1:86" s="76" customFormat="1" ht="13.5">
      <c r="A158" s="85"/>
      <c r="B158" s="85"/>
      <c r="C158" s="85"/>
      <c r="D158" s="85"/>
      <c r="E158" s="85"/>
      <c r="F158" s="85"/>
      <c r="G158" s="85"/>
      <c r="H158" s="649" t="s">
        <v>397</v>
      </c>
      <c r="I158" s="649"/>
      <c r="J158" s="649"/>
      <c r="K158" s="649"/>
      <c r="L158" s="651"/>
      <c r="M158" s="651"/>
      <c r="N158" s="651"/>
      <c r="O158" s="651"/>
      <c r="P158" s="652"/>
      <c r="Q158" s="651"/>
      <c r="R158" s="651"/>
      <c r="S158" s="651"/>
      <c r="T158" s="651"/>
      <c r="U158" s="652"/>
      <c r="V158" s="651"/>
      <c r="W158" s="651"/>
      <c r="X158" s="651"/>
      <c r="Y158" s="651"/>
      <c r="Z158" s="655"/>
      <c r="AA158" s="651"/>
      <c r="AB158" s="651"/>
      <c r="AC158" s="651"/>
      <c r="AD158" s="651"/>
      <c r="AE158" s="655">
        <v>800</v>
      </c>
      <c r="AF158" s="651"/>
      <c r="AG158" s="651"/>
      <c r="AH158" s="651"/>
      <c r="AI158" s="651"/>
      <c r="AJ158" s="652">
        <f>AJ156+AJ157</f>
        <v>800</v>
      </c>
      <c r="AK158" s="651"/>
      <c r="AL158" s="651"/>
      <c r="AM158" s="651"/>
      <c r="AN158" s="651"/>
      <c r="AO158" s="652">
        <f>AO156+AO157</f>
        <v>800</v>
      </c>
      <c r="AP158" s="651"/>
      <c r="AQ158" s="651"/>
      <c r="AR158" s="651"/>
      <c r="AS158" s="651"/>
      <c r="AT158" s="652">
        <f>AT156+AT157</f>
        <v>800</v>
      </c>
      <c r="AU158" s="651"/>
      <c r="AV158" s="651"/>
      <c r="AW158" s="651"/>
      <c r="AX158" s="651"/>
      <c r="AY158" s="652">
        <f>AY156+AY157</f>
        <v>800</v>
      </c>
      <c r="AZ158" s="651"/>
      <c r="BA158" s="651"/>
      <c r="BB158" s="651"/>
      <c r="BC158" s="651"/>
      <c r="BD158" s="652">
        <f>BD156+BD157</f>
        <v>800</v>
      </c>
      <c r="BE158" s="651"/>
      <c r="BF158" s="651"/>
      <c r="BG158" s="651"/>
      <c r="BH158" s="651"/>
      <c r="BI158" s="652">
        <f>BI156+BI157</f>
        <v>800</v>
      </c>
      <c r="BJ158" s="651"/>
      <c r="BK158" s="651"/>
      <c r="BL158" s="651"/>
      <c r="BM158" s="651"/>
      <c r="BN158" s="652">
        <f>BN156+BN157</f>
        <v>800</v>
      </c>
      <c r="BO158" s="651"/>
      <c r="BP158" s="651"/>
      <c r="BQ158" s="651"/>
      <c r="BR158" s="651"/>
      <c r="BS158" s="652">
        <f>BS156+BS157</f>
        <v>800</v>
      </c>
      <c r="BT158" s="651"/>
      <c r="BU158" s="651"/>
      <c r="BV158" s="651"/>
      <c r="BW158" s="651"/>
      <c r="BX158" s="652">
        <f>BX156+BX157</f>
        <v>800</v>
      </c>
      <c r="BY158" s="651"/>
      <c r="BZ158" s="651"/>
      <c r="CA158" s="651"/>
      <c r="CB158" s="651"/>
      <c r="CC158" s="652">
        <f t="shared" ref="CC158:CH158" si="22">CC156+CC157</f>
        <v>800</v>
      </c>
      <c r="CD158" s="652">
        <f t="shared" si="22"/>
        <v>800</v>
      </c>
      <c r="CE158" s="652">
        <f t="shared" si="22"/>
        <v>800</v>
      </c>
      <c r="CF158" s="652">
        <f t="shared" si="22"/>
        <v>800</v>
      </c>
      <c r="CG158" s="652">
        <f t="shared" si="22"/>
        <v>800</v>
      </c>
      <c r="CH158" s="652">
        <f t="shared" si="22"/>
        <v>800</v>
      </c>
    </row>
    <row r="159" spans="1:86" s="76" customFormat="1" ht="13.5">
      <c r="A159" s="85"/>
      <c r="B159" s="85"/>
      <c r="C159" s="85"/>
      <c r="D159" s="85"/>
      <c r="E159" s="85"/>
      <c r="F159" s="85"/>
      <c r="G159" s="85"/>
      <c r="H159" s="48" t="s">
        <v>398</v>
      </c>
      <c r="I159" s="48"/>
      <c r="J159" s="48"/>
      <c r="K159" s="48"/>
      <c r="L159" s="331"/>
      <c r="M159" s="331"/>
      <c r="N159" s="331"/>
      <c r="O159" s="331"/>
      <c r="P159" s="337"/>
      <c r="Q159" s="331"/>
      <c r="R159" s="331"/>
      <c r="S159" s="331"/>
      <c r="T159" s="331"/>
      <c r="U159" s="337"/>
      <c r="V159" s="331"/>
      <c r="W159" s="331"/>
      <c r="X159" s="331"/>
      <c r="Y159" s="331"/>
      <c r="Z159" s="337"/>
      <c r="AA159" s="331"/>
      <c r="AB159" s="331"/>
      <c r="AC159" s="331"/>
      <c r="AD159" s="331"/>
      <c r="AE159" s="659"/>
      <c r="AF159" s="331"/>
      <c r="AG159" s="331"/>
      <c r="AH159" s="331"/>
      <c r="AI159" s="331"/>
      <c r="AJ159" s="660">
        <v>5.5500000000000001E-2</v>
      </c>
      <c r="AK159" s="331"/>
      <c r="AL159" s="331"/>
      <c r="AM159" s="331"/>
      <c r="AN159" s="331"/>
      <c r="AO159" s="660">
        <v>5.5500000000000001E-2</v>
      </c>
      <c r="AP159" s="331"/>
      <c r="AQ159" s="331"/>
      <c r="AR159" s="331"/>
      <c r="AS159" s="331"/>
      <c r="AT159" s="660">
        <v>5.5500000000000001E-2</v>
      </c>
      <c r="AU159" s="331"/>
      <c r="AV159" s="331"/>
      <c r="AW159" s="331"/>
      <c r="AX159" s="331"/>
      <c r="AY159" s="660">
        <v>5.5500000000000001E-2</v>
      </c>
      <c r="AZ159" s="331"/>
      <c r="BA159" s="331"/>
      <c r="BB159" s="331"/>
      <c r="BC159" s="331"/>
      <c r="BD159" s="660">
        <v>5.5500000000000001E-2</v>
      </c>
      <c r="BE159" s="331"/>
      <c r="BF159" s="331"/>
      <c r="BG159" s="331"/>
      <c r="BH159" s="331"/>
      <c r="BI159" s="660">
        <v>5.5500000000000001E-2</v>
      </c>
      <c r="BJ159" s="331"/>
      <c r="BK159" s="331"/>
      <c r="BL159" s="331"/>
      <c r="BM159" s="331"/>
      <c r="BN159" s="660">
        <v>5.5500000000000001E-2</v>
      </c>
      <c r="BO159" s="331"/>
      <c r="BP159" s="331"/>
      <c r="BQ159" s="331"/>
      <c r="BR159" s="331"/>
      <c r="BS159" s="660">
        <v>5.5500000000000001E-2</v>
      </c>
      <c r="BT159" s="331"/>
      <c r="BU159" s="331"/>
      <c r="BV159" s="331"/>
      <c r="BW159" s="331"/>
      <c r="BX159" s="660">
        <v>5.5500000000000001E-2</v>
      </c>
      <c r="BY159" s="331"/>
      <c r="BZ159" s="331"/>
      <c r="CA159" s="331"/>
      <c r="CB159" s="331"/>
      <c r="CC159" s="660">
        <v>5.5500000000000001E-2</v>
      </c>
      <c r="CD159" s="660">
        <v>5.5500000000000001E-2</v>
      </c>
      <c r="CE159" s="660">
        <v>5.5500000000000001E-2</v>
      </c>
      <c r="CF159" s="660">
        <v>5.5500000000000001E-2</v>
      </c>
      <c r="CG159" s="660">
        <v>5.5500000000000001E-2</v>
      </c>
      <c r="CH159" s="660">
        <v>5.5500000000000001E-2</v>
      </c>
    </row>
    <row r="160" spans="1:86" s="76" customFormat="1" ht="13.5">
      <c r="A160" s="85"/>
      <c r="B160" s="85"/>
      <c r="C160" s="85"/>
      <c r="D160" s="85"/>
      <c r="E160" s="85"/>
      <c r="F160" s="85"/>
      <c r="G160" s="85"/>
      <c r="H160" s="649" t="s">
        <v>686</v>
      </c>
      <c r="I160" s="649"/>
      <c r="J160" s="649"/>
      <c r="K160" s="649"/>
      <c r="L160" s="651"/>
      <c r="M160" s="651"/>
      <c r="N160" s="651"/>
      <c r="O160" s="651"/>
      <c r="P160" s="652"/>
      <c r="Q160" s="651"/>
      <c r="R160" s="651"/>
      <c r="S160" s="651"/>
      <c r="T160" s="651"/>
      <c r="U160" s="652"/>
      <c r="V160" s="651"/>
      <c r="W160" s="651"/>
      <c r="X160" s="651"/>
      <c r="Y160" s="651"/>
      <c r="Z160" s="652"/>
      <c r="AA160" s="651"/>
      <c r="AB160" s="651"/>
      <c r="AC160" s="651"/>
      <c r="AD160" s="651"/>
      <c r="AE160" s="652"/>
      <c r="AF160" s="651"/>
      <c r="AG160" s="651"/>
      <c r="AH160" s="651"/>
      <c r="AI160" s="651"/>
      <c r="AJ160" s="652">
        <f>AJ159*AVERAGE(AJ158, AE158)</f>
        <v>44.4</v>
      </c>
      <c r="AK160" s="651"/>
      <c r="AL160" s="651"/>
      <c r="AM160" s="651"/>
      <c r="AN160" s="651"/>
      <c r="AO160" s="652">
        <f>AO159*AVERAGE(AO158, AJ158)</f>
        <v>44.4</v>
      </c>
      <c r="AP160" s="651"/>
      <c r="AQ160" s="651"/>
      <c r="AR160" s="651"/>
      <c r="AS160" s="651"/>
      <c r="AT160" s="652">
        <f>AT159*AVERAGE(AT158, AO158)</f>
        <v>44.4</v>
      </c>
      <c r="AU160" s="651"/>
      <c r="AV160" s="651"/>
      <c r="AW160" s="651"/>
      <c r="AX160" s="651"/>
      <c r="AY160" s="652">
        <f>AY159*AVERAGE(AY158, AT158)</f>
        <v>44.4</v>
      </c>
      <c r="AZ160" s="651"/>
      <c r="BA160" s="651"/>
      <c r="BB160" s="651"/>
      <c r="BC160" s="651"/>
      <c r="BD160" s="652">
        <f>BD159*AVERAGE(BD158, AY158)</f>
        <v>44.4</v>
      </c>
      <c r="BE160" s="651"/>
      <c r="BF160" s="651"/>
      <c r="BG160" s="651"/>
      <c r="BH160" s="651"/>
      <c r="BI160" s="652">
        <f>BI159*AVERAGE(BI158, BD158)</f>
        <v>44.4</v>
      </c>
      <c r="BJ160" s="651"/>
      <c r="BK160" s="651"/>
      <c r="BL160" s="651"/>
      <c r="BM160" s="651"/>
      <c r="BN160" s="652">
        <f>BN159*AVERAGE(BN158, BI158)</f>
        <v>44.4</v>
      </c>
      <c r="BO160" s="651"/>
      <c r="BP160" s="651"/>
      <c r="BQ160" s="651"/>
      <c r="BR160" s="651"/>
      <c r="BS160" s="652">
        <f>BS159*AVERAGE(BS158, BN158)</f>
        <v>44.4</v>
      </c>
      <c r="BT160" s="651"/>
      <c r="BU160" s="651"/>
      <c r="BV160" s="651"/>
      <c r="BW160" s="651"/>
      <c r="BX160" s="652">
        <f>BX159*AVERAGE(BX158, BS158)</f>
        <v>44.4</v>
      </c>
      <c r="BY160" s="651"/>
      <c r="BZ160" s="651"/>
      <c r="CA160" s="651"/>
      <c r="CB160" s="651"/>
      <c r="CC160" s="652">
        <f>CC159*AVERAGE(CC158, BX158)</f>
        <v>44.4</v>
      </c>
      <c r="CD160" s="652">
        <f>CD159*AVERAGE(CD158, CC158)</f>
        <v>44.4</v>
      </c>
      <c r="CE160" s="652">
        <f>CE159*AVERAGE(CE158, CD158)</f>
        <v>44.4</v>
      </c>
      <c r="CF160" s="652">
        <f>CF159*AVERAGE(CF158, CE158)</f>
        <v>44.4</v>
      </c>
      <c r="CG160" s="652">
        <f>CG159*AVERAGE(CG158, CF158)</f>
        <v>44.4</v>
      </c>
      <c r="CH160" s="652">
        <f>CH159*AVERAGE(CH158, CG158)</f>
        <v>44.4</v>
      </c>
    </row>
    <row r="161" spans="1:86" s="76" customFormat="1" ht="13.5">
      <c r="A161" s="85"/>
      <c r="B161" s="85"/>
      <c r="C161" s="85"/>
      <c r="D161" s="85"/>
      <c r="E161" s="85"/>
      <c r="F161" s="85"/>
      <c r="G161" s="85"/>
      <c r="H161" s="649"/>
      <c r="I161" s="649"/>
      <c r="J161" s="649"/>
      <c r="K161" s="649"/>
      <c r="L161" s="650"/>
      <c r="M161" s="650"/>
      <c r="N161" s="650"/>
      <c r="O161" s="650"/>
      <c r="P161" s="649"/>
      <c r="Q161" s="650"/>
      <c r="R161" s="650"/>
      <c r="S161" s="650"/>
      <c r="T161" s="650"/>
      <c r="U161" s="649"/>
      <c r="V161" s="650"/>
      <c r="W161" s="650"/>
      <c r="X161" s="650"/>
      <c r="Y161" s="650"/>
      <c r="Z161" s="649"/>
      <c r="AA161" s="650"/>
      <c r="AB161" s="650"/>
      <c r="AC161" s="650"/>
      <c r="AD161" s="650"/>
      <c r="AE161" s="649"/>
      <c r="AF161" s="650"/>
      <c r="AG161" s="650"/>
      <c r="AH161" s="650"/>
      <c r="AI161" s="650"/>
      <c r="AJ161" s="649"/>
      <c r="AK161" s="650"/>
      <c r="AL161" s="650"/>
      <c r="AM161" s="650"/>
      <c r="AN161" s="650"/>
      <c r="AO161" s="649"/>
      <c r="AP161" s="650"/>
      <c r="AQ161" s="650"/>
      <c r="AR161" s="650"/>
      <c r="AS161" s="650"/>
      <c r="AT161" s="649"/>
      <c r="AU161" s="650"/>
      <c r="AV161" s="650"/>
      <c r="AW161" s="650"/>
      <c r="AX161" s="650"/>
      <c r="AY161" s="649"/>
      <c r="AZ161" s="650"/>
      <c r="BA161" s="650"/>
      <c r="BB161" s="650"/>
      <c r="BC161" s="650"/>
      <c r="BD161" s="649"/>
      <c r="BE161" s="650"/>
      <c r="BF161" s="650"/>
      <c r="BG161" s="650"/>
      <c r="BH161" s="650"/>
      <c r="BI161" s="649"/>
      <c r="BJ161" s="650"/>
      <c r="BK161" s="650"/>
      <c r="BL161" s="650"/>
      <c r="BM161" s="650"/>
      <c r="BN161" s="649"/>
      <c r="BO161" s="650"/>
      <c r="BP161" s="650"/>
      <c r="BQ161" s="650"/>
      <c r="BR161" s="650"/>
      <c r="BS161" s="649"/>
      <c r="BT161" s="650"/>
      <c r="BU161" s="650"/>
      <c r="BV161" s="650"/>
      <c r="BW161" s="650"/>
      <c r="BX161" s="649"/>
      <c r="BY161" s="650"/>
      <c r="BZ161" s="650"/>
      <c r="CA161" s="650"/>
      <c r="CB161" s="650"/>
      <c r="CC161" s="649"/>
      <c r="CD161" s="649"/>
      <c r="CE161" s="649"/>
      <c r="CF161" s="649"/>
      <c r="CG161" s="649"/>
      <c r="CH161" s="649"/>
    </row>
    <row r="162" spans="1:86" s="76" customFormat="1" ht="13.5">
      <c r="A162" s="85"/>
      <c r="B162" s="85"/>
      <c r="C162" s="85"/>
      <c r="D162" s="85"/>
      <c r="E162" s="85"/>
      <c r="F162" s="85"/>
      <c r="G162" s="85"/>
      <c r="H162" s="658" t="s">
        <v>212</v>
      </c>
      <c r="I162" s="658"/>
      <c r="J162" s="658"/>
      <c r="K162" s="658"/>
      <c r="L162" s="658"/>
      <c r="M162" s="658"/>
      <c r="N162" s="658"/>
      <c r="O162" s="658"/>
      <c r="P162" s="658"/>
      <c r="Q162" s="658"/>
      <c r="R162" s="658"/>
      <c r="S162" s="658"/>
      <c r="T162" s="658"/>
      <c r="U162" s="658"/>
      <c r="V162" s="658"/>
      <c r="W162" s="658"/>
      <c r="X162" s="658"/>
      <c r="Y162" s="658"/>
      <c r="Z162" s="658"/>
      <c r="AA162" s="658"/>
      <c r="AB162" s="658"/>
      <c r="AC162" s="658"/>
      <c r="AD162" s="658"/>
      <c r="AE162" s="658"/>
      <c r="AF162" s="658"/>
      <c r="AG162" s="658"/>
      <c r="AH162" s="658"/>
      <c r="AI162" s="658"/>
      <c r="AJ162" s="658"/>
      <c r="AK162" s="658"/>
      <c r="AL162" s="658"/>
      <c r="AM162" s="658"/>
      <c r="AN162" s="658"/>
      <c r="AO162" s="658"/>
      <c r="AP162" s="658"/>
      <c r="AQ162" s="658"/>
      <c r="AR162" s="658"/>
      <c r="AS162" s="658"/>
      <c r="AT162" s="658"/>
      <c r="AU162" s="658"/>
      <c r="AV162" s="658"/>
      <c r="AW162" s="658"/>
      <c r="AX162" s="658"/>
      <c r="AY162" s="658"/>
      <c r="AZ162" s="658"/>
      <c r="BA162" s="658"/>
      <c r="BB162" s="658"/>
      <c r="BC162" s="658"/>
      <c r="BD162" s="658"/>
      <c r="BE162" s="658"/>
      <c r="BF162" s="658"/>
      <c r="BG162" s="658"/>
      <c r="BH162" s="658"/>
      <c r="BI162" s="658"/>
      <c r="BJ162" s="658"/>
      <c r="BK162" s="658"/>
      <c r="BL162" s="658"/>
      <c r="BM162" s="658"/>
      <c r="BN162" s="658"/>
      <c r="BO162" s="658"/>
      <c r="BP162" s="658"/>
      <c r="BQ162" s="658"/>
      <c r="BR162" s="658"/>
      <c r="BS162" s="658"/>
      <c r="BT162" s="658"/>
      <c r="BU162" s="658"/>
      <c r="BV162" s="658"/>
      <c r="BW162" s="658"/>
      <c r="BX162" s="658"/>
      <c r="BY162" s="658"/>
      <c r="BZ162" s="658"/>
      <c r="CA162" s="658"/>
      <c r="CB162" s="658"/>
      <c r="CC162" s="658"/>
      <c r="CD162" s="658"/>
      <c r="CE162" s="658"/>
      <c r="CF162" s="658"/>
      <c r="CG162" s="658"/>
      <c r="CH162" s="658"/>
    </row>
    <row r="163" spans="1:86" s="76" customFormat="1" ht="13.5">
      <c r="A163" s="85"/>
      <c r="B163" s="85"/>
      <c r="C163" s="85"/>
      <c r="D163" s="85"/>
      <c r="E163" s="85"/>
      <c r="F163" s="85"/>
      <c r="G163" s="85"/>
      <c r="H163" s="649" t="s">
        <v>441</v>
      </c>
      <c r="I163" s="649"/>
      <c r="J163" s="649"/>
      <c r="K163" s="649"/>
      <c r="L163" s="651"/>
      <c r="M163" s="651"/>
      <c r="N163" s="651"/>
      <c r="O163" s="651"/>
      <c r="P163" s="652"/>
      <c r="Q163" s="651"/>
      <c r="R163" s="651"/>
      <c r="S163" s="651"/>
      <c r="T163" s="651"/>
      <c r="U163" s="652"/>
      <c r="V163" s="651"/>
      <c r="W163" s="651"/>
      <c r="X163" s="651"/>
      <c r="Y163" s="651"/>
      <c r="Z163" s="652"/>
      <c r="AA163" s="651"/>
      <c r="AB163" s="651"/>
      <c r="AC163" s="651"/>
      <c r="AD163" s="651"/>
      <c r="AE163" s="652"/>
      <c r="AF163" s="651"/>
      <c r="AG163" s="651"/>
      <c r="AH163" s="651"/>
      <c r="AI163" s="651"/>
      <c r="AJ163" s="652"/>
      <c r="AK163" s="651"/>
      <c r="AL163" s="651"/>
      <c r="AM163" s="651"/>
      <c r="AN163" s="651"/>
      <c r="AO163" s="652">
        <f>AJ165</f>
        <v>0</v>
      </c>
      <c r="AP163" s="651"/>
      <c r="AQ163" s="651"/>
      <c r="AR163" s="651"/>
      <c r="AS163" s="651"/>
      <c r="AT163" s="652">
        <f>AO165</f>
        <v>0</v>
      </c>
      <c r="AU163" s="651"/>
      <c r="AV163" s="651"/>
      <c r="AW163" s="651"/>
      <c r="AX163" s="651"/>
      <c r="AY163" s="652">
        <f>AT165</f>
        <v>0</v>
      </c>
      <c r="AZ163" s="651"/>
      <c r="BA163" s="651"/>
      <c r="BB163" s="651"/>
      <c r="BC163" s="651"/>
      <c r="BD163" s="652">
        <f>AY165</f>
        <v>0</v>
      </c>
      <c r="BE163" s="651"/>
      <c r="BF163" s="651"/>
      <c r="BG163" s="651"/>
      <c r="BH163" s="651"/>
      <c r="BI163" s="652">
        <f>BD165</f>
        <v>0</v>
      </c>
      <c r="BJ163" s="651"/>
      <c r="BK163" s="651"/>
      <c r="BL163" s="651"/>
      <c r="BM163" s="651"/>
      <c r="BN163" s="652">
        <f>BI165</f>
        <v>0</v>
      </c>
      <c r="BO163" s="651"/>
      <c r="BP163" s="651"/>
      <c r="BQ163" s="651"/>
      <c r="BR163" s="651"/>
      <c r="BS163" s="652">
        <f>BN165</f>
        <v>0</v>
      </c>
      <c r="BT163" s="651"/>
      <c r="BU163" s="651"/>
      <c r="BV163" s="651"/>
      <c r="BW163" s="651"/>
      <c r="BX163" s="652">
        <f>BS165</f>
        <v>0</v>
      </c>
      <c r="BY163" s="651"/>
      <c r="BZ163" s="651"/>
      <c r="CA163" s="651"/>
      <c r="CB163" s="651"/>
      <c r="CC163" s="652">
        <f>BX165</f>
        <v>0</v>
      </c>
      <c r="CD163" s="652">
        <f>CC165</f>
        <v>0</v>
      </c>
      <c r="CE163" s="652">
        <f>CD165</f>
        <v>0</v>
      </c>
      <c r="CF163" s="652">
        <f>CE165</f>
        <v>0</v>
      </c>
      <c r="CG163" s="652">
        <f>CF165</f>
        <v>0</v>
      </c>
      <c r="CH163" s="652">
        <f>CG165</f>
        <v>0</v>
      </c>
    </row>
    <row r="164" spans="1:86" s="76" customFormat="1" ht="13.5">
      <c r="A164" s="85"/>
      <c r="B164" s="85"/>
      <c r="C164" s="85"/>
      <c r="D164" s="85"/>
      <c r="E164" s="85"/>
      <c r="F164" s="85"/>
      <c r="G164" s="85"/>
      <c r="H164" s="649" t="s">
        <v>606</v>
      </c>
      <c r="I164" s="649"/>
      <c r="J164" s="649"/>
      <c r="K164" s="649"/>
      <c r="L164" s="653"/>
      <c r="M164" s="653"/>
      <c r="N164" s="653"/>
      <c r="O164" s="653"/>
      <c r="P164" s="654"/>
      <c r="Q164" s="653"/>
      <c r="R164" s="653"/>
      <c r="S164" s="653"/>
      <c r="T164" s="653"/>
      <c r="U164" s="654"/>
      <c r="V164" s="653"/>
      <c r="W164" s="653"/>
      <c r="X164" s="653"/>
      <c r="Y164" s="653"/>
      <c r="Z164" s="654"/>
      <c r="AA164" s="653"/>
      <c r="AB164" s="653"/>
      <c r="AC164" s="653"/>
      <c r="AD164" s="653"/>
      <c r="AE164" s="652"/>
      <c r="AF164" s="653"/>
      <c r="AG164" s="653"/>
      <c r="AH164" s="653"/>
      <c r="AI164" s="653"/>
      <c r="AJ164" s="654"/>
      <c r="AK164" s="653"/>
      <c r="AL164" s="653"/>
      <c r="AM164" s="653"/>
      <c r="AN164" s="653"/>
      <c r="AO164" s="654">
        <v>0</v>
      </c>
      <c r="AP164" s="653"/>
      <c r="AQ164" s="653"/>
      <c r="AR164" s="653"/>
      <c r="AS164" s="653"/>
      <c r="AT164" s="654">
        <v>0</v>
      </c>
      <c r="AU164" s="653"/>
      <c r="AV164" s="653"/>
      <c r="AW164" s="653"/>
      <c r="AX164" s="653"/>
      <c r="AY164" s="654">
        <v>0</v>
      </c>
      <c r="AZ164" s="653"/>
      <c r="BA164" s="653"/>
      <c r="BB164" s="653"/>
      <c r="BC164" s="653"/>
      <c r="BD164" s="654">
        <v>0</v>
      </c>
      <c r="BE164" s="653"/>
      <c r="BF164" s="653"/>
      <c r="BG164" s="653"/>
      <c r="BH164" s="653"/>
      <c r="BI164" s="654">
        <v>0</v>
      </c>
      <c r="BJ164" s="653"/>
      <c r="BK164" s="653"/>
      <c r="BL164" s="653"/>
      <c r="BM164" s="653"/>
      <c r="BN164" s="654">
        <v>0</v>
      </c>
      <c r="BO164" s="653"/>
      <c r="BP164" s="653"/>
      <c r="BQ164" s="653"/>
      <c r="BR164" s="653"/>
      <c r="BS164" s="654">
        <v>0</v>
      </c>
      <c r="BT164" s="653"/>
      <c r="BU164" s="653"/>
      <c r="BV164" s="653"/>
      <c r="BW164" s="653"/>
      <c r="BX164" s="654">
        <v>0</v>
      </c>
      <c r="BY164" s="653"/>
      <c r="BZ164" s="653"/>
      <c r="CA164" s="653"/>
      <c r="CB164" s="653"/>
      <c r="CC164" s="654">
        <v>0</v>
      </c>
      <c r="CD164" s="654">
        <v>0</v>
      </c>
      <c r="CE164" s="654">
        <v>0</v>
      </c>
      <c r="CF164" s="654">
        <v>0</v>
      </c>
      <c r="CG164" s="654">
        <v>0</v>
      </c>
      <c r="CH164" s="654">
        <v>0</v>
      </c>
    </row>
    <row r="165" spans="1:86" s="76" customFormat="1" ht="13.5">
      <c r="A165" s="85"/>
      <c r="B165" s="85"/>
      <c r="C165" s="85"/>
      <c r="D165" s="85"/>
      <c r="E165" s="85"/>
      <c r="F165" s="85"/>
      <c r="G165" s="85"/>
      <c r="H165" s="649" t="s">
        <v>397</v>
      </c>
      <c r="I165" s="649"/>
      <c r="J165" s="649"/>
      <c r="K165" s="649"/>
      <c r="L165" s="651"/>
      <c r="M165" s="651"/>
      <c r="N165" s="651"/>
      <c r="O165" s="651"/>
      <c r="P165" s="652"/>
      <c r="Q165" s="651"/>
      <c r="R165" s="651"/>
      <c r="S165" s="651"/>
      <c r="T165" s="651"/>
      <c r="U165" s="652"/>
      <c r="V165" s="651"/>
      <c r="W165" s="651"/>
      <c r="X165" s="651"/>
      <c r="Y165" s="651"/>
      <c r="Z165" s="655"/>
      <c r="AA165" s="651"/>
      <c r="AB165" s="651"/>
      <c r="AC165" s="651"/>
      <c r="AD165" s="651"/>
      <c r="AE165" s="655">
        <v>0</v>
      </c>
      <c r="AF165" s="651"/>
      <c r="AG165" s="651"/>
      <c r="AH165" s="651"/>
      <c r="AI165" s="651"/>
      <c r="AJ165" s="655">
        <v>0</v>
      </c>
      <c r="AK165" s="651"/>
      <c r="AL165" s="651"/>
      <c r="AM165" s="651"/>
      <c r="AN165" s="651"/>
      <c r="AO165" s="652">
        <f>AO163+AO164</f>
        <v>0</v>
      </c>
      <c r="AP165" s="651"/>
      <c r="AQ165" s="651"/>
      <c r="AR165" s="651"/>
      <c r="AS165" s="651"/>
      <c r="AT165" s="652">
        <f>AT163+AT164</f>
        <v>0</v>
      </c>
      <c r="AU165" s="651"/>
      <c r="AV165" s="651"/>
      <c r="AW165" s="651"/>
      <c r="AX165" s="651"/>
      <c r="AY165" s="652">
        <f>AY163+AY164</f>
        <v>0</v>
      </c>
      <c r="AZ165" s="651"/>
      <c r="BA165" s="651"/>
      <c r="BB165" s="651"/>
      <c r="BC165" s="651"/>
      <c r="BD165" s="652">
        <f>BD163+BD164</f>
        <v>0</v>
      </c>
      <c r="BE165" s="651"/>
      <c r="BF165" s="651"/>
      <c r="BG165" s="651"/>
      <c r="BH165" s="651"/>
      <c r="BI165" s="652">
        <f>BI163+BI164</f>
        <v>0</v>
      </c>
      <c r="BJ165" s="651"/>
      <c r="BK165" s="651"/>
      <c r="BL165" s="651"/>
      <c r="BM165" s="651"/>
      <c r="BN165" s="652">
        <f>BN163+BN164</f>
        <v>0</v>
      </c>
      <c r="BO165" s="651"/>
      <c r="BP165" s="651"/>
      <c r="BQ165" s="651"/>
      <c r="BR165" s="651"/>
      <c r="BS165" s="652">
        <f>BS163+BS164</f>
        <v>0</v>
      </c>
      <c r="BT165" s="651"/>
      <c r="BU165" s="651"/>
      <c r="BV165" s="651"/>
      <c r="BW165" s="651"/>
      <c r="BX165" s="652">
        <f>BX163+BX164</f>
        <v>0</v>
      </c>
      <c r="BY165" s="651"/>
      <c r="BZ165" s="651"/>
      <c r="CA165" s="651"/>
      <c r="CB165" s="651"/>
      <c r="CC165" s="652">
        <f t="shared" ref="CC165:CH165" si="23">CC163+CC164</f>
        <v>0</v>
      </c>
      <c r="CD165" s="652">
        <f t="shared" si="23"/>
        <v>0</v>
      </c>
      <c r="CE165" s="652">
        <f t="shared" si="23"/>
        <v>0</v>
      </c>
      <c r="CF165" s="652">
        <f t="shared" si="23"/>
        <v>0</v>
      </c>
      <c r="CG165" s="652">
        <f t="shared" si="23"/>
        <v>0</v>
      </c>
      <c r="CH165" s="652">
        <f t="shared" si="23"/>
        <v>0</v>
      </c>
    </row>
    <row r="166" spans="1:86" s="76" customFormat="1" ht="13.5">
      <c r="A166" s="85"/>
      <c r="B166" s="85"/>
      <c r="C166" s="85"/>
      <c r="D166" s="85"/>
      <c r="E166" s="85"/>
      <c r="F166" s="85"/>
      <c r="G166" s="85"/>
      <c r="H166" s="48" t="s">
        <v>398</v>
      </c>
      <c r="I166" s="48"/>
      <c r="J166" s="48"/>
      <c r="K166" s="48"/>
      <c r="L166" s="331"/>
      <c r="M166" s="331"/>
      <c r="N166" s="331"/>
      <c r="O166" s="331"/>
      <c r="P166" s="337"/>
      <c r="Q166" s="331"/>
      <c r="R166" s="331"/>
      <c r="S166" s="331"/>
      <c r="T166" s="331"/>
      <c r="U166" s="337"/>
      <c r="V166" s="331"/>
      <c r="W166" s="331"/>
      <c r="X166" s="331"/>
      <c r="Y166" s="331"/>
      <c r="Z166" s="337"/>
      <c r="AA166" s="331"/>
      <c r="AB166" s="331"/>
      <c r="AC166" s="331"/>
      <c r="AD166" s="331"/>
      <c r="AE166" s="659"/>
      <c r="AF166" s="331"/>
      <c r="AG166" s="331"/>
      <c r="AH166" s="331"/>
      <c r="AI166" s="331"/>
      <c r="AJ166" s="659">
        <v>4.1000000000000002E-2</v>
      </c>
      <c r="AK166" s="331"/>
      <c r="AL166" s="331"/>
      <c r="AM166" s="331"/>
      <c r="AN166" s="331"/>
      <c r="AO166" s="659">
        <v>4.1000000000000002E-2</v>
      </c>
      <c r="AP166" s="331"/>
      <c r="AQ166" s="331"/>
      <c r="AR166" s="331"/>
      <c r="AS166" s="331"/>
      <c r="AT166" s="659">
        <v>4.1000000000000002E-2</v>
      </c>
      <c r="AU166" s="331"/>
      <c r="AV166" s="331"/>
      <c r="AW166" s="331"/>
      <c r="AX166" s="331"/>
      <c r="AY166" s="659">
        <v>4.1000000000000002E-2</v>
      </c>
      <c r="AZ166" s="331"/>
      <c r="BA166" s="331"/>
      <c r="BB166" s="331"/>
      <c r="BC166" s="331"/>
      <c r="BD166" s="659">
        <v>4.1000000000000002E-2</v>
      </c>
      <c r="BE166" s="331"/>
      <c r="BF166" s="331"/>
      <c r="BG166" s="331"/>
      <c r="BH166" s="331"/>
      <c r="BI166" s="659">
        <v>4.1000000000000002E-2</v>
      </c>
      <c r="BJ166" s="331"/>
      <c r="BK166" s="331"/>
      <c r="BL166" s="331"/>
      <c r="BM166" s="331"/>
      <c r="BN166" s="659">
        <v>4.1000000000000002E-2</v>
      </c>
      <c r="BO166" s="331"/>
      <c r="BP166" s="331"/>
      <c r="BQ166" s="331"/>
      <c r="BR166" s="331"/>
      <c r="BS166" s="659">
        <v>4.1000000000000002E-2</v>
      </c>
      <c r="BT166" s="331"/>
      <c r="BU166" s="331"/>
      <c r="BV166" s="331"/>
      <c r="BW166" s="331"/>
      <c r="BX166" s="659">
        <v>4.1000000000000002E-2</v>
      </c>
      <c r="BY166" s="331"/>
      <c r="BZ166" s="331"/>
      <c r="CA166" s="331"/>
      <c r="CB166" s="331"/>
      <c r="CC166" s="659">
        <v>4.1000000000000002E-2</v>
      </c>
      <c r="CD166" s="659">
        <v>4.1000000000000002E-2</v>
      </c>
      <c r="CE166" s="659">
        <v>4.1000000000000002E-2</v>
      </c>
      <c r="CF166" s="659">
        <v>4.1000000000000002E-2</v>
      </c>
      <c r="CG166" s="659">
        <v>4.1000000000000002E-2</v>
      </c>
      <c r="CH166" s="659">
        <v>4.1000000000000002E-2</v>
      </c>
    </row>
    <row r="167" spans="1:86" s="76" customFormat="1" ht="13.5">
      <c r="A167" s="85"/>
      <c r="B167" s="85"/>
      <c r="C167" s="85"/>
      <c r="D167" s="85"/>
      <c r="E167" s="85"/>
      <c r="F167" s="85"/>
      <c r="G167" s="85"/>
      <c r="H167" s="649" t="s">
        <v>686</v>
      </c>
      <c r="I167" s="649"/>
      <c r="J167" s="649"/>
      <c r="K167" s="649"/>
      <c r="L167" s="651"/>
      <c r="M167" s="651"/>
      <c r="N167" s="651"/>
      <c r="O167" s="651"/>
      <c r="P167" s="652"/>
      <c r="Q167" s="651"/>
      <c r="R167" s="651"/>
      <c r="S167" s="651"/>
      <c r="T167" s="651"/>
      <c r="U167" s="652"/>
      <c r="V167" s="651"/>
      <c r="W167" s="651"/>
      <c r="X167" s="651"/>
      <c r="Y167" s="651"/>
      <c r="Z167" s="652"/>
      <c r="AA167" s="651"/>
      <c r="AB167" s="651"/>
      <c r="AC167" s="651"/>
      <c r="AD167" s="651"/>
      <c r="AE167" s="652"/>
      <c r="AF167" s="651"/>
      <c r="AG167" s="651"/>
      <c r="AH167" s="651"/>
      <c r="AI167" s="651"/>
      <c r="AJ167" s="652">
        <f>AJ166*AJ165</f>
        <v>0</v>
      </c>
      <c r="AK167" s="651"/>
      <c r="AL167" s="651"/>
      <c r="AM167" s="651"/>
      <c r="AN167" s="651"/>
      <c r="AO167" s="652">
        <f>AO166*AVERAGE(AO165, AJ165)</f>
        <v>0</v>
      </c>
      <c r="AP167" s="651"/>
      <c r="AQ167" s="651"/>
      <c r="AR167" s="651"/>
      <c r="AS167" s="651"/>
      <c r="AT167" s="652">
        <f>AT166*AVERAGE(AT165, AO165)</f>
        <v>0</v>
      </c>
      <c r="AU167" s="651"/>
      <c r="AV167" s="651"/>
      <c r="AW167" s="651"/>
      <c r="AX167" s="651"/>
      <c r="AY167" s="652">
        <f>AY166*AVERAGE(AY165, AT165)</f>
        <v>0</v>
      </c>
      <c r="AZ167" s="651"/>
      <c r="BA167" s="651"/>
      <c r="BB167" s="651"/>
      <c r="BC167" s="651"/>
      <c r="BD167" s="652">
        <f>BD166*AVERAGE(BD165, AY165)</f>
        <v>0</v>
      </c>
      <c r="BE167" s="651"/>
      <c r="BF167" s="651"/>
      <c r="BG167" s="651"/>
      <c r="BH167" s="651"/>
      <c r="BI167" s="652">
        <f>BI166*AVERAGE(BI165, BD165)</f>
        <v>0</v>
      </c>
      <c r="BJ167" s="651"/>
      <c r="BK167" s="651"/>
      <c r="BL167" s="651"/>
      <c r="BM167" s="651"/>
      <c r="BN167" s="652">
        <f>BN166*AVERAGE(BN165, BI165)</f>
        <v>0</v>
      </c>
      <c r="BO167" s="651"/>
      <c r="BP167" s="651"/>
      <c r="BQ167" s="651"/>
      <c r="BR167" s="651"/>
      <c r="BS167" s="652">
        <f>BS166*AVERAGE(BS165, BN165)</f>
        <v>0</v>
      </c>
      <c r="BT167" s="651"/>
      <c r="BU167" s="651"/>
      <c r="BV167" s="651"/>
      <c r="BW167" s="651"/>
      <c r="BX167" s="652">
        <f>BX166*AVERAGE(BX165, BS165)</f>
        <v>0</v>
      </c>
      <c r="BY167" s="651"/>
      <c r="BZ167" s="651"/>
      <c r="CA167" s="651"/>
      <c r="CB167" s="651"/>
      <c r="CC167" s="652">
        <f>CC166*AVERAGE(CC165, BX165)</f>
        <v>0</v>
      </c>
      <c r="CD167" s="652">
        <f>CD166*AVERAGE(CD165, CC165)</f>
        <v>0</v>
      </c>
      <c r="CE167" s="652">
        <f>CE166*AVERAGE(CE165, CD165)</f>
        <v>0</v>
      </c>
      <c r="CF167" s="652">
        <f>CF166*AVERAGE(CF165, CE165)</f>
        <v>0</v>
      </c>
      <c r="CG167" s="652">
        <f>CG166*AVERAGE(CG165, CF165)</f>
        <v>0</v>
      </c>
      <c r="CH167" s="652">
        <f>CH166*AVERAGE(CH165, CG165)</f>
        <v>0</v>
      </c>
    </row>
    <row r="168" spans="1:86" s="76" customFormat="1" ht="13.5">
      <c r="A168" s="85"/>
      <c r="B168" s="85"/>
      <c r="C168" s="85"/>
      <c r="D168" s="85"/>
      <c r="E168" s="85"/>
      <c r="F168" s="85"/>
      <c r="G168" s="85"/>
      <c r="H168" s="649"/>
      <c r="I168" s="649"/>
      <c r="J168" s="649"/>
      <c r="K168" s="649"/>
      <c r="L168" s="650"/>
      <c r="M168" s="650"/>
      <c r="N168" s="650"/>
      <c r="O168" s="650"/>
      <c r="P168" s="649"/>
      <c r="Q168" s="650"/>
      <c r="R168" s="650"/>
      <c r="S168" s="650"/>
      <c r="T168" s="650"/>
      <c r="U168" s="649"/>
      <c r="V168" s="650"/>
      <c r="W168" s="650"/>
      <c r="X168" s="650"/>
      <c r="Y168" s="650"/>
      <c r="Z168" s="649"/>
      <c r="AA168" s="650"/>
      <c r="AB168" s="650"/>
      <c r="AC168" s="650"/>
      <c r="AD168" s="650"/>
      <c r="AE168" s="649"/>
      <c r="AF168" s="650"/>
      <c r="AG168" s="650"/>
      <c r="AH168" s="650"/>
      <c r="AI168" s="650"/>
      <c r="AJ168" s="649"/>
      <c r="AK168" s="650"/>
      <c r="AL168" s="650"/>
      <c r="AM168" s="650"/>
      <c r="AN168" s="650"/>
      <c r="AO168" s="649"/>
      <c r="AP168" s="650"/>
      <c r="AQ168" s="650"/>
      <c r="AR168" s="650"/>
      <c r="AS168" s="650"/>
      <c r="AT168" s="649"/>
      <c r="AU168" s="650"/>
      <c r="AV168" s="650"/>
      <c r="AW168" s="650"/>
      <c r="AX168" s="650"/>
      <c r="AY168" s="649"/>
      <c r="AZ168" s="650"/>
      <c r="BA168" s="650"/>
      <c r="BB168" s="650"/>
      <c r="BC168" s="650"/>
      <c r="BD168" s="649"/>
      <c r="BE168" s="650"/>
      <c r="BF168" s="650"/>
      <c r="BG168" s="650"/>
      <c r="BH168" s="650"/>
      <c r="BI168" s="649"/>
      <c r="BJ168" s="650"/>
      <c r="BK168" s="650"/>
      <c r="BL168" s="650"/>
      <c r="BM168" s="650"/>
      <c r="BN168" s="649"/>
      <c r="BO168" s="650"/>
      <c r="BP168" s="650"/>
      <c r="BQ168" s="650"/>
      <c r="BR168" s="650"/>
      <c r="BS168" s="649"/>
      <c r="BT168" s="650"/>
      <c r="BU168" s="650"/>
      <c r="BV168" s="650"/>
      <c r="BW168" s="650"/>
      <c r="BX168" s="649"/>
      <c r="BY168" s="650"/>
      <c r="BZ168" s="650"/>
      <c r="CA168" s="650"/>
      <c r="CB168" s="650"/>
      <c r="CC168" s="649"/>
      <c r="CD168" s="649"/>
      <c r="CE168" s="649"/>
      <c r="CF168" s="649"/>
      <c r="CG168" s="649"/>
      <c r="CH168" s="649"/>
    </row>
    <row r="169" spans="1:86" s="76" customFormat="1" ht="13.5">
      <c r="A169" s="85"/>
      <c r="B169" s="85"/>
      <c r="C169" s="85"/>
      <c r="D169" s="85"/>
      <c r="E169" s="85"/>
      <c r="F169" s="85"/>
      <c r="G169" s="85"/>
      <c r="H169" s="658" t="s">
        <v>293</v>
      </c>
      <c r="I169" s="658"/>
      <c r="J169" s="658"/>
      <c r="K169" s="658"/>
      <c r="L169" s="658"/>
      <c r="M169" s="658"/>
      <c r="N169" s="658"/>
      <c r="O169" s="658"/>
      <c r="P169" s="658"/>
      <c r="Q169" s="658"/>
      <c r="R169" s="658"/>
      <c r="S169" s="658"/>
      <c r="T169" s="658"/>
      <c r="U169" s="658"/>
      <c r="V169" s="658"/>
      <c r="W169" s="658"/>
      <c r="X169" s="658"/>
      <c r="Y169" s="658"/>
      <c r="Z169" s="658"/>
      <c r="AA169" s="658"/>
      <c r="AB169" s="658"/>
      <c r="AC169" s="658"/>
      <c r="AD169" s="658"/>
      <c r="AE169" s="658"/>
      <c r="AF169" s="658"/>
      <c r="AG169" s="658"/>
      <c r="AH169" s="658"/>
      <c r="AI169" s="658"/>
      <c r="AJ169" s="658"/>
      <c r="AK169" s="658"/>
      <c r="AL169" s="658"/>
      <c r="AM169" s="658"/>
      <c r="AN169" s="658"/>
      <c r="AO169" s="658"/>
      <c r="AP169" s="658"/>
      <c r="AQ169" s="658"/>
      <c r="AR169" s="658"/>
      <c r="AS169" s="658"/>
      <c r="AT169" s="658"/>
      <c r="AU169" s="658"/>
      <c r="AV169" s="658"/>
      <c r="AW169" s="658"/>
      <c r="AX169" s="658"/>
      <c r="AY169" s="658"/>
      <c r="AZ169" s="658"/>
      <c r="BA169" s="658"/>
      <c r="BB169" s="658"/>
      <c r="BC169" s="658"/>
      <c r="BD169" s="658"/>
      <c r="BE169" s="658"/>
      <c r="BF169" s="658"/>
      <c r="BG169" s="658"/>
      <c r="BH169" s="658"/>
      <c r="BI169" s="658"/>
      <c r="BJ169" s="658"/>
      <c r="BK169" s="658"/>
      <c r="BL169" s="658"/>
      <c r="BM169" s="658"/>
      <c r="BN169" s="658"/>
      <c r="BO169" s="658"/>
      <c r="BP169" s="658"/>
      <c r="BQ169" s="658"/>
      <c r="BR169" s="658"/>
      <c r="BS169" s="658"/>
      <c r="BT169" s="658"/>
      <c r="BU169" s="658"/>
      <c r="BV169" s="658"/>
      <c r="BW169" s="658"/>
      <c r="BX169" s="658"/>
      <c r="BY169" s="658"/>
      <c r="BZ169" s="658"/>
      <c r="CA169" s="658"/>
      <c r="CB169" s="658"/>
      <c r="CC169" s="658"/>
      <c r="CD169" s="658"/>
      <c r="CE169" s="658"/>
      <c r="CF169" s="658"/>
      <c r="CG169" s="658"/>
      <c r="CH169" s="658"/>
    </row>
    <row r="170" spans="1:86" s="76" customFormat="1" ht="13.5">
      <c r="A170" s="85"/>
      <c r="B170" s="85"/>
      <c r="C170" s="85"/>
      <c r="D170" s="85"/>
      <c r="E170" s="85"/>
      <c r="F170" s="85"/>
      <c r="G170" s="85"/>
      <c r="H170" s="649" t="s">
        <v>441</v>
      </c>
      <c r="I170" s="649"/>
      <c r="J170" s="649"/>
      <c r="K170" s="649"/>
      <c r="L170" s="651"/>
      <c r="M170" s="651"/>
      <c r="N170" s="651"/>
      <c r="O170" s="651"/>
      <c r="P170" s="652"/>
      <c r="Q170" s="651"/>
      <c r="R170" s="651"/>
      <c r="S170" s="651"/>
      <c r="T170" s="651"/>
      <c r="U170" s="652"/>
      <c r="V170" s="651"/>
      <c r="W170" s="651"/>
      <c r="X170" s="651"/>
      <c r="Y170" s="651"/>
      <c r="Z170" s="652"/>
      <c r="AA170" s="651"/>
      <c r="AB170" s="651"/>
      <c r="AC170" s="651"/>
      <c r="AD170" s="651"/>
      <c r="AE170" s="652"/>
      <c r="AF170" s="651"/>
      <c r="AG170" s="651"/>
      <c r="AH170" s="651"/>
      <c r="AI170" s="651"/>
      <c r="AJ170" s="652"/>
      <c r="AK170" s="651"/>
      <c r="AL170" s="651"/>
      <c r="AM170" s="651"/>
      <c r="AN170" s="651"/>
      <c r="AO170" s="652"/>
      <c r="AP170" s="651"/>
      <c r="AQ170" s="651"/>
      <c r="AR170" s="651"/>
      <c r="AS170" s="651"/>
      <c r="AT170" s="652"/>
      <c r="AU170" s="651"/>
      <c r="AV170" s="651"/>
      <c r="AW170" s="651"/>
      <c r="AX170" s="651"/>
      <c r="AY170" s="652">
        <f>AT172</f>
        <v>37.6</v>
      </c>
      <c r="AZ170" s="651"/>
      <c r="BA170" s="651"/>
      <c r="BB170" s="651"/>
      <c r="BC170" s="651"/>
      <c r="BD170" s="652">
        <f>AY172</f>
        <v>37.4</v>
      </c>
      <c r="BE170" s="651"/>
      <c r="BF170" s="651"/>
      <c r="BG170" s="651"/>
      <c r="BH170" s="651"/>
      <c r="BI170" s="652">
        <f>BD172</f>
        <v>27.099999999999998</v>
      </c>
      <c r="BJ170" s="651"/>
      <c r="BK170" s="651"/>
      <c r="BL170" s="651"/>
      <c r="BM170" s="651"/>
      <c r="BN170" s="652">
        <f>BI172</f>
        <v>33.099999999999994</v>
      </c>
      <c r="BO170" s="651"/>
      <c r="BP170" s="651"/>
      <c r="BQ170" s="651"/>
      <c r="BR170" s="651"/>
      <c r="BS170" s="652">
        <f>BN172</f>
        <v>23.099999999999994</v>
      </c>
      <c r="BT170" s="651"/>
      <c r="BU170" s="651"/>
      <c r="BV170" s="651"/>
      <c r="BW170" s="651"/>
      <c r="BX170" s="652">
        <f>BS172</f>
        <v>14.399999999999995</v>
      </c>
      <c r="BY170" s="651"/>
      <c r="BZ170" s="651"/>
      <c r="CA170" s="651"/>
      <c r="CB170" s="651"/>
      <c r="CC170" s="652">
        <f>BX172</f>
        <v>14.399999999999995</v>
      </c>
      <c r="CD170" s="652">
        <f>CC172</f>
        <v>14.399999999999995</v>
      </c>
      <c r="CE170" s="652">
        <f>CD172</f>
        <v>14.399999999999995</v>
      </c>
      <c r="CF170" s="652">
        <f>CE172</f>
        <v>14.399999999999995</v>
      </c>
      <c r="CG170" s="652">
        <f>CF172</f>
        <v>14.399999999999995</v>
      </c>
      <c r="CH170" s="652">
        <f>CG172</f>
        <v>14.399999999999995</v>
      </c>
    </row>
    <row r="171" spans="1:86" s="76" customFormat="1" ht="13.5">
      <c r="A171" s="85"/>
      <c r="B171" s="85"/>
      <c r="C171" s="85"/>
      <c r="D171" s="85"/>
      <c r="E171" s="85"/>
      <c r="F171" s="85"/>
      <c r="G171" s="85"/>
      <c r="H171" s="649" t="s">
        <v>606</v>
      </c>
      <c r="I171" s="649"/>
      <c r="J171" s="649"/>
      <c r="K171" s="649"/>
      <c r="L171" s="653"/>
      <c r="M171" s="653"/>
      <c r="N171" s="653"/>
      <c r="O171" s="653"/>
      <c r="P171" s="654"/>
      <c r="Q171" s="653"/>
      <c r="R171" s="653"/>
      <c r="S171" s="653"/>
      <c r="T171" s="653"/>
      <c r="U171" s="654"/>
      <c r="V171" s="653"/>
      <c r="W171" s="653"/>
      <c r="X171" s="653"/>
      <c r="Y171" s="653"/>
      <c r="Z171" s="654"/>
      <c r="AA171" s="653"/>
      <c r="AB171" s="653"/>
      <c r="AC171" s="653"/>
      <c r="AD171" s="653"/>
      <c r="AE171" s="652"/>
      <c r="AF171" s="653"/>
      <c r="AG171" s="653"/>
      <c r="AH171" s="653"/>
      <c r="AI171" s="653"/>
      <c r="AJ171" s="654"/>
      <c r="AK171" s="653"/>
      <c r="AL171" s="653"/>
      <c r="AM171" s="653"/>
      <c r="AN171" s="653"/>
      <c r="AO171" s="654"/>
      <c r="AP171" s="653"/>
      <c r="AQ171" s="653"/>
      <c r="AR171" s="653"/>
      <c r="AS171" s="653"/>
      <c r="AT171" s="654"/>
      <c r="AU171" s="653"/>
      <c r="AV171" s="653"/>
      <c r="AW171" s="653"/>
      <c r="AX171" s="653"/>
      <c r="AY171" s="654">
        <v>-0.2</v>
      </c>
      <c r="AZ171" s="653"/>
      <c r="BA171" s="653"/>
      <c r="BB171" s="653"/>
      <c r="BC171" s="653"/>
      <c r="BD171" s="654">
        <v>-10.3</v>
      </c>
      <c r="BE171" s="653"/>
      <c r="BF171" s="653"/>
      <c r="BG171" s="653"/>
      <c r="BH171" s="653"/>
      <c r="BI171" s="654">
        <v>6</v>
      </c>
      <c r="BJ171" s="653"/>
      <c r="BK171" s="653"/>
      <c r="BL171" s="653"/>
      <c r="BM171" s="653"/>
      <c r="BN171" s="654">
        <v>-10</v>
      </c>
      <c r="BO171" s="653"/>
      <c r="BP171" s="653"/>
      <c r="BQ171" s="653"/>
      <c r="BR171" s="653"/>
      <c r="BS171" s="654">
        <v>-8.6999999999999993</v>
      </c>
      <c r="BT171" s="653"/>
      <c r="BU171" s="653"/>
      <c r="BV171" s="653"/>
      <c r="BW171" s="653"/>
      <c r="BX171" s="654">
        <v>0</v>
      </c>
      <c r="BY171" s="653"/>
      <c r="BZ171" s="653"/>
      <c r="CA171" s="653"/>
      <c r="CB171" s="653"/>
      <c r="CC171" s="654">
        <v>0</v>
      </c>
      <c r="CD171" s="654">
        <v>0</v>
      </c>
      <c r="CE171" s="654">
        <v>0</v>
      </c>
      <c r="CF171" s="654">
        <v>0</v>
      </c>
      <c r="CG171" s="654">
        <v>0</v>
      </c>
      <c r="CH171" s="654">
        <v>0</v>
      </c>
    </row>
    <row r="172" spans="1:86" s="76" customFormat="1" ht="13.5">
      <c r="A172" s="85"/>
      <c r="B172" s="85"/>
      <c r="C172" s="85"/>
      <c r="D172" s="85"/>
      <c r="E172" s="85"/>
      <c r="F172" s="85"/>
      <c r="G172" s="85"/>
      <c r="H172" s="649" t="s">
        <v>397</v>
      </c>
      <c r="I172" s="649"/>
      <c r="J172" s="649"/>
      <c r="K172" s="649"/>
      <c r="L172" s="651"/>
      <c r="M172" s="651"/>
      <c r="N172" s="651"/>
      <c r="O172" s="651"/>
      <c r="P172" s="652"/>
      <c r="Q172" s="651"/>
      <c r="R172" s="651"/>
      <c r="S172" s="651"/>
      <c r="T172" s="651"/>
      <c r="U172" s="652"/>
      <c r="V172" s="651"/>
      <c r="W172" s="651"/>
      <c r="X172" s="651"/>
      <c r="Y172" s="651"/>
      <c r="Z172" s="655"/>
      <c r="AA172" s="651"/>
      <c r="AB172" s="651"/>
      <c r="AC172" s="651"/>
      <c r="AD172" s="651"/>
      <c r="AE172" s="655">
        <f>116.8-20.4</f>
        <v>96.4</v>
      </c>
      <c r="AF172" s="651"/>
      <c r="AG172" s="651"/>
      <c r="AH172" s="651"/>
      <c r="AI172" s="651"/>
      <c r="AJ172" s="655">
        <f>105.3-20.3</f>
        <v>85</v>
      </c>
      <c r="AK172" s="651"/>
      <c r="AL172" s="651"/>
      <c r="AM172" s="651"/>
      <c r="AN172" s="651"/>
      <c r="AO172" s="655">
        <v>97.2</v>
      </c>
      <c r="AP172" s="651"/>
      <c r="AQ172" s="651"/>
      <c r="AR172" s="651"/>
      <c r="AS172" s="651"/>
      <c r="AT172" s="655">
        <v>37.6</v>
      </c>
      <c r="AU172" s="651"/>
      <c r="AV172" s="651"/>
      <c r="AW172" s="651"/>
      <c r="AX172" s="651"/>
      <c r="AY172" s="652">
        <f>AY170+AY171</f>
        <v>37.4</v>
      </c>
      <c r="AZ172" s="651"/>
      <c r="BA172" s="651"/>
      <c r="BB172" s="651"/>
      <c r="BC172" s="651"/>
      <c r="BD172" s="652">
        <f>BD170+BD171</f>
        <v>27.099999999999998</v>
      </c>
      <c r="BE172" s="651"/>
      <c r="BF172" s="651"/>
      <c r="BG172" s="651"/>
      <c r="BH172" s="651"/>
      <c r="BI172" s="652">
        <f>BI170+BI171</f>
        <v>33.099999999999994</v>
      </c>
      <c r="BJ172" s="651"/>
      <c r="BK172" s="651"/>
      <c r="BL172" s="651"/>
      <c r="BM172" s="651"/>
      <c r="BN172" s="652">
        <f>BN170+BN171</f>
        <v>23.099999999999994</v>
      </c>
      <c r="BO172" s="651"/>
      <c r="BP172" s="651"/>
      <c r="BQ172" s="651"/>
      <c r="BR172" s="651"/>
      <c r="BS172" s="652">
        <f>BS170+BS171</f>
        <v>14.399999999999995</v>
      </c>
      <c r="BT172" s="651"/>
      <c r="BU172" s="651"/>
      <c r="BV172" s="651"/>
      <c r="BW172" s="651"/>
      <c r="BX172" s="652">
        <f>BX170+BX171</f>
        <v>14.399999999999995</v>
      </c>
      <c r="BY172" s="651"/>
      <c r="BZ172" s="651"/>
      <c r="CA172" s="651"/>
      <c r="CB172" s="651"/>
      <c r="CC172" s="652">
        <f t="shared" ref="CC172:CH172" si="24">CC170+CC171</f>
        <v>14.399999999999995</v>
      </c>
      <c r="CD172" s="652">
        <f t="shared" si="24"/>
        <v>14.399999999999995</v>
      </c>
      <c r="CE172" s="652">
        <f t="shared" si="24"/>
        <v>14.399999999999995</v>
      </c>
      <c r="CF172" s="652">
        <f t="shared" si="24"/>
        <v>14.399999999999995</v>
      </c>
      <c r="CG172" s="652">
        <f t="shared" si="24"/>
        <v>14.399999999999995</v>
      </c>
      <c r="CH172" s="652">
        <f t="shared" si="24"/>
        <v>14.399999999999995</v>
      </c>
    </row>
    <row r="173" spans="1:86" s="76" customFormat="1" ht="13.5">
      <c r="A173" s="85"/>
      <c r="B173" s="85"/>
      <c r="C173" s="85"/>
      <c r="D173" s="85"/>
      <c r="E173" s="85"/>
      <c r="F173" s="85"/>
      <c r="G173" s="85"/>
      <c r="H173" s="48" t="s">
        <v>398</v>
      </c>
      <c r="I173" s="48"/>
      <c r="J173" s="48"/>
      <c r="K173" s="48"/>
      <c r="L173" s="331"/>
      <c r="M173" s="331"/>
      <c r="N173" s="331"/>
      <c r="O173" s="331"/>
      <c r="P173" s="337"/>
      <c r="Q173" s="331"/>
      <c r="R173" s="331"/>
      <c r="S173" s="331"/>
      <c r="T173" s="331"/>
      <c r="U173" s="337"/>
      <c r="V173" s="331"/>
      <c r="W173" s="331"/>
      <c r="X173" s="331"/>
      <c r="Y173" s="331"/>
      <c r="Z173" s="337"/>
      <c r="AA173" s="331"/>
      <c r="AB173" s="331"/>
      <c r="AC173" s="331"/>
      <c r="AD173" s="331"/>
      <c r="AE173" s="659"/>
      <c r="AF173" s="663"/>
      <c r="AG173" s="663"/>
      <c r="AH173" s="663"/>
      <c r="AI173" s="663"/>
      <c r="AJ173" s="664"/>
      <c r="AK173" s="665"/>
      <c r="AL173" s="665"/>
      <c r="AM173" s="665"/>
      <c r="AN173" s="665"/>
      <c r="AO173" s="664"/>
      <c r="AP173" s="665"/>
      <c r="AQ173" s="665"/>
      <c r="AR173" s="665"/>
      <c r="AS173" s="665"/>
      <c r="AT173" s="664"/>
      <c r="AU173" s="665"/>
      <c r="AV173" s="665"/>
      <c r="AW173" s="665"/>
      <c r="AX173" s="665"/>
      <c r="AY173" s="664">
        <v>0.01</v>
      </c>
      <c r="AZ173" s="665"/>
      <c r="BA173" s="665"/>
      <c r="BB173" s="665"/>
      <c r="BC173" s="665"/>
      <c r="BD173" s="664">
        <f>AY173</f>
        <v>0.01</v>
      </c>
      <c r="BE173" s="665"/>
      <c r="BF173" s="665"/>
      <c r="BG173" s="665"/>
      <c r="BH173" s="665"/>
      <c r="BI173" s="664">
        <f>BD173</f>
        <v>0.01</v>
      </c>
      <c r="BJ173" s="665"/>
      <c r="BK173" s="665"/>
      <c r="BL173" s="665"/>
      <c r="BM173" s="665"/>
      <c r="BN173" s="664">
        <f>BI173</f>
        <v>0.01</v>
      </c>
      <c r="BO173" s="665"/>
      <c r="BP173" s="665"/>
      <c r="BQ173" s="665"/>
      <c r="BR173" s="665"/>
      <c r="BS173" s="664">
        <f>BN173</f>
        <v>0.01</v>
      </c>
      <c r="BT173" s="665"/>
      <c r="BU173" s="665"/>
      <c r="BV173" s="665"/>
      <c r="BW173" s="665"/>
      <c r="BX173" s="664">
        <f>BS173</f>
        <v>0.01</v>
      </c>
      <c r="BY173" s="665"/>
      <c r="BZ173" s="665"/>
      <c r="CA173" s="665"/>
      <c r="CB173" s="665"/>
      <c r="CC173" s="664">
        <f>BX173</f>
        <v>0.01</v>
      </c>
      <c r="CD173" s="664">
        <f>CC173</f>
        <v>0.01</v>
      </c>
      <c r="CE173" s="664">
        <f>CD173</f>
        <v>0.01</v>
      </c>
      <c r="CF173" s="664">
        <f>CE173</f>
        <v>0.01</v>
      </c>
      <c r="CG173" s="664">
        <f>CF173</f>
        <v>0.01</v>
      </c>
      <c r="CH173" s="664">
        <f>CG173</f>
        <v>0.01</v>
      </c>
    </row>
    <row r="174" spans="1:86" s="76" customFormat="1" ht="13.5">
      <c r="A174" s="85"/>
      <c r="B174" s="85"/>
      <c r="C174" s="85"/>
      <c r="D174" s="85"/>
      <c r="E174" s="85"/>
      <c r="F174" s="85"/>
      <c r="G174" s="85"/>
      <c r="H174" s="649" t="s">
        <v>686</v>
      </c>
      <c r="I174" s="649"/>
      <c r="J174" s="649"/>
      <c r="K174" s="649"/>
      <c r="L174" s="651"/>
      <c r="M174" s="651"/>
      <c r="N174" s="651"/>
      <c r="O174" s="651"/>
      <c r="P174" s="652"/>
      <c r="Q174" s="651"/>
      <c r="R174" s="651"/>
      <c r="S174" s="651"/>
      <c r="T174" s="651"/>
      <c r="U174" s="652"/>
      <c r="V174" s="651"/>
      <c r="W174" s="651"/>
      <c r="X174" s="651"/>
      <c r="Y174" s="651"/>
      <c r="Z174" s="652"/>
      <c r="AA174" s="651"/>
      <c r="AB174" s="651"/>
      <c r="AC174" s="651"/>
      <c r="AD174" s="651"/>
      <c r="AE174" s="652"/>
      <c r="AF174" s="651"/>
      <c r="AG174" s="651"/>
      <c r="AH174" s="651"/>
      <c r="AI174" s="651"/>
      <c r="AJ174" s="652"/>
      <c r="AK174" s="651"/>
      <c r="AL174" s="651"/>
      <c r="AM174" s="651"/>
      <c r="AN174" s="651"/>
      <c r="AO174" s="652"/>
      <c r="AP174" s="651"/>
      <c r="AQ174" s="651"/>
      <c r="AR174" s="651"/>
      <c r="AS174" s="651"/>
      <c r="AT174" s="652"/>
      <c r="AU174" s="651"/>
      <c r="AV174" s="651"/>
      <c r="AW174" s="651"/>
      <c r="AX174" s="651"/>
      <c r="AY174" s="652">
        <f>AY173*AVERAGE(AY172, AT172)</f>
        <v>0.375</v>
      </c>
      <c r="AZ174" s="651"/>
      <c r="BA174" s="651"/>
      <c r="BB174" s="651"/>
      <c r="BC174" s="651"/>
      <c r="BD174" s="652">
        <f>BD173*AVERAGE(BD172, AY172)</f>
        <v>0.32250000000000001</v>
      </c>
      <c r="BE174" s="651"/>
      <c r="BF174" s="651"/>
      <c r="BG174" s="651"/>
      <c r="BH174" s="651"/>
      <c r="BI174" s="652">
        <f>BI173*AVERAGE(BI172, BD172)</f>
        <v>0.30099999999999993</v>
      </c>
      <c r="BJ174" s="651"/>
      <c r="BK174" s="651"/>
      <c r="BL174" s="651"/>
      <c r="BM174" s="651"/>
      <c r="BN174" s="652">
        <f>BN173*AVERAGE(BN172, BI172)</f>
        <v>0.28099999999999997</v>
      </c>
      <c r="BO174" s="651"/>
      <c r="BP174" s="651"/>
      <c r="BQ174" s="651"/>
      <c r="BR174" s="651"/>
      <c r="BS174" s="652">
        <f>BS173*AVERAGE(BS172, BN172)</f>
        <v>0.18749999999999994</v>
      </c>
      <c r="BT174" s="651"/>
      <c r="BU174" s="651"/>
      <c r="BV174" s="651"/>
      <c r="BW174" s="651"/>
      <c r="BX174" s="652">
        <f>BX173*AVERAGE(BX172, BS172)</f>
        <v>0.14399999999999996</v>
      </c>
      <c r="BY174" s="651"/>
      <c r="BZ174" s="651"/>
      <c r="CA174" s="651"/>
      <c r="CB174" s="651"/>
      <c r="CC174" s="652">
        <f>CC173*AVERAGE(CC172, BX172)</f>
        <v>0.14399999999999996</v>
      </c>
      <c r="CD174" s="652">
        <f>CD173*AVERAGE(CD172, CC172)</f>
        <v>0.14399999999999996</v>
      </c>
      <c r="CE174" s="652">
        <f>CE173*AVERAGE(CE172, CD172)</f>
        <v>0.14399999999999996</v>
      </c>
      <c r="CF174" s="652">
        <f>CF173*AVERAGE(CF172, CE172)</f>
        <v>0.14399999999999996</v>
      </c>
      <c r="CG174" s="652">
        <f>CG173*AVERAGE(CG172, CF172)</f>
        <v>0.14399999999999996</v>
      </c>
      <c r="CH174" s="652">
        <f>CH173*AVERAGE(CH172, CG172)</f>
        <v>0.14399999999999996</v>
      </c>
    </row>
    <row r="175" spans="1:86" s="76" customFormat="1" ht="13.5">
      <c r="A175" s="85"/>
      <c r="B175" s="85"/>
      <c r="C175" s="85"/>
      <c r="D175" s="85"/>
      <c r="E175" s="85"/>
      <c r="F175" s="85"/>
      <c r="G175" s="85"/>
      <c r="H175" s="649"/>
      <c r="I175" s="649"/>
      <c r="J175" s="649"/>
      <c r="K175" s="649"/>
      <c r="L175" s="650"/>
      <c r="M175" s="650"/>
      <c r="N175" s="650"/>
      <c r="O175" s="650"/>
      <c r="P175" s="649"/>
      <c r="Q175" s="650"/>
      <c r="R175" s="650"/>
      <c r="S175" s="650"/>
      <c r="T175" s="650"/>
      <c r="U175" s="649"/>
      <c r="V175" s="650"/>
      <c r="W175" s="650"/>
      <c r="X175" s="650"/>
      <c r="Y175" s="650"/>
      <c r="Z175" s="649"/>
      <c r="AA175" s="650"/>
      <c r="AB175" s="650"/>
      <c r="AC175" s="650"/>
      <c r="AD175" s="650"/>
      <c r="AE175" s="649"/>
      <c r="AF175" s="650"/>
      <c r="AG175" s="650"/>
      <c r="AH175" s="650"/>
      <c r="AI175" s="650"/>
      <c r="AJ175" s="649"/>
      <c r="AK175" s="650"/>
      <c r="AL175" s="650"/>
      <c r="AM175" s="650"/>
      <c r="AN175" s="650"/>
      <c r="AO175" s="649"/>
      <c r="AP175" s="650"/>
      <c r="AQ175" s="650"/>
      <c r="AR175" s="650"/>
      <c r="AS175" s="650"/>
      <c r="AT175" s="649"/>
      <c r="AU175" s="650"/>
      <c r="AV175" s="650"/>
      <c r="AW175" s="650"/>
      <c r="AX175" s="650"/>
      <c r="AY175" s="649"/>
      <c r="AZ175" s="650"/>
      <c r="BA175" s="650"/>
      <c r="BB175" s="650"/>
      <c r="BC175" s="650"/>
      <c r="BD175" s="649"/>
      <c r="BE175" s="650"/>
      <c r="BF175" s="650"/>
      <c r="BG175" s="650"/>
      <c r="BH175" s="650"/>
      <c r="BI175" s="649"/>
      <c r="BJ175" s="650"/>
      <c r="BK175" s="650"/>
      <c r="BL175" s="650"/>
      <c r="BM175" s="650"/>
      <c r="BN175" s="649"/>
      <c r="BO175" s="650"/>
      <c r="BP175" s="650"/>
      <c r="BQ175" s="650"/>
      <c r="BR175" s="650"/>
      <c r="BS175" s="649"/>
      <c r="BT175" s="650"/>
      <c r="BU175" s="650"/>
      <c r="BV175" s="650"/>
      <c r="BW175" s="650"/>
      <c r="BX175" s="649"/>
      <c r="BY175" s="650"/>
      <c r="BZ175" s="650"/>
      <c r="CA175" s="650"/>
      <c r="CB175" s="650"/>
      <c r="CC175" s="649"/>
      <c r="CD175" s="649"/>
      <c r="CE175" s="649"/>
      <c r="CF175" s="649"/>
      <c r="CG175" s="649"/>
      <c r="CH175" s="649"/>
    </row>
    <row r="176" spans="1:86" s="76" customFormat="1" ht="13.5">
      <c r="A176" s="85"/>
      <c r="B176" s="85"/>
      <c r="C176" s="85"/>
      <c r="D176" s="85"/>
      <c r="E176" s="85"/>
      <c r="F176" s="85"/>
      <c r="G176" s="85"/>
      <c r="H176" s="658" t="s">
        <v>699</v>
      </c>
      <c r="I176" s="658"/>
      <c r="J176" s="658"/>
      <c r="K176" s="658"/>
      <c r="L176" s="658"/>
      <c r="M176" s="658"/>
      <c r="N176" s="658"/>
      <c r="O176" s="658"/>
      <c r="P176" s="658"/>
      <c r="Q176" s="658"/>
      <c r="R176" s="658"/>
      <c r="S176" s="658"/>
      <c r="T176" s="658"/>
      <c r="U176" s="658"/>
      <c r="V176" s="658"/>
      <c r="W176" s="658"/>
      <c r="X176" s="658"/>
      <c r="Y176" s="658"/>
      <c r="Z176" s="658"/>
      <c r="AA176" s="658"/>
      <c r="AB176" s="658"/>
      <c r="AC176" s="658"/>
      <c r="AD176" s="658"/>
      <c r="AE176" s="658"/>
      <c r="AF176" s="658"/>
      <c r="AG176" s="658"/>
      <c r="AH176" s="658"/>
      <c r="AI176" s="658"/>
      <c r="AJ176" s="658"/>
      <c r="AK176" s="658"/>
      <c r="AL176" s="658"/>
      <c r="AM176" s="658"/>
      <c r="AN176" s="658"/>
      <c r="AO176" s="658"/>
      <c r="AP176" s="658"/>
      <c r="AQ176" s="658"/>
      <c r="AR176" s="658"/>
      <c r="AS176" s="658"/>
      <c r="AT176" s="658"/>
      <c r="AU176" s="658"/>
      <c r="AV176" s="658"/>
      <c r="AW176" s="658"/>
      <c r="AX176" s="658"/>
      <c r="AY176" s="658"/>
      <c r="AZ176" s="658"/>
      <c r="BA176" s="658"/>
      <c r="BB176" s="658"/>
      <c r="BC176" s="658"/>
      <c r="BD176" s="658"/>
      <c r="BE176" s="658"/>
      <c r="BF176" s="658"/>
      <c r="BG176" s="658"/>
      <c r="BH176" s="658"/>
      <c r="BI176" s="658"/>
      <c r="BJ176" s="658"/>
      <c r="BK176" s="658"/>
      <c r="BL176" s="658"/>
      <c r="BM176" s="658"/>
      <c r="BN176" s="658"/>
      <c r="BO176" s="658"/>
      <c r="BP176" s="658"/>
      <c r="BQ176" s="658"/>
      <c r="BR176" s="658"/>
      <c r="BS176" s="658"/>
      <c r="BT176" s="658"/>
      <c r="BU176" s="658"/>
      <c r="BV176" s="658"/>
      <c r="BW176" s="658"/>
      <c r="BX176" s="658"/>
      <c r="BY176" s="658"/>
      <c r="BZ176" s="658"/>
      <c r="CA176" s="658"/>
      <c r="CB176" s="658"/>
      <c r="CC176" s="658"/>
      <c r="CD176" s="658"/>
      <c r="CE176" s="658"/>
      <c r="CF176" s="658"/>
      <c r="CG176" s="658"/>
      <c r="CH176" s="658"/>
    </row>
    <row r="177" spans="1:86" s="76" customFormat="1" ht="13.5">
      <c r="A177" s="85"/>
      <c r="B177" s="85"/>
      <c r="C177" s="85"/>
      <c r="D177" s="85"/>
      <c r="E177" s="85"/>
      <c r="F177" s="85"/>
      <c r="G177" s="85"/>
      <c r="H177" s="649" t="s">
        <v>700</v>
      </c>
      <c r="I177" s="649"/>
      <c r="J177" s="649"/>
      <c r="K177" s="649"/>
      <c r="L177" s="651"/>
      <c r="M177" s="651"/>
      <c r="N177" s="651"/>
      <c r="O177" s="651"/>
      <c r="P177" s="652"/>
      <c r="Q177" s="651"/>
      <c r="R177" s="651"/>
      <c r="S177" s="651"/>
      <c r="T177" s="651"/>
      <c r="U177" s="652"/>
      <c r="V177" s="651"/>
      <c r="W177" s="651"/>
      <c r="X177" s="651"/>
      <c r="Y177" s="651"/>
      <c r="Z177" s="655">
        <v>79.2</v>
      </c>
      <c r="AA177" s="651"/>
      <c r="AB177" s="651"/>
      <c r="AC177" s="651"/>
      <c r="AD177" s="651"/>
      <c r="AE177" s="655">
        <v>531.9</v>
      </c>
      <c r="AF177" s="651"/>
      <c r="AG177" s="651"/>
      <c r="AH177" s="651"/>
      <c r="AI177" s="651"/>
      <c r="AJ177" s="655">
        <v>162.30000000000001</v>
      </c>
      <c r="AK177" s="651"/>
      <c r="AL177" s="651"/>
      <c r="AM177" s="651"/>
      <c r="AN177" s="651"/>
      <c r="AO177" s="655">
        <v>304.10000000000002</v>
      </c>
      <c r="AP177" s="651"/>
      <c r="AQ177" s="651"/>
      <c r="AR177" s="651"/>
      <c r="AS177" s="651"/>
      <c r="AT177" s="655">
        <v>556.5</v>
      </c>
      <c r="AU177" s="651"/>
      <c r="AV177" s="651"/>
      <c r="AW177" s="651"/>
      <c r="AX177" s="651"/>
      <c r="AY177" s="655">
        <v>606.6</v>
      </c>
      <c r="AZ177" s="651"/>
      <c r="BA177" s="651"/>
      <c r="BB177" s="651"/>
      <c r="BC177" s="651"/>
      <c r="BD177" s="655">
        <v>298.5</v>
      </c>
      <c r="BE177" s="651"/>
      <c r="BF177" s="651"/>
      <c r="BG177" s="651"/>
      <c r="BH177" s="651"/>
      <c r="BI177" s="655">
        <v>455.4</v>
      </c>
      <c r="BJ177" s="651"/>
      <c r="BK177" s="651"/>
      <c r="BL177" s="651"/>
      <c r="BM177" s="651"/>
      <c r="BN177" s="655">
        <v>292.39999999999998</v>
      </c>
      <c r="BO177" s="651"/>
      <c r="BP177" s="651"/>
      <c r="BQ177" s="651"/>
      <c r="BR177" s="651"/>
      <c r="BS177" s="655">
        <v>252.5</v>
      </c>
      <c r="BT177" s="651"/>
      <c r="BU177" s="651"/>
      <c r="BV177" s="651"/>
      <c r="BW177" s="651"/>
      <c r="BX177" s="654">
        <v>0</v>
      </c>
      <c r="BY177" s="651"/>
      <c r="BZ177" s="651"/>
      <c r="CA177" s="651"/>
      <c r="CB177" s="651"/>
      <c r="CC177" s="654">
        <v>0</v>
      </c>
      <c r="CD177" s="654">
        <v>0</v>
      </c>
      <c r="CE177" s="654">
        <v>0</v>
      </c>
      <c r="CF177" s="654">
        <v>0</v>
      </c>
      <c r="CG177" s="654">
        <v>0</v>
      </c>
      <c r="CH177" s="654">
        <v>0</v>
      </c>
    </row>
    <row r="178" spans="1:86" s="76" customFormat="1" ht="13.5">
      <c r="A178" s="240"/>
      <c r="B178" s="240"/>
      <c r="C178" s="240"/>
      <c r="D178" s="240"/>
      <c r="E178" s="240"/>
      <c r="F178" s="240"/>
      <c r="G178" s="240"/>
      <c r="H178" s="649" t="s">
        <v>327</v>
      </c>
      <c r="I178" s="649"/>
      <c r="J178" s="649"/>
      <c r="K178" s="649"/>
      <c r="L178" s="650"/>
      <c r="M178" s="650"/>
      <c r="N178" s="650"/>
      <c r="O178" s="650"/>
      <c r="P178" s="649"/>
      <c r="Q178" s="650"/>
      <c r="R178" s="650"/>
      <c r="S178" s="650"/>
      <c r="T178" s="650"/>
      <c r="U178" s="649"/>
      <c r="V178" s="650"/>
      <c r="W178" s="650"/>
      <c r="X178" s="650"/>
      <c r="Y178" s="650"/>
      <c r="Z178" s="649"/>
      <c r="AA178" s="650"/>
      <c r="AB178" s="650"/>
      <c r="AC178" s="650"/>
      <c r="AD178" s="650"/>
      <c r="AE178" s="649"/>
      <c r="AF178" s="650"/>
      <c r="AG178" s="650"/>
      <c r="AH178" s="650"/>
      <c r="AI178" s="650"/>
      <c r="AJ178" s="654"/>
      <c r="AK178" s="651"/>
      <c r="AL178" s="651"/>
      <c r="AM178" s="651"/>
      <c r="AN178" s="651"/>
      <c r="AO178" s="654">
        <v>-85</v>
      </c>
      <c r="AP178" s="651"/>
      <c r="AQ178" s="651"/>
      <c r="AR178" s="651"/>
      <c r="AS178" s="651"/>
      <c r="AT178" s="652">
        <f>AT20-AT15-AT69-AT83-AT90-AT97-AT104-AT111-AT118-AT125-AT132-AT139-AT146-AT160-AT167-AT153-AT174</f>
        <v>-116.1663125</v>
      </c>
      <c r="AU178" s="651"/>
      <c r="AV178" s="651"/>
      <c r="AW178" s="651"/>
      <c r="AX178" s="651"/>
      <c r="AY178" s="652">
        <f>AY20-AY15-AY69-AY83-AY90-AY97-AY104-AY111-AY118-AY125-AY132-AY139-AY146-AY160-AY167-AY153-AY174</f>
        <v>-108.82081249999999</v>
      </c>
      <c r="AZ178" s="651"/>
      <c r="BA178" s="651"/>
      <c r="BB178" s="651"/>
      <c r="BC178" s="651"/>
      <c r="BD178" s="652">
        <f>BD20-BD15-BD69-BD83-BD90-BD97-BD104-BD111-BD118-BD125-BD132-BD139-BD146-BD160-BD167-BD153-BD174</f>
        <v>-109.01981250000001</v>
      </c>
      <c r="BE178" s="651"/>
      <c r="BF178" s="651"/>
      <c r="BG178" s="651"/>
      <c r="BH178" s="651"/>
      <c r="BI178" s="652">
        <f>BI20-BI15-BI69-BI83-BI90-BI97-BI104-BI111-BI118-BI125-BI132-BI139-BI146-BI160-BI167-BI153-BI174-BI62-BI55-BI48-BI41-BI34-BI27</f>
        <v>-106.83231249999996</v>
      </c>
      <c r="BJ178" s="651"/>
      <c r="BK178" s="651"/>
      <c r="BL178" s="651"/>
      <c r="BM178" s="651"/>
      <c r="BN178" s="652">
        <f>BN20-BN15-BN69-BN83-BN90-BN97-BN104-BN111-BN118-BN125-BN132-BN139-BN146-BN160-BN167-BN153-BN174-BN62-BN55-BN48-BN41-BN34-BN27</f>
        <v>-141.45596875000001</v>
      </c>
      <c r="BO178" s="651"/>
      <c r="BP178" s="651"/>
      <c r="BQ178" s="651"/>
      <c r="BR178" s="651"/>
      <c r="BS178" s="652">
        <f>BS20-BS15-BS69-BS83-BS90-BS97-BS104-BS111-BS118-BS125-BS132-BS139-BS146-BS160-BS167-BS153-BS174-BS62-BS55-BS48-BS41-BS34-BS27</f>
        <v>-169.69862499999994</v>
      </c>
      <c r="BT178" s="651"/>
      <c r="BU178" s="651"/>
      <c r="BV178" s="651"/>
      <c r="BW178" s="651"/>
      <c r="BX178" s="652">
        <f>BX20-BX15-BX69-BX83-BX90-BX97-BX104-BX111-BX118-BX125-BX132-BX139-BX146-BX160-BX167-BX153-BX174-BX62-BX55-BX48-BX41-BX34-BX27</f>
        <v>-90.788624999999996</v>
      </c>
      <c r="BY178" s="651"/>
      <c r="BZ178" s="651"/>
      <c r="CA178" s="651"/>
      <c r="CB178" s="651"/>
      <c r="CC178" s="654">
        <v>0</v>
      </c>
      <c r="CD178" s="654">
        <v>0</v>
      </c>
      <c r="CE178" s="654">
        <v>0</v>
      </c>
      <c r="CF178" s="654">
        <f>CE178</f>
        <v>0</v>
      </c>
      <c r="CG178" s="654">
        <f>CF178</f>
        <v>0</v>
      </c>
      <c r="CH178" s="654">
        <f>CG178</f>
        <v>0</v>
      </c>
    </row>
    <row r="179" spans="1:86" s="76" customFormat="1" ht="13.5">
      <c r="A179" s="240"/>
      <c r="B179" s="240"/>
      <c r="C179" s="240"/>
      <c r="D179" s="240"/>
      <c r="E179" s="240"/>
      <c r="F179" s="240"/>
      <c r="G179" s="240"/>
      <c r="H179" s="649"/>
      <c r="I179" s="649"/>
      <c r="J179" s="649"/>
      <c r="K179" s="649"/>
      <c r="L179" s="650"/>
      <c r="M179" s="650"/>
      <c r="N179" s="650"/>
      <c r="O179" s="650"/>
      <c r="P179" s="649"/>
      <c r="Q179" s="650"/>
      <c r="R179" s="650"/>
      <c r="S179" s="650"/>
      <c r="T179" s="650"/>
      <c r="U179" s="649"/>
      <c r="V179" s="650"/>
      <c r="W179" s="650"/>
      <c r="X179" s="650"/>
      <c r="Y179" s="650"/>
      <c r="Z179" s="649"/>
      <c r="AA179" s="650"/>
      <c r="AB179" s="650"/>
      <c r="AC179" s="650"/>
      <c r="AD179" s="650"/>
      <c r="AE179" s="649"/>
      <c r="AF179" s="650"/>
      <c r="AG179" s="650"/>
      <c r="AH179" s="650"/>
      <c r="AI179" s="650"/>
      <c r="AJ179" s="649"/>
      <c r="AK179" s="650"/>
      <c r="AL179" s="650"/>
      <c r="AM179" s="650"/>
      <c r="AN179" s="650"/>
      <c r="AO179" s="649"/>
      <c r="AP179" s="650"/>
      <c r="AQ179" s="650"/>
      <c r="AR179" s="650"/>
      <c r="AS179" s="650"/>
      <c r="AT179" s="649"/>
      <c r="AU179" s="650"/>
      <c r="AV179" s="650"/>
      <c r="AW179" s="650"/>
      <c r="AX179" s="650"/>
      <c r="AY179" s="649"/>
      <c r="AZ179" s="650"/>
      <c r="BA179" s="650"/>
      <c r="BB179" s="650"/>
      <c r="BC179" s="650"/>
      <c r="BD179" s="649"/>
      <c r="BE179" s="650"/>
      <c r="BF179" s="650"/>
      <c r="BG179" s="650"/>
      <c r="BH179" s="650"/>
      <c r="BI179" s="649"/>
      <c r="BJ179" s="650"/>
      <c r="BK179" s="650"/>
      <c r="BL179" s="650"/>
      <c r="BM179" s="650"/>
      <c r="BN179" s="649"/>
      <c r="BO179" s="650"/>
      <c r="BP179" s="650"/>
      <c r="BQ179" s="650"/>
      <c r="BR179" s="650"/>
      <c r="BS179" s="649"/>
      <c r="BT179" s="650"/>
      <c r="BU179" s="650"/>
      <c r="BV179" s="650"/>
      <c r="BW179" s="650"/>
      <c r="BX179" s="649"/>
      <c r="BY179" s="650"/>
      <c r="BZ179" s="650"/>
      <c r="CA179" s="650"/>
      <c r="CB179" s="650"/>
      <c r="CC179" s="649"/>
      <c r="CD179" s="649"/>
      <c r="CE179" s="649"/>
      <c r="CF179" s="649"/>
      <c r="CG179" s="649"/>
      <c r="CH179" s="649"/>
    </row>
    <row r="180" spans="1:86">
      <c r="H180" s="240" t="s">
        <v>908</v>
      </c>
      <c r="AT180" s="240">
        <v>1.0905</v>
      </c>
    </row>
  </sheetData>
  <phoneticPr fontId="3" type="noConversion"/>
  <conditionalFormatting sqref="I9:K9">
    <cfRule type="expression" dxfId="2" priority="4" stopIfTrue="1">
      <formula>I7&lt;=$H$7</formula>
    </cfRule>
  </conditionalFormatting>
  <conditionalFormatting sqref="L9:CH9">
    <cfRule type="expression" dxfId="1" priority="5" stopIfTrue="1">
      <formula>L$4&lt;=$J$6</formula>
    </cfRule>
  </conditionalFormatting>
  <pageMargins left="0.5" right="0.5" top="0.5" bottom="0.5" header="0.5" footer="0.5"/>
  <pageSetup scale="80" orientation="portrait" r:id="rId1"/>
  <headerFooter alignWithMargins="0"/>
  <rowBreaks count="2" manualBreakCount="2">
    <brk id="63" max="16383" man="1"/>
    <brk id="126" max="16383" man="1"/>
  </rowBreak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7" enableFormatConditionsCalculation="0">
    <tabColor rgb="FFCC99FF"/>
  </sheetPr>
  <dimension ref="A1:EX60"/>
  <sheetViews>
    <sheetView topLeftCell="H5" zoomScaleNormal="100" workbookViewId="0"/>
  </sheetViews>
  <sheetFormatPr defaultRowHeight="12.75" outlineLevelRow="1" outlineLevelCol="1"/>
  <cols>
    <col min="1" max="6" width="9.140625" style="14" hidden="1" customWidth="1" outlineLevel="1"/>
    <col min="7" max="7" width="2.5703125" style="14" hidden="1" customWidth="1" outlineLevel="1"/>
    <col min="8" max="8" width="3" style="7" customWidth="1" collapsed="1"/>
    <col min="9" max="9" width="23.140625" style="7" customWidth="1"/>
    <col min="10" max="10" width="6.5703125" style="7" customWidth="1"/>
    <col min="11" max="11" width="1.28515625" style="7" customWidth="1"/>
    <col min="12" max="14" width="6.85546875" style="7" hidden="1" customWidth="1" outlineLevel="1"/>
    <col min="15" max="15" width="7.5703125" style="7" hidden="1" customWidth="1" outlineLevel="1"/>
    <col min="16" max="16" width="6.85546875" style="7" hidden="1" customWidth="1" collapsed="1"/>
    <col min="17" max="19" width="6.85546875" style="7" hidden="1" customWidth="1" outlineLevel="1"/>
    <col min="20" max="20" width="7.5703125" style="7" hidden="1" customWidth="1" outlineLevel="1"/>
    <col min="21" max="21" width="7.28515625" style="7" hidden="1" customWidth="1" collapsed="1"/>
    <col min="22" max="24" width="6.85546875" style="7" hidden="1" customWidth="1" outlineLevel="1"/>
    <col min="25" max="25" width="7.5703125" style="7" hidden="1" customWidth="1" outlineLevel="1"/>
    <col min="26" max="26" width="7.28515625" style="7" hidden="1" customWidth="1" collapsed="1"/>
    <col min="27" max="29" width="6.85546875" style="7" hidden="1" customWidth="1" outlineLevel="1"/>
    <col min="30" max="30" width="7.5703125" style="7" hidden="1" customWidth="1" outlineLevel="1"/>
    <col min="31" max="31" width="7.28515625" style="7" hidden="1" customWidth="1" collapsed="1"/>
    <col min="32" max="34" width="6.85546875" style="7" hidden="1" customWidth="1" outlineLevel="1"/>
    <col min="35" max="35" width="7.5703125" style="7" hidden="1" customWidth="1" outlineLevel="1"/>
    <col min="36" max="36" width="7.28515625" style="7" hidden="1" customWidth="1" collapsed="1"/>
    <col min="37" max="39" width="6.85546875" style="7" hidden="1" customWidth="1" outlineLevel="1"/>
    <col min="40" max="40" width="7.5703125" style="7" hidden="1" customWidth="1" outlineLevel="1"/>
    <col min="41" max="41" width="7.28515625" style="7" hidden="1" customWidth="1" collapsed="1"/>
    <col min="42" max="44" width="6.85546875" style="7" hidden="1" customWidth="1" outlineLevel="1"/>
    <col min="45" max="45" width="7.5703125" style="7" hidden="1" customWidth="1" outlineLevel="1"/>
    <col min="46" max="46" width="7.28515625" style="7" hidden="1" customWidth="1" collapsed="1"/>
    <col min="47" max="49" width="6.85546875" style="7" hidden="1" customWidth="1" outlineLevel="1"/>
    <col min="50" max="50" width="7.5703125" style="7" hidden="1" customWidth="1" outlineLevel="1"/>
    <col min="51" max="51" width="7.28515625" style="7" hidden="1" customWidth="1" collapsed="1"/>
    <col min="52" max="54" width="6.85546875" style="7" hidden="1" customWidth="1" outlineLevel="1"/>
    <col min="55" max="55" width="7.5703125" style="7" hidden="1" customWidth="1" outlineLevel="1"/>
    <col min="56" max="56" width="7.28515625" style="7" hidden="1" customWidth="1" collapsed="1"/>
    <col min="57" max="59" width="6.85546875" style="7" hidden="1" customWidth="1" outlineLevel="1"/>
    <col min="60" max="60" width="7.5703125" style="7" hidden="1" customWidth="1" outlineLevel="1"/>
    <col min="61" max="61" width="7.28515625" style="7" hidden="1" customWidth="1" collapsed="1"/>
    <col min="62" max="64" width="6.85546875" style="7" hidden="1" customWidth="1" outlineLevel="1"/>
    <col min="65" max="65" width="7.5703125" style="7" hidden="1" customWidth="1" outlineLevel="1"/>
    <col min="66" max="66" width="7.28515625" style="7" customWidth="1" collapsed="1"/>
    <col min="67" max="69" width="6.85546875" style="7" hidden="1" customWidth="1" outlineLevel="1"/>
    <col min="70" max="70" width="7.5703125" style="7" hidden="1" customWidth="1" outlineLevel="1"/>
    <col min="71" max="71" width="7.28515625" style="7" customWidth="1" collapsed="1"/>
    <col min="72" max="74" width="6.85546875" style="7" hidden="1" customWidth="1" outlineLevel="1"/>
    <col min="75" max="75" width="7.5703125" style="7" hidden="1" customWidth="1" outlineLevel="1"/>
    <col min="76" max="76" width="7.28515625" style="7" customWidth="1" collapsed="1"/>
    <col min="77" max="79" width="6.85546875" style="7" hidden="1" customWidth="1" outlineLevel="1"/>
    <col min="80" max="80" width="7.5703125" style="7" hidden="1" customWidth="1" outlineLevel="1"/>
    <col min="81" max="86" width="7.28515625" style="7" customWidth="1" collapsed="1"/>
    <col min="87" max="16384" width="9.140625" style="7"/>
  </cols>
  <sheetData>
    <row r="1" spans="1:154" s="14" customFormat="1" hidden="1" outlineLevel="1">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EX1" s="14" t="s">
        <v>1120</v>
      </c>
    </row>
    <row r="2" spans="1:154" s="14" customFormat="1" hidden="1" outlineLevel="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row>
    <row r="3" spans="1:154" hidden="1" outlineLevel="1">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row>
    <row r="4" spans="1:154" hidden="1" collapsed="1">
      <c r="A4" s="9"/>
      <c r="B4" s="9"/>
      <c r="C4" s="9"/>
      <c r="D4" s="9"/>
      <c r="E4" s="9"/>
      <c r="F4" s="9"/>
      <c r="G4" s="9"/>
      <c r="H4" s="9"/>
      <c r="I4" s="9"/>
      <c r="J4" s="9"/>
      <c r="K4" s="9"/>
      <c r="L4" s="12">
        <v>38442</v>
      </c>
      <c r="M4" s="12">
        <v>38533</v>
      </c>
      <c r="N4" s="12">
        <v>38625</v>
      </c>
      <c r="O4" s="12">
        <v>38717</v>
      </c>
      <c r="P4" s="12">
        <v>38717</v>
      </c>
      <c r="Q4" s="12">
        <v>38807</v>
      </c>
      <c r="R4" s="12">
        <v>38898</v>
      </c>
      <c r="S4" s="12">
        <v>38990</v>
      </c>
      <c r="T4" s="12">
        <v>39082</v>
      </c>
      <c r="U4" s="12">
        <v>39082</v>
      </c>
      <c r="V4" s="12">
        <v>39172</v>
      </c>
      <c r="W4" s="12">
        <v>39263</v>
      </c>
      <c r="X4" s="12">
        <v>39355</v>
      </c>
      <c r="Y4" s="12">
        <v>39447</v>
      </c>
      <c r="Z4" s="12">
        <v>39447</v>
      </c>
      <c r="AA4" s="12">
        <v>39538</v>
      </c>
      <c r="AB4" s="12">
        <v>39629</v>
      </c>
      <c r="AC4" s="12">
        <v>39721</v>
      </c>
      <c r="AD4" s="12">
        <v>39813</v>
      </c>
      <c r="AE4" s="12">
        <v>39813</v>
      </c>
      <c r="AF4" s="12">
        <v>39903</v>
      </c>
      <c r="AG4" s="12">
        <v>39994</v>
      </c>
      <c r="AH4" s="12">
        <v>40086</v>
      </c>
      <c r="AI4" s="12">
        <v>40178</v>
      </c>
      <c r="AJ4" s="12">
        <v>40178</v>
      </c>
      <c r="AK4" s="12">
        <v>40268</v>
      </c>
      <c r="AL4" s="12">
        <v>40359</v>
      </c>
      <c r="AM4" s="12">
        <v>40451</v>
      </c>
      <c r="AN4" s="12">
        <v>40543</v>
      </c>
      <c r="AO4" s="12">
        <v>40543</v>
      </c>
      <c r="AP4" s="12">
        <v>40633</v>
      </c>
      <c r="AQ4" s="12">
        <v>40724</v>
      </c>
      <c r="AR4" s="12">
        <v>40816</v>
      </c>
      <c r="AS4" s="12">
        <v>40908</v>
      </c>
      <c r="AT4" s="12">
        <v>40908</v>
      </c>
      <c r="AU4" s="12">
        <v>40999</v>
      </c>
      <c r="AV4" s="12">
        <v>41090</v>
      </c>
      <c r="AW4" s="12">
        <v>41182</v>
      </c>
      <c r="AX4" s="12">
        <v>41274</v>
      </c>
      <c r="AY4" s="12">
        <v>41274</v>
      </c>
      <c r="AZ4" s="12">
        <v>41364</v>
      </c>
      <c r="BA4" s="12">
        <v>41455</v>
      </c>
      <c r="BB4" s="12">
        <v>41547</v>
      </c>
      <c r="BC4" s="12">
        <v>41639</v>
      </c>
      <c r="BD4" s="12">
        <v>41639</v>
      </c>
      <c r="BE4" s="12">
        <v>41729</v>
      </c>
      <c r="BF4" s="12">
        <v>41820</v>
      </c>
      <c r="BG4" s="12">
        <v>41912</v>
      </c>
      <c r="BH4" s="12">
        <v>42004</v>
      </c>
      <c r="BI4" s="12">
        <v>42004</v>
      </c>
      <c r="BJ4" s="12">
        <v>42094</v>
      </c>
      <c r="BK4" s="12">
        <v>42185</v>
      </c>
      <c r="BL4" s="12">
        <v>42277</v>
      </c>
      <c r="BM4" s="12">
        <v>42369</v>
      </c>
      <c r="BN4" s="12">
        <v>42369</v>
      </c>
      <c r="BO4" s="12">
        <v>42460</v>
      </c>
      <c r="BP4" s="12">
        <v>42551</v>
      </c>
      <c r="BQ4" s="12">
        <v>42643</v>
      </c>
      <c r="BR4" s="12">
        <v>42735</v>
      </c>
      <c r="BS4" s="12">
        <v>42735</v>
      </c>
      <c r="BT4" s="12">
        <v>42825</v>
      </c>
      <c r="BU4" s="12">
        <v>42916</v>
      </c>
      <c r="BV4" s="12">
        <v>43008</v>
      </c>
      <c r="BW4" s="12">
        <v>43100</v>
      </c>
      <c r="BX4" s="12">
        <v>43100</v>
      </c>
      <c r="BY4" s="12">
        <v>43190</v>
      </c>
      <c r="BZ4" s="12">
        <v>43281</v>
      </c>
      <c r="CA4" s="12">
        <v>43373</v>
      </c>
      <c r="CB4" s="12">
        <v>43465</v>
      </c>
      <c r="CC4" s="12">
        <v>43465</v>
      </c>
      <c r="CD4" s="12">
        <v>43830</v>
      </c>
      <c r="CE4" s="12">
        <v>44196</v>
      </c>
      <c r="CF4" s="12">
        <v>44561</v>
      </c>
      <c r="CG4" s="12">
        <v>44926</v>
      </c>
      <c r="CH4" s="12">
        <v>45291</v>
      </c>
    </row>
    <row r="5" spans="1:154" ht="18.75" customHeight="1">
      <c r="A5" s="9"/>
      <c r="B5" s="9"/>
      <c r="C5" s="9"/>
      <c r="D5" s="9"/>
      <c r="E5" s="9"/>
      <c r="F5" s="9"/>
      <c r="G5" s="9"/>
      <c r="H5" s="64" t="str">
        <f>CompanyName</f>
        <v>Eli Lilly &amp; Co.</v>
      </c>
      <c r="I5" s="65"/>
      <c r="J5" s="65">
        <f>LatestFiledQ</f>
        <v>43100</v>
      </c>
      <c r="K5" s="65">
        <f>LatestRpQ</f>
        <v>43190</v>
      </c>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row>
    <row r="6" spans="1:154" ht="15.75">
      <c r="A6" s="9"/>
      <c r="B6" s="9"/>
      <c r="C6" s="9"/>
      <c r="D6" s="9"/>
      <c r="E6" s="9"/>
      <c r="F6" s="9"/>
      <c r="G6" s="9"/>
      <c r="H6" s="1120" t="s">
        <v>882</v>
      </c>
      <c r="I6" s="519"/>
      <c r="J6" s="519"/>
      <c r="K6" s="519"/>
      <c r="L6" s="65"/>
      <c r="M6" s="65"/>
      <c r="N6" s="65"/>
      <c r="O6" s="65"/>
      <c r="P6" s="65"/>
      <c r="Q6" s="65"/>
      <c r="R6" s="65"/>
      <c r="S6" s="65"/>
      <c r="T6" s="65"/>
      <c r="U6" s="519"/>
      <c r="V6" s="65"/>
      <c r="W6" s="65"/>
      <c r="X6" s="65"/>
      <c r="Y6" s="65"/>
      <c r="Z6" s="519"/>
      <c r="AA6" s="65"/>
      <c r="AB6" s="65"/>
      <c r="AC6" s="65"/>
      <c r="AD6" s="65"/>
      <c r="AE6" s="519"/>
      <c r="AF6" s="65"/>
      <c r="AG6" s="65"/>
      <c r="AH6" s="65"/>
      <c r="AI6" s="65"/>
      <c r="AJ6" s="519"/>
      <c r="AK6" s="65"/>
      <c r="AL6" s="65"/>
      <c r="AM6" s="65"/>
      <c r="AN6" s="65"/>
      <c r="AO6" s="519"/>
      <c r="AP6" s="65"/>
      <c r="AQ6" s="65"/>
      <c r="AR6" s="65"/>
      <c r="AS6" s="65"/>
      <c r="AT6" s="519"/>
      <c r="AU6" s="65"/>
      <c r="AV6" s="65"/>
      <c r="AW6" s="65"/>
      <c r="AX6" s="65"/>
      <c r="AY6" s="519"/>
      <c r="AZ6" s="65"/>
      <c r="BA6" s="65"/>
      <c r="BB6" s="65"/>
      <c r="BC6" s="65"/>
      <c r="BD6" s="519"/>
      <c r="BE6" s="65"/>
      <c r="BF6" s="65"/>
      <c r="BG6" s="65"/>
      <c r="BH6" s="65"/>
      <c r="BI6" s="519"/>
      <c r="BJ6" s="65"/>
      <c r="BK6" s="65"/>
      <c r="BL6" s="65"/>
      <c r="BM6" s="65"/>
      <c r="BN6" s="519"/>
      <c r="BO6" s="65"/>
      <c r="BP6" s="65"/>
      <c r="BQ6" s="65"/>
      <c r="BR6" s="65"/>
      <c r="BS6" s="519"/>
      <c r="BT6" s="65"/>
      <c r="BU6" s="65"/>
      <c r="BV6" s="65"/>
      <c r="BW6" s="65"/>
      <c r="BX6" s="519"/>
      <c r="BY6" s="65"/>
      <c r="BZ6" s="65"/>
      <c r="CA6" s="65"/>
      <c r="CB6" s="65"/>
      <c r="CC6" s="519"/>
      <c r="CD6" s="519"/>
      <c r="CE6" s="519"/>
      <c r="CF6" s="519"/>
      <c r="CG6" s="519"/>
      <c r="CH6" s="519"/>
    </row>
    <row r="7" spans="1:154">
      <c r="A7" s="9"/>
      <c r="B7" s="9"/>
      <c r="C7" s="9"/>
      <c r="D7" s="9"/>
      <c r="E7" s="9"/>
      <c r="F7" s="9"/>
      <c r="G7" s="9"/>
      <c r="AJ7" s="625"/>
      <c r="AO7" s="625"/>
      <c r="AT7" s="625"/>
      <c r="AY7" s="625"/>
      <c r="BD7" s="625"/>
      <c r="BI7" s="625"/>
      <c r="BN7" s="625"/>
      <c r="BS7" s="625"/>
      <c r="BX7" s="625"/>
      <c r="CC7" s="625"/>
      <c r="CD7" s="625"/>
      <c r="CE7" s="625"/>
      <c r="CF7" s="625"/>
      <c r="CG7" s="625"/>
      <c r="CH7" s="625"/>
    </row>
    <row r="8" spans="1:154">
      <c r="A8" s="9"/>
      <c r="B8" s="9"/>
      <c r="C8" s="9"/>
      <c r="D8" s="9"/>
      <c r="E8" s="9"/>
      <c r="F8" s="9"/>
      <c r="G8" s="9"/>
      <c r="H8" s="1123" t="s">
        <v>855</v>
      </c>
      <c r="I8" s="1124"/>
      <c r="J8" s="1124"/>
      <c r="K8" s="1125"/>
      <c r="L8" s="1125"/>
      <c r="M8" s="1125"/>
      <c r="N8" s="1125"/>
      <c r="O8" s="1125"/>
      <c r="P8" s="1125"/>
      <c r="Q8" s="1125"/>
      <c r="R8" s="1125"/>
      <c r="S8" s="1125"/>
      <c r="T8" s="1125"/>
      <c r="U8" s="1125"/>
      <c r="V8" s="1125"/>
      <c r="W8" s="1125"/>
      <c r="X8" s="1125"/>
      <c r="Y8" s="1125"/>
      <c r="Z8" s="1125"/>
      <c r="AA8" s="1125"/>
      <c r="AB8" s="1125"/>
      <c r="AC8" s="1125"/>
      <c r="AD8" s="1125"/>
      <c r="AE8" s="1125"/>
      <c r="AF8" s="1125"/>
      <c r="AG8" s="1125"/>
      <c r="AH8" s="1125"/>
      <c r="AI8" s="1125"/>
      <c r="AJ8" s="1126"/>
      <c r="AK8" s="1125"/>
      <c r="AL8" s="1125"/>
      <c r="AM8" s="1125"/>
      <c r="AN8" s="1125"/>
      <c r="AO8" s="1126"/>
      <c r="AP8" s="1125"/>
      <c r="AQ8" s="1125"/>
      <c r="AR8" s="1125"/>
      <c r="AS8" s="1125"/>
      <c r="AT8" s="1126"/>
      <c r="AU8" s="1125"/>
      <c r="AV8" s="1125"/>
      <c r="AW8" s="1125"/>
      <c r="AX8" s="1125"/>
      <c r="AY8" s="1126"/>
      <c r="AZ8" s="1125"/>
      <c r="BA8" s="1125"/>
      <c r="BB8" s="1125"/>
      <c r="BC8" s="1125"/>
      <c r="BD8" s="1126"/>
      <c r="BE8" s="1125"/>
      <c r="BF8" s="1125"/>
      <c r="BG8" s="1125"/>
      <c r="BH8" s="1125"/>
      <c r="BI8" s="1126"/>
      <c r="BJ8" s="1125"/>
      <c r="BK8" s="1125"/>
      <c r="BL8" s="1125"/>
      <c r="BM8" s="1125"/>
      <c r="BN8" s="1126"/>
      <c r="BO8" s="1125"/>
      <c r="BP8" s="1125"/>
      <c r="BQ8" s="1125"/>
      <c r="BR8" s="1125"/>
      <c r="BS8" s="1126"/>
      <c r="BT8" s="1125"/>
      <c r="BU8" s="1125"/>
      <c r="BV8" s="1125"/>
      <c r="BW8" s="1125"/>
      <c r="BX8" s="1126"/>
      <c r="BY8" s="1125"/>
      <c r="BZ8" s="1125"/>
      <c r="CA8" s="1125"/>
      <c r="CB8" s="1125"/>
      <c r="CC8" s="1126"/>
      <c r="CD8" s="1126"/>
      <c r="CE8" s="1126"/>
      <c r="CF8" s="1126"/>
      <c r="CG8" s="1126"/>
      <c r="CH8" s="1126"/>
    </row>
    <row r="9" spans="1:154" ht="13.5" thickBot="1">
      <c r="A9" s="9"/>
      <c r="B9" s="9"/>
      <c r="C9" s="9"/>
      <c r="D9" s="9"/>
      <c r="E9" s="9"/>
      <c r="F9" s="9"/>
      <c r="G9" s="9"/>
      <c r="H9" s="41" t="s">
        <v>150</v>
      </c>
      <c r="I9" s="42"/>
      <c r="J9" s="42"/>
      <c r="K9" s="42"/>
      <c r="L9" s="43" t="str">
        <f>"1Q:" &amp; RIGHT(YEAR(L$4),2) &amp; IF(L$4&lt;=LatestRpQ, "A", "E")</f>
        <v>1Q:05A</v>
      </c>
      <c r="M9" s="43" t="str">
        <f>"2Q:" &amp; RIGHT(YEAR(M$4),2) &amp; IF(M$4&lt;=LatestRpQ, "A", "E")</f>
        <v>2Q:05A</v>
      </c>
      <c r="N9" s="43" t="str">
        <f>"3Q:" &amp; RIGHT(YEAR(N$4),2) &amp; IF(N$4&lt;=LatestRpQ, "A", "E")</f>
        <v>3Q:05A</v>
      </c>
      <c r="O9" s="43" t="str">
        <f>"4Q:" &amp; RIGHT(YEAR(O$4),2) &amp; IF(O$4&lt;=LatestRpQ, "A", "E")</f>
        <v>4Q:05A</v>
      </c>
      <c r="P9" s="44" t="str">
        <f>YEAR(P$4) &amp; IF(P$4&lt;=LatestRpQ, "A", "E")</f>
        <v>2005A</v>
      </c>
      <c r="Q9" s="43" t="str">
        <f>"1Q:" &amp; RIGHT(YEAR(Q$4),2) &amp; IF(Q$4&lt;=LatestRpQ, "A", "E")</f>
        <v>1Q:06A</v>
      </c>
      <c r="R9" s="43" t="str">
        <f>"2Q:" &amp; RIGHT(YEAR(R$4),2) &amp; IF(R$4&lt;=LatestRpQ, "A", "E")</f>
        <v>2Q:06A</v>
      </c>
      <c r="S9" s="43" t="str">
        <f>"3Q:" &amp; RIGHT(YEAR(S$4),2) &amp; IF(S$4&lt;=LatestRpQ, "A", "E")</f>
        <v>3Q:06A</v>
      </c>
      <c r="T9" s="43" t="str">
        <f>"4Q:" &amp; RIGHT(YEAR(T$4),2) &amp; IF(T$4&lt;=LatestRpQ, "A", "E")</f>
        <v>4Q:06A</v>
      </c>
      <c r="U9" s="44" t="str">
        <f>YEAR(U$4) &amp; IF(U$4&lt;=LatestRpQ, "A", "E")</f>
        <v>2006A</v>
      </c>
      <c r="V9" s="43" t="str">
        <f>"1Q:" &amp; RIGHT(YEAR(V$4),2) &amp; IF(V$4&lt;=LatestRpQ, "A", "E")</f>
        <v>1Q:07A</v>
      </c>
      <c r="W9" s="43" t="str">
        <f>"2Q:" &amp; RIGHT(YEAR(W$4),2) &amp; IF(W$4&lt;=LatestRpQ, "A", "E")</f>
        <v>2Q:07A</v>
      </c>
      <c r="X9" s="43" t="str">
        <f>"3Q:" &amp; RIGHT(YEAR(X$4),2) &amp; IF(X$4&lt;=LatestRpQ, "A", "E")</f>
        <v>3Q:07A</v>
      </c>
      <c r="Y9" s="43" t="str">
        <f>"4Q:" &amp; RIGHT(YEAR(Y$4),2) &amp; IF(Y$4&lt;=LatestRpQ, "A", "E")</f>
        <v>4Q:07A</v>
      </c>
      <c r="Z9" s="44" t="str">
        <f>YEAR(Z$4) &amp; IF(Z$4&lt;=LatestRpQ, "A", "E")</f>
        <v>2007A</v>
      </c>
      <c r="AA9" s="43" t="str">
        <f>"1Q:" &amp; RIGHT(YEAR(AA$4),2) &amp; IF(AA$4&lt;=LatestRpQ, "A", "E")</f>
        <v>1Q:08A</v>
      </c>
      <c r="AB9" s="43" t="str">
        <f>"2Q:" &amp; RIGHT(YEAR(AB$4),2) &amp; IF(AB$4&lt;=LatestRpQ, "A", "E")</f>
        <v>2Q:08A</v>
      </c>
      <c r="AC9" s="43" t="str">
        <f>"3Q:" &amp; RIGHT(YEAR(AC$4),2) &amp; IF(AC$4&lt;=LatestRpQ, "A", "E")</f>
        <v>3Q:08A</v>
      </c>
      <c r="AD9" s="43" t="str">
        <f>"4Q:" &amp; RIGHT(YEAR(AD$4),2) &amp; IF(AD$4&lt;=LatestRpQ, "A", "E")</f>
        <v>4Q:08A</v>
      </c>
      <c r="AE9" s="44" t="str">
        <f>YEAR(AE$4) &amp; IF(AE$4&lt;=LatestRpQ, "A", "E")</f>
        <v>2008A</v>
      </c>
      <c r="AF9" s="43" t="str">
        <f>"1Q:" &amp; RIGHT(YEAR(AF$4),2) &amp; IF(AF$4&lt;=LatestRpQ, "A", "E")</f>
        <v>1Q:09A</v>
      </c>
      <c r="AG9" s="43" t="str">
        <f>"2Q:" &amp; RIGHT(YEAR(AG$4),2) &amp; IF(AG$4&lt;=LatestRpQ, "A", "E")</f>
        <v>2Q:09A</v>
      </c>
      <c r="AH9" s="43" t="str">
        <f>"3Q:" &amp; RIGHT(YEAR(AH$4),2) &amp; IF(AH$4&lt;=LatestRpQ, "A", "E")</f>
        <v>3Q:09A</v>
      </c>
      <c r="AI9" s="43" t="str">
        <f>"4Q:" &amp; RIGHT(YEAR(AI$4),2) &amp; IF(AI$4&lt;=LatestRpQ, "A", "E")</f>
        <v>4Q:09A</v>
      </c>
      <c r="AJ9" s="44" t="str">
        <f>YEAR(AJ$4) &amp; IF(AJ$4&lt;=LatestRpQ, "A", "E")</f>
        <v>2009A</v>
      </c>
      <c r="AK9" s="43" t="str">
        <f>"1Q:" &amp; RIGHT(YEAR(AK$4),2) &amp; IF(AK$4&lt;=LatestRpQ, "A", "E")</f>
        <v>1Q:10A</v>
      </c>
      <c r="AL9" s="43" t="str">
        <f>"2Q:" &amp; RIGHT(YEAR(AL$4),2) &amp; IF(AL$4&lt;=LatestRpQ, "A", "E")</f>
        <v>2Q:10A</v>
      </c>
      <c r="AM9" s="43" t="str">
        <f>"3Q:" &amp; RIGHT(YEAR(AM$4),2) &amp; IF(AM$4&lt;=LatestRpQ, "A", "E")</f>
        <v>3Q:10A</v>
      </c>
      <c r="AN9" s="43" t="str">
        <f>"4Q:" &amp; RIGHT(YEAR(AN$4),2) &amp; IF(AN$4&lt;=LatestRpQ, "A", "E")</f>
        <v>4Q:10A</v>
      </c>
      <c r="AO9" s="44" t="str">
        <f>YEAR(AO$4) &amp; IF(AO$4&lt;=LatestRpQ, "A", "E")</f>
        <v>2010A</v>
      </c>
      <c r="AP9" s="43" t="str">
        <f>"1Q:" &amp; RIGHT(YEAR(AP$4),2) &amp; IF(AP$4&lt;=LatestRpQ, "A", "E")</f>
        <v>1Q:11A</v>
      </c>
      <c r="AQ9" s="43" t="str">
        <f>"2Q:" &amp; RIGHT(YEAR(AQ$4),2) &amp; IF(AQ$4&lt;=LatestRpQ, "A", "E")</f>
        <v>2Q:11A</v>
      </c>
      <c r="AR9" s="43" t="str">
        <f>"3Q:" &amp; RIGHT(YEAR(AR$4),2) &amp; IF(AR$4&lt;=LatestRpQ, "A", "E")</f>
        <v>3Q:11A</v>
      </c>
      <c r="AS9" s="43" t="str">
        <f>"4Q:" &amp; RIGHT(YEAR(AS$4),2) &amp; IF(AS$4&lt;=LatestRpQ, "A", "E")</f>
        <v>4Q:11A</v>
      </c>
      <c r="AT9" s="44" t="str">
        <f>YEAR(AT$4) &amp; IF(AT$4&lt;=LatestRpQ, "A", "E")</f>
        <v>2011A</v>
      </c>
      <c r="AU9" s="43" t="str">
        <f>"1Q:" &amp; RIGHT(YEAR(AU$4),2) &amp; IF(AU$4&lt;=LatestRpQ, "A", "E")</f>
        <v>1Q:12A</v>
      </c>
      <c r="AV9" s="43" t="str">
        <f>"2Q:" &amp; RIGHT(YEAR(AV$4),2) &amp; IF(AV$4&lt;=LatestRpQ, "A", "E")</f>
        <v>2Q:12A</v>
      </c>
      <c r="AW9" s="43" t="str">
        <f>"3Q:" &amp; RIGHT(YEAR(AW$4),2) &amp; IF(AW$4&lt;=LatestRpQ, "A", "E")</f>
        <v>3Q:12A</v>
      </c>
      <c r="AX9" s="43" t="str">
        <f>"4Q:" &amp; RIGHT(YEAR(AX$4),2) &amp; IF(AX$4&lt;=LatestRpQ, "A", "E")</f>
        <v>4Q:12A</v>
      </c>
      <c r="AY9" s="44" t="str">
        <f>YEAR(AY$4) &amp; IF(AY$4&lt;=LatestRpQ, "A", "E")</f>
        <v>2012A</v>
      </c>
      <c r="AZ9" s="43" t="str">
        <f>"1Q:" &amp; RIGHT(YEAR(AZ$4),2) &amp; IF(AZ$4&lt;=LatestRpQ, "A", "E")</f>
        <v>1Q:13A</v>
      </c>
      <c r="BA9" s="43" t="str">
        <f>"2Q:" &amp; RIGHT(YEAR(BA$4),2) &amp; IF(BA$4&lt;=LatestRpQ, "A", "E")</f>
        <v>2Q:13A</v>
      </c>
      <c r="BB9" s="43" t="str">
        <f>"3Q:" &amp; RIGHT(YEAR(BB$4),2) &amp; IF(BB$4&lt;=LatestRpQ, "A", "E")</f>
        <v>3Q:13A</v>
      </c>
      <c r="BC9" s="43" t="str">
        <f>"4Q:" &amp; RIGHT(YEAR(BC$4),2) &amp; IF(BC$4&lt;=LatestRpQ, "A", "E")</f>
        <v>4Q:13A</v>
      </c>
      <c r="BD9" s="44" t="str">
        <f>YEAR(BD$4) &amp; IF(BD$4&lt;=LatestRpQ, "A", "E")</f>
        <v>2013A</v>
      </c>
      <c r="BE9" s="43" t="str">
        <f>"1Q:" &amp; RIGHT(YEAR(BE$4),2) &amp; IF(BE$4&lt;=LatestRpQ, "A", "E")</f>
        <v>1Q:14A</v>
      </c>
      <c r="BF9" s="43" t="str">
        <f>"2Q:" &amp; RIGHT(YEAR(BF$4),2) &amp; IF(BF$4&lt;=LatestRpQ, "A", "E")</f>
        <v>2Q:14A</v>
      </c>
      <c r="BG9" s="43" t="str">
        <f>"3Q:" &amp; RIGHT(YEAR(BG$4),2) &amp; IF(BG$4&lt;=LatestRpQ, "A", "E")</f>
        <v>3Q:14A</v>
      </c>
      <c r="BH9" s="43" t="str">
        <f>"4Q:" &amp; RIGHT(YEAR(BH$4),2) &amp; IF(BH$4&lt;=LatestRpQ, "A", "E")</f>
        <v>4Q:14A</v>
      </c>
      <c r="BI9" s="44" t="str">
        <f>YEAR(BI$4) &amp; IF(BI$4&lt;=LatestRpQ, "A", "E")</f>
        <v>2014A</v>
      </c>
      <c r="BJ9" s="43" t="str">
        <f>"1Q:" &amp; RIGHT(YEAR(BJ$4),2) &amp; IF(BJ$4&lt;=LatestRpQ, "A", "E")</f>
        <v>1Q:15A</v>
      </c>
      <c r="BK9" s="43" t="str">
        <f>"2Q:" &amp; RIGHT(YEAR(BK$4),2) &amp; IF(BK$4&lt;=LatestRpQ, "A", "E")</f>
        <v>2Q:15A</v>
      </c>
      <c r="BL9" s="43" t="str">
        <f>"3Q:" &amp; RIGHT(YEAR(BL$4),2) &amp; IF(BL$4&lt;=LatestRpQ, "A", "E")</f>
        <v>3Q:15A</v>
      </c>
      <c r="BM9" s="43" t="str">
        <f>"4Q:" &amp; RIGHT(YEAR(BM$4),2) &amp; IF(BM$4&lt;=LatestRpQ, "A", "E")</f>
        <v>4Q:15A</v>
      </c>
      <c r="BN9" s="44" t="str">
        <f>YEAR(BN$4) &amp; IF(BN$4&lt;=LatestRpQ, "A", "E")</f>
        <v>2015A</v>
      </c>
      <c r="BO9" s="43" t="str">
        <f>"1Q:" &amp; RIGHT(YEAR(BO$4),2) &amp; IF(BO$4&lt;=LatestRpQ, "A", "E")</f>
        <v>1Q:16A</v>
      </c>
      <c r="BP9" s="43" t="str">
        <f>"2Q:" &amp; RIGHT(YEAR(BP$4),2) &amp; IF(BP$4&lt;=LatestRpQ, "A", "E")</f>
        <v>2Q:16A</v>
      </c>
      <c r="BQ9" s="43" t="str">
        <f>"3Q:" &amp; RIGHT(YEAR(BQ$4),2) &amp; IF(BQ$4&lt;=LatestRpQ, "A", "E")</f>
        <v>3Q:16A</v>
      </c>
      <c r="BR9" s="43" t="str">
        <f>"4Q:" &amp; RIGHT(YEAR(BR$4),2) &amp; IF(BR$4&lt;=LatestRpQ, "A", "E")</f>
        <v>4Q:16A</v>
      </c>
      <c r="BS9" s="44" t="str">
        <f>YEAR(BS$4) &amp; IF(BS$4&lt;=LatestRpQ, "A", "E")</f>
        <v>2016A</v>
      </c>
      <c r="BT9" s="43" t="str">
        <f>"1Q:" &amp; RIGHT(YEAR(BT$4),2) &amp; IF(BT$4&lt;=LatestRpQ, "A", "E")</f>
        <v>1Q:17A</v>
      </c>
      <c r="BU9" s="43" t="str">
        <f>"2Q:" &amp; RIGHT(YEAR(BU$4),2) &amp; IF(BU$4&lt;=LatestRpQ, "A", "E")</f>
        <v>2Q:17A</v>
      </c>
      <c r="BV9" s="43" t="str">
        <f>"3Q:" &amp; RIGHT(YEAR(BV$4),2) &amp; IF(BV$4&lt;=LatestRpQ, "A", "E")</f>
        <v>3Q:17A</v>
      </c>
      <c r="BW9" s="43" t="str">
        <f>"4Q:" &amp; RIGHT(YEAR(BW$4),2) &amp; IF(BW$4&lt;=LatestRpQ, "A", "E")</f>
        <v>4Q:17A</v>
      </c>
      <c r="BX9" s="44" t="str">
        <f>YEAR(BX$4) &amp; IF(BX$4&lt;=LatestRpQ, "A", "E")</f>
        <v>2017A</v>
      </c>
      <c r="BY9" s="43" t="str">
        <f>"1Q:" &amp; RIGHT(YEAR(BY$4),2) &amp; IF(BY$4&lt;=LatestRpQ, "A", "E")</f>
        <v>1Q:18A</v>
      </c>
      <c r="BZ9" s="43" t="str">
        <f>"2Q:" &amp; RIGHT(YEAR(BZ$4),2) &amp; IF(BZ$4&lt;=LatestRpQ, "A", "E")</f>
        <v>2Q:18E</v>
      </c>
      <c r="CA9" s="43" t="str">
        <f>"3Q:" &amp; RIGHT(YEAR(CA$4),2) &amp; IF(CA$4&lt;=LatestRpQ, "A", "E")</f>
        <v>3Q:18E</v>
      </c>
      <c r="CB9" s="43" t="str">
        <f>"4Q:" &amp; RIGHT(YEAR(CB$4),2) &amp; IF(CB$4&lt;=LatestRpQ, "A", "E")</f>
        <v>4Q:18E</v>
      </c>
      <c r="CC9" s="44" t="str">
        <f t="shared" ref="CC9:CH9" si="0">YEAR(CC$4) &amp; IF(CC$4&lt;=LatestRpQ, "A", "E")</f>
        <v>2018E</v>
      </c>
      <c r="CD9" s="44" t="str">
        <f t="shared" si="0"/>
        <v>2019E</v>
      </c>
      <c r="CE9" s="44" t="str">
        <f t="shared" si="0"/>
        <v>2020E</v>
      </c>
      <c r="CF9" s="44" t="str">
        <f t="shared" si="0"/>
        <v>2021E</v>
      </c>
      <c r="CG9" s="44" t="str">
        <f t="shared" si="0"/>
        <v>2022E</v>
      </c>
      <c r="CH9" s="44" t="str">
        <f t="shared" si="0"/>
        <v>2023E</v>
      </c>
    </row>
    <row r="10" spans="1:154">
      <c r="A10" s="9"/>
      <c r="B10" s="9"/>
      <c r="C10" s="9"/>
      <c r="D10" s="9"/>
      <c r="E10" s="9"/>
      <c r="F10" s="9"/>
      <c r="G10" s="9"/>
      <c r="H10" s="1014" t="s">
        <v>641</v>
      </c>
      <c r="L10" s="66"/>
      <c r="M10" s="66"/>
      <c r="N10" s="66"/>
      <c r="O10" s="66"/>
      <c r="Q10" s="66"/>
      <c r="R10" s="66"/>
      <c r="S10" s="66"/>
      <c r="T10" s="66"/>
      <c r="U10" s="625"/>
      <c r="V10" s="66"/>
      <c r="W10" s="66"/>
      <c r="X10" s="66"/>
      <c r="Y10" s="66"/>
      <c r="Z10" s="625"/>
      <c r="AA10" s="66"/>
      <c r="AB10" s="66"/>
      <c r="AC10" s="66"/>
      <c r="AD10" s="66"/>
      <c r="AE10" s="625"/>
      <c r="AF10" s="66"/>
      <c r="AG10" s="66"/>
      <c r="AH10" s="66"/>
      <c r="AI10" s="66"/>
      <c r="AJ10" s="625"/>
      <c r="AK10" s="66"/>
      <c r="AL10" s="66"/>
      <c r="AM10" s="66"/>
      <c r="AN10" s="66"/>
      <c r="AO10" s="625"/>
      <c r="AP10" s="66"/>
      <c r="AQ10" s="66"/>
      <c r="AR10" s="66"/>
      <c r="AS10" s="66"/>
      <c r="AT10" s="625"/>
      <c r="AU10" s="66"/>
      <c r="AV10" s="66"/>
      <c r="AW10" s="66"/>
      <c r="AX10" s="66"/>
      <c r="AY10" s="625"/>
      <c r="AZ10" s="66"/>
      <c r="BA10" s="66"/>
      <c r="BB10" s="66"/>
      <c r="BC10" s="66"/>
      <c r="BD10" s="625"/>
      <c r="BE10" s="66"/>
      <c r="BF10" s="66"/>
      <c r="BG10" s="66"/>
      <c r="BH10" s="66"/>
      <c r="BI10" s="625"/>
      <c r="BJ10" s="66"/>
      <c r="BK10" s="66"/>
      <c r="BL10" s="66"/>
      <c r="BM10" s="66"/>
      <c r="BN10" s="625"/>
      <c r="BO10" s="66"/>
      <c r="BP10" s="66"/>
      <c r="BQ10" s="66"/>
      <c r="BR10" s="66"/>
      <c r="BS10" s="625"/>
      <c r="BT10" s="66"/>
      <c r="BU10" s="66"/>
      <c r="BV10" s="66"/>
      <c r="BW10" s="66"/>
      <c r="BX10" s="625">
        <f>CFBS!BX30</f>
        <v>5615.5999999999995</v>
      </c>
      <c r="BY10" s="66"/>
      <c r="BZ10" s="66"/>
      <c r="CA10" s="66"/>
      <c r="CB10" s="66"/>
      <c r="CC10" s="625">
        <f>CFBS!CC30</f>
        <v>7801.2555478416652</v>
      </c>
      <c r="CD10" s="625">
        <f>CFBS!CD30</f>
        <v>4168.9931247743079</v>
      </c>
      <c r="CE10" s="625">
        <f>CFBS!CE30</f>
        <v>8682.0398668984199</v>
      </c>
      <c r="CF10" s="625">
        <f>CFBS!CF30</f>
        <v>5125.0504435874864</v>
      </c>
      <c r="CG10" s="625">
        <f>CFBS!CG30</f>
        <v>9698.5202290438901</v>
      </c>
      <c r="CH10" s="625">
        <f>CFBS!CH30</f>
        <v>5979.5490505764556</v>
      </c>
    </row>
    <row r="11" spans="1:154">
      <c r="A11" s="9"/>
      <c r="B11" s="9"/>
      <c r="C11" s="9"/>
      <c r="D11" s="9"/>
      <c r="E11" s="9"/>
      <c r="F11" s="9"/>
      <c r="G11" s="9"/>
      <c r="H11" s="1015" t="s">
        <v>642</v>
      </c>
      <c r="I11" s="292"/>
      <c r="J11" s="292"/>
      <c r="K11" s="292"/>
      <c r="L11" s="1022"/>
      <c r="M11" s="1022"/>
      <c r="N11" s="1022"/>
      <c r="O11" s="1022"/>
      <c r="P11" s="1023"/>
      <c r="Q11" s="1022"/>
      <c r="R11" s="1022"/>
      <c r="S11" s="1022"/>
      <c r="T11" s="1022"/>
      <c r="U11" s="1024"/>
      <c r="V11" s="1022"/>
      <c r="W11" s="1022"/>
      <c r="X11" s="1022"/>
      <c r="Y11" s="1022"/>
      <c r="Z11" s="1025"/>
      <c r="AA11" s="1022"/>
      <c r="AB11" s="1022"/>
      <c r="AC11" s="1022"/>
      <c r="AD11" s="1022"/>
      <c r="AE11" s="1025"/>
      <c r="AF11" s="1022"/>
      <c r="AG11" s="1022"/>
      <c r="AH11" s="1022"/>
      <c r="AI11" s="1022"/>
      <c r="AJ11" s="1025"/>
      <c r="AK11" s="1022"/>
      <c r="AL11" s="1022"/>
      <c r="AM11" s="1022"/>
      <c r="AN11" s="1022"/>
      <c r="AO11" s="1025"/>
      <c r="AP11" s="1022"/>
      <c r="AQ11" s="1022"/>
      <c r="AR11" s="1022"/>
      <c r="AS11" s="1022"/>
      <c r="AT11" s="1025"/>
      <c r="AU11" s="1022"/>
      <c r="AV11" s="1022"/>
      <c r="AW11" s="1022"/>
      <c r="AX11" s="1022"/>
      <c r="AY11" s="1025"/>
      <c r="AZ11" s="1022"/>
      <c r="BA11" s="1022"/>
      <c r="BB11" s="1022"/>
      <c r="BC11" s="1022"/>
      <c r="BD11" s="1025"/>
      <c r="BE11" s="1022"/>
      <c r="BF11" s="1022"/>
      <c r="BG11" s="1022"/>
      <c r="BH11" s="1022"/>
      <c r="BI11" s="1025"/>
      <c r="BJ11" s="1022"/>
      <c r="BK11" s="1022"/>
      <c r="BL11" s="1022"/>
      <c r="BM11" s="1022"/>
      <c r="BN11" s="1025"/>
      <c r="BO11" s="1022"/>
      <c r="BP11" s="1022"/>
      <c r="BQ11" s="1022"/>
      <c r="BR11" s="1022"/>
      <c r="BS11" s="1025"/>
      <c r="BT11" s="1022"/>
      <c r="BU11" s="1022"/>
      <c r="BV11" s="1022"/>
      <c r="BW11" s="1022"/>
      <c r="BX11" s="1025">
        <f>CFBS!BX13</f>
        <v>0</v>
      </c>
      <c r="BY11" s="1022"/>
      <c r="BZ11" s="1022"/>
      <c r="CA11" s="1022"/>
      <c r="CB11" s="1022"/>
      <c r="CC11" s="1025">
        <f>CFBS!CC13</f>
        <v>-1000</v>
      </c>
      <c r="CD11" s="1025">
        <f>CFBS!CD13</f>
        <v>-1000</v>
      </c>
      <c r="CE11" s="1025">
        <f>CFBS!CE13</f>
        <v>-1000</v>
      </c>
      <c r="CF11" s="1025">
        <f>CFBS!CF13</f>
        <v>-1000</v>
      </c>
      <c r="CG11" s="1025">
        <f>CFBS!CG13</f>
        <v>-1000</v>
      </c>
      <c r="CH11" s="1025">
        <f>CFBS!CH13</f>
        <v>-1000</v>
      </c>
    </row>
    <row r="12" spans="1:154">
      <c r="A12" s="9"/>
      <c r="B12" s="9"/>
      <c r="C12" s="9"/>
      <c r="D12" s="9"/>
      <c r="E12" s="9"/>
      <c r="F12" s="9"/>
      <c r="G12" s="9"/>
      <c r="H12" s="1016" t="s">
        <v>643</v>
      </c>
      <c r="L12" s="67"/>
      <c r="M12" s="67"/>
      <c r="N12" s="67"/>
      <c r="O12" s="67"/>
      <c r="P12" s="68"/>
      <c r="Q12" s="67"/>
      <c r="R12" s="67"/>
      <c r="S12" s="67"/>
      <c r="T12" s="67"/>
      <c r="U12" s="625"/>
      <c r="V12" s="67"/>
      <c r="W12" s="67"/>
      <c r="X12" s="67"/>
      <c r="Y12" s="67"/>
      <c r="Z12" s="627"/>
      <c r="AA12" s="67"/>
      <c r="AB12" s="67"/>
      <c r="AC12" s="67"/>
      <c r="AD12" s="67"/>
      <c r="AE12" s="627"/>
      <c r="AF12" s="67"/>
      <c r="AG12" s="67"/>
      <c r="AH12" s="67"/>
      <c r="AI12" s="67"/>
      <c r="AJ12" s="627"/>
      <c r="AK12" s="769"/>
      <c r="AL12" s="769"/>
      <c r="AM12" s="769"/>
      <c r="AN12" s="769"/>
      <c r="AO12" s="627"/>
      <c r="AP12" s="769"/>
      <c r="AQ12" s="769"/>
      <c r="AR12" s="769"/>
      <c r="AS12" s="769"/>
      <c r="AT12" s="627"/>
      <c r="AU12" s="769"/>
      <c r="AV12" s="769"/>
      <c r="AW12" s="769"/>
      <c r="AX12" s="769"/>
      <c r="AY12" s="627"/>
      <c r="AZ12" s="769"/>
      <c r="BA12" s="769"/>
      <c r="BB12" s="769"/>
      <c r="BC12" s="769"/>
      <c r="BD12" s="627"/>
      <c r="BE12" s="769"/>
      <c r="BF12" s="769"/>
      <c r="BG12" s="769"/>
      <c r="BH12" s="769"/>
      <c r="BI12" s="627"/>
      <c r="BJ12" s="769"/>
      <c r="BK12" s="769"/>
      <c r="BL12" s="769"/>
      <c r="BM12" s="769"/>
      <c r="BN12" s="627"/>
      <c r="BO12" s="769"/>
      <c r="BP12" s="769"/>
      <c r="BQ12" s="769"/>
      <c r="BR12" s="769"/>
      <c r="BS12" s="627"/>
      <c r="BT12" s="769"/>
      <c r="BU12" s="769"/>
      <c r="BV12" s="769"/>
      <c r="BW12" s="769"/>
      <c r="BX12" s="627">
        <f>-'IS-ANNUAL'!BX35*(1-'IS-ANNUAL'!BX46)</f>
        <v>178.79950538464237</v>
      </c>
      <c r="BY12" s="769"/>
      <c r="BZ12" s="769"/>
      <c r="CA12" s="769"/>
      <c r="CB12" s="769"/>
      <c r="CC12" s="627">
        <f>-'IS-ANNUAL'!CC35*(1-'IS-ANNUAL'!CC46)</f>
        <v>186.47357868516605</v>
      </c>
      <c r="CD12" s="627">
        <f>-'IS-ANNUAL'!CD35*(1-'IS-ANNUAL'!CD46)</f>
        <v>124.75309079999998</v>
      </c>
      <c r="CE12" s="627">
        <f>-'IS-ANNUAL'!CE35*(1-'IS-ANNUAL'!CE46)</f>
        <v>111.35335593749997</v>
      </c>
      <c r="CF12" s="627">
        <f>-'IS-ANNUAL'!CF35*(1-'IS-ANNUAL'!CF46)</f>
        <v>111.35335593749997</v>
      </c>
      <c r="CG12" s="627">
        <f>-'IS-ANNUAL'!CG35*(1-'IS-ANNUAL'!CG46)</f>
        <v>108.6216534375</v>
      </c>
      <c r="CH12" s="627">
        <f>-'IS-ANNUAL'!CH35*(1-'IS-ANNUAL'!CH46)</f>
        <v>105.88995093749999</v>
      </c>
    </row>
    <row r="13" spans="1:154" ht="13.5" thickBot="1">
      <c r="A13" s="9"/>
      <c r="B13" s="9"/>
      <c r="C13" s="9"/>
      <c r="D13" s="9"/>
      <c r="E13" s="9"/>
      <c r="F13" s="9"/>
      <c r="G13" s="9"/>
      <c r="H13" s="1016" t="s">
        <v>644</v>
      </c>
      <c r="L13" s="66"/>
      <c r="M13" s="66"/>
      <c r="N13" s="66"/>
      <c r="O13" s="66"/>
      <c r="Q13" s="66"/>
      <c r="R13" s="66"/>
      <c r="S13" s="66"/>
      <c r="T13" s="66"/>
      <c r="U13" s="625"/>
      <c r="V13" s="66"/>
      <c r="W13" s="66"/>
      <c r="X13" s="66"/>
      <c r="Y13" s="66"/>
      <c r="Z13" s="625"/>
      <c r="AA13" s="66"/>
      <c r="AB13" s="66"/>
      <c r="AC13" s="66"/>
      <c r="AD13" s="66"/>
      <c r="AE13" s="625"/>
      <c r="AF13" s="66"/>
      <c r="AG13" s="66"/>
      <c r="AH13" s="66"/>
      <c r="AI13" s="66"/>
      <c r="AJ13" s="625"/>
      <c r="AK13" s="66"/>
      <c r="AL13" s="66"/>
      <c r="AM13" s="66"/>
      <c r="AN13" s="66"/>
      <c r="AO13" s="625"/>
      <c r="AP13" s="66"/>
      <c r="AQ13" s="66"/>
      <c r="AR13" s="66"/>
      <c r="AS13" s="66"/>
      <c r="AT13" s="625"/>
      <c r="AU13" s="66"/>
      <c r="AV13" s="66"/>
      <c r="AW13" s="66"/>
      <c r="AX13" s="66"/>
      <c r="AY13" s="625"/>
      <c r="AZ13" s="66"/>
      <c r="BA13" s="66"/>
      <c r="BB13" s="66"/>
      <c r="BC13" s="66"/>
      <c r="BD13" s="625"/>
      <c r="BE13" s="66"/>
      <c r="BF13" s="66"/>
      <c r="BG13" s="66"/>
      <c r="BH13" s="66"/>
      <c r="BI13" s="625"/>
      <c r="BJ13" s="66"/>
      <c r="BK13" s="66"/>
      <c r="BL13" s="66"/>
      <c r="BM13" s="66"/>
      <c r="BN13" s="625"/>
      <c r="BO13" s="66"/>
      <c r="BP13" s="66"/>
      <c r="BQ13" s="66"/>
      <c r="BR13" s="66"/>
      <c r="BS13" s="625"/>
      <c r="BT13" s="66"/>
      <c r="BU13" s="66"/>
      <c r="BV13" s="66"/>
      <c r="BW13" s="66"/>
      <c r="BX13" s="625">
        <f>CFBS!BX32</f>
        <v>-1036.0999999999999</v>
      </c>
      <c r="BY13" s="66"/>
      <c r="BZ13" s="66"/>
      <c r="CA13" s="66"/>
      <c r="CB13" s="66"/>
      <c r="CC13" s="625">
        <f>CFBS!CC32</f>
        <v>-1200</v>
      </c>
      <c r="CD13" s="625">
        <f>CFBS!CD32</f>
        <v>-1000</v>
      </c>
      <c r="CE13" s="625">
        <f>CFBS!CE32</f>
        <v>-1000</v>
      </c>
      <c r="CF13" s="625">
        <f>CFBS!CF32</f>
        <v>-1000</v>
      </c>
      <c r="CG13" s="625">
        <f>CFBS!CG32</f>
        <v>-1000</v>
      </c>
      <c r="CH13" s="625">
        <f>CFBS!CH32</f>
        <v>-1000</v>
      </c>
    </row>
    <row r="14" spans="1:154">
      <c r="A14" s="9"/>
      <c r="B14" s="9"/>
      <c r="C14" s="9"/>
      <c r="D14" s="9"/>
      <c r="E14" s="9"/>
      <c r="F14" s="9"/>
      <c r="G14" s="9"/>
      <c r="H14" s="1017" t="s">
        <v>909</v>
      </c>
      <c r="I14" s="1018"/>
      <c r="J14" s="1018"/>
      <c r="K14" s="1018"/>
      <c r="L14" s="1019"/>
      <c r="M14" s="1019"/>
      <c r="N14" s="1019"/>
      <c r="O14" s="1019"/>
      <c r="P14" s="1018"/>
      <c r="Q14" s="1019"/>
      <c r="R14" s="1019"/>
      <c r="S14" s="1019"/>
      <c r="T14" s="1019"/>
      <c r="U14" s="1020"/>
      <c r="V14" s="1019"/>
      <c r="W14" s="1019"/>
      <c r="X14" s="1019"/>
      <c r="Y14" s="1019"/>
      <c r="Z14" s="1020"/>
      <c r="AA14" s="1019"/>
      <c r="AB14" s="1019"/>
      <c r="AC14" s="1019"/>
      <c r="AD14" s="1019"/>
      <c r="AE14" s="1020"/>
      <c r="AF14" s="1019"/>
      <c r="AG14" s="1019"/>
      <c r="AH14" s="1019"/>
      <c r="AI14" s="1019"/>
      <c r="AJ14" s="1020"/>
      <c r="AK14" s="1021"/>
      <c r="AL14" s="1021"/>
      <c r="AM14" s="1021"/>
      <c r="AN14" s="1021"/>
      <c r="AO14" s="1020"/>
      <c r="AP14" s="1021"/>
      <c r="AQ14" s="1021"/>
      <c r="AR14" s="1021"/>
      <c r="AS14" s="1021"/>
      <c r="AT14" s="1020"/>
      <c r="AU14" s="1021"/>
      <c r="AV14" s="1021"/>
      <c r="AW14" s="1021"/>
      <c r="AX14" s="1021"/>
      <c r="AY14" s="1020"/>
      <c r="AZ14" s="1021"/>
      <c r="BA14" s="1021"/>
      <c r="BB14" s="1021"/>
      <c r="BC14" s="1021"/>
      <c r="BD14" s="1020"/>
      <c r="BE14" s="1021"/>
      <c r="BF14" s="1021"/>
      <c r="BG14" s="1021"/>
      <c r="BH14" s="1021"/>
      <c r="BI14" s="1020"/>
      <c r="BJ14" s="1021"/>
      <c r="BK14" s="1021"/>
      <c r="BL14" s="1021"/>
      <c r="BM14" s="1021"/>
      <c r="BN14" s="1020"/>
      <c r="BO14" s="1021"/>
      <c r="BP14" s="1021"/>
      <c r="BQ14" s="1021"/>
      <c r="BR14" s="1021"/>
      <c r="BS14" s="1020"/>
      <c r="BT14" s="1021"/>
      <c r="BU14" s="1021"/>
      <c r="BV14" s="1021"/>
      <c r="BW14" s="1021"/>
      <c r="BX14" s="1020">
        <f>BX10+BX12+BX13</f>
        <v>4758.2995053846425</v>
      </c>
      <c r="BY14" s="1021"/>
      <c r="BZ14" s="1021"/>
      <c r="CA14" s="1021"/>
      <c r="CB14" s="1021"/>
      <c r="CC14" s="1020">
        <f t="shared" ref="CC14:CH14" si="1">CC10+CC12+CC13</f>
        <v>6787.7291265268314</v>
      </c>
      <c r="CD14" s="1020">
        <f t="shared" si="1"/>
        <v>3293.7462155743078</v>
      </c>
      <c r="CE14" s="1020">
        <f t="shared" si="1"/>
        <v>7793.393222835919</v>
      </c>
      <c r="CF14" s="1020">
        <f t="shared" si="1"/>
        <v>4236.4037995249864</v>
      </c>
      <c r="CG14" s="1020">
        <f t="shared" si="1"/>
        <v>8807.14188248139</v>
      </c>
      <c r="CH14" s="1020">
        <f t="shared" si="1"/>
        <v>5085.4390015139552</v>
      </c>
    </row>
    <row r="15" spans="1:154">
      <c r="A15" s="9"/>
      <c r="B15" s="9"/>
      <c r="C15" s="9"/>
      <c r="D15" s="9"/>
      <c r="E15" s="9"/>
      <c r="F15" s="9"/>
      <c r="G15" s="9"/>
      <c r="H15" s="1026"/>
      <c r="L15" s="71"/>
      <c r="M15" s="71"/>
      <c r="N15" s="71"/>
      <c r="O15" s="71"/>
      <c r="P15" s="72"/>
      <c r="Q15" s="71"/>
      <c r="R15" s="71"/>
      <c r="S15" s="71"/>
      <c r="T15" s="71"/>
      <c r="U15" s="626"/>
      <c r="V15" s="71"/>
      <c r="W15" s="71"/>
      <c r="X15" s="71"/>
      <c r="Y15" s="71"/>
      <c r="Z15" s="626"/>
      <c r="AA15" s="71"/>
      <c r="AB15" s="71"/>
      <c r="AC15" s="71"/>
      <c r="AD15" s="71"/>
      <c r="AE15" s="626"/>
      <c r="AF15" s="71"/>
      <c r="AG15" s="71"/>
      <c r="AH15" s="71"/>
      <c r="AI15" s="71"/>
      <c r="AJ15" s="626"/>
      <c r="AK15" s="71"/>
      <c r="AL15" s="71"/>
      <c r="AM15" s="71"/>
      <c r="AN15" s="71"/>
      <c r="AO15" s="626"/>
      <c r="AP15" s="71"/>
      <c r="AQ15" s="71"/>
      <c r="AR15" s="71"/>
      <c r="AS15" s="71"/>
      <c r="AT15" s="626"/>
      <c r="AU15" s="71"/>
      <c r="AV15" s="71"/>
      <c r="AW15" s="71"/>
      <c r="AX15" s="71"/>
      <c r="AY15" s="626"/>
      <c r="AZ15" s="71"/>
      <c r="BA15" s="71"/>
      <c r="BB15" s="71"/>
      <c r="BC15" s="71"/>
      <c r="BD15" s="626"/>
      <c r="BE15" s="71"/>
      <c r="BF15" s="71"/>
      <c r="BG15" s="71"/>
      <c r="BH15" s="71"/>
      <c r="BI15" s="626"/>
      <c r="BJ15" s="71"/>
      <c r="BK15" s="71"/>
      <c r="BL15" s="71"/>
      <c r="BM15" s="71"/>
      <c r="BN15" s="626"/>
      <c r="BO15" s="71"/>
      <c r="BP15" s="71"/>
      <c r="BQ15" s="71"/>
      <c r="BR15" s="71"/>
      <c r="BS15" s="626"/>
      <c r="BT15" s="71"/>
      <c r="BU15" s="71"/>
      <c r="BV15" s="71"/>
      <c r="BW15" s="71"/>
      <c r="BX15" s="626"/>
      <c r="BY15" s="71"/>
      <c r="BZ15" s="71"/>
      <c r="CA15" s="71"/>
      <c r="CB15" s="71"/>
      <c r="CC15" s="626"/>
      <c r="CD15" s="626"/>
      <c r="CE15" s="626"/>
      <c r="CF15" s="626"/>
      <c r="CG15" s="626"/>
      <c r="CH15" s="626"/>
    </row>
    <row r="16" spans="1:154">
      <c r="A16" s="9"/>
      <c r="B16" s="9"/>
      <c r="C16" s="9"/>
      <c r="D16" s="9"/>
      <c r="E16" s="9"/>
      <c r="F16" s="9"/>
      <c r="G16" s="9"/>
      <c r="H16" s="1127" t="s">
        <v>856</v>
      </c>
      <c r="L16" s="71"/>
      <c r="M16" s="71"/>
      <c r="N16" s="71"/>
      <c r="O16" s="71"/>
      <c r="P16" s="72"/>
      <c r="Q16" s="71"/>
      <c r="R16" s="71"/>
      <c r="S16" s="71"/>
      <c r="T16" s="71"/>
      <c r="U16" s="626"/>
      <c r="V16" s="71"/>
      <c r="W16" s="71"/>
      <c r="X16" s="71"/>
      <c r="Y16" s="71"/>
      <c r="Z16" s="626"/>
      <c r="AA16" s="71"/>
      <c r="AB16" s="71"/>
      <c r="AC16" s="71"/>
      <c r="AD16" s="71"/>
      <c r="AE16" s="626"/>
      <c r="AF16" s="71"/>
      <c r="AG16" s="71"/>
      <c r="AH16" s="71"/>
      <c r="AI16" s="71"/>
      <c r="AJ16" s="626"/>
      <c r="AK16" s="71"/>
      <c r="AL16" s="71"/>
      <c r="AM16" s="71"/>
      <c r="AN16" s="71"/>
      <c r="AO16" s="626"/>
      <c r="AP16" s="71"/>
      <c r="AQ16" s="71"/>
      <c r="AR16" s="71"/>
      <c r="AS16" s="71"/>
      <c r="AT16" s="626"/>
      <c r="AU16" s="71"/>
      <c r="AV16" s="71"/>
      <c r="AW16" s="71"/>
      <c r="AX16" s="71"/>
      <c r="AY16" s="626"/>
      <c r="AZ16" s="71"/>
      <c r="BA16" s="71"/>
      <c r="BB16" s="71"/>
      <c r="BC16" s="71"/>
      <c r="BD16" s="626"/>
      <c r="BE16" s="71"/>
      <c r="BF16" s="71"/>
      <c r="BG16" s="71"/>
      <c r="BH16" s="71"/>
      <c r="BI16" s="626"/>
      <c r="BJ16" s="71"/>
      <c r="BK16" s="71"/>
      <c r="BL16" s="71"/>
      <c r="BM16" s="71"/>
      <c r="BN16" s="626"/>
      <c r="BO16" s="71"/>
      <c r="BP16" s="71"/>
      <c r="BQ16" s="71"/>
      <c r="BR16" s="71"/>
      <c r="BS16" s="1143"/>
      <c r="BT16" s="1144"/>
      <c r="BU16" s="1144"/>
      <c r="BV16" s="1144"/>
      <c r="BW16" s="1144"/>
      <c r="BX16" s="1143">
        <f ca="1">(BX4-TODAY())/365</f>
        <v>-0.31506849315068491</v>
      </c>
      <c r="BY16" s="1144"/>
      <c r="BZ16" s="1144"/>
      <c r="CA16" s="1144"/>
      <c r="CB16" s="1144"/>
      <c r="CC16" s="1143">
        <f t="shared" ref="CC16:CH16" ca="1" si="2">(CC4-TODAY())/365</f>
        <v>0.68493150684931503</v>
      </c>
      <c r="CD16" s="1143">
        <f t="shared" ca="1" si="2"/>
        <v>1.6849315068493151</v>
      </c>
      <c r="CE16" s="1143">
        <f t="shared" ca="1" si="2"/>
        <v>2.6876712328767125</v>
      </c>
      <c r="CF16" s="1143">
        <f t="shared" ca="1" si="2"/>
        <v>3.6876712328767125</v>
      </c>
      <c r="CG16" s="1143">
        <f t="shared" ca="1" si="2"/>
        <v>4.6876712328767125</v>
      </c>
      <c r="CH16" s="1143">
        <f t="shared" ca="1" si="2"/>
        <v>5.6876712328767125</v>
      </c>
    </row>
    <row r="17" spans="1:86">
      <c r="A17" s="9"/>
      <c r="B17" s="9"/>
      <c r="C17" s="9"/>
      <c r="D17" s="9"/>
      <c r="E17" s="9"/>
      <c r="F17" s="9"/>
      <c r="G17" s="9"/>
      <c r="H17" s="1127" t="s">
        <v>857</v>
      </c>
      <c r="L17" s="71"/>
      <c r="M17" s="71"/>
      <c r="N17" s="71"/>
      <c r="O17" s="71"/>
      <c r="P17" s="72"/>
      <c r="Q17" s="71"/>
      <c r="R17" s="71"/>
      <c r="S17" s="71"/>
      <c r="T17" s="71"/>
      <c r="U17" s="626"/>
      <c r="V17" s="71"/>
      <c r="W17" s="71"/>
      <c r="X17" s="71"/>
      <c r="Y17" s="71"/>
      <c r="Z17" s="626"/>
      <c r="AA17" s="71"/>
      <c r="AB17" s="71"/>
      <c r="AC17" s="71"/>
      <c r="AD17" s="71"/>
      <c r="AE17" s="626"/>
      <c r="AF17" s="71"/>
      <c r="AG17" s="71"/>
      <c r="AH17" s="71"/>
      <c r="AI17" s="71"/>
      <c r="AJ17" s="626"/>
      <c r="AK17" s="71"/>
      <c r="AL17" s="71"/>
      <c r="AM17" s="71"/>
      <c r="AN17" s="71"/>
      <c r="AO17" s="626"/>
      <c r="AP17" s="71"/>
      <c r="AQ17" s="71"/>
      <c r="AR17" s="71"/>
      <c r="AS17" s="71"/>
      <c r="AT17" s="626"/>
      <c r="AU17" s="71"/>
      <c r="AV17" s="71"/>
      <c r="AW17" s="71"/>
      <c r="AX17" s="71"/>
      <c r="AY17" s="626"/>
      <c r="AZ17" s="71"/>
      <c r="BA17" s="71"/>
      <c r="BB17" s="71"/>
      <c r="BC17" s="71"/>
      <c r="BD17" s="626"/>
      <c r="BE17" s="71"/>
      <c r="BF17" s="71"/>
      <c r="BG17" s="71"/>
      <c r="BH17" s="71"/>
      <c r="BI17" s="626"/>
      <c r="BJ17" s="71"/>
      <c r="BK17" s="71"/>
      <c r="BL17" s="71"/>
      <c r="BM17" s="71"/>
      <c r="BN17" s="626"/>
      <c r="BO17" s="71"/>
      <c r="BP17" s="71"/>
      <c r="BQ17" s="71"/>
      <c r="BR17" s="71"/>
      <c r="BS17" s="1143"/>
      <c r="BT17" s="1144"/>
      <c r="BU17" s="1144"/>
      <c r="BV17" s="1144"/>
      <c r="BW17" s="1144"/>
      <c r="BX17" s="1143">
        <f ca="1">(1/(1+$J$33))^(BX16)</f>
        <v>1.0208839558285518</v>
      </c>
      <c r="BY17" s="1144"/>
      <c r="BZ17" s="1144"/>
      <c r="CA17" s="1144"/>
      <c r="CB17" s="1144"/>
      <c r="CC17" s="1143">
        <f t="shared" ref="CC17:CH17" ca="1" si="3">(1/(1+$J$33))^(CC16)</f>
        <v>0.95606216898022311</v>
      </c>
      <c r="CD17" s="1143">
        <f t="shared" ca="1" si="3"/>
        <v>0.89535628974922965</v>
      </c>
      <c r="CE17" s="1143">
        <f t="shared" ca="1" si="3"/>
        <v>0.83835428510416954</v>
      </c>
      <c r="CF17" s="1143">
        <f t="shared" ca="1" si="3"/>
        <v>0.78512235559627552</v>
      </c>
      <c r="CG17" s="1143">
        <f t="shared" ca="1" si="3"/>
        <v>0.73527042708495449</v>
      </c>
      <c r="CH17" s="1143">
        <f t="shared" ca="1" si="3"/>
        <v>0.68858388389043612</v>
      </c>
    </row>
    <row r="18" spans="1:86">
      <c r="A18" s="9"/>
      <c r="B18" s="9"/>
      <c r="C18" s="9"/>
      <c r="D18" s="9"/>
      <c r="E18" s="9"/>
      <c r="F18" s="9"/>
      <c r="G18" s="9"/>
      <c r="H18" s="1128" t="s">
        <v>858</v>
      </c>
      <c r="L18" s="71"/>
      <c r="M18" s="71"/>
      <c r="N18" s="71"/>
      <c r="O18" s="71"/>
      <c r="P18" s="72"/>
      <c r="Q18" s="71"/>
      <c r="R18" s="71"/>
      <c r="S18" s="71"/>
      <c r="T18" s="71"/>
      <c r="U18" s="626"/>
      <c r="V18" s="71"/>
      <c r="W18" s="71"/>
      <c r="X18" s="71"/>
      <c r="Y18" s="71"/>
      <c r="Z18" s="626"/>
      <c r="AA18" s="71"/>
      <c r="AB18" s="71"/>
      <c r="AC18" s="71"/>
      <c r="AD18" s="71"/>
      <c r="AE18" s="626"/>
      <c r="AF18" s="71"/>
      <c r="AG18" s="71"/>
      <c r="AH18" s="71"/>
      <c r="AI18" s="71"/>
      <c r="AJ18" s="626"/>
      <c r="AK18" s="71"/>
      <c r="AL18" s="71"/>
      <c r="AM18" s="71"/>
      <c r="AN18" s="71"/>
      <c r="AO18" s="626"/>
      <c r="AP18" s="71"/>
      <c r="AQ18" s="71"/>
      <c r="AR18" s="71"/>
      <c r="AS18" s="71"/>
      <c r="AT18" s="626"/>
      <c r="AU18" s="71"/>
      <c r="AV18" s="71"/>
      <c r="AW18" s="71"/>
      <c r="AX18" s="71"/>
      <c r="AY18" s="626"/>
      <c r="AZ18" s="71"/>
      <c r="BA18" s="71"/>
      <c r="BB18" s="71"/>
      <c r="BC18" s="71"/>
      <c r="BD18" s="626"/>
      <c r="BE18" s="71"/>
      <c r="BF18" s="71"/>
      <c r="BG18" s="71"/>
      <c r="BH18" s="71"/>
      <c r="BI18" s="626"/>
      <c r="BJ18" s="71"/>
      <c r="BK18" s="71"/>
      <c r="BL18" s="71"/>
      <c r="BM18" s="71"/>
      <c r="BN18" s="626"/>
      <c r="BO18" s="71"/>
      <c r="BP18" s="71"/>
      <c r="BQ18" s="71"/>
      <c r="BR18" s="71"/>
      <c r="BS18" s="634"/>
      <c r="BT18" s="1145"/>
      <c r="BU18" s="1145"/>
      <c r="BV18" s="1145"/>
      <c r="BW18" s="1145"/>
      <c r="BX18" s="634">
        <f ca="1">BX14*BX17</f>
        <v>4857.6716220741155</v>
      </c>
      <c r="BY18" s="1145"/>
      <c r="BZ18" s="1145"/>
      <c r="CA18" s="1145"/>
      <c r="CB18" s="1145"/>
      <c r="CC18" s="634">
        <f t="shared" ref="CC18:CH18" ca="1" si="4">CC14*CC17</f>
        <v>6489.4910311574777</v>
      </c>
      <c r="CD18" s="634">
        <f t="shared" ca="1" si="4"/>
        <v>2949.0763909521784</v>
      </c>
      <c r="CE18" s="634">
        <f t="shared" ca="1" si="4"/>
        <v>6533.6246038662866</v>
      </c>
      <c r="CF18" s="634">
        <f t="shared" ca="1" si="4"/>
        <v>3326.0953303400693</v>
      </c>
      <c r="CG18" s="634">
        <f t="shared" ca="1" si="4"/>
        <v>6475.6309733298813</v>
      </c>
      <c r="CH18" s="634">
        <f t="shared" ca="1" si="4"/>
        <v>3501.7513389503806</v>
      </c>
    </row>
    <row r="19" spans="1:86">
      <c r="A19" s="9"/>
      <c r="B19" s="9"/>
      <c r="C19" s="9"/>
      <c r="D19" s="9"/>
      <c r="E19" s="9"/>
      <c r="F19" s="9"/>
      <c r="G19" s="9"/>
      <c r="H19" s="1128"/>
      <c r="L19" s="71"/>
      <c r="M19" s="71"/>
      <c r="N19" s="71"/>
      <c r="O19" s="71"/>
      <c r="P19" s="72"/>
      <c r="Q19" s="71"/>
      <c r="R19" s="71"/>
      <c r="S19" s="71"/>
      <c r="T19" s="71"/>
      <c r="U19" s="626"/>
      <c r="V19" s="71"/>
      <c r="W19" s="71"/>
      <c r="X19" s="71"/>
      <c r="Y19" s="71"/>
      <c r="Z19" s="626"/>
      <c r="AA19" s="71"/>
      <c r="AB19" s="71"/>
      <c r="AC19" s="71"/>
      <c r="AD19" s="71"/>
      <c r="AE19" s="626"/>
      <c r="AF19" s="71"/>
      <c r="AG19" s="71"/>
      <c r="AH19" s="71"/>
      <c r="AI19" s="71"/>
      <c r="AJ19" s="626"/>
      <c r="AK19" s="71"/>
      <c r="AL19" s="71"/>
      <c r="AM19" s="71"/>
      <c r="AN19" s="71"/>
      <c r="AO19" s="626"/>
      <c r="AP19" s="71"/>
      <c r="AQ19" s="71"/>
      <c r="AR19" s="71"/>
      <c r="AS19" s="71"/>
      <c r="AT19" s="626"/>
      <c r="AU19" s="71"/>
      <c r="AV19" s="71"/>
      <c r="AW19" s="71"/>
      <c r="AX19" s="71"/>
      <c r="AY19" s="626"/>
      <c r="AZ19" s="71"/>
      <c r="BA19" s="71"/>
      <c r="BB19" s="71"/>
      <c r="BC19" s="71"/>
      <c r="BD19" s="626"/>
      <c r="BE19" s="71"/>
      <c r="BF19" s="71"/>
      <c r="BG19" s="71"/>
      <c r="BH19" s="71"/>
      <c r="BI19" s="626"/>
      <c r="BJ19" s="71"/>
      <c r="BK19" s="71"/>
      <c r="BL19" s="71"/>
      <c r="BM19" s="71"/>
      <c r="BN19" s="626"/>
      <c r="BO19" s="71"/>
      <c r="BP19" s="71"/>
      <c r="BQ19" s="71"/>
      <c r="BR19" s="71"/>
      <c r="BS19" s="626"/>
      <c r="BT19" s="71"/>
      <c r="BU19" s="71"/>
      <c r="BV19" s="71"/>
      <c r="BW19" s="71"/>
      <c r="BX19" s="626"/>
      <c r="BY19" s="71"/>
      <c r="BZ19" s="71"/>
      <c r="CA19" s="71"/>
      <c r="CB19" s="71"/>
      <c r="CC19" s="626"/>
      <c r="CD19" s="626"/>
      <c r="CE19" s="626"/>
      <c r="CF19" s="626"/>
      <c r="CG19" s="626"/>
      <c r="CH19" s="626"/>
    </row>
    <row r="20" spans="1:86" ht="14.25" thickBot="1">
      <c r="A20" s="9"/>
      <c r="B20" s="9"/>
      <c r="C20" s="9"/>
      <c r="D20" s="9"/>
      <c r="E20" s="9"/>
      <c r="F20" s="9"/>
      <c r="G20" s="9"/>
      <c r="H20" s="1129" t="s">
        <v>859</v>
      </c>
      <c r="I20" s="1130"/>
      <c r="J20" s="1130"/>
      <c r="L20" s="71"/>
      <c r="M20" s="71"/>
      <c r="N20" s="71"/>
      <c r="O20" s="71"/>
      <c r="P20" s="72"/>
      <c r="Q20" s="71"/>
      <c r="R20" s="71"/>
      <c r="S20" s="71"/>
      <c r="T20" s="71"/>
      <c r="U20" s="626"/>
      <c r="V20" s="71"/>
      <c r="W20" s="71"/>
      <c r="X20" s="71"/>
      <c r="Y20" s="71"/>
      <c r="Z20" s="626"/>
      <c r="AA20" s="71"/>
      <c r="AB20" s="71"/>
      <c r="AC20" s="71"/>
      <c r="AD20" s="71"/>
      <c r="AE20" s="626"/>
      <c r="AF20" s="71"/>
      <c r="AG20" s="71"/>
      <c r="AH20" s="71"/>
      <c r="AI20" s="71"/>
      <c r="AJ20" s="626"/>
      <c r="AK20" s="71"/>
      <c r="AL20" s="71"/>
      <c r="AM20" s="71"/>
      <c r="AN20" s="71"/>
      <c r="AO20" s="626"/>
      <c r="AP20" s="71"/>
      <c r="AQ20" s="71"/>
      <c r="AR20" s="71"/>
      <c r="AS20" s="71"/>
      <c r="AT20" s="626"/>
      <c r="AU20" s="71"/>
      <c r="AV20" s="71"/>
      <c r="AW20" s="71"/>
      <c r="AX20" s="71"/>
      <c r="AY20" s="626"/>
      <c r="AZ20" s="71"/>
      <c r="BA20" s="71"/>
      <c r="BB20" s="71"/>
      <c r="BC20" s="71"/>
      <c r="CC20" s="1129" t="s">
        <v>874</v>
      </c>
      <c r="CD20" s="1170"/>
      <c r="CE20" s="1170"/>
      <c r="CF20" s="1171"/>
      <c r="CG20" s="1170"/>
      <c r="CH20" s="1172"/>
    </row>
    <row r="21" spans="1:86" ht="13.5">
      <c r="A21" s="9"/>
      <c r="B21" s="9"/>
      <c r="C21" s="9"/>
      <c r="D21" s="9"/>
      <c r="E21" s="9"/>
      <c r="F21" s="9"/>
      <c r="G21" s="9"/>
      <c r="H21" s="1131" t="s">
        <v>1024</v>
      </c>
      <c r="I21" s="1067"/>
      <c r="J21" s="1067"/>
      <c r="L21" s="71"/>
      <c r="M21" s="71"/>
      <c r="N21" s="71"/>
      <c r="O21" s="71"/>
      <c r="P21" s="72"/>
      <c r="Q21" s="71"/>
      <c r="R21" s="71"/>
      <c r="S21" s="71"/>
      <c r="T21" s="71"/>
      <c r="U21" s="626"/>
      <c r="V21" s="71"/>
      <c r="W21" s="71"/>
      <c r="X21" s="71"/>
      <c r="Y21" s="71"/>
      <c r="Z21" s="626"/>
      <c r="AA21" s="71"/>
      <c r="AB21" s="71"/>
      <c r="AC21" s="71"/>
      <c r="AD21" s="71"/>
      <c r="AE21" s="626"/>
      <c r="AF21" s="71"/>
      <c r="AG21" s="71"/>
      <c r="AH21" s="71"/>
      <c r="AI21" s="71"/>
      <c r="AJ21" s="626"/>
      <c r="AK21" s="71"/>
      <c r="AL21" s="71"/>
      <c r="AM21" s="71"/>
      <c r="AN21" s="71"/>
      <c r="AO21" s="626"/>
      <c r="AP21" s="71"/>
      <c r="AQ21" s="71"/>
      <c r="AR21" s="71"/>
      <c r="AS21" s="71"/>
      <c r="AT21" s="626"/>
      <c r="AU21" s="71"/>
      <c r="AV21" s="71"/>
      <c r="AW21" s="71"/>
      <c r="AX21" s="71"/>
      <c r="AY21" s="626"/>
      <c r="AZ21" s="71"/>
      <c r="BA21" s="71"/>
      <c r="BB21" s="71"/>
      <c r="BC21" s="71"/>
      <c r="CC21" s="1128" t="str">
        <f>"Stock price as of close "&amp;TEXT(LastPriceDate,"mm/dd/yy")</f>
        <v>Stock price as of close 04/24/18</v>
      </c>
      <c r="CD21" s="1173"/>
      <c r="CE21" s="1173"/>
      <c r="CF21" s="1173"/>
      <c r="CG21" s="1173"/>
      <c r="CH21" s="1174" t="str">
        <f>LastPrice</f>
        <v>$80.09</v>
      </c>
    </row>
    <row r="22" spans="1:86" ht="13.5">
      <c r="A22" s="9"/>
      <c r="B22" s="9"/>
      <c r="C22" s="9"/>
      <c r="D22" s="9"/>
      <c r="E22" s="9"/>
      <c r="F22" s="9"/>
      <c r="G22" s="9"/>
      <c r="H22" s="1132" t="s">
        <v>860</v>
      </c>
      <c r="I22" s="1067"/>
      <c r="J22" s="625">
        <f>CH21*'IS-ANNUAL'!CH50</f>
        <v>82775.427058800167</v>
      </c>
      <c r="L22" s="71"/>
      <c r="M22" s="71"/>
      <c r="N22" s="71"/>
      <c r="O22" s="71"/>
      <c r="P22" s="72"/>
      <c r="Q22" s="71"/>
      <c r="R22" s="71"/>
      <c r="S22" s="71"/>
      <c r="T22" s="71"/>
      <c r="U22" s="626"/>
      <c r="V22" s="71"/>
      <c r="W22" s="71"/>
      <c r="X22" s="71"/>
      <c r="Y22" s="71"/>
      <c r="Z22" s="626"/>
      <c r="AA22" s="71"/>
      <c r="AB22" s="71"/>
      <c r="AC22" s="71"/>
      <c r="AD22" s="71"/>
      <c r="AE22" s="626"/>
      <c r="AF22" s="71"/>
      <c r="AG22" s="71"/>
      <c r="AH22" s="71"/>
      <c r="AI22" s="71"/>
      <c r="AJ22" s="626"/>
      <c r="AK22" s="71"/>
      <c r="AL22" s="71"/>
      <c r="AM22" s="71"/>
      <c r="AN22" s="71"/>
      <c r="AO22" s="626"/>
      <c r="AP22" s="71"/>
      <c r="AQ22" s="71"/>
      <c r="AR22" s="71"/>
      <c r="AS22" s="71"/>
      <c r="AT22" s="626"/>
      <c r="AU22" s="71"/>
      <c r="AV22" s="71"/>
      <c r="AW22" s="71"/>
      <c r="AX22" s="71"/>
      <c r="AY22" s="626"/>
      <c r="AZ22" s="71"/>
      <c r="BA22" s="71"/>
      <c r="BB22" s="71"/>
      <c r="BC22" s="71"/>
      <c r="CC22" s="1127" t="s">
        <v>127</v>
      </c>
      <c r="CD22" s="1173"/>
      <c r="CE22" s="1173"/>
      <c r="CF22" s="1173"/>
      <c r="CG22" s="1173"/>
      <c r="CH22" s="625">
        <f>J52</f>
        <v>1061.3605000000002</v>
      </c>
    </row>
    <row r="23" spans="1:86" ht="13.5">
      <c r="A23" s="9"/>
      <c r="B23" s="9"/>
      <c r="C23" s="9"/>
      <c r="D23" s="9"/>
      <c r="E23" s="9"/>
      <c r="F23" s="9"/>
      <c r="G23" s="9"/>
      <c r="H23" s="1132" t="s">
        <v>123</v>
      </c>
      <c r="I23" s="1067"/>
      <c r="J23" s="625">
        <f>CFBS!CH96+CFBS!CH86</f>
        <v>4050.15</v>
      </c>
      <c r="L23" s="71"/>
      <c r="M23" s="71"/>
      <c r="N23" s="71"/>
      <c r="O23" s="71"/>
      <c r="P23" s="72"/>
      <c r="Q23" s="71"/>
      <c r="R23" s="71"/>
      <c r="S23" s="71"/>
      <c r="T23" s="71"/>
      <c r="U23" s="626"/>
      <c r="V23" s="71"/>
      <c r="W23" s="71"/>
      <c r="X23" s="71"/>
      <c r="Y23" s="71"/>
      <c r="Z23" s="626"/>
      <c r="AA23" s="71"/>
      <c r="AB23" s="71"/>
      <c r="AC23" s="71"/>
      <c r="AD23" s="71"/>
      <c r="AE23" s="626"/>
      <c r="AF23" s="71"/>
      <c r="AG23" s="71"/>
      <c r="AH23" s="71"/>
      <c r="AI23" s="71"/>
      <c r="AJ23" s="626"/>
      <c r="AK23" s="71"/>
      <c r="AL23" s="71"/>
      <c r="AM23" s="71"/>
      <c r="AN23" s="71"/>
      <c r="AO23" s="626"/>
      <c r="AP23" s="71"/>
      <c r="AQ23" s="71"/>
      <c r="AR23" s="71"/>
      <c r="AS23" s="71"/>
      <c r="AT23" s="626"/>
      <c r="AU23" s="71"/>
      <c r="AV23" s="71"/>
      <c r="AW23" s="71"/>
      <c r="AX23" s="71"/>
      <c r="AY23" s="626"/>
      <c r="AZ23" s="71"/>
      <c r="BA23" s="71"/>
      <c r="BB23" s="71"/>
      <c r="BC23" s="71"/>
      <c r="CC23" s="1128" t="s">
        <v>126</v>
      </c>
      <c r="CD23" s="1173"/>
      <c r="CE23" s="1173"/>
      <c r="CF23" s="1173"/>
      <c r="CG23" s="1173"/>
      <c r="CH23" s="634">
        <f>CH21*CH22</f>
        <v>85004.362445000021</v>
      </c>
    </row>
    <row r="24" spans="1:86" ht="13.5">
      <c r="A24" s="9"/>
      <c r="B24" s="9"/>
      <c r="C24" s="9"/>
      <c r="D24" s="9"/>
      <c r="E24" s="9"/>
      <c r="F24" s="9"/>
      <c r="G24" s="9"/>
      <c r="H24" s="1132" t="s">
        <v>861</v>
      </c>
      <c r="I24" s="1067"/>
      <c r="J24" s="48">
        <f>J22/($J$23+$J$22)</f>
        <v>0.9533530310169186</v>
      </c>
      <c r="L24" s="71"/>
      <c r="M24" s="71"/>
      <c r="N24" s="71"/>
      <c r="O24" s="71"/>
      <c r="P24" s="72"/>
      <c r="Q24" s="71"/>
      <c r="R24" s="71"/>
      <c r="S24" s="71"/>
      <c r="T24" s="71"/>
      <c r="U24" s="626"/>
      <c r="V24" s="71"/>
      <c r="W24" s="71"/>
      <c r="X24" s="71"/>
      <c r="Y24" s="71"/>
      <c r="Z24" s="626"/>
      <c r="AA24" s="71"/>
      <c r="AB24" s="71"/>
      <c r="AC24" s="71"/>
      <c r="AD24" s="71"/>
      <c r="AE24" s="626"/>
      <c r="AF24" s="71"/>
      <c r="AG24" s="71"/>
      <c r="AH24" s="71"/>
      <c r="AI24" s="71"/>
      <c r="AJ24" s="626"/>
      <c r="AK24" s="71"/>
      <c r="AL24" s="71"/>
      <c r="AM24" s="71"/>
      <c r="AN24" s="71"/>
      <c r="AO24" s="626"/>
      <c r="AP24" s="71"/>
      <c r="AQ24" s="71"/>
      <c r="AR24" s="71"/>
      <c r="AS24" s="71"/>
      <c r="AT24" s="626"/>
      <c r="AU24" s="71"/>
      <c r="AV24" s="71"/>
      <c r="AW24" s="71"/>
      <c r="AX24" s="71"/>
      <c r="AY24" s="626"/>
      <c r="AZ24" s="71"/>
      <c r="BA24" s="71"/>
      <c r="BB24" s="71"/>
      <c r="BC24" s="71"/>
      <c r="CC24" s="1127" t="s">
        <v>123</v>
      </c>
      <c r="CD24" s="1173"/>
      <c r="CE24" s="1173"/>
      <c r="CF24" s="1173"/>
      <c r="CG24" s="1173"/>
      <c r="CH24" s="625">
        <f>CFBS!BS96+CFBS!BS86</f>
        <v>10305.199999999999</v>
      </c>
    </row>
    <row r="25" spans="1:86" ht="13.5">
      <c r="A25" s="9"/>
      <c r="B25" s="9"/>
      <c r="C25" s="9"/>
      <c r="D25" s="9"/>
      <c r="E25" s="9"/>
      <c r="F25" s="9"/>
      <c r="G25" s="9"/>
      <c r="H25" s="1132" t="s">
        <v>862</v>
      </c>
      <c r="I25" s="1067"/>
      <c r="J25" s="48">
        <f>J23/($J$23+$J$22)</f>
        <v>4.664696898308146E-2</v>
      </c>
      <c r="L25" s="71"/>
      <c r="M25" s="71"/>
      <c r="N25" s="71"/>
      <c r="O25" s="71"/>
      <c r="P25" s="72"/>
      <c r="Q25" s="71"/>
      <c r="R25" s="71"/>
      <c r="S25" s="71"/>
      <c r="T25" s="71"/>
      <c r="U25" s="626"/>
      <c r="V25" s="71"/>
      <c r="W25" s="71"/>
      <c r="X25" s="71"/>
      <c r="Y25" s="71"/>
      <c r="Z25" s="626"/>
      <c r="AA25" s="71"/>
      <c r="AB25" s="71"/>
      <c r="AC25" s="71"/>
      <c r="AD25" s="71"/>
      <c r="AE25" s="626"/>
      <c r="AF25" s="71"/>
      <c r="AG25" s="71"/>
      <c r="AH25" s="71"/>
      <c r="AI25" s="71"/>
      <c r="AJ25" s="626"/>
      <c r="AK25" s="71"/>
      <c r="AL25" s="71"/>
      <c r="AM25" s="71"/>
      <c r="AN25" s="71"/>
      <c r="AO25" s="626"/>
      <c r="AP25" s="71"/>
      <c r="AQ25" s="71"/>
      <c r="AR25" s="71"/>
      <c r="AS25" s="71"/>
      <c r="AT25" s="626"/>
      <c r="AU25" s="71"/>
      <c r="AV25" s="71"/>
      <c r="AW25" s="71"/>
      <c r="AX25" s="71"/>
      <c r="AY25" s="626"/>
      <c r="AZ25" s="71"/>
      <c r="BA25" s="71"/>
      <c r="BB25" s="71"/>
      <c r="BC25" s="71"/>
      <c r="CC25" s="1127" t="s">
        <v>125</v>
      </c>
      <c r="CD25" s="1173"/>
      <c r="CE25" s="1173"/>
      <c r="CF25" s="1173"/>
      <c r="CG25" s="1173"/>
      <c r="CH25" s="625">
        <f>CFBS!BS66</f>
        <v>6038.6000000000058</v>
      </c>
    </row>
    <row r="26" spans="1:86">
      <c r="A26" s="9"/>
      <c r="B26" s="9"/>
      <c r="C26" s="9"/>
      <c r="D26" s="9"/>
      <c r="E26" s="9"/>
      <c r="F26" s="9"/>
      <c r="G26" s="9"/>
      <c r="H26" s="1133"/>
      <c r="I26" s="1134"/>
      <c r="J26" s="1135"/>
      <c r="L26" s="71"/>
      <c r="M26" s="71"/>
      <c r="N26" s="71"/>
      <c r="O26" s="71"/>
      <c r="P26" s="72"/>
      <c r="Q26" s="71"/>
      <c r="R26" s="71"/>
      <c r="S26" s="71"/>
      <c r="T26" s="71"/>
      <c r="U26" s="626"/>
      <c r="V26" s="71"/>
      <c r="W26" s="71"/>
      <c r="X26" s="71"/>
      <c r="Y26" s="71"/>
      <c r="Z26" s="626"/>
      <c r="AA26" s="71"/>
      <c r="AB26" s="71"/>
      <c r="AC26" s="71"/>
      <c r="AD26" s="71"/>
      <c r="AE26" s="626"/>
      <c r="AF26" s="71"/>
      <c r="AG26" s="71"/>
      <c r="AH26" s="71"/>
      <c r="AI26" s="71"/>
      <c r="AJ26" s="626"/>
      <c r="AK26" s="71"/>
      <c r="AL26" s="71"/>
      <c r="AM26" s="71"/>
      <c r="AN26" s="71"/>
      <c r="AO26" s="626"/>
      <c r="AP26" s="71"/>
      <c r="AQ26" s="71"/>
      <c r="AR26" s="71"/>
      <c r="AS26" s="71"/>
      <c r="AT26" s="626"/>
      <c r="AU26" s="71"/>
      <c r="AV26" s="71"/>
      <c r="AW26" s="71"/>
      <c r="AX26" s="71"/>
      <c r="AY26" s="626"/>
      <c r="AZ26" s="71"/>
      <c r="BA26" s="71"/>
      <c r="BB26" s="71"/>
      <c r="BC26" s="71"/>
      <c r="CC26" s="738" t="s">
        <v>1023</v>
      </c>
      <c r="CH26" s="625">
        <f>CFBS!BS112</f>
        <v>72.8</v>
      </c>
    </row>
    <row r="27" spans="1:86" ht="13.5">
      <c r="A27" s="9"/>
      <c r="B27" s="9"/>
      <c r="C27" s="9"/>
      <c r="D27" s="9"/>
      <c r="E27" s="9"/>
      <c r="F27" s="9"/>
      <c r="G27" s="9"/>
      <c r="H27" s="1132" t="s">
        <v>863</v>
      </c>
      <c r="I27" s="1067"/>
      <c r="J27" s="1136">
        <v>2.2370000000000001E-2</v>
      </c>
      <c r="L27" s="71"/>
      <c r="M27" s="71"/>
      <c r="N27" s="71"/>
      <c r="O27" s="71"/>
      <c r="P27" s="72"/>
      <c r="Q27" s="71"/>
      <c r="R27" s="71"/>
      <c r="S27" s="71"/>
      <c r="T27" s="71"/>
      <c r="U27" s="626"/>
      <c r="V27" s="71"/>
      <c r="W27" s="71"/>
      <c r="X27" s="71"/>
      <c r="Y27" s="71"/>
      <c r="Z27" s="626"/>
      <c r="AA27" s="71"/>
      <c r="AB27" s="71"/>
      <c r="AC27" s="71"/>
      <c r="AD27" s="71"/>
      <c r="AE27" s="626"/>
      <c r="AF27" s="71"/>
      <c r="AG27" s="71"/>
      <c r="AH27" s="71"/>
      <c r="AI27" s="71"/>
      <c r="AJ27" s="626"/>
      <c r="AK27" s="71"/>
      <c r="AL27" s="71"/>
      <c r="AM27" s="71"/>
      <c r="AN27" s="71"/>
      <c r="AO27" s="626"/>
      <c r="AP27" s="71"/>
      <c r="AQ27" s="71"/>
      <c r="AR27" s="71"/>
      <c r="AS27" s="71"/>
      <c r="AT27" s="626"/>
      <c r="AU27" s="71"/>
      <c r="AV27" s="71"/>
      <c r="AW27" s="71"/>
      <c r="AX27" s="71"/>
      <c r="AY27" s="626"/>
      <c r="AZ27" s="71"/>
      <c r="BA27" s="71"/>
      <c r="BB27" s="71"/>
      <c r="BC27" s="71"/>
      <c r="CC27" s="738" t="s">
        <v>96</v>
      </c>
      <c r="CH27" s="625">
        <f>CFBS!BS102</f>
        <v>0</v>
      </c>
    </row>
    <row r="28" spans="1:86" ht="13.5">
      <c r="A28" s="9"/>
      <c r="B28" s="9"/>
      <c r="C28" s="9"/>
      <c r="D28" s="9"/>
      <c r="E28" s="9"/>
      <c r="F28" s="9"/>
      <c r="G28" s="9"/>
      <c r="H28" s="1132" t="s">
        <v>864</v>
      </c>
      <c r="I28" s="1067"/>
      <c r="J28" s="1137">
        <v>0.66100000000000003</v>
      </c>
      <c r="L28" s="71"/>
      <c r="M28" s="71"/>
      <c r="N28" s="71"/>
      <c r="O28" s="71"/>
      <c r="P28" s="72"/>
      <c r="Q28" s="71"/>
      <c r="R28" s="71"/>
      <c r="S28" s="71"/>
      <c r="T28" s="71"/>
      <c r="U28" s="626"/>
      <c r="V28" s="71"/>
      <c r="W28" s="71"/>
      <c r="X28" s="71"/>
      <c r="Y28" s="71"/>
      <c r="Z28" s="626"/>
      <c r="AA28" s="71"/>
      <c r="AB28" s="71"/>
      <c r="AC28" s="71"/>
      <c r="AD28" s="71"/>
      <c r="AE28" s="626"/>
      <c r="AF28" s="71"/>
      <c r="AG28" s="71"/>
      <c r="AH28" s="71"/>
      <c r="AI28" s="71"/>
      <c r="AJ28" s="626"/>
      <c r="AK28" s="71"/>
      <c r="AL28" s="71"/>
      <c r="AM28" s="71"/>
      <c r="AN28" s="71"/>
      <c r="AO28" s="626"/>
      <c r="AP28" s="71"/>
      <c r="AQ28" s="71"/>
      <c r="AR28" s="71"/>
      <c r="AS28" s="71"/>
      <c r="AT28" s="626"/>
      <c r="AU28" s="71"/>
      <c r="AV28" s="71"/>
      <c r="AW28" s="71"/>
      <c r="AX28" s="71"/>
      <c r="AY28" s="626"/>
      <c r="AZ28" s="71"/>
      <c r="BA28" s="71"/>
      <c r="BB28" s="71"/>
      <c r="BC28" s="71"/>
      <c r="CC28" s="1128" t="s">
        <v>875</v>
      </c>
      <c r="CD28" s="1173"/>
      <c r="CE28" s="1173"/>
      <c r="CF28" s="1173"/>
      <c r="CG28" s="1173"/>
      <c r="CH28" s="1175">
        <f>CH23+CH24-CH25+CH26+CH27</f>
        <v>89343.762445000015</v>
      </c>
    </row>
    <row r="29" spans="1:86" ht="13.5">
      <c r="A29" s="9"/>
      <c r="B29" s="9"/>
      <c r="C29" s="9"/>
      <c r="D29" s="9"/>
      <c r="E29" s="9"/>
      <c r="F29" s="9"/>
      <c r="G29" s="9"/>
      <c r="H29" s="1132" t="s">
        <v>865</v>
      </c>
      <c r="I29" s="1067"/>
      <c r="J29" s="1136">
        <v>7.2094000000000005E-2</v>
      </c>
      <c r="L29" s="71"/>
      <c r="M29" s="71"/>
      <c r="N29" s="71"/>
      <c r="O29" s="71"/>
      <c r="P29" s="72"/>
      <c r="Q29" s="71"/>
      <c r="R29" s="71"/>
      <c r="S29" s="71"/>
      <c r="T29" s="71"/>
      <c r="U29" s="626"/>
      <c r="V29" s="71"/>
      <c r="W29" s="71"/>
      <c r="X29" s="71"/>
      <c r="Y29" s="71"/>
      <c r="Z29" s="626"/>
      <c r="AA29" s="71"/>
      <c r="AB29" s="71"/>
      <c r="AC29" s="71"/>
      <c r="AD29" s="71"/>
      <c r="AE29" s="626"/>
      <c r="AF29" s="71"/>
      <c r="AG29" s="71"/>
      <c r="AH29" s="71"/>
      <c r="AI29" s="71"/>
      <c r="AJ29" s="626"/>
      <c r="AK29" s="71"/>
      <c r="AL29" s="71"/>
      <c r="AM29" s="71"/>
      <c r="AN29" s="71"/>
      <c r="AO29" s="626"/>
      <c r="AP29" s="71"/>
      <c r="AQ29" s="71"/>
      <c r="AR29" s="71"/>
      <c r="AS29" s="71"/>
      <c r="AT29" s="626"/>
      <c r="AU29" s="71"/>
      <c r="AV29" s="71"/>
      <c r="AW29" s="71"/>
      <c r="AX29" s="71"/>
      <c r="AY29" s="626"/>
      <c r="AZ29" s="71"/>
      <c r="BA29" s="71"/>
      <c r="BB29" s="71"/>
      <c r="BC29" s="71"/>
      <c r="CC29" s="1127" t="s">
        <v>876</v>
      </c>
      <c r="CD29" s="1173"/>
      <c r="CE29" s="1173"/>
      <c r="CF29" s="1173"/>
      <c r="CG29" s="1173"/>
      <c r="CH29" s="1176">
        <f ca="1">SUM(BX18:CH18)</f>
        <v>34133.341290670389</v>
      </c>
    </row>
    <row r="30" spans="1:86" ht="13.5">
      <c r="A30" s="9"/>
      <c r="B30" s="9"/>
      <c r="C30" s="9"/>
      <c r="D30" s="9"/>
      <c r="E30" s="9"/>
      <c r="F30" s="9"/>
      <c r="G30" s="9"/>
      <c r="H30" s="1131" t="s">
        <v>866</v>
      </c>
      <c r="I30" s="1067"/>
      <c r="J30" s="667">
        <f>J27+(J28*J29)</f>
        <v>7.0024134000000016E-2</v>
      </c>
      <c r="L30" s="71"/>
      <c r="M30" s="71"/>
      <c r="N30" s="71"/>
      <c r="O30" s="71"/>
      <c r="P30" s="72"/>
      <c r="Q30" s="71"/>
      <c r="R30" s="71"/>
      <c r="S30" s="71"/>
      <c r="T30" s="71"/>
      <c r="U30" s="626"/>
      <c r="V30" s="71"/>
      <c r="W30" s="71"/>
      <c r="X30" s="71"/>
      <c r="Y30" s="71"/>
      <c r="Z30" s="626"/>
      <c r="AA30" s="71"/>
      <c r="AB30" s="71"/>
      <c r="AC30" s="71"/>
      <c r="AD30" s="71"/>
      <c r="AE30" s="626"/>
      <c r="AF30" s="71"/>
      <c r="AG30" s="71"/>
      <c r="AH30" s="71"/>
      <c r="AI30" s="71"/>
      <c r="AJ30" s="626"/>
      <c r="AK30" s="71"/>
      <c r="AL30" s="71"/>
      <c r="AM30" s="71"/>
      <c r="AN30" s="71"/>
      <c r="AO30" s="626"/>
      <c r="AP30" s="71"/>
      <c r="AQ30" s="71"/>
      <c r="AR30" s="71"/>
      <c r="AS30" s="71"/>
      <c r="AT30" s="626"/>
      <c r="AU30" s="71"/>
      <c r="AV30" s="71"/>
      <c r="AW30" s="71"/>
      <c r="AX30" s="71"/>
      <c r="AY30" s="626"/>
      <c r="AZ30" s="71"/>
      <c r="BA30" s="71"/>
      <c r="BB30" s="71"/>
      <c r="BC30" s="71"/>
      <c r="CC30" s="1128" t="s">
        <v>877</v>
      </c>
      <c r="CD30" s="1173"/>
      <c r="CE30" s="1173"/>
      <c r="CF30" s="1173"/>
      <c r="CG30" s="1173"/>
      <c r="CH30" s="1175">
        <f ca="1">CH28-CH29</f>
        <v>55210.421154329626</v>
      </c>
    </row>
    <row r="31" spans="1:86" ht="14.25" thickBot="1">
      <c r="A31" s="9"/>
      <c r="B31" s="9"/>
      <c r="C31" s="9"/>
      <c r="D31" s="9"/>
      <c r="E31" s="9"/>
      <c r="F31" s="9"/>
      <c r="G31" s="9"/>
      <c r="H31" s="1131" t="s">
        <v>867</v>
      </c>
      <c r="I31" s="1067"/>
      <c r="J31" s="1138">
        <v>2.6780000000000002E-2</v>
      </c>
      <c r="L31" s="71"/>
      <c r="M31" s="71"/>
      <c r="N31" s="71"/>
      <c r="O31" s="71"/>
      <c r="P31" s="72"/>
      <c r="Q31" s="71"/>
      <c r="R31" s="71"/>
      <c r="S31" s="71"/>
      <c r="T31" s="71"/>
      <c r="U31" s="626"/>
      <c r="V31" s="71"/>
      <c r="W31" s="71"/>
      <c r="X31" s="71"/>
      <c r="Y31" s="71"/>
      <c r="Z31" s="626"/>
      <c r="AA31" s="71"/>
      <c r="AB31" s="71"/>
      <c r="AC31" s="71"/>
      <c r="AD31" s="71"/>
      <c r="AE31" s="626"/>
      <c r="AF31" s="71"/>
      <c r="AG31" s="71"/>
      <c r="AH31" s="71"/>
      <c r="AI31" s="71"/>
      <c r="AJ31" s="626"/>
      <c r="AK31" s="71"/>
      <c r="AL31" s="71"/>
      <c r="AM31" s="71"/>
      <c r="AN31" s="71"/>
      <c r="AO31" s="626"/>
      <c r="AP31" s="71"/>
      <c r="AQ31" s="71"/>
      <c r="AR31" s="71"/>
      <c r="AS31" s="71"/>
      <c r="AT31" s="626"/>
      <c r="AU31" s="71"/>
      <c r="AV31" s="71"/>
      <c r="AW31" s="71"/>
      <c r="AX31" s="71"/>
      <c r="AY31" s="626"/>
      <c r="AZ31" s="71"/>
      <c r="BA31" s="71"/>
      <c r="BB31" s="71"/>
      <c r="BC31" s="71"/>
      <c r="CC31" s="1173"/>
      <c r="CD31" s="1173"/>
      <c r="CE31" s="1173"/>
      <c r="CF31" s="1173"/>
      <c r="CG31" s="1173"/>
      <c r="CH31" s="1173"/>
    </row>
    <row r="32" spans="1:86" ht="13.5" thickBot="1">
      <c r="A32" s="9"/>
      <c r="B32" s="9"/>
      <c r="C32" s="9"/>
      <c r="D32" s="9"/>
      <c r="E32" s="9"/>
      <c r="F32" s="9"/>
      <c r="G32" s="9"/>
      <c r="H32" s="1132" t="s">
        <v>868</v>
      </c>
      <c r="I32" s="1134"/>
      <c r="J32" s="48">
        <f>'IS-ANNUAL'!CE46</f>
        <v>0.16500000000000001</v>
      </c>
      <c r="L32" s="71"/>
      <c r="M32" s="71"/>
      <c r="N32" s="71"/>
      <c r="O32" s="71"/>
      <c r="P32" s="72"/>
      <c r="Q32" s="71"/>
      <c r="R32" s="71"/>
      <c r="S32" s="71"/>
      <c r="T32" s="71"/>
      <c r="U32" s="626"/>
      <c r="V32" s="71"/>
      <c r="W32" s="71"/>
      <c r="X32" s="71"/>
      <c r="Y32" s="71"/>
      <c r="Z32" s="626"/>
      <c r="AA32" s="71"/>
      <c r="AB32" s="71"/>
      <c r="AC32" s="71"/>
      <c r="AD32" s="71"/>
      <c r="AE32" s="626"/>
      <c r="AF32" s="71"/>
      <c r="AG32" s="71"/>
      <c r="AH32" s="71"/>
      <c r="AI32" s="71"/>
      <c r="AJ32" s="626"/>
      <c r="AK32" s="71"/>
      <c r="AL32" s="71"/>
      <c r="AM32" s="71"/>
      <c r="AN32" s="71"/>
      <c r="AO32" s="626"/>
      <c r="AP32" s="71"/>
      <c r="AQ32" s="71"/>
      <c r="AR32" s="71"/>
      <c r="AS32" s="71"/>
      <c r="AT32" s="626"/>
      <c r="AU32" s="71"/>
      <c r="AV32" s="71"/>
      <c r="AW32" s="71"/>
      <c r="AX32" s="71"/>
      <c r="AY32" s="626"/>
      <c r="AZ32" s="71"/>
      <c r="BA32" s="71"/>
      <c r="BB32" s="71"/>
      <c r="BC32" s="71"/>
      <c r="CC32" s="1177" t="s">
        <v>878</v>
      </c>
      <c r="CD32" s="1178"/>
      <c r="CE32" s="1178"/>
      <c r="CF32" s="1179"/>
      <c r="CG32" s="1178"/>
      <c r="CH32" s="1180">
        <f ca="1">(($CH$30*$J$33/$CH$17)-$CH$14)/($CH$14+($CH$30/$CH$17))</f>
        <v>4.1143049943714871E-3</v>
      </c>
    </row>
    <row r="33" spans="1:86">
      <c r="A33" s="9"/>
      <c r="B33" s="9"/>
      <c r="C33" s="9"/>
      <c r="D33" s="9"/>
      <c r="E33" s="9"/>
      <c r="F33" s="9"/>
      <c r="G33" s="9"/>
      <c r="H33" s="1139" t="s">
        <v>124</v>
      </c>
      <c r="I33" s="1134"/>
      <c r="J33" s="667">
        <f>J24*J30+J25*J31*(1-J32)</f>
        <v>6.7800807260756255E-2</v>
      </c>
      <c r="L33" s="71"/>
      <c r="M33" s="71"/>
      <c r="N33" s="71"/>
      <c r="O33" s="71"/>
      <c r="P33" s="72"/>
      <c r="Q33" s="71"/>
      <c r="R33" s="71"/>
      <c r="S33" s="71"/>
      <c r="T33" s="71"/>
      <c r="U33" s="626"/>
      <c r="V33" s="71"/>
      <c r="W33" s="71"/>
      <c r="X33" s="71"/>
      <c r="Y33" s="71"/>
      <c r="Z33" s="626"/>
      <c r="AA33" s="71"/>
      <c r="AB33" s="71"/>
      <c r="AC33" s="71"/>
      <c r="AD33" s="71"/>
      <c r="AE33" s="626"/>
      <c r="AF33" s="71"/>
      <c r="AG33" s="71"/>
      <c r="AH33" s="71"/>
      <c r="AI33" s="71"/>
      <c r="AJ33" s="626"/>
      <c r="AK33" s="71"/>
      <c r="AL33" s="71"/>
      <c r="AM33" s="71"/>
      <c r="AN33" s="71"/>
      <c r="AO33" s="626"/>
      <c r="AP33" s="71"/>
      <c r="AQ33" s="71"/>
      <c r="AR33" s="71"/>
      <c r="AS33" s="71"/>
      <c r="AT33" s="626"/>
      <c r="AU33" s="71"/>
      <c r="AV33" s="71"/>
      <c r="AW33" s="71"/>
      <c r="AX33" s="71"/>
      <c r="AY33" s="626"/>
      <c r="AZ33" s="71"/>
      <c r="BA33" s="71"/>
      <c r="BB33" s="71"/>
      <c r="BC33" s="71"/>
      <c r="BD33" s="626"/>
      <c r="BE33" s="71"/>
      <c r="BF33" s="71"/>
      <c r="BG33" s="71"/>
      <c r="BH33" s="71"/>
      <c r="BI33" s="626"/>
      <c r="BJ33" s="71"/>
      <c r="BK33" s="71"/>
      <c r="BL33" s="71"/>
      <c r="BM33" s="71"/>
      <c r="CC33" s="1181" t="s">
        <v>879</v>
      </c>
      <c r="CD33" s="1182"/>
      <c r="CE33" s="1182"/>
      <c r="CF33" s="1183"/>
      <c r="CG33" s="1182"/>
      <c r="CH33" s="1184">
        <f ca="1">(CH14*(1+CH32)/(J33-CH32))*CH17-CH30</f>
        <v>0</v>
      </c>
    </row>
    <row r="34" spans="1:86">
      <c r="A34" s="9"/>
      <c r="B34" s="9"/>
      <c r="C34" s="9"/>
      <c r="D34" s="9"/>
      <c r="E34" s="9"/>
      <c r="F34" s="9"/>
      <c r="G34" s="9"/>
      <c r="H34" s="1128"/>
      <c r="L34" s="71"/>
      <c r="M34" s="71"/>
      <c r="N34" s="71"/>
      <c r="O34" s="71"/>
      <c r="P34" s="72"/>
      <c r="Q34" s="71"/>
      <c r="R34" s="71"/>
      <c r="S34" s="71"/>
      <c r="T34" s="71"/>
      <c r="U34" s="626"/>
      <c r="V34" s="71"/>
      <c r="W34" s="71"/>
      <c r="X34" s="71"/>
      <c r="Y34" s="71"/>
      <c r="Z34" s="626"/>
      <c r="AA34" s="71"/>
      <c r="AB34" s="71"/>
      <c r="AC34" s="71"/>
      <c r="AD34" s="71"/>
      <c r="AE34" s="626"/>
      <c r="AF34" s="71"/>
      <c r="AG34" s="71"/>
      <c r="AH34" s="71"/>
      <c r="AI34" s="71"/>
      <c r="AJ34" s="626"/>
      <c r="AK34" s="71"/>
      <c r="AL34" s="71"/>
      <c r="AM34" s="71"/>
      <c r="AN34" s="71"/>
      <c r="AO34" s="626"/>
      <c r="AP34" s="71"/>
      <c r="AQ34" s="71"/>
      <c r="AR34" s="71"/>
      <c r="AS34" s="71"/>
      <c r="AT34" s="626"/>
      <c r="AU34" s="71"/>
      <c r="AV34" s="71"/>
      <c r="AW34" s="71"/>
      <c r="AX34" s="71"/>
      <c r="AY34" s="626"/>
      <c r="AZ34" s="71"/>
      <c r="BA34" s="71"/>
      <c r="BB34" s="71"/>
      <c r="BC34" s="71"/>
      <c r="BD34" s="626"/>
      <c r="BE34" s="71"/>
      <c r="BF34" s="71"/>
      <c r="BG34" s="71"/>
      <c r="BH34" s="71"/>
      <c r="BI34" s="626"/>
      <c r="BJ34" s="71"/>
      <c r="BK34" s="71"/>
      <c r="BL34" s="71"/>
      <c r="BM34" s="71"/>
      <c r="BN34" s="626"/>
      <c r="BO34" s="71"/>
      <c r="BP34" s="71"/>
      <c r="BQ34" s="71"/>
      <c r="BR34" s="71"/>
      <c r="BS34" s="626"/>
      <c r="BT34" s="71"/>
      <c r="BU34" s="71"/>
      <c r="BV34" s="71"/>
      <c r="BW34" s="71"/>
      <c r="BX34" s="626"/>
      <c r="BY34" s="71"/>
      <c r="BZ34" s="71"/>
      <c r="CA34" s="71"/>
      <c r="CB34" s="71"/>
      <c r="CC34" s="626"/>
      <c r="CD34" s="626"/>
      <c r="CE34" s="626"/>
      <c r="CF34" s="626"/>
      <c r="CG34" s="626"/>
      <c r="CH34" s="626"/>
    </row>
    <row r="35" spans="1:86">
      <c r="A35" s="9"/>
      <c r="B35" s="9"/>
      <c r="C35" s="9"/>
      <c r="D35" s="9"/>
      <c r="E35" s="9"/>
      <c r="F35" s="9"/>
      <c r="G35" s="9"/>
      <c r="H35" s="1128"/>
      <c r="L35" s="71"/>
      <c r="M35" s="71"/>
      <c r="N35" s="71"/>
      <c r="O35" s="71"/>
      <c r="P35" s="72"/>
      <c r="Q35" s="71"/>
      <c r="R35" s="71"/>
      <c r="S35" s="71"/>
      <c r="T35" s="71"/>
      <c r="U35" s="626"/>
      <c r="V35" s="71"/>
      <c r="W35" s="71"/>
      <c r="X35" s="71"/>
      <c r="Y35" s="71"/>
      <c r="Z35" s="626"/>
      <c r="AA35" s="71"/>
      <c r="AB35" s="71"/>
      <c r="AC35" s="71"/>
      <c r="AD35" s="71"/>
      <c r="AE35" s="626"/>
      <c r="AF35" s="71"/>
      <c r="AG35" s="71"/>
      <c r="AH35" s="71"/>
      <c r="AI35" s="71"/>
      <c r="AJ35" s="626"/>
      <c r="AK35" s="71"/>
      <c r="AL35" s="71"/>
      <c r="AM35" s="71"/>
      <c r="AN35" s="71"/>
      <c r="AO35" s="626"/>
      <c r="AP35" s="71"/>
      <c r="AQ35" s="71"/>
      <c r="AR35" s="71"/>
      <c r="AS35" s="71"/>
      <c r="AT35" s="626"/>
      <c r="AU35" s="71"/>
      <c r="AV35" s="71"/>
      <c r="AW35" s="71"/>
      <c r="AX35" s="71"/>
      <c r="AY35" s="626"/>
      <c r="AZ35" s="71"/>
      <c r="BA35" s="71"/>
      <c r="BB35" s="71"/>
      <c r="BC35" s="71"/>
      <c r="BD35" s="626"/>
      <c r="BE35" s="71"/>
      <c r="BF35" s="71"/>
      <c r="BG35" s="71"/>
      <c r="BH35" s="71"/>
      <c r="BI35" s="626"/>
      <c r="BJ35" s="71"/>
      <c r="BK35" s="71"/>
      <c r="BL35" s="71"/>
      <c r="BM35" s="71"/>
      <c r="BN35" s="626"/>
      <c r="BO35" s="71"/>
      <c r="BP35" s="71"/>
      <c r="BQ35" s="71"/>
      <c r="BR35" s="71"/>
      <c r="BS35" s="626"/>
      <c r="BT35" s="71"/>
      <c r="BU35" s="71"/>
      <c r="BV35" s="71"/>
      <c r="BW35" s="71"/>
      <c r="BX35" s="626"/>
      <c r="BY35" s="71"/>
      <c r="BZ35" s="71"/>
      <c r="CA35" s="71"/>
      <c r="CB35" s="71"/>
      <c r="CC35" s="626"/>
      <c r="CD35" s="626"/>
      <c r="CE35" s="626"/>
      <c r="CF35" s="626"/>
      <c r="CG35" s="626"/>
      <c r="CH35" s="626"/>
    </row>
    <row r="36" spans="1:86" ht="15.75">
      <c r="A36" s="9"/>
      <c r="B36" s="9"/>
      <c r="C36" s="9"/>
      <c r="D36" s="9"/>
      <c r="E36" s="9"/>
      <c r="F36" s="9"/>
      <c r="G36" s="9"/>
      <c r="H36" s="1120" t="s">
        <v>869</v>
      </c>
      <c r="I36" s="1140"/>
      <c r="J36" s="1140"/>
      <c r="K36" s="1141"/>
      <c r="L36" s="1142"/>
      <c r="M36" s="1142"/>
      <c r="N36" s="1142"/>
      <c r="O36" s="1142"/>
      <c r="P36" s="1142"/>
      <c r="Q36" s="1142"/>
      <c r="R36" s="1142"/>
      <c r="S36" s="1142"/>
      <c r="T36" s="1142"/>
      <c r="U36" s="1140"/>
      <c r="V36" s="1142"/>
      <c r="W36" s="1142"/>
      <c r="X36" s="1142"/>
      <c r="Y36" s="1142"/>
      <c r="Z36" s="1140"/>
      <c r="AA36" s="1142"/>
      <c r="AB36" s="1142"/>
      <c r="AC36" s="1142"/>
      <c r="AD36" s="1142"/>
      <c r="AE36" s="1140"/>
      <c r="AF36" s="1142"/>
      <c r="AG36" s="1142"/>
      <c r="AH36" s="1142"/>
      <c r="AI36" s="1142"/>
      <c r="AJ36" s="1140"/>
      <c r="AK36" s="1142"/>
      <c r="AL36" s="1142"/>
      <c r="AM36" s="1142"/>
      <c r="AN36" s="1142"/>
      <c r="AO36" s="1140"/>
      <c r="AP36" s="1142"/>
      <c r="AQ36" s="1142"/>
      <c r="AR36" s="1142"/>
      <c r="AS36" s="1142"/>
      <c r="AT36" s="1140"/>
      <c r="AU36" s="1142"/>
      <c r="AV36" s="1142"/>
      <c r="AW36" s="1142"/>
      <c r="AX36" s="1142"/>
      <c r="AY36" s="1140"/>
      <c r="AZ36" s="1142"/>
      <c r="BA36" s="1142"/>
      <c r="BB36" s="1142"/>
      <c r="BC36" s="1142"/>
      <c r="BD36" s="1140"/>
      <c r="BE36" s="1142"/>
      <c r="BF36" s="1142"/>
      <c r="BG36" s="1142"/>
      <c r="BH36" s="1142"/>
      <c r="BI36" s="1140"/>
      <c r="BJ36" s="1142"/>
      <c r="BK36" s="1142"/>
      <c r="BL36" s="1142"/>
      <c r="BM36" s="1142"/>
      <c r="BN36" s="1140"/>
      <c r="BO36" s="1142"/>
      <c r="BP36" s="1142"/>
      <c r="BQ36" s="1142"/>
      <c r="BR36" s="1142"/>
      <c r="BS36" s="1140"/>
      <c r="BT36" s="1142"/>
      <c r="BU36" s="1142"/>
      <c r="BV36" s="1142"/>
      <c r="BW36" s="1142"/>
      <c r="BX36" s="1140"/>
      <c r="BY36" s="1142"/>
      <c r="BZ36" s="1142"/>
      <c r="CA36" s="1142"/>
      <c r="CB36" s="1142"/>
      <c r="CC36" s="1140"/>
      <c r="CD36" s="1140"/>
      <c r="CE36" s="1140"/>
      <c r="CF36" s="1140"/>
      <c r="CG36" s="1140"/>
      <c r="CH36" s="1140"/>
    </row>
    <row r="37" spans="1:86">
      <c r="A37" s="9"/>
      <c r="B37" s="9"/>
      <c r="C37" s="9"/>
      <c r="D37" s="9"/>
      <c r="E37" s="9"/>
      <c r="F37" s="9"/>
      <c r="G37" s="9"/>
      <c r="H37" s="1128"/>
      <c r="L37" s="71"/>
      <c r="M37" s="71"/>
      <c r="N37" s="71"/>
      <c r="O37" s="71"/>
      <c r="P37" s="72"/>
      <c r="Q37" s="71"/>
      <c r="R37" s="71"/>
      <c r="S37" s="71"/>
      <c r="T37" s="71"/>
      <c r="U37" s="626"/>
      <c r="V37" s="71"/>
      <c r="W37" s="71"/>
      <c r="X37" s="71"/>
      <c r="Y37" s="71"/>
      <c r="Z37" s="626"/>
      <c r="AA37" s="71"/>
      <c r="AB37" s="71"/>
      <c r="AC37" s="71"/>
      <c r="AD37" s="71"/>
      <c r="AE37" s="626"/>
      <c r="AF37" s="71"/>
      <c r="AG37" s="71"/>
      <c r="AH37" s="71"/>
      <c r="AI37" s="71"/>
      <c r="AJ37" s="626"/>
      <c r="AK37" s="71"/>
      <c r="AL37" s="71"/>
      <c r="AM37" s="71"/>
      <c r="AN37" s="71"/>
      <c r="AO37" s="626"/>
      <c r="AP37" s="71"/>
      <c r="AQ37" s="71"/>
      <c r="AR37" s="71"/>
      <c r="AS37" s="71"/>
      <c r="AT37" s="626"/>
      <c r="AU37" s="71"/>
      <c r="AV37" s="71"/>
      <c r="AW37" s="71"/>
      <c r="AX37" s="71"/>
      <c r="AY37" s="626"/>
      <c r="AZ37" s="71"/>
      <c r="BA37" s="71"/>
      <c r="BB37" s="71"/>
      <c r="BC37" s="71"/>
      <c r="BD37" s="626"/>
      <c r="BE37" s="71"/>
      <c r="BF37" s="71"/>
      <c r="BG37" s="71"/>
      <c r="BH37" s="71"/>
      <c r="BI37" s="626"/>
      <c r="BJ37" s="71"/>
      <c r="BK37" s="71"/>
      <c r="BL37" s="71"/>
      <c r="BM37" s="71"/>
      <c r="BN37" s="626"/>
      <c r="BO37" s="71"/>
      <c r="BP37" s="71"/>
      <c r="BQ37" s="71"/>
      <c r="BR37" s="71"/>
      <c r="BS37" s="626"/>
      <c r="BT37" s="71"/>
      <c r="BU37" s="71"/>
      <c r="BV37" s="71"/>
      <c r="BW37" s="71"/>
      <c r="BX37" s="626"/>
      <c r="BY37" s="71"/>
      <c r="BZ37" s="71"/>
      <c r="CA37" s="71"/>
      <c r="CB37" s="71"/>
      <c r="CC37" s="626"/>
      <c r="CD37" s="626"/>
      <c r="CE37" s="626"/>
      <c r="CF37" s="626"/>
      <c r="CG37" s="626"/>
      <c r="CH37" s="626"/>
    </row>
    <row r="38" spans="1:86" ht="13.5">
      <c r="A38" s="9"/>
      <c r="B38" s="9"/>
      <c r="C38" s="9"/>
      <c r="D38" s="9"/>
      <c r="E38" s="9"/>
      <c r="F38" s="9"/>
      <c r="G38" s="9"/>
      <c r="H38" s="1146" t="s">
        <v>870</v>
      </c>
      <c r="I38" s="1147"/>
      <c r="J38" s="1147"/>
      <c r="K38" s="1148"/>
      <c r="L38" s="1149"/>
      <c r="M38" s="1149"/>
      <c r="N38" s="1149"/>
      <c r="O38" s="1149"/>
      <c r="P38" s="1149"/>
      <c r="Q38" s="1149"/>
      <c r="R38" s="1149"/>
      <c r="S38" s="1149"/>
      <c r="T38" s="1149"/>
      <c r="U38" s="1150"/>
      <c r="V38" s="1149"/>
      <c r="W38" s="1149"/>
      <c r="X38" s="1149"/>
      <c r="Y38" s="1149"/>
      <c r="Z38" s="1150"/>
      <c r="AA38" s="1149"/>
      <c r="AB38" s="1149"/>
      <c r="AC38" s="1149"/>
      <c r="AD38" s="1149"/>
      <c r="AE38" s="1150"/>
      <c r="AF38" s="1149"/>
      <c r="AG38" s="1149"/>
      <c r="AH38" s="1149"/>
      <c r="AI38" s="1149"/>
      <c r="AJ38" s="1150"/>
      <c r="AK38" s="1149"/>
      <c r="AL38" s="1149"/>
      <c r="AM38" s="1149"/>
      <c r="AN38" s="1149"/>
      <c r="AO38" s="1150"/>
      <c r="AP38" s="1149"/>
      <c r="AQ38" s="1149"/>
      <c r="AR38" s="1149"/>
      <c r="AS38" s="1149"/>
      <c r="AT38" s="1150"/>
      <c r="AU38" s="1149"/>
      <c r="AV38" s="1149"/>
      <c r="AW38" s="1149"/>
      <c r="AX38" s="1149"/>
      <c r="AY38" s="1151"/>
      <c r="AZ38" s="1149"/>
      <c r="BA38" s="1149"/>
      <c r="BB38" s="1149"/>
      <c r="BC38" s="1149"/>
      <c r="BD38" s="1151"/>
      <c r="BE38" s="1149"/>
      <c r="BF38" s="1149"/>
      <c r="BG38" s="1149"/>
      <c r="BH38" s="1149"/>
      <c r="BI38" s="1151"/>
      <c r="BJ38" s="1150"/>
      <c r="BK38" s="1150"/>
      <c r="BL38" s="1150"/>
      <c r="BM38" s="1150"/>
      <c r="BN38" s="1151"/>
      <c r="BO38" s="1150"/>
      <c r="BP38" s="1150"/>
      <c r="BQ38" s="1150"/>
      <c r="BR38" s="1150"/>
      <c r="BS38" s="1152"/>
      <c r="BT38" s="1150"/>
      <c r="BU38" s="1150"/>
      <c r="BV38" s="1150"/>
      <c r="BW38" s="1150"/>
      <c r="BX38" s="1151"/>
      <c r="BY38" s="1150"/>
      <c r="BZ38" s="1150"/>
      <c r="CA38" s="1150"/>
      <c r="CB38" s="1150"/>
      <c r="CC38" s="1151"/>
      <c r="CD38" s="1151"/>
      <c r="CE38" s="1151"/>
      <c r="CF38" s="1151"/>
      <c r="CG38" s="1151"/>
      <c r="CH38" s="1153"/>
    </row>
    <row r="39" spans="1:86" ht="13.5">
      <c r="A39" s="9"/>
      <c r="B39" s="9"/>
      <c r="C39" s="9"/>
      <c r="D39" s="9"/>
      <c r="E39" s="9"/>
      <c r="F39" s="9"/>
      <c r="G39" s="9"/>
      <c r="H39" s="1154" t="s">
        <v>871</v>
      </c>
      <c r="I39" s="1155"/>
      <c r="J39" s="1155"/>
      <c r="K39" s="1156"/>
      <c r="L39" s="1157"/>
      <c r="M39" s="1157"/>
      <c r="N39" s="1157"/>
      <c r="O39" s="1157"/>
      <c r="P39" s="1157"/>
      <c r="Q39" s="1157"/>
      <c r="R39" s="1157"/>
      <c r="S39" s="1157"/>
      <c r="T39" s="1157"/>
      <c r="U39" s="1158"/>
      <c r="V39" s="1157"/>
      <c r="W39" s="1157"/>
      <c r="X39" s="1157"/>
      <c r="Y39" s="1157"/>
      <c r="Z39" s="1158"/>
      <c r="AA39" s="1157"/>
      <c r="AB39" s="1157"/>
      <c r="AC39" s="1157"/>
      <c r="AD39" s="1157"/>
      <c r="AE39" s="1158"/>
      <c r="AF39" s="1157"/>
      <c r="AG39" s="1157"/>
      <c r="AH39" s="1157"/>
      <c r="AI39" s="1157"/>
      <c r="AJ39" s="1158"/>
      <c r="AK39" s="1157"/>
      <c r="AL39" s="1157"/>
      <c r="AM39" s="1157"/>
      <c r="AN39" s="1157"/>
      <c r="AO39" s="1158"/>
      <c r="AP39" s="1157"/>
      <c r="AQ39" s="1157"/>
      <c r="AR39" s="1157"/>
      <c r="AS39" s="1157"/>
      <c r="AT39" s="1158"/>
      <c r="AU39" s="1157"/>
      <c r="AV39" s="1157"/>
      <c r="AW39" s="1157"/>
      <c r="AX39" s="1157"/>
      <c r="AY39" s="1159"/>
      <c r="AZ39" s="1157"/>
      <c r="BA39" s="1157"/>
      <c r="BB39" s="1157"/>
      <c r="BC39" s="1157"/>
      <c r="BD39" s="1159"/>
      <c r="BE39" s="1157"/>
      <c r="BF39" s="1157"/>
      <c r="BG39" s="1157"/>
      <c r="BH39" s="1157"/>
      <c r="BI39" s="1159"/>
      <c r="BJ39" s="1158"/>
      <c r="BK39" s="1158"/>
      <c r="BL39" s="1158"/>
      <c r="BM39" s="1158"/>
      <c r="BN39" s="1159"/>
      <c r="BO39" s="1158"/>
      <c r="BP39" s="1158"/>
      <c r="BQ39" s="1158"/>
      <c r="BR39" s="1158"/>
      <c r="BS39" s="1160"/>
      <c r="BT39" s="1158"/>
      <c r="BU39" s="1158"/>
      <c r="BV39" s="1158"/>
      <c r="BW39" s="1158"/>
      <c r="BX39" s="1159"/>
      <c r="BY39" s="1158"/>
      <c r="BZ39" s="1158"/>
      <c r="CA39" s="1158"/>
      <c r="CB39" s="1158"/>
      <c r="CC39" s="1159"/>
      <c r="CD39" s="1159"/>
      <c r="CE39" s="1159"/>
      <c r="CF39" s="1159"/>
      <c r="CG39" s="1159"/>
      <c r="CH39" s="1161"/>
    </row>
    <row r="40" spans="1:86" ht="13.5">
      <c r="A40" s="9"/>
      <c r="B40" s="9"/>
      <c r="C40" s="9"/>
      <c r="D40" s="9"/>
      <c r="E40" s="9"/>
      <c r="F40" s="9"/>
      <c r="G40" s="9"/>
      <c r="H40" s="1154" t="s">
        <v>872</v>
      </c>
      <c r="I40" s="1155"/>
      <c r="J40" s="1155"/>
      <c r="K40" s="1156"/>
      <c r="L40" s="1157"/>
      <c r="M40" s="1157"/>
      <c r="N40" s="1157"/>
      <c r="O40" s="1157"/>
      <c r="P40" s="1157"/>
      <c r="Q40" s="1157"/>
      <c r="R40" s="1157"/>
      <c r="S40" s="1157"/>
      <c r="T40" s="1157"/>
      <c r="U40" s="1158"/>
      <c r="V40" s="1157"/>
      <c r="W40" s="1157"/>
      <c r="X40" s="1157"/>
      <c r="Y40" s="1157"/>
      <c r="Z40" s="1158"/>
      <c r="AA40" s="1157"/>
      <c r="AB40" s="1157"/>
      <c r="AC40" s="1157"/>
      <c r="AD40" s="1157"/>
      <c r="AE40" s="1158"/>
      <c r="AF40" s="1157"/>
      <c r="AG40" s="1157"/>
      <c r="AH40" s="1157"/>
      <c r="AI40" s="1157"/>
      <c r="AJ40" s="1158"/>
      <c r="AK40" s="1157"/>
      <c r="AL40" s="1157"/>
      <c r="AM40" s="1157"/>
      <c r="AN40" s="1157"/>
      <c r="AO40" s="1158"/>
      <c r="AP40" s="1157"/>
      <c r="AQ40" s="1157"/>
      <c r="AR40" s="1157"/>
      <c r="AS40" s="1157"/>
      <c r="AT40" s="1158"/>
      <c r="AU40" s="1157"/>
      <c r="AV40" s="1157"/>
      <c r="AW40" s="1157"/>
      <c r="AX40" s="1157"/>
      <c r="AY40" s="1159"/>
      <c r="AZ40" s="1157"/>
      <c r="BA40" s="1157"/>
      <c r="BB40" s="1157"/>
      <c r="BC40" s="1157"/>
      <c r="BD40" s="1159"/>
      <c r="BE40" s="1157"/>
      <c r="BF40" s="1157"/>
      <c r="BG40" s="1157"/>
      <c r="BH40" s="1157"/>
      <c r="BI40" s="1159"/>
      <c r="BJ40" s="1158"/>
      <c r="BK40" s="1158"/>
      <c r="BL40" s="1158"/>
      <c r="BM40" s="1158"/>
      <c r="BN40" s="1159"/>
      <c r="BO40" s="1158"/>
      <c r="BP40" s="1158"/>
      <c r="BQ40" s="1158"/>
      <c r="BR40" s="1158"/>
      <c r="BS40" s="1160"/>
      <c r="BT40" s="1158"/>
      <c r="BU40" s="1158"/>
      <c r="BV40" s="1158"/>
      <c r="BW40" s="1158"/>
      <c r="BX40" s="1159"/>
      <c r="BY40" s="1158"/>
      <c r="BZ40" s="1158"/>
      <c r="CA40" s="1158"/>
      <c r="CB40" s="1158"/>
      <c r="CC40" s="1159"/>
      <c r="CD40" s="1159"/>
      <c r="CE40" s="1159"/>
      <c r="CF40" s="1159"/>
      <c r="CG40" s="1159"/>
      <c r="CH40" s="1161"/>
    </row>
    <row r="41" spans="1:86" ht="13.5">
      <c r="A41" s="9"/>
      <c r="B41" s="9"/>
      <c r="C41" s="9"/>
      <c r="D41" s="9"/>
      <c r="E41" s="9"/>
      <c r="F41" s="9"/>
      <c r="G41" s="9"/>
      <c r="H41" s="1162" t="s">
        <v>873</v>
      </c>
      <c r="I41" s="1163"/>
      <c r="J41" s="1163"/>
      <c r="K41" s="1164"/>
      <c r="L41" s="1165"/>
      <c r="M41" s="1165"/>
      <c r="N41" s="1165"/>
      <c r="O41" s="1165"/>
      <c r="P41" s="1165"/>
      <c r="Q41" s="1165"/>
      <c r="R41" s="1165"/>
      <c r="S41" s="1165"/>
      <c r="T41" s="1165"/>
      <c r="U41" s="1166"/>
      <c r="V41" s="1165"/>
      <c r="W41" s="1165"/>
      <c r="X41" s="1165"/>
      <c r="Y41" s="1165"/>
      <c r="Z41" s="1166"/>
      <c r="AA41" s="1165"/>
      <c r="AB41" s="1165"/>
      <c r="AC41" s="1165"/>
      <c r="AD41" s="1165"/>
      <c r="AE41" s="1166"/>
      <c r="AF41" s="1165"/>
      <c r="AG41" s="1165"/>
      <c r="AH41" s="1165"/>
      <c r="AI41" s="1165"/>
      <c r="AJ41" s="1166"/>
      <c r="AK41" s="1165"/>
      <c r="AL41" s="1165"/>
      <c r="AM41" s="1165"/>
      <c r="AN41" s="1165"/>
      <c r="AO41" s="1166"/>
      <c r="AP41" s="1165"/>
      <c r="AQ41" s="1165"/>
      <c r="AR41" s="1165"/>
      <c r="AS41" s="1165"/>
      <c r="AT41" s="1166"/>
      <c r="AU41" s="1165"/>
      <c r="AV41" s="1165"/>
      <c r="AW41" s="1165"/>
      <c r="AX41" s="1165"/>
      <c r="AY41" s="1167"/>
      <c r="AZ41" s="1165"/>
      <c r="BA41" s="1165"/>
      <c r="BB41" s="1165"/>
      <c r="BC41" s="1165"/>
      <c r="BD41" s="1167"/>
      <c r="BE41" s="1165"/>
      <c r="BF41" s="1165"/>
      <c r="BG41" s="1165"/>
      <c r="BH41" s="1165"/>
      <c r="BI41" s="1167"/>
      <c r="BJ41" s="1166"/>
      <c r="BK41" s="1166"/>
      <c r="BL41" s="1166"/>
      <c r="BM41" s="1166"/>
      <c r="BN41" s="1167"/>
      <c r="BO41" s="1166"/>
      <c r="BP41" s="1166"/>
      <c r="BQ41" s="1166"/>
      <c r="BR41" s="1166"/>
      <c r="BS41" s="1168"/>
      <c r="BT41" s="1166"/>
      <c r="BU41" s="1166"/>
      <c r="BV41" s="1166"/>
      <c r="BW41" s="1166"/>
      <c r="BX41" s="1167"/>
      <c r="BY41" s="1166"/>
      <c r="BZ41" s="1166"/>
      <c r="CA41" s="1166"/>
      <c r="CB41" s="1166"/>
      <c r="CC41" s="1167"/>
      <c r="CD41" s="1167"/>
      <c r="CE41" s="1167"/>
      <c r="CF41" s="1167"/>
      <c r="CG41" s="1167"/>
      <c r="CH41" s="1169"/>
    </row>
    <row r="42" spans="1:86">
      <c r="A42" s="9"/>
      <c r="B42" s="9"/>
      <c r="C42" s="9"/>
      <c r="D42" s="9"/>
      <c r="E42" s="9"/>
      <c r="F42" s="9"/>
      <c r="G42" s="9"/>
      <c r="H42" s="1128"/>
      <c r="L42" s="71"/>
      <c r="M42" s="71"/>
      <c r="N42" s="71"/>
      <c r="O42" s="71"/>
      <c r="P42" s="72"/>
      <c r="Q42" s="71"/>
      <c r="R42" s="71"/>
      <c r="S42" s="71"/>
      <c r="T42" s="71"/>
      <c r="U42" s="626"/>
      <c r="V42" s="71"/>
      <c r="W42" s="71"/>
      <c r="X42" s="71"/>
      <c r="Y42" s="71"/>
      <c r="Z42" s="626"/>
      <c r="AA42" s="71"/>
      <c r="AB42" s="71"/>
      <c r="AC42" s="71"/>
      <c r="AD42" s="71"/>
      <c r="AE42" s="626"/>
      <c r="AF42" s="71"/>
      <c r="AG42" s="71"/>
      <c r="AH42" s="71"/>
      <c r="AI42" s="71"/>
      <c r="AJ42" s="626"/>
      <c r="AK42" s="71"/>
      <c r="AL42" s="71"/>
      <c r="AM42" s="71"/>
      <c r="AN42" s="71"/>
      <c r="AO42" s="626"/>
      <c r="AP42" s="71"/>
      <c r="AQ42" s="71"/>
      <c r="AR42" s="71"/>
      <c r="AS42" s="71"/>
      <c r="AT42" s="626"/>
      <c r="AU42" s="71"/>
      <c r="AV42" s="71"/>
      <c r="AW42" s="71"/>
      <c r="AX42" s="71"/>
      <c r="AY42" s="626"/>
      <c r="AZ42" s="71"/>
      <c r="BA42" s="71"/>
      <c r="BB42" s="71"/>
      <c r="BC42" s="71"/>
      <c r="BD42" s="626"/>
      <c r="BE42" s="71"/>
      <c r="BF42" s="71"/>
      <c r="BG42" s="71"/>
      <c r="BH42" s="71"/>
      <c r="BI42" s="626"/>
      <c r="BJ42" s="71"/>
      <c r="BK42" s="71"/>
      <c r="BL42" s="71"/>
      <c r="BM42" s="71"/>
      <c r="BO42" s="71"/>
      <c r="BP42" s="71"/>
      <c r="BQ42" s="71"/>
      <c r="BR42" s="71"/>
      <c r="BS42" s="55"/>
      <c r="BT42" s="71"/>
      <c r="BU42" s="71"/>
      <c r="BV42" s="71"/>
      <c r="BW42" s="71"/>
      <c r="BY42" s="71"/>
      <c r="BZ42" s="71"/>
      <c r="CA42" s="71"/>
      <c r="CB42" s="71"/>
      <c r="CD42" s="15" t="s">
        <v>726</v>
      </c>
    </row>
    <row r="43" spans="1:86">
      <c r="A43" s="9"/>
      <c r="B43" s="9"/>
      <c r="C43" s="9"/>
      <c r="D43" s="9"/>
      <c r="E43" s="9"/>
      <c r="F43" s="9"/>
      <c r="G43" s="9"/>
      <c r="H43" s="1127" t="s">
        <v>124</v>
      </c>
      <c r="J43" s="629">
        <f>J33</f>
        <v>6.7800807260756255E-2</v>
      </c>
      <c r="K43" s="629"/>
      <c r="L43" s="71"/>
      <c r="M43" s="71"/>
      <c r="N43" s="71"/>
      <c r="O43" s="71"/>
      <c r="BD43" s="72"/>
      <c r="BE43" s="71"/>
      <c r="BF43" s="71"/>
      <c r="BG43" s="71"/>
      <c r="BH43" s="71"/>
      <c r="BO43" s="74"/>
      <c r="BP43" s="74"/>
      <c r="BQ43" s="74"/>
      <c r="BR43" s="74"/>
      <c r="BT43" s="74"/>
      <c r="BU43" s="74"/>
      <c r="BV43" s="74"/>
      <c r="BW43" s="74"/>
      <c r="BY43" s="74"/>
      <c r="BZ43" s="74"/>
      <c r="CA43" s="74"/>
      <c r="CB43" s="74"/>
      <c r="CE43" s="630" t="s">
        <v>244</v>
      </c>
    </row>
    <row r="44" spans="1:86">
      <c r="A44" s="9"/>
      <c r="B44" s="9"/>
      <c r="C44" s="9"/>
      <c r="D44" s="9"/>
      <c r="E44" s="9"/>
      <c r="F44" s="9"/>
      <c r="G44" s="9"/>
      <c r="H44" s="1127" t="s">
        <v>880</v>
      </c>
      <c r="J44" s="629">
        <f ca="1">CH32</f>
        <v>4.1143049943714871E-3</v>
      </c>
      <c r="K44" s="629"/>
      <c r="L44" s="71"/>
      <c r="M44" s="71"/>
      <c r="N44" s="71"/>
      <c r="O44" s="71"/>
      <c r="BE44" s="74"/>
      <c r="BF44" s="74"/>
      <c r="BG44" s="74"/>
      <c r="BH44" s="74"/>
      <c r="BO44" s="74"/>
      <c r="BP44" s="74"/>
      <c r="BQ44" s="74"/>
      <c r="BR44" s="74"/>
      <c r="BT44" s="74"/>
      <c r="BU44" s="74"/>
      <c r="BV44" s="74"/>
      <c r="BW44" s="74"/>
      <c r="BX44" s="631">
        <f ca="1">CC44-0.005</f>
        <v>-1.0885695005628512E-2</v>
      </c>
      <c r="BY44" s="74"/>
      <c r="BZ44" s="74"/>
      <c r="CA44" s="74"/>
      <c r="CB44" s="74"/>
      <c r="CC44" s="631">
        <f ca="1">CD44-0.005</f>
        <v>-5.8856950056285131E-3</v>
      </c>
      <c r="CD44" s="631">
        <f ca="1">CE44-0.005</f>
        <v>-8.8569500562851299E-4</v>
      </c>
      <c r="CE44" s="632">
        <f ca="1">J44</f>
        <v>4.1143049943714871E-3</v>
      </c>
      <c r="CF44" s="631">
        <f ca="1">CE44+0.005</f>
        <v>9.1143049943714881E-3</v>
      </c>
      <c r="CG44" s="631">
        <f ca="1">CF44+0.005</f>
        <v>1.4114304994371489E-2</v>
      </c>
      <c r="CH44" s="631">
        <f ca="1">CG44+0.005</f>
        <v>1.911430499437149E-2</v>
      </c>
    </row>
    <row r="45" spans="1:86">
      <c r="A45" s="9"/>
      <c r="B45" s="9"/>
      <c r="C45" s="9"/>
      <c r="D45" s="9"/>
      <c r="E45" s="9"/>
      <c r="F45" s="9"/>
      <c r="G45" s="9"/>
      <c r="H45" s="1181" t="s">
        <v>881</v>
      </c>
      <c r="J45" s="217"/>
      <c r="L45" s="71"/>
      <c r="M45" s="71"/>
      <c r="N45" s="71"/>
      <c r="O45" s="71"/>
      <c r="BN45" s="15"/>
      <c r="BO45" s="74"/>
      <c r="BP45" s="74"/>
      <c r="BQ45" s="74"/>
      <c r="BR45" s="74"/>
      <c r="BS45" s="633">
        <f>BS46-0.005</f>
        <v>4.7800807260756258E-2</v>
      </c>
      <c r="BT45" s="984" t="e">
        <f>((NPV($BS45,$AY$14,$BD$14,$BI$14,$BN$14,$BS$14,$BX$14,$CC$14,$CD$14,$CE$14)+(($CE$14*(1+BT$44)/($BS45-BT$44))/(1+$BS45)^$CE$7))-#REF!+#REF!)/$J$52</f>
        <v>#REF!</v>
      </c>
      <c r="BU45" s="984" t="e">
        <f>((NPV($BS45,$AY$14,$BD$14,$BI$14,$BN$14,$BS$14,$BX$14,$CC$14,$CD$14,$CE$14)+(($CE$14*(1+BU$44)/($BS45-BU$44))/(1+$BS45)^$CE$7))-#REF!+#REF!)/$J$52</f>
        <v>#REF!</v>
      </c>
      <c r="BV45" s="984" t="e">
        <f>((NPV($BS45,$AY$14,$BD$14,$BI$14,$BN$14,$BS$14,$BX$14,$CC$14,$CD$14,$CE$14)+(($CE$14*(1+BV$44)/($BS45-BV$44))/(1+$BS45)^$CE$7))-#REF!+#REF!)/$J$52</f>
        <v>#REF!</v>
      </c>
      <c r="BW45" s="984" t="e">
        <f>((NPV($BS45,$AY$14,$BD$14,$BI$14,$BN$14,$BS$14,$BX$14,$CC$14,$CD$14,$CE$14)+(($CE$14*(1+BW$44)/($BS45-BW$44))/(1+$BS45)^$CE$7))-#REF!+#REF!)/$J$52</f>
        <v>#REF!</v>
      </c>
      <c r="BX45" s="984">
        <f t="shared" ref="BX45:CH53" ca="1" si="5">((($CF$14/(1+$BS45)^$CF$16+$BX$14/(1+$BS45)^$BX$16+$CC$14/(1+$BS45)^$CC$16+$CD$14/(1+$BS45)^$CD$16+$CE$14/(1+$BS45)^$CE$16+$CG$14/(1+$BS45)^$CG$16+$CH$14/(1+$BS45)^$CH$16)+(($CH$14*(1+BX$44)/($BS45-BX$44))/(1+$BS45)^$CH$16))-$CH$24+$CH$25-$CH$26-$CH$27)/$J$52</f>
        <v>91.621777159483415</v>
      </c>
      <c r="BY45" s="984">
        <f t="shared" ca="1" si="5"/>
        <v>106.55963150307771</v>
      </c>
      <c r="BZ45" s="984">
        <f t="shared" ca="1" si="5"/>
        <v>106.55963150307771</v>
      </c>
      <c r="CA45" s="984">
        <f t="shared" ca="1" si="5"/>
        <v>106.55963150307771</v>
      </c>
      <c r="CB45" s="984">
        <f t="shared" ca="1" si="5"/>
        <v>106.55963150307771</v>
      </c>
      <c r="CC45" s="984">
        <f t="shared" ca="1" si="5"/>
        <v>97.730806113787665</v>
      </c>
      <c r="CD45" s="984">
        <f t="shared" ca="1" si="5"/>
        <v>105.0946035706389</v>
      </c>
      <c r="CE45" s="984">
        <f t="shared" ca="1" si="5"/>
        <v>114.14400117280489</v>
      </c>
      <c r="CF45" s="984">
        <f t="shared" ca="1" si="5"/>
        <v>125.53256025818129</v>
      </c>
      <c r="CG45" s="984">
        <f t="shared" ca="1" si="5"/>
        <v>140.30186780931368</v>
      </c>
      <c r="CH45" s="984">
        <f t="shared" ca="1" si="5"/>
        <v>160.21969692434516</v>
      </c>
    </row>
    <row r="46" spans="1:86">
      <c r="A46" s="9"/>
      <c r="B46" s="9"/>
      <c r="C46" s="9"/>
      <c r="D46" s="9"/>
      <c r="E46" s="9"/>
      <c r="F46" s="9"/>
      <c r="G46" s="9"/>
      <c r="H46" s="1181"/>
      <c r="J46" s="217"/>
      <c r="K46" s="625"/>
      <c r="L46" s="71"/>
      <c r="M46" s="71"/>
      <c r="N46" s="71"/>
      <c r="O46" s="71"/>
      <c r="BN46" s="15"/>
      <c r="BO46" s="74"/>
      <c r="BP46" s="74"/>
      <c r="BQ46" s="74"/>
      <c r="BR46" s="74"/>
      <c r="BS46" s="633">
        <f>BS47-0.005</f>
        <v>5.2800807260756255E-2</v>
      </c>
      <c r="BT46" s="984" t="e">
        <f>((NPV($BS46,$AY$14,$BD$14,$BI$14,$BN$14,$BS$14,$BX$14,$CC$14,$CD$14,$CE$14)+(($CE$14*(1+BT$44)/($BS46-BT$44))/(1+$BS46)^$CE$7))-#REF!+#REF!)/$J$52</f>
        <v>#REF!</v>
      </c>
      <c r="BU46" s="984" t="e">
        <f>((NPV($BS46,$AY$14,$BD$14,$BI$14,$BN$14,$BS$14,$BX$14,$CC$14,$CD$14,$CE$14)+(($CE$14*(1+BU$44)/($BS46-BU$44))/(1+$BS46)^$CE$7))-#REF!+#REF!)/$J$52</f>
        <v>#REF!</v>
      </c>
      <c r="BV46" s="984" t="e">
        <f>((NPV($BS46,$AY$14,$BD$14,$BI$14,$BN$14,$BS$14,$BX$14,$CC$14,$CD$14,$CE$14)+(($CE$14*(1+BV$44)/($BS46-BV$44))/(1+$BS46)^$CE$7))-#REF!+#REF!)/$J$52</f>
        <v>#REF!</v>
      </c>
      <c r="BW46" s="984" t="e">
        <f>((NPV($BS46,$AY$14,$BD$14,$BI$14,$BN$14,$BS$14,$BX$14,$CC$14,$CD$14,$CE$14)+(($CE$14*(1+BW$44)/($BS46-BW$44))/(1+$BS46)^$CE$7))-#REF!+#REF!)/$J$52</f>
        <v>#REF!</v>
      </c>
      <c r="BX46" s="984">
        <f t="shared" ca="1" si="5"/>
        <v>84.813852817959003</v>
      </c>
      <c r="BY46" s="984">
        <f t="shared" ca="1" si="5"/>
        <v>97.000438559738427</v>
      </c>
      <c r="BZ46" s="984">
        <f t="shared" ca="1" si="5"/>
        <v>97.000438559738427</v>
      </c>
      <c r="CA46" s="984">
        <f t="shared" ca="1" si="5"/>
        <v>97.000438559738427</v>
      </c>
      <c r="CB46" s="984">
        <f t="shared" ca="1" si="5"/>
        <v>97.000438559738427</v>
      </c>
      <c r="CC46" s="984">
        <f t="shared" ca="1" si="5"/>
        <v>89.849997830611187</v>
      </c>
      <c r="CD46" s="984">
        <f t="shared" ca="1" si="5"/>
        <v>95.824208241464149</v>
      </c>
      <c r="CE46" s="984">
        <f t="shared" ca="1" si="5"/>
        <v>103.02549600081205</v>
      </c>
      <c r="CF46" s="984">
        <f t="shared" ca="1" si="5"/>
        <v>111.87518484190301</v>
      </c>
      <c r="CG46" s="984">
        <f t="shared" ca="1" si="5"/>
        <v>123.01241283040885</v>
      </c>
      <c r="CH46" s="984">
        <f t="shared" ca="1" si="5"/>
        <v>137.4557804413769</v>
      </c>
    </row>
    <row r="47" spans="1:86">
      <c r="A47" s="9"/>
      <c r="B47" s="9"/>
      <c r="C47" s="9"/>
      <c r="D47" s="9"/>
      <c r="E47" s="9"/>
      <c r="F47" s="9"/>
      <c r="G47" s="9"/>
      <c r="H47" s="191" t="s">
        <v>245</v>
      </c>
      <c r="J47" s="625">
        <f ca="1">SUM(BX18:CH18)</f>
        <v>34133.341290670389</v>
      </c>
      <c r="K47" s="625"/>
      <c r="L47" s="71"/>
      <c r="M47" s="71"/>
      <c r="N47" s="71"/>
      <c r="O47" s="71"/>
      <c r="BN47" s="15"/>
      <c r="BO47" s="66"/>
      <c r="BP47" s="66"/>
      <c r="BQ47" s="66"/>
      <c r="BR47" s="66"/>
      <c r="BS47" s="633">
        <f>BS48-0.005</f>
        <v>5.7800807260756253E-2</v>
      </c>
      <c r="BT47" s="984" t="e">
        <f>((NPV($BS47,$AY$14,$BD$14,$BI$14,$BN$14,$BS$14,$BX$14,$CC$14,$CD$14,$CE$14)+(($CE$14*(1+BT$44)/($BS47-BT$44))/(1+$BS47)^$CE$7))-#REF!+#REF!)/$J$52</f>
        <v>#REF!</v>
      </c>
      <c r="BU47" s="984" t="e">
        <f>((NPV($BS47,$AY$14,$BD$14,$BI$14,$BN$14,$BS$14,$BX$14,$CC$14,$CD$14,$CE$14)+(($CE$14*(1+BU$44)/($BS47-BU$44))/(1+$BS47)^$CE$7))-#REF!+#REF!)/$J$52</f>
        <v>#REF!</v>
      </c>
      <c r="BV47" s="984" t="e">
        <f>((NPV($BS47,$AY$14,$BD$14,$BI$14,$BN$14,$BS$14,$BX$14,$CC$14,$CD$14,$CE$14)+(($CE$14*(1+BV$44)/($BS47-BV$44))/(1+$BS47)^$CE$7))-#REF!+#REF!)/$J$52</f>
        <v>#REF!</v>
      </c>
      <c r="BW47" s="984" t="e">
        <f>((NPV($BS47,$AY$14,$BD$14,$BI$14,$BN$14,$BS$14,$BX$14,$CC$14,$CD$14,$CE$14)+(($CE$14*(1+BW$44)/($BS47-BW$44))/(1+$BS47)^$CE$7))-#REF!+#REF!)/$J$52</f>
        <v>#REF!</v>
      </c>
      <c r="BX47" s="984">
        <f t="shared" ca="1" si="5"/>
        <v>78.989918322448162</v>
      </c>
      <c r="BY47" s="984">
        <f t="shared" ca="1" si="5"/>
        <v>89.08521190419323</v>
      </c>
      <c r="BZ47" s="984">
        <f t="shared" ca="1" si="5"/>
        <v>89.08521190419323</v>
      </c>
      <c r="CA47" s="984">
        <f t="shared" ca="1" si="5"/>
        <v>89.08521190419323</v>
      </c>
      <c r="CB47" s="984">
        <f t="shared" ca="1" si="5"/>
        <v>89.08521190419323</v>
      </c>
      <c r="CC47" s="984">
        <f t="shared" ca="1" si="5"/>
        <v>83.198340511182934</v>
      </c>
      <c r="CD47" s="984">
        <f t="shared" ca="1" si="5"/>
        <v>88.123864934028106</v>
      </c>
      <c r="CE47" s="984">
        <f t="shared" ca="1" si="5"/>
        <v>93.966849838542473</v>
      </c>
      <c r="CF47" s="984">
        <f t="shared" ca="1" si="5"/>
        <v>101.00995893200447</v>
      </c>
      <c r="CG47" s="984">
        <f t="shared" ca="1" si="5"/>
        <v>109.66526143260074</v>
      </c>
      <c r="CH47" s="984">
        <f t="shared" ca="1" si="5"/>
        <v>120.55785652713536</v>
      </c>
    </row>
    <row r="48" spans="1:86" ht="13.5" thickBot="1">
      <c r="A48" s="9"/>
      <c r="B48" s="9"/>
      <c r="C48" s="9"/>
      <c r="D48" s="9"/>
      <c r="E48" s="9"/>
      <c r="F48" s="9"/>
      <c r="G48" s="9"/>
      <c r="H48" s="191" t="s">
        <v>246</v>
      </c>
      <c r="J48" s="625">
        <f ca="1">(CH14*(1+J44)/(J43-J44))*CH17</f>
        <v>55210.421154329633</v>
      </c>
      <c r="K48" s="634"/>
      <c r="L48" s="71"/>
      <c r="M48" s="71"/>
      <c r="N48" s="71"/>
      <c r="O48" s="71"/>
      <c r="BN48" s="15"/>
      <c r="BO48" s="66"/>
      <c r="BP48" s="66"/>
      <c r="BQ48" s="66"/>
      <c r="BR48" s="66"/>
      <c r="BS48" s="633">
        <f>BS49-0.005</f>
        <v>6.280080726075625E-2</v>
      </c>
      <c r="BT48" s="984" t="e">
        <f>((NPV($BS48,$AY$14,$BD$14,$BI$14,$BN$14,$BS$14,$BX$14,$CC$14,$CD$14,$CE$14)+(($CE$14*(1+BT$44)/($BS48-BT$44))/(1+$BS48)^$CE$7))-#REF!+#REF!)/$J$52</f>
        <v>#REF!</v>
      </c>
      <c r="BU48" s="984" t="e">
        <f>((NPV($BS48,$AY$14,$BD$14,$BI$14,$BN$14,$BS$14,$BX$14,$CC$14,$CD$14,$CE$14)+(($CE$14*(1+BU$44)/($BS48-BU$44))/(1+$BS48)^$CE$7))-#REF!+#REF!)/$J$52</f>
        <v>#REF!</v>
      </c>
      <c r="BV48" s="984" t="e">
        <f>((NPV($BS48,$AY$14,$BD$14,$BI$14,$BN$14,$BS$14,$BX$14,$CC$14,$CD$14,$CE$14)+(($CE$14*(1+BV$44)/($BS48-BV$44))/(1+$BS48)^$CE$7))-#REF!+#REF!)/$J$52</f>
        <v>#REF!</v>
      </c>
      <c r="BW48" s="984" t="e">
        <f>((NPV($BS48,$AY$14,$BD$14,$BI$14,$BN$14,$BS$14,$BX$14,$CC$14,$CD$14,$CE$14)+(($CE$14*(1+BW$44)/($BS48-BW$44))/(1+$BS48)^$CE$7))-#REF!+#REF!)/$J$52</f>
        <v>#REF!</v>
      </c>
      <c r="BX48" s="984">
        <f t="shared" ca="1" si="5"/>
        <v>73.949953094451558</v>
      </c>
      <c r="BY48" s="984">
        <f t="shared" ca="1" si="5"/>
        <v>82.42165812728615</v>
      </c>
      <c r="BZ48" s="984">
        <f t="shared" ca="1" si="5"/>
        <v>82.42165812728615</v>
      </c>
      <c r="CA48" s="984">
        <f t="shared" ca="1" si="5"/>
        <v>82.42165812728615</v>
      </c>
      <c r="CB48" s="984">
        <f t="shared" ca="1" si="5"/>
        <v>82.42165812728615</v>
      </c>
      <c r="CC48" s="984">
        <f t="shared" ca="1" si="5"/>
        <v>77.50772821166602</v>
      </c>
      <c r="CD48" s="984">
        <f t="shared" ca="1" si="5"/>
        <v>81.624142128407115</v>
      </c>
      <c r="CE48" s="984">
        <f t="shared" ca="1" si="5"/>
        <v>86.441980351891928</v>
      </c>
      <c r="CF48" s="984">
        <f t="shared" ca="1" si="5"/>
        <v>92.157220719323334</v>
      </c>
      <c r="CG48" s="984">
        <f t="shared" ca="1" si="5"/>
        <v>99.046347092399785</v>
      </c>
      <c r="CH48" s="984">
        <f t="shared" ca="1" si="5"/>
        <v>107.51241966525868</v>
      </c>
    </row>
    <row r="49" spans="1:86" ht="13.5" thickBot="1">
      <c r="A49" s="9"/>
      <c r="B49" s="9"/>
      <c r="C49" s="9"/>
      <c r="D49" s="9"/>
      <c r="E49" s="9"/>
      <c r="F49" s="9"/>
      <c r="G49" s="9"/>
      <c r="H49" s="1128" t="s">
        <v>875</v>
      </c>
      <c r="J49" s="634">
        <f ca="1">J47+J48</f>
        <v>89343.762445000029</v>
      </c>
      <c r="K49" s="625"/>
      <c r="L49" s="66"/>
      <c r="M49" s="66"/>
      <c r="N49" s="66"/>
      <c r="O49" s="66"/>
      <c r="BN49" s="630" t="s">
        <v>124</v>
      </c>
      <c r="BS49" s="636">
        <f>J43</f>
        <v>6.7800807260756255E-2</v>
      </c>
      <c r="BT49" s="984" t="e">
        <f>((NPV($BS49,$AY$14,$BD$14,$BI$14,$BN$14,$BS$14,$BX$14,$CC$14,$CD$14,$CE$14)+(($CE$14*(1+BT$44)/($BS49-BT$44))/(1+$BS49)^$CE$7))-#REF!+#REF!)/$J$52</f>
        <v>#REF!</v>
      </c>
      <c r="BU49" s="984" t="e">
        <f>((NPV($BS49,$AY$14,$BD$14,$BI$14,$BN$14,$BS$14,$BX$14,$CC$14,$CD$14,$CE$14)+(($CE$14*(1+BU$44)/($BS49-BU$44))/(1+$BS49)^$CE$7))-#REF!+#REF!)/$J$52</f>
        <v>#REF!</v>
      </c>
      <c r="BV49" s="984" t="e">
        <f>((NPV($BS49,$AY$14,$BD$14,$BI$14,$BN$14,$BS$14,$BX$14,$CC$14,$CD$14,$CE$14)+(($CE$14*(1+BV$44)/($BS49-BV$44))/(1+$BS49)^$CE$7))-#REF!+#REF!)/$J$52</f>
        <v>#REF!</v>
      </c>
      <c r="BW49" s="984" t="e">
        <f>((NPV($BS49,$AY$14,$BD$14,$BI$14,$BN$14,$BS$14,$BX$14,$CC$14,$CD$14,$CE$14)+(($CE$14*(1+BW$44)/($BS49-BW$44))/(1+$BS49)^$CE$7))-#REF!+#REF!)/$J$52</f>
        <v>#REF!</v>
      </c>
      <c r="BX49" s="984">
        <f t="shared" ca="1" si="5"/>
        <v>69.544765343530003</v>
      </c>
      <c r="BY49" s="984">
        <f t="shared" ca="1" si="5"/>
        <v>76.73318932171388</v>
      </c>
      <c r="BZ49" s="984">
        <f t="shared" ca="1" si="5"/>
        <v>76.73318932171388</v>
      </c>
      <c r="CA49" s="984">
        <f t="shared" ca="1" si="5"/>
        <v>76.73318932171388</v>
      </c>
      <c r="CB49" s="984">
        <f t="shared" ca="1" si="5"/>
        <v>76.73318932171388</v>
      </c>
      <c r="CC49" s="984">
        <f t="shared" ca="1" si="5"/>
        <v>72.582812069378406</v>
      </c>
      <c r="CD49" s="984">
        <f t="shared" ca="1" si="5"/>
        <v>76.063165016333556</v>
      </c>
      <c r="CE49" s="1229">
        <f t="shared" ca="1" si="5"/>
        <v>80.09</v>
      </c>
      <c r="CF49" s="984">
        <f t="shared" ca="1" si="5"/>
        <v>84.802995314944667</v>
      </c>
      <c r="CG49" s="984">
        <f t="shared" ca="1" si="5"/>
        <v>90.393864046108476</v>
      </c>
      <c r="CH49" s="984">
        <f t="shared" ca="1" si="5"/>
        <v>97.133073379062424</v>
      </c>
    </row>
    <row r="50" spans="1:86">
      <c r="A50" s="9"/>
      <c r="B50" s="9"/>
      <c r="C50" s="9"/>
      <c r="D50" s="9"/>
      <c r="E50" s="9"/>
      <c r="F50" s="9"/>
      <c r="G50" s="9"/>
      <c r="H50" s="191" t="s">
        <v>122</v>
      </c>
      <c r="J50" s="635">
        <f ca="1">J48/J49</f>
        <v>0.61795496007141115</v>
      </c>
      <c r="K50" s="625"/>
      <c r="L50" s="66"/>
      <c r="M50" s="66"/>
      <c r="N50" s="66"/>
      <c r="O50" s="66"/>
      <c r="BN50" s="15"/>
      <c r="BS50" s="633">
        <f>BS49+0.005</f>
        <v>7.2800807260756259E-2</v>
      </c>
      <c r="BT50" s="984" t="e">
        <f>((NPV($BS50,$AY$14,$BD$14,$BI$14,$BN$14,$BS$14,$BX$14,$CC$14,$CD$14,$CE$14)+(($CE$14*(1+BT$44)/($BS50-BT$44))/(1+$BS50)^$CE$7))-#REF!+#REF!)/$J$52</f>
        <v>#REF!</v>
      </c>
      <c r="BU50" s="984" t="e">
        <f>((NPV($BS50,$AY$14,$BD$14,$BI$14,$BN$14,$BS$14,$BX$14,$CC$14,$CD$14,$CE$14)+(($CE$14*(1+BU$44)/($BS50-BU$44))/(1+$BS50)^$CE$7))-#REF!+#REF!)/$J$52</f>
        <v>#REF!</v>
      </c>
      <c r="BV50" s="984" t="e">
        <f>((NPV($BS50,$AY$14,$BD$14,$BI$14,$BN$14,$BS$14,$BX$14,$CC$14,$CD$14,$CE$14)+(($CE$14*(1+BV$44)/($BS50-BV$44))/(1+$BS50)^$CE$7))-#REF!+#REF!)/$J$52</f>
        <v>#REF!</v>
      </c>
      <c r="BW50" s="984" t="e">
        <f>((NPV($BS50,$AY$14,$BD$14,$BI$14,$BN$14,$BS$14,$BX$14,$CC$14,$CD$14,$CE$14)+(($CE$14*(1+BW$44)/($BS50-BW$44))/(1+$BS50)^$CE$7))-#REF!+#REF!)/$J$52</f>
        <v>#REF!</v>
      </c>
      <c r="BX50" s="984">
        <f t="shared" ca="1" si="5"/>
        <v>65.660808244366123</v>
      </c>
      <c r="BY50" s="984">
        <f t="shared" ca="1" si="5"/>
        <v>71.819190057830852</v>
      </c>
      <c r="BZ50" s="984">
        <f t="shared" ca="1" si="5"/>
        <v>71.819190057830852</v>
      </c>
      <c r="CA50" s="984">
        <f t="shared" ca="1" si="5"/>
        <v>71.819190057830852</v>
      </c>
      <c r="CB50" s="984">
        <f t="shared" ca="1" si="5"/>
        <v>71.819190057830852</v>
      </c>
      <c r="CC50" s="984">
        <f t="shared" ca="1" si="5"/>
        <v>68.277884684554266</v>
      </c>
      <c r="CD50" s="984">
        <f t="shared" ca="1" si="5"/>
        <v>71.250124738117236</v>
      </c>
      <c r="CE50" s="984">
        <f t="shared" ca="1" si="5"/>
        <v>74.65509028438845</v>
      </c>
      <c r="CF50" s="984">
        <f t="shared" ca="1" si="5"/>
        <v>78.59470060233032</v>
      </c>
      <c r="CG50" s="984">
        <f t="shared" ca="1" si="5"/>
        <v>83.205608436021151</v>
      </c>
      <c r="CH50" s="984">
        <f t="shared" ca="1" si="5"/>
        <v>88.675374202160626</v>
      </c>
    </row>
    <row r="51" spans="1:86">
      <c r="A51" s="9"/>
      <c r="B51" s="9"/>
      <c r="C51" s="9"/>
      <c r="D51" s="9"/>
      <c r="E51" s="9"/>
      <c r="F51" s="9"/>
      <c r="G51" s="9"/>
      <c r="H51" s="628" t="s">
        <v>126</v>
      </c>
      <c r="J51" s="634">
        <f ca="1">J49-CH24+CH25-CH26-CH27</f>
        <v>85004.362445000035</v>
      </c>
      <c r="K51" s="634"/>
      <c r="L51" s="66"/>
      <c r="M51" s="66"/>
      <c r="N51" s="66"/>
      <c r="O51" s="66"/>
      <c r="BN51" s="15"/>
      <c r="BS51" s="633">
        <f>BS50+0.005</f>
        <v>7.7800807260756263E-2</v>
      </c>
      <c r="BT51" s="984" t="e">
        <f>((NPV($BS51,$AY$14,$BD$14,$BI$14,$BN$14,$BS$14,$BX$14,$CC$14,$CD$14,$CE$14)+(($CE$14*(1+BT$44)/($BS51-BT$44))/(1+$BS51)^$CE$7))-#REF!+#REF!)/$J$52</f>
        <v>#REF!</v>
      </c>
      <c r="BU51" s="984" t="e">
        <f>((NPV($BS51,$AY$14,$BD$14,$BI$14,$BN$14,$BS$14,$BX$14,$CC$14,$CD$14,$CE$14)+(($CE$14*(1+BU$44)/($BS51-BU$44))/(1+$BS51)^$CE$7))-#REF!+#REF!)/$J$52</f>
        <v>#REF!</v>
      </c>
      <c r="BV51" s="984" t="e">
        <f>((NPV($BS51,$AY$14,$BD$14,$BI$14,$BN$14,$BS$14,$BX$14,$CC$14,$CD$14,$CE$14)+(($CE$14*(1+BV$44)/($BS51-BV$44))/(1+$BS51)^$CE$7))-#REF!+#REF!)/$J$52</f>
        <v>#REF!</v>
      </c>
      <c r="BW51" s="984" t="e">
        <f>((NPV($BS51,$AY$14,$BD$14,$BI$14,$BN$14,$BS$14,$BX$14,$CC$14,$CD$14,$CE$14)+(($CE$14*(1+BW$44)/($BS51-BW$44))/(1+$BS51)^$CE$7))-#REF!+#REF!)/$J$52</f>
        <v>#REF!</v>
      </c>
      <c r="BX51" s="984">
        <f t="shared" ca="1" si="5"/>
        <v>62.210132327606701</v>
      </c>
      <c r="BY51" s="984">
        <f t="shared" ca="1" si="5"/>
        <v>67.530605392770326</v>
      </c>
      <c r="BZ51" s="984">
        <f t="shared" ca="1" si="5"/>
        <v>67.530605392770326</v>
      </c>
      <c r="CA51" s="984">
        <f t="shared" ca="1" si="5"/>
        <v>67.530605392770326</v>
      </c>
      <c r="CB51" s="984">
        <f t="shared" ca="1" si="5"/>
        <v>67.530605392770326</v>
      </c>
      <c r="CC51" s="984">
        <f t="shared" ca="1" si="5"/>
        <v>64.482050983479553</v>
      </c>
      <c r="CD51" s="984">
        <f t="shared" ca="1" si="5"/>
        <v>67.042700055679902</v>
      </c>
      <c r="CE51" s="984">
        <f t="shared" ca="1" si="5"/>
        <v>69.950854979487033</v>
      </c>
      <c r="CF51" s="984">
        <f t="shared" ca="1" si="5"/>
        <v>73.282405305279894</v>
      </c>
      <c r="CG51" s="984">
        <f t="shared" ca="1" si="5"/>
        <v>77.137072807748282</v>
      </c>
      <c r="CH51" s="984">
        <f t="shared" ca="1" si="5"/>
        <v>81.648563830720832</v>
      </c>
    </row>
    <row r="52" spans="1:86" ht="13.5" thickBot="1">
      <c r="A52" s="9"/>
      <c r="B52" s="9"/>
      <c r="C52" s="9"/>
      <c r="D52" s="9"/>
      <c r="E52" s="9"/>
      <c r="F52" s="9"/>
      <c r="G52" s="9"/>
      <c r="H52" s="191" t="s">
        <v>127</v>
      </c>
      <c r="J52" s="625">
        <f>'IS-ANNUAL'!BS50</f>
        <v>1061.3605000000002</v>
      </c>
      <c r="K52" s="259"/>
      <c r="L52" s="66"/>
      <c r="M52" s="66"/>
      <c r="N52" s="66"/>
      <c r="O52" s="66"/>
      <c r="BN52" s="15"/>
      <c r="BS52" s="633">
        <f>BS51+0.005</f>
        <v>8.2800807260756268E-2</v>
      </c>
      <c r="BT52" s="984" t="e">
        <f>((NPV($BS52,$AY$14,$BD$14,$BI$14,$BN$14,$BS$14,$BX$14,$CC$14,$CD$14,$CE$14)+(($CE$14*(1+BT$44)/($BS52-BT$44))/(1+$BS52)^$CE$7))-#REF!+#REF!)/$J$52</f>
        <v>#REF!</v>
      </c>
      <c r="BU52" s="984" t="e">
        <f>((NPV($BS52,$AY$14,$BD$14,$BI$14,$BN$14,$BS$14,$BX$14,$CC$14,$CD$14,$CE$14)+(($CE$14*(1+BU$44)/($BS52-BU$44))/(1+$BS52)^$CE$7))-#REF!+#REF!)/$J$52</f>
        <v>#REF!</v>
      </c>
      <c r="BV52" s="984" t="e">
        <f>((NPV($BS52,$AY$14,$BD$14,$BI$14,$BN$14,$BS$14,$BX$14,$CC$14,$CD$14,$CE$14)+(($CE$14*(1+BV$44)/($BS52-BV$44))/(1+$BS52)^$CE$7))-#REF!+#REF!)/$J$52</f>
        <v>#REF!</v>
      </c>
      <c r="BW52" s="984" t="e">
        <f>((NPV($BS52,$AY$14,$BD$14,$BI$14,$BN$14,$BS$14,$BX$14,$CC$14,$CD$14,$CE$14)+(($CE$14*(1+BW$44)/($BS52-BW$44))/(1+$BS52)^$CE$7))-#REF!+#REF!)/$J$52</f>
        <v>#REF!</v>
      </c>
      <c r="BX52" s="984">
        <f t="shared" ca="1" si="5"/>
        <v>59.123555266065516</v>
      </c>
      <c r="BY52" s="984">
        <f t="shared" ca="1" si="5"/>
        <v>63.754373695047882</v>
      </c>
      <c r="BZ52" s="984">
        <f t="shared" ca="1" si="5"/>
        <v>63.754373695047882</v>
      </c>
      <c r="CA52" s="984">
        <f t="shared" ca="1" si="5"/>
        <v>63.754373695047882</v>
      </c>
      <c r="CB52" s="984">
        <f t="shared" ca="1" si="5"/>
        <v>63.754373695047882</v>
      </c>
      <c r="CC52" s="984">
        <f t="shared" ca="1" si="5"/>
        <v>61.109415316209841</v>
      </c>
      <c r="CD52" s="984">
        <f t="shared" ca="1" si="5"/>
        <v>63.332572898974547</v>
      </c>
      <c r="CE52" s="984">
        <f t="shared" ca="1" si="5"/>
        <v>65.838264019097224</v>
      </c>
      <c r="CF52" s="984">
        <f t="shared" ca="1" si="5"/>
        <v>68.684002643587007</v>
      </c>
      <c r="CG52" s="984">
        <f t="shared" ca="1" si="5"/>
        <v>71.944049542714708</v>
      </c>
      <c r="CH52" s="984">
        <f t="shared" ca="1" si="5"/>
        <v>75.715986211748685</v>
      </c>
    </row>
    <row r="53" spans="1:86" ht="13.5" thickBot="1">
      <c r="A53" s="9"/>
      <c r="B53" s="9"/>
      <c r="C53" s="9"/>
      <c r="D53" s="9"/>
      <c r="E53" s="9"/>
      <c r="F53" s="9"/>
      <c r="G53" s="9"/>
      <c r="H53" s="147" t="s">
        <v>438</v>
      </c>
      <c r="J53" s="1121">
        <f ca="1">J51/J52</f>
        <v>80.090000000000018</v>
      </c>
      <c r="K53" s="625"/>
      <c r="L53" s="74"/>
      <c r="M53" s="74"/>
      <c r="N53" s="74"/>
      <c r="O53" s="74"/>
      <c r="BN53" s="15"/>
      <c r="BS53" s="633">
        <f>BS52+0.005</f>
        <v>8.7800807260756272E-2</v>
      </c>
      <c r="BT53" s="984" t="e">
        <f>((NPV($BS53,$AY$14,$BD$14,$BI$14,$BN$14,$BS$14,$BX$14,$CC$14,$CD$14,$CE$14)+(($CE$14*(1+BT$44)/($BS53-BT$44))/(1+$BS53)^$CE$7))-#REF!+#REF!)/$J$52</f>
        <v>#REF!</v>
      </c>
      <c r="BU53" s="984" t="e">
        <f>((NPV($BS53,$AY$14,$BD$14,$BI$14,$BN$14,$BS$14,$BX$14,$CC$14,$CD$14,$CE$14)+(($CE$14*(1+BU$44)/($BS53-BU$44))/(1+$BS53)^$CE$7))-#REF!+#REF!)/$J$52</f>
        <v>#REF!</v>
      </c>
      <c r="BV53" s="984" t="e">
        <f>((NPV($BS53,$AY$14,$BD$14,$BI$14,$BN$14,$BS$14,$BX$14,$CC$14,$CD$14,$CE$14)+(($CE$14*(1+BV$44)/($BS53-BV$44))/(1+$BS53)^$CE$7))-#REF!+#REF!)/$J$52</f>
        <v>#REF!</v>
      </c>
      <c r="BW53" s="984" t="e">
        <f>((NPV($BS53,$AY$14,$BD$14,$BI$14,$BN$14,$BS$14,$BX$14,$CC$14,$CD$14,$CE$14)+(($CE$14*(1+BW$44)/($BS53-BW$44))/(1+$BS53)^$CE$7))-#REF!+#REF!)/$J$52</f>
        <v>#REF!</v>
      </c>
      <c r="BX53" s="984">
        <f t="shared" ca="1" si="5"/>
        <v>56.345907980814069</v>
      </c>
      <c r="BY53" s="984">
        <f t="shared" ca="1" si="5"/>
        <v>60.403178480544653</v>
      </c>
      <c r="BZ53" s="984">
        <f t="shared" ca="1" si="5"/>
        <v>60.403178480544653</v>
      </c>
      <c r="CA53" s="984">
        <f t="shared" ca="1" si="5"/>
        <v>60.403178480544653</v>
      </c>
      <c r="CB53" s="984">
        <f t="shared" ca="1" si="5"/>
        <v>60.403178480544653</v>
      </c>
      <c r="CC53" s="984">
        <f t="shared" ca="1" si="5"/>
        <v>58.092410793006955</v>
      </c>
      <c r="CD53" s="984">
        <f t="shared" ca="1" si="5"/>
        <v>60.035843551421756</v>
      </c>
      <c r="CE53" s="984">
        <f t="shared" ca="1" si="5"/>
        <v>62.211504053353508</v>
      </c>
      <c r="CF53" s="984">
        <f t="shared" ca="1" si="5"/>
        <v>64.66366185015373</v>
      </c>
      <c r="CG53" s="984">
        <f t="shared" ca="1" si="5"/>
        <v>67.448602140542192</v>
      </c>
      <c r="CH53" s="984">
        <f t="shared" ca="1" si="5"/>
        <v>70.638999136177844</v>
      </c>
    </row>
    <row r="54" spans="1:86">
      <c r="A54" s="9"/>
      <c r="B54" s="9"/>
      <c r="C54" s="9"/>
      <c r="D54" s="9"/>
      <c r="E54" s="9"/>
      <c r="F54" s="9"/>
      <c r="G54" s="9"/>
      <c r="H54" s="191"/>
      <c r="J54" s="259"/>
      <c r="K54" s="637"/>
      <c r="L54" s="74"/>
      <c r="M54" s="74"/>
      <c r="N54" s="74"/>
      <c r="O54" s="74"/>
    </row>
    <row r="55" spans="1:86">
      <c r="A55" s="9"/>
      <c r="B55" s="9"/>
      <c r="C55" s="9"/>
      <c r="D55" s="9"/>
      <c r="E55" s="9"/>
      <c r="F55" s="9"/>
      <c r="G55" s="9"/>
      <c r="K55" s="56"/>
      <c r="L55" s="74"/>
      <c r="M55" s="74"/>
      <c r="N55" s="74"/>
      <c r="O55" s="74"/>
      <c r="P55" s="75"/>
      <c r="Q55" s="74"/>
      <c r="R55" s="74"/>
      <c r="S55" s="74"/>
      <c r="T55" s="74"/>
      <c r="V55" s="74"/>
      <c r="W55" s="74"/>
      <c r="X55" s="74"/>
      <c r="Y55" s="74"/>
      <c r="AA55" s="74"/>
      <c r="AB55" s="74"/>
      <c r="AC55" s="74"/>
      <c r="AD55" s="74"/>
      <c r="AF55" s="74"/>
      <c r="AG55" s="74"/>
      <c r="AH55" s="74"/>
      <c r="AI55" s="74"/>
      <c r="AK55" s="74"/>
      <c r="AL55" s="74"/>
      <c r="AM55" s="74"/>
      <c r="AN55" s="74"/>
      <c r="AP55" s="74"/>
      <c r="AQ55" s="74"/>
      <c r="AR55" s="74"/>
      <c r="AS55" s="74"/>
      <c r="AU55" s="74"/>
      <c r="AV55" s="74"/>
      <c r="AW55" s="74"/>
      <c r="AX55" s="74"/>
      <c r="AZ55" s="74"/>
      <c r="BA55" s="74"/>
      <c r="BB55" s="74"/>
      <c r="BC55" s="74"/>
      <c r="BE55" s="74"/>
      <c r="BF55" s="74"/>
      <c r="BG55" s="74"/>
      <c r="BH55" s="74"/>
      <c r="BJ55" s="74"/>
      <c r="BK55" s="74"/>
      <c r="BL55" s="74"/>
      <c r="BM55" s="74"/>
      <c r="BO55" s="74"/>
      <c r="BP55" s="74"/>
      <c r="BQ55" s="74"/>
      <c r="BR55" s="74"/>
      <c r="BS55" s="56"/>
      <c r="BT55" s="776"/>
      <c r="BU55" s="776"/>
      <c r="BV55" s="776"/>
      <c r="BW55" s="776"/>
      <c r="BX55" s="56"/>
      <c r="BY55" s="776"/>
      <c r="BZ55" s="776"/>
      <c r="CA55" s="776"/>
      <c r="CB55" s="776"/>
      <c r="CC55" s="56"/>
      <c r="CD55" s="56"/>
      <c r="CE55" s="56"/>
      <c r="CF55" s="56"/>
      <c r="CG55" s="56"/>
      <c r="CH55" s="56"/>
    </row>
    <row r="56" spans="1:86">
      <c r="A56" s="9"/>
      <c r="B56" s="9"/>
      <c r="C56" s="9"/>
      <c r="D56" s="9"/>
      <c r="E56" s="9"/>
      <c r="F56" s="9"/>
      <c r="G56" s="9"/>
      <c r="H56" s="70"/>
      <c r="I56" s="56"/>
      <c r="J56" s="638"/>
      <c r="K56" s="637"/>
      <c r="L56" s="74"/>
      <c r="M56" s="74"/>
      <c r="N56" s="74"/>
      <c r="O56" s="74"/>
      <c r="V56" s="74"/>
      <c r="W56" s="74"/>
      <c r="X56" s="74"/>
      <c r="Y56" s="74"/>
      <c r="AA56" s="74"/>
      <c r="AB56" s="74"/>
      <c r="AC56" s="74"/>
      <c r="AD56" s="74"/>
      <c r="AF56" s="74"/>
      <c r="AG56" s="74"/>
      <c r="AH56" s="74"/>
      <c r="AI56" s="74"/>
      <c r="AK56" s="74"/>
      <c r="AL56" s="74"/>
      <c r="AM56" s="74"/>
      <c r="AN56" s="74"/>
      <c r="AP56" s="74"/>
      <c r="AQ56" s="74"/>
      <c r="AR56" s="74"/>
      <c r="AS56" s="74"/>
      <c r="AU56" s="74"/>
      <c r="AV56" s="74"/>
      <c r="AW56" s="74"/>
      <c r="AX56" s="74"/>
      <c r="AZ56" s="74"/>
      <c r="BA56" s="74"/>
      <c r="BB56" s="74"/>
      <c r="BC56" s="74"/>
      <c r="BE56" s="74"/>
      <c r="BF56" s="74"/>
      <c r="BG56" s="74"/>
      <c r="BH56" s="74"/>
      <c r="BJ56" s="74"/>
      <c r="BK56" s="74"/>
      <c r="BL56" s="74"/>
      <c r="BM56" s="74"/>
      <c r="BO56" s="74"/>
      <c r="BP56" s="74"/>
      <c r="BQ56" s="74"/>
      <c r="BR56" s="74"/>
      <c r="BS56" s="56"/>
      <c r="BT56" s="776"/>
      <c r="BU56" s="776"/>
      <c r="BV56" s="776"/>
      <c r="BW56" s="776"/>
      <c r="BX56" s="56"/>
      <c r="BY56" s="776"/>
      <c r="BZ56" s="776"/>
      <c r="CA56" s="776"/>
      <c r="CB56" s="776"/>
      <c r="CC56" s="56"/>
      <c r="CD56" s="56"/>
      <c r="CE56" s="56"/>
      <c r="CF56" s="56"/>
      <c r="CG56" s="56"/>
      <c r="CH56" s="56"/>
    </row>
    <row r="57" spans="1:86">
      <c r="A57" s="9"/>
      <c r="B57" s="9"/>
      <c r="C57" s="9"/>
      <c r="D57" s="9"/>
      <c r="E57" s="9"/>
      <c r="F57" s="9"/>
      <c r="G57" s="9"/>
      <c r="H57" s="70"/>
      <c r="I57" s="56"/>
      <c r="J57" s="638"/>
      <c r="K57" s="56"/>
      <c r="L57" s="74"/>
      <c r="M57" s="74"/>
      <c r="N57" s="74"/>
      <c r="O57" s="74"/>
      <c r="P57" s="639"/>
      <c r="Q57" s="640"/>
      <c r="R57" s="640"/>
      <c r="S57" s="640"/>
      <c r="T57" s="640"/>
      <c r="V57" s="74"/>
      <c r="W57" s="74"/>
      <c r="X57" s="74"/>
      <c r="Y57" s="74"/>
      <c r="AA57" s="74"/>
      <c r="AB57" s="74"/>
      <c r="AC57" s="74"/>
      <c r="AD57" s="74"/>
      <c r="AF57" s="74"/>
      <c r="AG57" s="74"/>
      <c r="AH57" s="74"/>
      <c r="AI57" s="74"/>
      <c r="AK57" s="74"/>
      <c r="AL57" s="74"/>
      <c r="AM57" s="74"/>
      <c r="AN57" s="74"/>
      <c r="AP57" s="74"/>
      <c r="AQ57" s="74"/>
      <c r="AR57" s="74"/>
      <c r="AS57" s="74"/>
      <c r="AU57" s="74"/>
      <c r="AV57" s="74"/>
      <c r="AW57" s="74"/>
      <c r="AX57" s="74"/>
      <c r="AZ57" s="74"/>
      <c r="BA57" s="74"/>
      <c r="BB57" s="74"/>
      <c r="BC57" s="74"/>
      <c r="BE57" s="74"/>
      <c r="BF57" s="74"/>
      <c r="BG57" s="74"/>
      <c r="BH57" s="74"/>
      <c r="BJ57" s="74"/>
      <c r="BK57" s="74"/>
      <c r="BL57" s="74"/>
      <c r="BM57" s="74"/>
      <c r="BO57" s="74"/>
      <c r="BP57" s="74"/>
      <c r="BQ57" s="74"/>
      <c r="BR57" s="74"/>
      <c r="BT57" s="74"/>
      <c r="BU57" s="74"/>
      <c r="BV57" s="74"/>
      <c r="BW57" s="74"/>
      <c r="BY57" s="74"/>
      <c r="BZ57" s="74"/>
      <c r="CA57" s="74"/>
      <c r="CB57" s="74"/>
    </row>
    <row r="58" spans="1:86">
      <c r="A58" s="9"/>
      <c r="B58" s="9"/>
      <c r="C58" s="9"/>
      <c r="D58" s="9"/>
      <c r="E58" s="9"/>
      <c r="F58" s="9"/>
      <c r="G58" s="9"/>
      <c r="H58" s="70"/>
      <c r="I58" s="56"/>
      <c r="J58" s="638"/>
      <c r="K58" s="56"/>
      <c r="L58" s="74"/>
      <c r="M58" s="74"/>
      <c r="N58" s="74"/>
      <c r="O58" s="74"/>
      <c r="P58" s="641"/>
      <c r="Q58" s="642"/>
      <c r="R58" s="642"/>
      <c r="S58" s="642"/>
      <c r="T58" s="642"/>
      <c r="V58" s="74"/>
      <c r="W58" s="74"/>
      <c r="X58" s="74"/>
      <c r="Y58" s="74"/>
      <c r="AA58" s="74"/>
      <c r="AB58" s="74"/>
      <c r="AC58" s="74"/>
      <c r="AD58" s="74"/>
      <c r="AF58" s="74"/>
      <c r="AG58" s="74"/>
      <c r="AH58" s="74"/>
      <c r="AI58" s="74"/>
      <c r="AK58" s="74"/>
      <c r="AL58" s="74"/>
      <c r="AM58" s="74"/>
      <c r="AN58" s="74"/>
      <c r="AP58" s="74"/>
      <c r="AQ58" s="74"/>
      <c r="AR58" s="74"/>
      <c r="AS58" s="74"/>
      <c r="AU58" s="74"/>
      <c r="AV58" s="74"/>
      <c r="AW58" s="74"/>
      <c r="AX58" s="74"/>
      <c r="AZ58" s="74"/>
      <c r="BA58" s="74"/>
      <c r="BB58" s="74"/>
      <c r="BC58" s="74"/>
      <c r="BE58" s="74"/>
      <c r="BF58" s="74"/>
      <c r="BG58" s="74"/>
      <c r="BH58" s="74"/>
      <c r="BJ58" s="74"/>
      <c r="BK58" s="74"/>
      <c r="BL58" s="74"/>
      <c r="BM58" s="74"/>
      <c r="BO58" s="74"/>
      <c r="BP58" s="74"/>
      <c r="BQ58" s="74"/>
      <c r="BR58" s="74"/>
      <c r="BT58" s="74"/>
      <c r="BU58" s="74"/>
      <c r="BV58" s="74"/>
      <c r="BW58" s="74"/>
      <c r="BY58" s="74"/>
      <c r="BZ58" s="74"/>
      <c r="CA58" s="74"/>
      <c r="CB58" s="74"/>
    </row>
    <row r="59" spans="1:86" ht="5.25" customHeight="1">
      <c r="A59" s="9"/>
      <c r="B59" s="9"/>
      <c r="C59" s="9"/>
      <c r="D59" s="9"/>
      <c r="E59" s="9"/>
      <c r="F59" s="9"/>
      <c r="G59" s="9"/>
      <c r="H59" s="56"/>
      <c r="I59" s="56"/>
      <c r="J59" s="56"/>
      <c r="L59" s="74"/>
      <c r="M59" s="74"/>
      <c r="N59" s="74"/>
      <c r="O59" s="74"/>
      <c r="P59" s="643"/>
      <c r="Q59" s="642"/>
      <c r="R59" s="642"/>
      <c r="S59" s="642"/>
      <c r="T59" s="642"/>
      <c r="V59" s="74"/>
      <c r="W59" s="74"/>
      <c r="X59" s="74"/>
      <c r="Y59" s="74"/>
      <c r="AA59" s="74"/>
      <c r="AB59" s="74"/>
      <c r="AC59" s="74"/>
      <c r="AD59" s="74"/>
      <c r="AF59" s="74"/>
      <c r="AG59" s="74"/>
      <c r="AH59" s="74"/>
      <c r="AI59" s="74"/>
      <c r="AK59" s="74"/>
      <c r="AL59" s="74"/>
      <c r="AM59" s="74"/>
      <c r="AN59" s="74"/>
      <c r="AP59" s="74"/>
      <c r="AQ59" s="74"/>
      <c r="AR59" s="74"/>
      <c r="AS59" s="74"/>
      <c r="AU59" s="74"/>
      <c r="AV59" s="74"/>
      <c r="AW59" s="74"/>
      <c r="AX59" s="74"/>
      <c r="AZ59" s="74"/>
      <c r="BA59" s="74"/>
      <c r="BB59" s="74"/>
      <c r="BC59" s="74"/>
      <c r="BE59" s="74"/>
      <c r="BF59" s="74"/>
      <c r="BG59" s="74"/>
      <c r="BH59" s="74"/>
      <c r="BJ59" s="74"/>
      <c r="BK59" s="74"/>
      <c r="BL59" s="74"/>
      <c r="BM59" s="74"/>
      <c r="BO59" s="74"/>
      <c r="BP59" s="74"/>
      <c r="BQ59" s="74"/>
      <c r="BR59" s="74"/>
      <c r="BT59" s="74"/>
      <c r="BU59" s="74"/>
      <c r="BV59" s="74"/>
      <c r="BW59" s="74"/>
      <c r="BY59" s="74"/>
      <c r="BZ59" s="74"/>
      <c r="CA59" s="74"/>
      <c r="CB59" s="74"/>
    </row>
    <row r="60" spans="1:86">
      <c r="H60" s="644"/>
      <c r="J60" s="48"/>
    </row>
  </sheetData>
  <phoneticPr fontId="3" type="noConversion"/>
  <conditionalFormatting sqref="L9:CH9">
    <cfRule type="expression" dxfId="0" priority="4" stopIfTrue="1">
      <formula>L$4&lt;=$K$5</formula>
    </cfRule>
  </conditionalFormatting>
  <pageMargins left="0.5" right="0.5" top="0.5" bottom="0.5" header="0.5" footer="0.5"/>
  <pageSetup scale="84" orientation="portrait" horizontalDpi="1200" verticalDpi="1200"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43"/>
  <sheetViews>
    <sheetView workbookViewId="0">
      <selection activeCell="B42" sqref="B42"/>
    </sheetView>
  </sheetViews>
  <sheetFormatPr defaultRowHeight="12.75"/>
  <cols>
    <col min="1" max="1" width="29.5703125" style="1270" bestFit="1" customWidth="1"/>
    <col min="2" max="2" width="19.85546875" style="1292" customWidth="1"/>
    <col min="3" max="3" width="12" style="1270" bestFit="1" customWidth="1"/>
    <col min="4" max="256" width="9.140625" style="1270"/>
    <col min="257" max="257" width="29.5703125" style="1270" bestFit="1" customWidth="1"/>
    <col min="258" max="258" width="19.85546875" style="1270" customWidth="1"/>
    <col min="259" max="259" width="12" style="1270" bestFit="1" customWidth="1"/>
    <col min="260" max="512" width="9.140625" style="1270"/>
    <col min="513" max="513" width="29.5703125" style="1270" bestFit="1" customWidth="1"/>
    <col min="514" max="514" width="19.85546875" style="1270" customWidth="1"/>
    <col min="515" max="515" width="12" style="1270" bestFit="1" customWidth="1"/>
    <col min="516" max="768" width="9.140625" style="1270"/>
    <col min="769" max="769" width="29.5703125" style="1270" bestFit="1" customWidth="1"/>
    <col min="770" max="770" width="19.85546875" style="1270" customWidth="1"/>
    <col min="771" max="771" width="12" style="1270" bestFit="1" customWidth="1"/>
    <col min="772" max="1024" width="9.140625" style="1270"/>
    <col min="1025" max="1025" width="29.5703125" style="1270" bestFit="1" customWidth="1"/>
    <col min="1026" max="1026" width="19.85546875" style="1270" customWidth="1"/>
    <col min="1027" max="1027" width="12" style="1270" bestFit="1" customWidth="1"/>
    <col min="1028" max="1280" width="9.140625" style="1270"/>
    <col min="1281" max="1281" width="29.5703125" style="1270" bestFit="1" customWidth="1"/>
    <col min="1282" max="1282" width="19.85546875" style="1270" customWidth="1"/>
    <col min="1283" max="1283" width="12" style="1270" bestFit="1" customWidth="1"/>
    <col min="1284" max="1536" width="9.140625" style="1270"/>
    <col min="1537" max="1537" width="29.5703125" style="1270" bestFit="1" customWidth="1"/>
    <col min="1538" max="1538" width="19.85546875" style="1270" customWidth="1"/>
    <col min="1539" max="1539" width="12" style="1270" bestFit="1" customWidth="1"/>
    <col min="1540" max="1792" width="9.140625" style="1270"/>
    <col min="1793" max="1793" width="29.5703125" style="1270" bestFit="1" customWidth="1"/>
    <col min="1794" max="1794" width="19.85546875" style="1270" customWidth="1"/>
    <col min="1795" max="1795" width="12" style="1270" bestFit="1" customWidth="1"/>
    <col min="1796" max="2048" width="9.140625" style="1270"/>
    <col min="2049" max="2049" width="29.5703125" style="1270" bestFit="1" customWidth="1"/>
    <col min="2050" max="2050" width="19.85546875" style="1270" customWidth="1"/>
    <col min="2051" max="2051" width="12" style="1270" bestFit="1" customWidth="1"/>
    <col min="2052" max="2304" width="9.140625" style="1270"/>
    <col min="2305" max="2305" width="29.5703125" style="1270" bestFit="1" customWidth="1"/>
    <col min="2306" max="2306" width="19.85546875" style="1270" customWidth="1"/>
    <col min="2307" max="2307" width="12" style="1270" bestFit="1" customWidth="1"/>
    <col min="2308" max="2560" width="9.140625" style="1270"/>
    <col min="2561" max="2561" width="29.5703125" style="1270" bestFit="1" customWidth="1"/>
    <col min="2562" max="2562" width="19.85546875" style="1270" customWidth="1"/>
    <col min="2563" max="2563" width="12" style="1270" bestFit="1" customWidth="1"/>
    <col min="2564" max="2816" width="9.140625" style="1270"/>
    <col min="2817" max="2817" width="29.5703125" style="1270" bestFit="1" customWidth="1"/>
    <col min="2818" max="2818" width="19.85546875" style="1270" customWidth="1"/>
    <col min="2819" max="2819" width="12" style="1270" bestFit="1" customWidth="1"/>
    <col min="2820" max="3072" width="9.140625" style="1270"/>
    <col min="3073" max="3073" width="29.5703125" style="1270" bestFit="1" customWidth="1"/>
    <col min="3074" max="3074" width="19.85546875" style="1270" customWidth="1"/>
    <col min="3075" max="3075" width="12" style="1270" bestFit="1" customWidth="1"/>
    <col min="3076" max="3328" width="9.140625" style="1270"/>
    <col min="3329" max="3329" width="29.5703125" style="1270" bestFit="1" customWidth="1"/>
    <col min="3330" max="3330" width="19.85546875" style="1270" customWidth="1"/>
    <col min="3331" max="3331" width="12" style="1270" bestFit="1" customWidth="1"/>
    <col min="3332" max="3584" width="9.140625" style="1270"/>
    <col min="3585" max="3585" width="29.5703125" style="1270" bestFit="1" customWidth="1"/>
    <col min="3586" max="3586" width="19.85546875" style="1270" customWidth="1"/>
    <col min="3587" max="3587" width="12" style="1270" bestFit="1" customWidth="1"/>
    <col min="3588" max="3840" width="9.140625" style="1270"/>
    <col min="3841" max="3841" width="29.5703125" style="1270" bestFit="1" customWidth="1"/>
    <col min="3842" max="3842" width="19.85546875" style="1270" customWidth="1"/>
    <col min="3843" max="3843" width="12" style="1270" bestFit="1" customWidth="1"/>
    <col min="3844" max="4096" width="9.140625" style="1270"/>
    <col min="4097" max="4097" width="29.5703125" style="1270" bestFit="1" customWidth="1"/>
    <col min="4098" max="4098" width="19.85546875" style="1270" customWidth="1"/>
    <col min="4099" max="4099" width="12" style="1270" bestFit="1" customWidth="1"/>
    <col min="4100" max="4352" width="9.140625" style="1270"/>
    <col min="4353" max="4353" width="29.5703125" style="1270" bestFit="1" customWidth="1"/>
    <col min="4354" max="4354" width="19.85546875" style="1270" customWidth="1"/>
    <col min="4355" max="4355" width="12" style="1270" bestFit="1" customWidth="1"/>
    <col min="4356" max="4608" width="9.140625" style="1270"/>
    <col min="4609" max="4609" width="29.5703125" style="1270" bestFit="1" customWidth="1"/>
    <col min="4610" max="4610" width="19.85546875" style="1270" customWidth="1"/>
    <col min="4611" max="4611" width="12" style="1270" bestFit="1" customWidth="1"/>
    <col min="4612" max="4864" width="9.140625" style="1270"/>
    <col min="4865" max="4865" width="29.5703125" style="1270" bestFit="1" customWidth="1"/>
    <col min="4866" max="4866" width="19.85546875" style="1270" customWidth="1"/>
    <col min="4867" max="4867" width="12" style="1270" bestFit="1" customWidth="1"/>
    <col min="4868" max="5120" width="9.140625" style="1270"/>
    <col min="5121" max="5121" width="29.5703125" style="1270" bestFit="1" customWidth="1"/>
    <col min="5122" max="5122" width="19.85546875" style="1270" customWidth="1"/>
    <col min="5123" max="5123" width="12" style="1270" bestFit="1" customWidth="1"/>
    <col min="5124" max="5376" width="9.140625" style="1270"/>
    <col min="5377" max="5377" width="29.5703125" style="1270" bestFit="1" customWidth="1"/>
    <col min="5378" max="5378" width="19.85546875" style="1270" customWidth="1"/>
    <col min="5379" max="5379" width="12" style="1270" bestFit="1" customWidth="1"/>
    <col min="5380" max="5632" width="9.140625" style="1270"/>
    <col min="5633" max="5633" width="29.5703125" style="1270" bestFit="1" customWidth="1"/>
    <col min="5634" max="5634" width="19.85546875" style="1270" customWidth="1"/>
    <col min="5635" max="5635" width="12" style="1270" bestFit="1" customWidth="1"/>
    <col min="5636" max="5888" width="9.140625" style="1270"/>
    <col min="5889" max="5889" width="29.5703125" style="1270" bestFit="1" customWidth="1"/>
    <col min="5890" max="5890" width="19.85546875" style="1270" customWidth="1"/>
    <col min="5891" max="5891" width="12" style="1270" bestFit="1" customWidth="1"/>
    <col min="5892" max="6144" width="9.140625" style="1270"/>
    <col min="6145" max="6145" width="29.5703125" style="1270" bestFit="1" customWidth="1"/>
    <col min="6146" max="6146" width="19.85546875" style="1270" customWidth="1"/>
    <col min="6147" max="6147" width="12" style="1270" bestFit="1" customWidth="1"/>
    <col min="6148" max="6400" width="9.140625" style="1270"/>
    <col min="6401" max="6401" width="29.5703125" style="1270" bestFit="1" customWidth="1"/>
    <col min="6402" max="6402" width="19.85546875" style="1270" customWidth="1"/>
    <col min="6403" max="6403" width="12" style="1270" bestFit="1" customWidth="1"/>
    <col min="6404" max="6656" width="9.140625" style="1270"/>
    <col min="6657" max="6657" width="29.5703125" style="1270" bestFit="1" customWidth="1"/>
    <col min="6658" max="6658" width="19.85546875" style="1270" customWidth="1"/>
    <col min="6659" max="6659" width="12" style="1270" bestFit="1" customWidth="1"/>
    <col min="6660" max="6912" width="9.140625" style="1270"/>
    <col min="6913" max="6913" width="29.5703125" style="1270" bestFit="1" customWidth="1"/>
    <col min="6914" max="6914" width="19.85546875" style="1270" customWidth="1"/>
    <col min="6915" max="6915" width="12" style="1270" bestFit="1" customWidth="1"/>
    <col min="6916" max="7168" width="9.140625" style="1270"/>
    <col min="7169" max="7169" width="29.5703125" style="1270" bestFit="1" customWidth="1"/>
    <col min="7170" max="7170" width="19.85546875" style="1270" customWidth="1"/>
    <col min="7171" max="7171" width="12" style="1270" bestFit="1" customWidth="1"/>
    <col min="7172" max="7424" width="9.140625" style="1270"/>
    <col min="7425" max="7425" width="29.5703125" style="1270" bestFit="1" customWidth="1"/>
    <col min="7426" max="7426" width="19.85546875" style="1270" customWidth="1"/>
    <col min="7427" max="7427" width="12" style="1270" bestFit="1" customWidth="1"/>
    <col min="7428" max="7680" width="9.140625" style="1270"/>
    <col min="7681" max="7681" width="29.5703125" style="1270" bestFit="1" customWidth="1"/>
    <col min="7682" max="7682" width="19.85546875" style="1270" customWidth="1"/>
    <col min="7683" max="7683" width="12" style="1270" bestFit="1" customWidth="1"/>
    <col min="7684" max="7936" width="9.140625" style="1270"/>
    <col min="7937" max="7937" width="29.5703125" style="1270" bestFit="1" customWidth="1"/>
    <col min="7938" max="7938" width="19.85546875" style="1270" customWidth="1"/>
    <col min="7939" max="7939" width="12" style="1270" bestFit="1" customWidth="1"/>
    <col min="7940" max="8192" width="9.140625" style="1270"/>
    <col min="8193" max="8193" width="29.5703125" style="1270" bestFit="1" customWidth="1"/>
    <col min="8194" max="8194" width="19.85546875" style="1270" customWidth="1"/>
    <col min="8195" max="8195" width="12" style="1270" bestFit="1" customWidth="1"/>
    <col min="8196" max="8448" width="9.140625" style="1270"/>
    <col min="8449" max="8449" width="29.5703125" style="1270" bestFit="1" customWidth="1"/>
    <col min="8450" max="8450" width="19.85546875" style="1270" customWidth="1"/>
    <col min="8451" max="8451" width="12" style="1270" bestFit="1" customWidth="1"/>
    <col min="8452" max="8704" width="9.140625" style="1270"/>
    <col min="8705" max="8705" width="29.5703125" style="1270" bestFit="1" customWidth="1"/>
    <col min="8706" max="8706" width="19.85546875" style="1270" customWidth="1"/>
    <col min="8707" max="8707" width="12" style="1270" bestFit="1" customWidth="1"/>
    <col min="8708" max="8960" width="9.140625" style="1270"/>
    <col min="8961" max="8961" width="29.5703125" style="1270" bestFit="1" customWidth="1"/>
    <col min="8962" max="8962" width="19.85546875" style="1270" customWidth="1"/>
    <col min="8963" max="8963" width="12" style="1270" bestFit="1" customWidth="1"/>
    <col min="8964" max="9216" width="9.140625" style="1270"/>
    <col min="9217" max="9217" width="29.5703125" style="1270" bestFit="1" customWidth="1"/>
    <col min="9218" max="9218" width="19.85546875" style="1270" customWidth="1"/>
    <col min="9219" max="9219" width="12" style="1270" bestFit="1" customWidth="1"/>
    <col min="9220" max="9472" width="9.140625" style="1270"/>
    <col min="9473" max="9473" width="29.5703125" style="1270" bestFit="1" customWidth="1"/>
    <col min="9474" max="9474" width="19.85546875" style="1270" customWidth="1"/>
    <col min="9475" max="9475" width="12" style="1270" bestFit="1" customWidth="1"/>
    <col min="9476" max="9728" width="9.140625" style="1270"/>
    <col min="9729" max="9729" width="29.5703125" style="1270" bestFit="1" customWidth="1"/>
    <col min="9730" max="9730" width="19.85546875" style="1270" customWidth="1"/>
    <col min="9731" max="9731" width="12" style="1270" bestFit="1" customWidth="1"/>
    <col min="9732" max="9984" width="9.140625" style="1270"/>
    <col min="9985" max="9985" width="29.5703125" style="1270" bestFit="1" customWidth="1"/>
    <col min="9986" max="9986" width="19.85546875" style="1270" customWidth="1"/>
    <col min="9987" max="9987" width="12" style="1270" bestFit="1" customWidth="1"/>
    <col min="9988" max="10240" width="9.140625" style="1270"/>
    <col min="10241" max="10241" width="29.5703125" style="1270" bestFit="1" customWidth="1"/>
    <col min="10242" max="10242" width="19.85546875" style="1270" customWidth="1"/>
    <col min="10243" max="10243" width="12" style="1270" bestFit="1" customWidth="1"/>
    <col min="10244" max="10496" width="9.140625" style="1270"/>
    <col min="10497" max="10497" width="29.5703125" style="1270" bestFit="1" customWidth="1"/>
    <col min="10498" max="10498" width="19.85546875" style="1270" customWidth="1"/>
    <col min="10499" max="10499" width="12" style="1270" bestFit="1" customWidth="1"/>
    <col min="10500" max="10752" width="9.140625" style="1270"/>
    <col min="10753" max="10753" width="29.5703125" style="1270" bestFit="1" customWidth="1"/>
    <col min="10754" max="10754" width="19.85546875" style="1270" customWidth="1"/>
    <col min="10755" max="10755" width="12" style="1270" bestFit="1" customWidth="1"/>
    <col min="10756" max="11008" width="9.140625" style="1270"/>
    <col min="11009" max="11009" width="29.5703125" style="1270" bestFit="1" customWidth="1"/>
    <col min="11010" max="11010" width="19.85546875" style="1270" customWidth="1"/>
    <col min="11011" max="11011" width="12" style="1270" bestFit="1" customWidth="1"/>
    <col min="11012" max="11264" width="9.140625" style="1270"/>
    <col min="11265" max="11265" width="29.5703125" style="1270" bestFit="1" customWidth="1"/>
    <col min="11266" max="11266" width="19.85546875" style="1270" customWidth="1"/>
    <col min="11267" max="11267" width="12" style="1270" bestFit="1" customWidth="1"/>
    <col min="11268" max="11520" width="9.140625" style="1270"/>
    <col min="11521" max="11521" width="29.5703125" style="1270" bestFit="1" customWidth="1"/>
    <col min="11522" max="11522" width="19.85546875" style="1270" customWidth="1"/>
    <col min="11523" max="11523" width="12" style="1270" bestFit="1" customWidth="1"/>
    <col min="11524" max="11776" width="9.140625" style="1270"/>
    <col min="11777" max="11777" width="29.5703125" style="1270" bestFit="1" customWidth="1"/>
    <col min="11778" max="11778" width="19.85546875" style="1270" customWidth="1"/>
    <col min="11779" max="11779" width="12" style="1270" bestFit="1" customWidth="1"/>
    <col min="11780" max="12032" width="9.140625" style="1270"/>
    <col min="12033" max="12033" width="29.5703125" style="1270" bestFit="1" customWidth="1"/>
    <col min="12034" max="12034" width="19.85546875" style="1270" customWidth="1"/>
    <col min="12035" max="12035" width="12" style="1270" bestFit="1" customWidth="1"/>
    <col min="12036" max="12288" width="9.140625" style="1270"/>
    <col min="12289" max="12289" width="29.5703125" style="1270" bestFit="1" customWidth="1"/>
    <col min="12290" max="12290" width="19.85546875" style="1270" customWidth="1"/>
    <col min="12291" max="12291" width="12" style="1270" bestFit="1" customWidth="1"/>
    <col min="12292" max="12544" width="9.140625" style="1270"/>
    <col min="12545" max="12545" width="29.5703125" style="1270" bestFit="1" customWidth="1"/>
    <col min="12546" max="12546" width="19.85546875" style="1270" customWidth="1"/>
    <col min="12547" max="12547" width="12" style="1270" bestFit="1" customWidth="1"/>
    <col min="12548" max="12800" width="9.140625" style="1270"/>
    <col min="12801" max="12801" width="29.5703125" style="1270" bestFit="1" customWidth="1"/>
    <col min="12802" max="12802" width="19.85546875" style="1270" customWidth="1"/>
    <col min="12803" max="12803" width="12" style="1270" bestFit="1" customWidth="1"/>
    <col min="12804" max="13056" width="9.140625" style="1270"/>
    <col min="13057" max="13057" width="29.5703125" style="1270" bestFit="1" customWidth="1"/>
    <col min="13058" max="13058" width="19.85546875" style="1270" customWidth="1"/>
    <col min="13059" max="13059" width="12" style="1270" bestFit="1" customWidth="1"/>
    <col min="13060" max="13312" width="9.140625" style="1270"/>
    <col min="13313" max="13313" width="29.5703125" style="1270" bestFit="1" customWidth="1"/>
    <col min="13314" max="13314" width="19.85546875" style="1270" customWidth="1"/>
    <col min="13315" max="13315" width="12" style="1270" bestFit="1" customWidth="1"/>
    <col min="13316" max="13568" width="9.140625" style="1270"/>
    <col min="13569" max="13569" width="29.5703125" style="1270" bestFit="1" customWidth="1"/>
    <col min="13570" max="13570" width="19.85546875" style="1270" customWidth="1"/>
    <col min="13571" max="13571" width="12" style="1270" bestFit="1" customWidth="1"/>
    <col min="13572" max="13824" width="9.140625" style="1270"/>
    <col min="13825" max="13825" width="29.5703125" style="1270" bestFit="1" customWidth="1"/>
    <col min="13826" max="13826" width="19.85546875" style="1270" customWidth="1"/>
    <col min="13827" max="13827" width="12" style="1270" bestFit="1" customWidth="1"/>
    <col min="13828" max="14080" width="9.140625" style="1270"/>
    <col min="14081" max="14081" width="29.5703125" style="1270" bestFit="1" customWidth="1"/>
    <col min="14082" max="14082" width="19.85546875" style="1270" customWidth="1"/>
    <col min="14083" max="14083" width="12" style="1270" bestFit="1" customWidth="1"/>
    <col min="14084" max="14336" width="9.140625" style="1270"/>
    <col min="14337" max="14337" width="29.5703125" style="1270" bestFit="1" customWidth="1"/>
    <col min="14338" max="14338" width="19.85546875" style="1270" customWidth="1"/>
    <col min="14339" max="14339" width="12" style="1270" bestFit="1" customWidth="1"/>
    <col min="14340" max="14592" width="9.140625" style="1270"/>
    <col min="14593" max="14593" width="29.5703125" style="1270" bestFit="1" customWidth="1"/>
    <col min="14594" max="14594" width="19.85546875" style="1270" customWidth="1"/>
    <col min="14595" max="14595" width="12" style="1270" bestFit="1" customWidth="1"/>
    <col min="14596" max="14848" width="9.140625" style="1270"/>
    <col min="14849" max="14849" width="29.5703125" style="1270" bestFit="1" customWidth="1"/>
    <col min="14850" max="14850" width="19.85546875" style="1270" customWidth="1"/>
    <col min="14851" max="14851" width="12" style="1270" bestFit="1" customWidth="1"/>
    <col min="14852" max="15104" width="9.140625" style="1270"/>
    <col min="15105" max="15105" width="29.5703125" style="1270" bestFit="1" customWidth="1"/>
    <col min="15106" max="15106" width="19.85546875" style="1270" customWidth="1"/>
    <col min="15107" max="15107" width="12" style="1270" bestFit="1" customWidth="1"/>
    <col min="15108" max="15360" width="9.140625" style="1270"/>
    <col min="15361" max="15361" width="29.5703125" style="1270" bestFit="1" customWidth="1"/>
    <col min="15362" max="15362" width="19.85546875" style="1270" customWidth="1"/>
    <col min="15363" max="15363" width="12" style="1270" bestFit="1" customWidth="1"/>
    <col min="15364" max="15616" width="9.140625" style="1270"/>
    <col min="15617" max="15617" width="29.5703125" style="1270" bestFit="1" customWidth="1"/>
    <col min="15618" max="15618" width="19.85546875" style="1270" customWidth="1"/>
    <col min="15619" max="15619" width="12" style="1270" bestFit="1" customWidth="1"/>
    <col min="15620" max="15872" width="9.140625" style="1270"/>
    <col min="15873" max="15873" width="29.5703125" style="1270" bestFit="1" customWidth="1"/>
    <col min="15874" max="15874" width="19.85546875" style="1270" customWidth="1"/>
    <col min="15875" max="15875" width="12" style="1270" bestFit="1" customWidth="1"/>
    <col min="15876" max="16128" width="9.140625" style="1270"/>
    <col min="16129" max="16129" width="29.5703125" style="1270" bestFit="1" customWidth="1"/>
    <col min="16130" max="16130" width="19.85546875" style="1270" customWidth="1"/>
    <col min="16131" max="16131" width="12" style="1270" bestFit="1" customWidth="1"/>
    <col min="16132" max="16384" width="9.140625" style="1270"/>
  </cols>
  <sheetData>
    <row r="1" spans="1:2">
      <c r="A1" s="1270" t="s">
        <v>1488</v>
      </c>
      <c r="B1" s="1291">
        <v>6.1</v>
      </c>
    </row>
    <row r="2" spans="1:2">
      <c r="A2" s="1270" t="s">
        <v>1489</v>
      </c>
      <c r="B2" s="1295">
        <v>43215.727997685186</v>
      </c>
    </row>
    <row r="3" spans="1:2">
      <c r="A3" s="1270" t="s">
        <v>1490</v>
      </c>
      <c r="B3" s="1292" t="s">
        <v>1184</v>
      </c>
    </row>
    <row r="4" spans="1:2">
      <c r="A4" s="1270" t="s">
        <v>1491</v>
      </c>
      <c r="B4" s="1292" t="s">
        <v>1492</v>
      </c>
    </row>
    <row r="5" spans="1:2">
      <c r="A5" s="1270" t="s">
        <v>1493</v>
      </c>
      <c r="B5" s="1292" t="s">
        <v>1494</v>
      </c>
    </row>
    <row r="6" spans="1:2">
      <c r="A6" s="1270" t="s">
        <v>1495</v>
      </c>
    </row>
    <row r="7" spans="1:2">
      <c r="A7" s="1270" t="s">
        <v>1496</v>
      </c>
      <c r="B7" s="1292" t="s">
        <v>376</v>
      </c>
    </row>
    <row r="8" spans="1:2">
      <c r="A8" s="1270" t="s">
        <v>1497</v>
      </c>
      <c r="B8" s="1292" t="s">
        <v>1498</v>
      </c>
    </row>
    <row r="9" spans="1:2">
      <c r="A9" s="1270" t="s">
        <v>749</v>
      </c>
      <c r="B9" s="1292" t="s">
        <v>1536</v>
      </c>
    </row>
    <row r="10" spans="1:2">
      <c r="A10" s="1270" t="s">
        <v>1499</v>
      </c>
    </row>
    <row r="11" spans="1:2">
      <c r="A11" s="1270" t="s">
        <v>1500</v>
      </c>
    </row>
    <row r="12" spans="1:2">
      <c r="A12" s="1270" t="s">
        <v>1501</v>
      </c>
    </row>
    <row r="13" spans="1:2">
      <c r="A13" s="1270" t="s">
        <v>1502</v>
      </c>
    </row>
    <row r="14" spans="1:2">
      <c r="A14" s="1270" t="s">
        <v>1503</v>
      </c>
    </row>
    <row r="15" spans="1:2">
      <c r="A15" s="1270" t="s">
        <v>1504</v>
      </c>
    </row>
    <row r="16" spans="1:2">
      <c r="A16" s="1270" t="s">
        <v>1505</v>
      </c>
    </row>
    <row r="17" spans="1:4">
      <c r="A17" s="1270" t="s">
        <v>1506</v>
      </c>
      <c r="B17" s="1292" t="s">
        <v>1537</v>
      </c>
    </row>
    <row r="18" spans="1:4">
      <c r="A18" s="1270" t="s">
        <v>1507</v>
      </c>
      <c r="B18" s="1292" t="s">
        <v>1185</v>
      </c>
    </row>
    <row r="19" spans="1:4">
      <c r="A19" s="1270" t="s">
        <v>1508</v>
      </c>
      <c r="B19" s="1292" t="s">
        <v>178</v>
      </c>
    </row>
    <row r="20" spans="1:4">
      <c r="A20" s="1270" t="s">
        <v>1509</v>
      </c>
      <c r="B20" s="1293">
        <v>532457108</v>
      </c>
    </row>
    <row r="21" spans="1:4">
      <c r="A21" s="1270" t="s">
        <v>1510</v>
      </c>
      <c r="B21" s="1292" t="s">
        <v>178</v>
      </c>
    </row>
    <row r="22" spans="1:4">
      <c r="A22" s="1270" t="s">
        <v>1511</v>
      </c>
      <c r="B22" s="1293">
        <v>2516152</v>
      </c>
    </row>
    <row r="23" spans="1:4">
      <c r="A23" s="1270" t="s">
        <v>107</v>
      </c>
      <c r="B23" s="1291">
        <v>80.09</v>
      </c>
    </row>
    <row r="24" spans="1:4">
      <c r="A24" s="1270" t="s">
        <v>365</v>
      </c>
      <c r="B24" s="1292" t="s">
        <v>487</v>
      </c>
      <c r="D24" s="1270" t="s">
        <v>1512</v>
      </c>
    </row>
    <row r="25" spans="1:4">
      <c r="A25" s="1270" t="s">
        <v>1513</v>
      </c>
      <c r="B25" s="1292" t="s">
        <v>1540</v>
      </c>
    </row>
    <row r="26" spans="1:4">
      <c r="A26" s="1270" t="s">
        <v>1514</v>
      </c>
      <c r="B26" s="1292">
        <v>0</v>
      </c>
    </row>
    <row r="27" spans="1:4">
      <c r="A27" s="1270" t="s">
        <v>1515</v>
      </c>
      <c r="B27" s="1292" t="s">
        <v>1516</v>
      </c>
    </row>
    <row r="28" spans="1:4">
      <c r="A28" s="1270" t="s">
        <v>1517</v>
      </c>
      <c r="B28" s="1292" t="s">
        <v>1518</v>
      </c>
    </row>
    <row r="29" spans="1:4">
      <c r="A29" s="1270" t="s">
        <v>1519</v>
      </c>
    </row>
    <row r="30" spans="1:4">
      <c r="A30" s="1270" t="s">
        <v>1520</v>
      </c>
    </row>
    <row r="31" spans="1:4">
      <c r="A31" s="1270" t="s">
        <v>1521</v>
      </c>
    </row>
    <row r="32" spans="1:4">
      <c r="A32" s="1270" t="s">
        <v>1522</v>
      </c>
      <c r="B32" s="1291"/>
    </row>
    <row r="33" spans="1:2">
      <c r="A33" s="1270" t="s">
        <v>1523</v>
      </c>
      <c r="B33" s="1291"/>
    </row>
    <row r="34" spans="1:2">
      <c r="A34" s="1270" t="s">
        <v>1524</v>
      </c>
      <c r="B34" s="1291"/>
    </row>
    <row r="35" spans="1:2">
      <c r="A35" s="1270" t="s">
        <v>1525</v>
      </c>
      <c r="B35" s="1292">
        <v>1000000</v>
      </c>
    </row>
    <row r="36" spans="1:2">
      <c r="A36" s="1270" t="s">
        <v>1526</v>
      </c>
      <c r="B36" s="1292" t="s">
        <v>1538</v>
      </c>
    </row>
    <row r="37" spans="1:2">
      <c r="A37" s="1270" t="s">
        <v>1527</v>
      </c>
      <c r="B37" s="1292" t="s">
        <v>1528</v>
      </c>
    </row>
    <row r="38" spans="1:2">
      <c r="A38" s="1270" t="s">
        <v>1529</v>
      </c>
      <c r="B38" s="1292" t="s">
        <v>1530</v>
      </c>
    </row>
    <row r="39" spans="1:2">
      <c r="A39" s="1270" t="s">
        <v>1531</v>
      </c>
      <c r="B39" s="1292" t="s">
        <v>1539</v>
      </c>
    </row>
    <row r="40" spans="1:2">
      <c r="A40" s="1270" t="s">
        <v>1532</v>
      </c>
      <c r="B40" s="1292">
        <v>1900000782</v>
      </c>
    </row>
    <row r="41" spans="1:2">
      <c r="A41" s="1270" t="s">
        <v>1533</v>
      </c>
      <c r="B41" s="1292">
        <v>1</v>
      </c>
    </row>
    <row r="42" spans="1:2">
      <c r="A42" s="1294" t="s">
        <v>1534</v>
      </c>
    </row>
    <row r="43" spans="1:2">
      <c r="A43" s="1270" t="s">
        <v>1535</v>
      </c>
    </row>
  </sheetData>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13"/>
  <sheetViews>
    <sheetView workbookViewId="0">
      <selection activeCell="E11" sqref="E11"/>
    </sheetView>
  </sheetViews>
  <sheetFormatPr defaultRowHeight="12.75"/>
  <cols>
    <col min="1" max="1" width="28.5703125" style="1270" bestFit="1" customWidth="1"/>
    <col min="2" max="256" width="9.140625" style="1270"/>
    <col min="257" max="257" width="28.5703125" style="1270" bestFit="1" customWidth="1"/>
    <col min="258" max="512" width="9.140625" style="1270"/>
    <col min="513" max="513" width="28.5703125" style="1270" bestFit="1" customWidth="1"/>
    <col min="514" max="768" width="9.140625" style="1270"/>
    <col min="769" max="769" width="28.5703125" style="1270" bestFit="1" customWidth="1"/>
    <col min="770" max="1024" width="9.140625" style="1270"/>
    <col min="1025" max="1025" width="28.5703125" style="1270" bestFit="1" customWidth="1"/>
    <col min="1026" max="1280" width="9.140625" style="1270"/>
    <col min="1281" max="1281" width="28.5703125" style="1270" bestFit="1" customWidth="1"/>
    <col min="1282" max="1536" width="9.140625" style="1270"/>
    <col min="1537" max="1537" width="28.5703125" style="1270" bestFit="1" customWidth="1"/>
    <col min="1538" max="1792" width="9.140625" style="1270"/>
    <col min="1793" max="1793" width="28.5703125" style="1270" bestFit="1" customWidth="1"/>
    <col min="1794" max="2048" width="9.140625" style="1270"/>
    <col min="2049" max="2049" width="28.5703125" style="1270" bestFit="1" customWidth="1"/>
    <col min="2050" max="2304" width="9.140625" style="1270"/>
    <col min="2305" max="2305" width="28.5703125" style="1270" bestFit="1" customWidth="1"/>
    <col min="2306" max="2560" width="9.140625" style="1270"/>
    <col min="2561" max="2561" width="28.5703125" style="1270" bestFit="1" customWidth="1"/>
    <col min="2562" max="2816" width="9.140625" style="1270"/>
    <col min="2817" max="2817" width="28.5703125" style="1270" bestFit="1" customWidth="1"/>
    <col min="2818" max="3072" width="9.140625" style="1270"/>
    <col min="3073" max="3073" width="28.5703125" style="1270" bestFit="1" customWidth="1"/>
    <col min="3074" max="3328" width="9.140625" style="1270"/>
    <col min="3329" max="3329" width="28.5703125" style="1270" bestFit="1" customWidth="1"/>
    <col min="3330" max="3584" width="9.140625" style="1270"/>
    <col min="3585" max="3585" width="28.5703125" style="1270" bestFit="1" customWidth="1"/>
    <col min="3586" max="3840" width="9.140625" style="1270"/>
    <col min="3841" max="3841" width="28.5703125" style="1270" bestFit="1" customWidth="1"/>
    <col min="3842" max="4096" width="9.140625" style="1270"/>
    <col min="4097" max="4097" width="28.5703125" style="1270" bestFit="1" customWidth="1"/>
    <col min="4098" max="4352" width="9.140625" style="1270"/>
    <col min="4353" max="4353" width="28.5703125" style="1270" bestFit="1" customWidth="1"/>
    <col min="4354" max="4608" width="9.140625" style="1270"/>
    <col min="4609" max="4609" width="28.5703125" style="1270" bestFit="1" customWidth="1"/>
    <col min="4610" max="4864" width="9.140625" style="1270"/>
    <col min="4865" max="4865" width="28.5703125" style="1270" bestFit="1" customWidth="1"/>
    <col min="4866" max="5120" width="9.140625" style="1270"/>
    <col min="5121" max="5121" width="28.5703125" style="1270" bestFit="1" customWidth="1"/>
    <col min="5122" max="5376" width="9.140625" style="1270"/>
    <col min="5377" max="5377" width="28.5703125" style="1270" bestFit="1" customWidth="1"/>
    <col min="5378" max="5632" width="9.140625" style="1270"/>
    <col min="5633" max="5633" width="28.5703125" style="1270" bestFit="1" customWidth="1"/>
    <col min="5634" max="5888" width="9.140625" style="1270"/>
    <col min="5889" max="5889" width="28.5703125" style="1270" bestFit="1" customWidth="1"/>
    <col min="5890" max="6144" width="9.140625" style="1270"/>
    <col min="6145" max="6145" width="28.5703125" style="1270" bestFit="1" customWidth="1"/>
    <col min="6146" max="6400" width="9.140625" style="1270"/>
    <col min="6401" max="6401" width="28.5703125" style="1270" bestFit="1" customWidth="1"/>
    <col min="6402" max="6656" width="9.140625" style="1270"/>
    <col min="6657" max="6657" width="28.5703125" style="1270" bestFit="1" customWidth="1"/>
    <col min="6658" max="6912" width="9.140625" style="1270"/>
    <col min="6913" max="6913" width="28.5703125" style="1270" bestFit="1" customWidth="1"/>
    <col min="6914" max="7168" width="9.140625" style="1270"/>
    <col min="7169" max="7169" width="28.5703125" style="1270" bestFit="1" customWidth="1"/>
    <col min="7170" max="7424" width="9.140625" style="1270"/>
    <col min="7425" max="7425" width="28.5703125" style="1270" bestFit="1" customWidth="1"/>
    <col min="7426" max="7680" width="9.140625" style="1270"/>
    <col min="7681" max="7681" width="28.5703125" style="1270" bestFit="1" customWidth="1"/>
    <col min="7682" max="7936" width="9.140625" style="1270"/>
    <col min="7937" max="7937" width="28.5703125" style="1270" bestFit="1" customWidth="1"/>
    <col min="7938" max="8192" width="9.140625" style="1270"/>
    <col min="8193" max="8193" width="28.5703125" style="1270" bestFit="1" customWidth="1"/>
    <col min="8194" max="8448" width="9.140625" style="1270"/>
    <col min="8449" max="8449" width="28.5703125" style="1270" bestFit="1" customWidth="1"/>
    <col min="8450" max="8704" width="9.140625" style="1270"/>
    <col min="8705" max="8705" width="28.5703125" style="1270" bestFit="1" customWidth="1"/>
    <col min="8706" max="8960" width="9.140625" style="1270"/>
    <col min="8961" max="8961" width="28.5703125" style="1270" bestFit="1" customWidth="1"/>
    <col min="8962" max="9216" width="9.140625" style="1270"/>
    <col min="9217" max="9217" width="28.5703125" style="1270" bestFit="1" customWidth="1"/>
    <col min="9218" max="9472" width="9.140625" style="1270"/>
    <col min="9473" max="9473" width="28.5703125" style="1270" bestFit="1" customWidth="1"/>
    <col min="9474" max="9728" width="9.140625" style="1270"/>
    <col min="9729" max="9729" width="28.5703125" style="1270" bestFit="1" customWidth="1"/>
    <col min="9730" max="9984" width="9.140625" style="1270"/>
    <col min="9985" max="9985" width="28.5703125" style="1270" bestFit="1" customWidth="1"/>
    <col min="9986" max="10240" width="9.140625" style="1270"/>
    <col min="10241" max="10241" width="28.5703125" style="1270" bestFit="1" customWidth="1"/>
    <col min="10242" max="10496" width="9.140625" style="1270"/>
    <col min="10497" max="10497" width="28.5703125" style="1270" bestFit="1" customWidth="1"/>
    <col min="10498" max="10752" width="9.140625" style="1270"/>
    <col min="10753" max="10753" width="28.5703125" style="1270" bestFit="1" customWidth="1"/>
    <col min="10754" max="11008" width="9.140625" style="1270"/>
    <col min="11009" max="11009" width="28.5703125" style="1270" bestFit="1" customWidth="1"/>
    <col min="11010" max="11264" width="9.140625" style="1270"/>
    <col min="11265" max="11265" width="28.5703125" style="1270" bestFit="1" customWidth="1"/>
    <col min="11266" max="11520" width="9.140625" style="1270"/>
    <col min="11521" max="11521" width="28.5703125" style="1270" bestFit="1" customWidth="1"/>
    <col min="11522" max="11776" width="9.140625" style="1270"/>
    <col min="11777" max="11777" width="28.5703125" style="1270" bestFit="1" customWidth="1"/>
    <col min="11778" max="12032" width="9.140625" style="1270"/>
    <col min="12033" max="12033" width="28.5703125" style="1270" bestFit="1" customWidth="1"/>
    <col min="12034" max="12288" width="9.140625" style="1270"/>
    <col min="12289" max="12289" width="28.5703125" style="1270" bestFit="1" customWidth="1"/>
    <col min="12290" max="12544" width="9.140625" style="1270"/>
    <col min="12545" max="12545" width="28.5703125" style="1270" bestFit="1" customWidth="1"/>
    <col min="12546" max="12800" width="9.140625" style="1270"/>
    <col min="12801" max="12801" width="28.5703125" style="1270" bestFit="1" customWidth="1"/>
    <col min="12802" max="13056" width="9.140625" style="1270"/>
    <col min="13057" max="13057" width="28.5703125" style="1270" bestFit="1" customWidth="1"/>
    <col min="13058" max="13312" width="9.140625" style="1270"/>
    <col min="13313" max="13313" width="28.5703125" style="1270" bestFit="1" customWidth="1"/>
    <col min="13314" max="13568" width="9.140625" style="1270"/>
    <col min="13569" max="13569" width="28.5703125" style="1270" bestFit="1" customWidth="1"/>
    <col min="13570" max="13824" width="9.140625" style="1270"/>
    <col min="13825" max="13825" width="28.5703125" style="1270" bestFit="1" customWidth="1"/>
    <col min="13826" max="14080" width="9.140625" style="1270"/>
    <col min="14081" max="14081" width="28.5703125" style="1270" bestFit="1" customWidth="1"/>
    <col min="14082" max="14336" width="9.140625" style="1270"/>
    <col min="14337" max="14337" width="28.5703125" style="1270" bestFit="1" customWidth="1"/>
    <col min="14338" max="14592" width="9.140625" style="1270"/>
    <col min="14593" max="14593" width="28.5703125" style="1270" bestFit="1" customWidth="1"/>
    <col min="14594" max="14848" width="9.140625" style="1270"/>
    <col min="14849" max="14849" width="28.5703125" style="1270" bestFit="1" customWidth="1"/>
    <col min="14850" max="15104" width="9.140625" style="1270"/>
    <col min="15105" max="15105" width="28.5703125" style="1270" bestFit="1" customWidth="1"/>
    <col min="15106" max="15360" width="9.140625" style="1270"/>
    <col min="15361" max="15361" width="28.5703125" style="1270" bestFit="1" customWidth="1"/>
    <col min="15362" max="15616" width="9.140625" style="1270"/>
    <col min="15617" max="15617" width="28.5703125" style="1270" bestFit="1" customWidth="1"/>
    <col min="15618" max="15872" width="9.140625" style="1270"/>
    <col min="15873" max="15873" width="28.5703125" style="1270" bestFit="1" customWidth="1"/>
    <col min="15874" max="16128" width="9.140625" style="1270"/>
    <col min="16129" max="16129" width="28.5703125" style="1270" bestFit="1" customWidth="1"/>
    <col min="16130" max="16384" width="9.140625" style="1270"/>
  </cols>
  <sheetData>
    <row r="1" spans="1:1">
      <c r="A1" s="1296" t="s">
        <v>1541</v>
      </c>
    </row>
    <row r="2" spans="1:1">
      <c r="A2" s="1296" t="s">
        <v>1546</v>
      </c>
    </row>
    <row r="3" spans="1:1">
      <c r="A3" s="1296" t="s">
        <v>1547</v>
      </c>
    </row>
    <row r="4" spans="1:1">
      <c r="A4" s="1296" t="s">
        <v>1548</v>
      </c>
    </row>
    <row r="5" spans="1:1">
      <c r="A5" s="1296" t="s">
        <v>1549</v>
      </c>
    </row>
    <row r="6" spans="1:1">
      <c r="A6" s="1296" t="s">
        <v>1542</v>
      </c>
    </row>
    <row r="7" spans="1:1">
      <c r="A7" s="1296" t="s">
        <v>1550</v>
      </c>
    </row>
    <row r="8" spans="1:1">
      <c r="A8" s="1296" t="s">
        <v>1551</v>
      </c>
    </row>
    <row r="9" spans="1:1">
      <c r="A9" s="1296" t="s">
        <v>1552</v>
      </c>
    </row>
    <row r="10" spans="1:1">
      <c r="A10" s="1296" t="s">
        <v>1543</v>
      </c>
    </row>
    <row r="11" spans="1:1">
      <c r="A11" s="1296" t="s">
        <v>1553</v>
      </c>
    </row>
    <row r="12" spans="1:1">
      <c r="A12" s="1296" t="s">
        <v>1544</v>
      </c>
    </row>
    <row r="13" spans="1:1">
      <c r="A13" s="1296" t="s">
        <v>1545</v>
      </c>
    </row>
  </sheetData>
  <pageMargins left="0.75" right="0.75" top="1" bottom="1" header="0.5" footer="0.5"/>
  <headerFooter alignWithMargins="0"/>
</worksheet>
</file>

<file path=customXml/_rels/item1.xml.rels><?xml version="1.0" encoding="UTF-8" standalone="yes"?>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yes"?>
<Relationships xmlns="http://schemas.openxmlformats.org/package/2006/relationships">
<Relationship Id="rId1" Target="itemProps2.xml" Type="http://schemas.openxmlformats.org/officeDocument/2006/relationships/customXmlProps"/>
</Relationships>

</file>

<file path=customXml/item1.xml><?xml version="1.0" encoding="utf-8"?>
<lkmtd:Metadata xmlns:lkmtd="thomsonreuters.linking.metadatachange">
  <MetadataChanged>0</MetadataChanged>
</lkmtd:Metadata>
</file>

<file path=customXml/item2.xml><?xml version="1.0" encoding="utf-8"?>
<lk:Links xmlns:lk="thomsonreuters.linking.metadata">
  <Link>
    <GUID>92f2e225-080f-4214-ae06-d4b6f7155e5d</GUID>
    <SOURCE_ALTADDRESS>$H$9:$CM$36</SOURCE_ALTADDRESS>
    <SOURCETYPE>Table</SOURCETYPE>
    <SOURCE_OBJECTNAME>Linking_Range_77</SOURCE_OBJECTNAME>
    <OBJECTTYPE>Native</OBJECTTYPE>
    <SOURCE_SHEETCODE>Sheet37</SOURCE_SHEETCODE>
    <SOURCE_SHEETNAME>DCF</SOURCE_SHEETNAME>
    <SOURCEAPPLICATION>EXCEL_SOURCE</SOURCEAPPLICATION>
    <UPDATEDAT>4/22/2015 8:27:25 AM</UPDATEDAT>
    <SOURCE_ISOUTOFDATE>False</SOURCE_ISOUTOFDATE>
    <SOURCE_WORKBOOKNAME>LLYwk.xlsm</SOURCE_WORKBOOKNAME>
    <SOURCE_WORKBOOKPATH>\\MSAD\ROOT\NA\NY\LIB\ER\HEALTH\Pharma\Risinger\models\LLY</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/MSResearch/Content/ExternalAssets/2015-01/Images/KAGAxfspokqpl6KPrrDkkg--.png</TARGET_BINARYFULLNAME>
    <TARGET_STORYFULLNAME>/MSResearch/Content/ExternalAssets/2015-01/Sections/20150112_072947_Linking_Range_77.xml</TARGET_STORYFULLNAME>
    <TARGET_UUID>b2cd2c36-9a56-11e4-9edc-4fa5ec7c1f73</TARGET_UUID>
    <LINKSTATUS>Unknown</LINKSTATUS>
  </Link>
  <Link>
    <GUID>20b5eb20-cec8-48f2-93f1-8d69a2eeba73</GUID>
    <SOURCE_ALTADDRESS>$H$8:$R$25</SOURCE_ALTADDRESS>
    <SOURCETYPE>Table</SOURCETYPE>
    <SOURCE_OBJECTNAME>Linking_Range_78</SOURCE_OBJECTNAME>
    <OBJECTTYPE>Native</OBJECTTYPE>
    <SOURCE_SHEETCODE>Sheet38</SOURCE_SHEETCODE>
    <SOURCE_SHEETNAME>2015 Guidance</SOURCE_SHEETNAME>
    <SOURCEAPPLICATION>EXCEL_SOURCE</SOURCEAPPLICATION>
    <UPDATEDAT>4/23/2015 4:31:51 PM</UPDATEDAT>
    <SOURCE_ISOUTOFDATE>False</SOURCE_ISOUTOFDATE>
    <SOURCE_WORKBOOKNAME>LLYwk.xlsm</SOURCE_WORKBOOKNAME>
    <SOURCE_WORKBOOKPATH>\\MSAD\ROOT\NA\NY\LIB\ER\HEALTH\Pharma\Risinger\models\LLY</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/MSResearch/Content/ExternalAssets/2015-01/Images/rf_6eK1jVUyqQiADsnWFlQ--.png</TARGET_BINARYFULLNAME>
    <TARGET_STORYFULLNAME>/MSResearch/Content/ExternalAssets/2015-01/Sections/20150130_065434_Linking_Range_78.xml</TARGET_STORYFULLNAME>
    <TARGET_UUID>c25b25e4-a876-11e4-9d5a-3eb708603406</TARGET_UUID>
    <LINKSTATUS>Unknown</LINKSTATUS>
  </Link>
  <Link>
    <GUID>8d942e9f-2fc1-40eb-8729-9772f27d77e6</GUID>
    <SOURCE_ALTADDRESS>$A$4:$G$28</SOURCE_ALTADDRESS>
    <SOURCETYPE>Table</SOURCETYPE>
    <SOURCE_OBJECTNAME>Linking_Range_75</SOURCE_OBJECTNAME>
    <OBJECTTYPE>Native</OBJECTTYPE>
    <SOURCE_SHEETCODE>Sheet24</SOURCE_SHEETCODE>
    <SOURCE_SHEETNAME>Var-Seq</SOURCE_SHEETNAME>
    <SOURCEAPPLICATION>EXCEL_SOURCE</SOURCEAPPLICATION>
    <UPDATEDAT>4/23/2015 4:35:42 PM</UPDATEDAT>
    <SOURCE_ISOUTOFDATE>False</SOURCE_ISOUTOFDATE>
    <SOURCE_WORKBOOKNAME>LLYwk.xlsm</SOURCE_WORKBOOKNAME>
    <SOURCE_WORKBOOKPATH>\\MSAD\ROOT\NA\NY\LIB\ER\HEALTH\Pharma\Risinger\models\LLY</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/MSResearch/Content/ExternalAssets/2015-01/Images/SjWjRKw7kk6glkHn_AGZCQ--.png</TARGET_BINARYFULLNAME>
    <TARGET_STORYFULLNAME>/MSResearch/Content/ExternalAssets/2015-01/Sections/20150128_091928_Linking_Range_75.xml</TARGET_STORYFULLNAME>
    <TARGET_UUID>ab2d533a-a6f8-11e4-9d5a-3eb708603406</TARGET_UUID>
    <LINKSTATUS>Unknown</LINKSTATUS>
  </Link>
  <Link>
    <GUID>9fc3de68-1518-4b4d-ab20-9ee1b6b72228</GUID>
    <SOURCE_ALTADDRESS>$A$33:$G$46</SOURCE_ALTADDRESS>
    <SOURCETYPE>Table</SOURCETYPE>
    <SOURCE_OBJECTNAME>Linking_Range_76</SOURCE_OBJECTNAME>
    <OBJECTTYPE>Native</OBJECTTYPE>
    <SOURCE_SHEETCODE>Sheet24</SOURCE_SHEETCODE>
    <SOURCE_SHEETNAME>Var-Seq</SOURCE_SHEETNAME>
    <SOURCEAPPLICATION>EXCEL_SOURCE</SOURCEAPPLICATION>
    <UPDATEDAT>4/23/2015 4:35:43 PM</UPDATEDAT>
    <SOURCE_ISOUTOFDATE>False</SOURCE_ISOUTOFDATE>
    <SOURCE_WORKBOOKNAME>LLYwk.xlsm</SOURCE_WORKBOOKNAME>
    <SOURCE_WORKBOOKPATH>\\MSAD\ROOT\NA\NY\LIB\ER\HEALTH\Pharma\Risinger\models\LLY</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/MSResearch/Content/ExternalAssets/2015-01/Images/84smSBFUKwSFDVQsD8jg--.png</TARGET_BINARYFULLNAME>
    <TARGET_STORYFULLNAME>/MSResearch/Content/ExternalAssets/2015-01/Sections/20150128_091951_Linking_Range_76.xml</TARGET_STORYFULLNAME>
    <TARGET_UUID>b8fcce32-a6f8-11e4-9d5a-3eb708603406</TARGET_UUID>
    <LINKSTATUS>Unknown</LINKSTATUS>
  </Link>
  <Link>
    <GUID>f994bf07-9d94-4fa5-badd-52891dc03bf3</GUID>
    <SOURCE_ALTADDRESS>$A$4:$P$28</SOURCE_ALTADDRESS>
    <SOURCETYPE>Table</SOURCETYPE>
    <SOURCE_OBJECTNAME>Linking_Range_73</SOURCE_OBJECTNAME>
    <OBJECTTYPE>Native</OBJECTTYPE>
    <SOURCE_SHEETCODE>Sheet5</SOURCE_SHEETCODE>
    <SOURCE_SHEETNAME>Var-YOY</SOURCE_SHEETNAME>
    <SOURCEAPPLICATION>EXCEL_SOURCE</SOURCEAPPLICATION>
    <UPDATEDAT>4/23/2015 4:44:04 PM</UPDATEDAT>
    <SOURCE_ISOUTOFDATE>False</SOURCE_ISOUTOFDATE>
    <SOURCE_WORKBOOKNAME>LLYwk.xlsm</SOURCE_WORKBOOKNAME>
    <SOURCE_WORKBOOKPATH>\\MSAD\ROOT\NA\NY\LIB\ER\HEALTH\Pharma\Risinger\models\LLY</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/MSResearch/Content/ExternalAssets/2015-01/Images/HixCXLAFJkyfGxOF1NmuGw--.png</TARGET_BINARYFULLNAME>
    <TARGET_STORYFULLNAME>/MSResearch/Content/ExternalAssets/2015-01/Sections/20150128_091808_Linking_Range_73.xml</TARGET_STORYFULLNAME>
    <TARGET_UUID>7be14f50-a6f8-11e4-9d5a-3eb708603406</TARGET_UUID>
    <LINKSTATUS>Unknown</LINKSTATUS>
  </Link>
  <Link>
    <GUID>2005f767-ce56-4675-b000-a2bd69835a87</GUID>
    <SOURCE_ALTADDRESS>$A$33:$P$46</SOURCE_ALTADDRESS>
    <SOURCETYPE>Table</SOURCETYPE>
    <SOURCE_OBJECTNAME>Linking_Range_74</SOURCE_OBJECTNAME>
    <OBJECTTYPE>Native</OBJECTTYPE>
    <SOURCE_SHEETCODE>Sheet5</SOURCE_SHEETCODE>
    <SOURCE_SHEETNAME>Var-YOY</SOURCE_SHEETNAME>
    <SOURCEAPPLICATION>EXCEL_SOURCE</SOURCEAPPLICATION>
    <UPDATEDAT>4/23/2015 4:44:06 PM</UPDATEDAT>
    <SOURCE_ISOUTOFDATE>False</SOURCE_ISOUTOFDATE>
    <SOURCE_WORKBOOKNAME>LLYwk.xlsm</SOURCE_WORKBOOKNAME>
    <SOURCE_WORKBOOKPATH>\\MSAD\ROOT\NA\NY\LIB\ER\HEALTH\Pharma\Risinger\models\LLY</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/MSResearch/Content/ExternalAssets/2015-01/Images/CNDGTZufQEGZEbX8Xesdpg--.png</TARGET_BINARYFULLNAME>
    <TARGET_STORYFULLNAME>/MSResearch/Content/ExternalAssets/2015-01/Sections/20150128_091900_Linking_Range_74.xml</TARGET_STORYFULLNAME>
    <TARGET_UUID>9a9dab14-a6f8-11e4-9d5a-3eb708603406</TARGET_UUID>
    <LINKSTATUS>Unknown</LINKSTATUS>
  </Link>
  <Link>
    <GUID>0d7a1384-d678-403e-bce6-6eceac6aca79</GUID>
    <SOURCETYPE>Chart</SOURCETYPE>
    <SOURCE_OBJECTNAME>MWA_Risk_Reward</SOURCE_OBJECTNAME>
    <SOURCE_SHEETCODE>MWRSSData</SOURCE_SHEETCODE>
    <SOURCE_SHEETNAME>MWA RR</SOURCE_SHEETNAME>
    <OBJECTTYPE>Native</OBJECTTYPE>
    <SOURCEAPPLICATION>EXCEL_SOURCE</SOURCEAPPLICATION>
    <UPDATEDAT>4/23/2015 10:07:52 PM</UPDATEDAT>
    <SOURCE_ISOUTOFDATE>False</SOURCE_ISOUTOFDATE>
    <SOURCE_WORKBOOKNAME>LLYwk.xlsm</SOURCE_WORKBOOKNAME>
    <SOURCE_WORKBOOKPATH>\\MSAD\ROOT\NA\NY\LIB\ER\HEALTH\Pharma\Risinger\models\LLY</SOURCE_WORKBOOKPATH>
    <TRANSPARENTBACKGROUND>False</TRANSPARENTBACKGROUND>
    <TRANSPARENTPLOTAREA>False</TRANSPARENTPLOTAREA>
    <TARGETTYPE>Picture</TARGETTYPE>
    <TARGETAPPLICATION>METHODE_TARGET</TARGETAPPLICATION>
    <TABLEBACKGROUND>Existing</TABLEBACKGROUND>
    <TARGET_BINARYFULLNAME>/MSResearch/Content/ExternalAssets/2015-01/Images/vCxMoHEoZEmHP4gSAjLgsg--.png</TARGET_BINARYFULLNAME>
    <TARGET_STORYFULLNAME>/MSResearch/Content/ExternalAssets/2015-01/Sections/20150109_051914_MWA_Risk_Reward.xml</TARGET_STORYFULLNAME>
    <TARGET_UUID>8b5b12fe-984d-11e4-823d-b49a3c77dd58</TARGET_UUID>
    <HIDEGRIDLINES>False</HIDEGRIDLINES>
    <LINKSTATUS>Unknown</LINKSTATUS>
    <EXTRACTSOURCEMODE>CopyToClipboard</EXTRACTSOURCEMODE>
  </Link>
</lk:Links>
</file>

<file path=customXml/itemProps1.xml><?xml version="1.0" encoding="utf-8"?>
<ds:datastoreItem xmlns:ds="http://schemas.openxmlformats.org/officeDocument/2006/customXml" ds:itemID="{C935A6DE-FB84-4A75-8393-76B9EBBDD604}">
  <ds:schemaRefs>
    <ds:schemaRef ds:uri="thomsonreuters.linking.metadatachange"/>
  </ds:schemaRefs>
</ds:datastoreItem>
</file>

<file path=customXml/itemProps2.xml><?xml version="1.0" encoding="utf-8"?>
<ds:datastoreItem xmlns:ds="http://schemas.openxmlformats.org/officeDocument/2006/customXml" ds:itemID="{72D3633B-9918-4F06-AF1D-2457CC232A2C}">
  <ds:schemaRefs>
    <ds:schemaRef ds:uri="thomsonreuters.linking.metadat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181</vt:i4>
      </vt:variant>
    </vt:vector>
  </HeadingPairs>
  <TitlesOfParts>
    <vt:vector size="195" baseType="lpstr">
      <vt:lpstr>ImportantDisclosures</vt:lpstr>
      <vt:lpstr>COVER SHEET</vt:lpstr>
      <vt:lpstr>IS-ANNUAL</vt:lpstr>
      <vt:lpstr>REV-ANNUAL</vt:lpstr>
      <vt:lpstr>PIPELINE</vt:lpstr>
      <vt:lpstr>PIPELINE_UNADJ</vt:lpstr>
      <vt:lpstr>CFBS</vt:lpstr>
      <vt:lpstr>FOOTNOTES</vt:lpstr>
      <vt:lpstr>AGREEMENTS</vt:lpstr>
      <vt:lpstr>MGMT PROJECTIONS</vt:lpstr>
      <vt:lpstr>DEBT</vt:lpstr>
      <vt:lpstr>DCF</vt:lpstr>
      <vt:lpstr>IndexInformation</vt:lpstr>
      <vt:lpstr>ModPubIndex</vt:lpstr>
      <vt:lpstr>_Agreement1</vt:lpstr>
      <vt:lpstr>_Agreement2</vt:lpstr>
      <vt:lpstr>_AIS</vt:lpstr>
      <vt:lpstr>_ARev1</vt:lpstr>
      <vt:lpstr>_ARev2</vt:lpstr>
      <vt:lpstr>_ARev3</vt:lpstr>
      <vt:lpstr>_ARev4</vt:lpstr>
      <vt:lpstr>_ARev5</vt:lpstr>
      <vt:lpstr>_ARev6</vt:lpstr>
      <vt:lpstr>_BS</vt:lpstr>
      <vt:lpstr>_CF</vt:lpstr>
      <vt:lpstr>DCF!_DCF</vt:lpstr>
      <vt:lpstr>DCF!_FCF</vt:lpstr>
      <vt:lpstr>_FinMet</vt:lpstr>
      <vt:lpstr>_Footnotes</vt:lpstr>
      <vt:lpstr>_MgmtProj</vt:lpstr>
      <vt:lpstr>_Pipe1</vt:lpstr>
      <vt:lpstr>_Pipe2</vt:lpstr>
      <vt:lpstr>_TheoPipe</vt:lpstr>
      <vt:lpstr>AdditionalInstructions</vt:lpstr>
      <vt:lpstr>ImportantDisclosures!Address</vt:lpstr>
      <vt:lpstr>ModPubIndex!ANA</vt:lpstr>
      <vt:lpstr>ImportantDisclosures!Authors</vt:lpstr>
      <vt:lpstr>IndexInformation!Authors</vt:lpstr>
      <vt:lpstr>ModPubIndex!BRO</vt:lpstr>
      <vt:lpstr>AGREEMENTS!CompanyName</vt:lpstr>
      <vt:lpstr>CFBS!CompanyName</vt:lpstr>
      <vt:lpstr>'COVER SHEET'!CompanyName</vt:lpstr>
      <vt:lpstr>DCF!CompanyName</vt:lpstr>
      <vt:lpstr>DEBT!CompanyName</vt:lpstr>
      <vt:lpstr>FOOTNOTES!CompanyName</vt:lpstr>
      <vt:lpstr>'IS-ANNUAL'!CompanyName</vt:lpstr>
      <vt:lpstr>PIPELINE!CompanyName</vt:lpstr>
      <vt:lpstr>PIPELINE_UNADJ!CompanyName</vt:lpstr>
      <vt:lpstr>'REV-ANNUAL'!CompanyName</vt:lpstr>
      <vt:lpstr>CompanyName</vt:lpstr>
      <vt:lpstr>'COVER SHEET'!CompanyTicker</vt:lpstr>
      <vt:lpstr>CompanyTicker</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'COVER SHEET'!DtLastUpdt</vt:lpstr>
      <vt:lpstr>DtLastUpdt</vt:lpstr>
      <vt:lpstr>ModPubIndex!EMAIL_ALERT</vt:lpstr>
      <vt:lpstr>IndexInformation!EmailAlert</vt:lpstr>
      <vt:lpstr>'IS-ANNUAL'!FDS_ticker</vt:lpstr>
      <vt:lpstr>FDS_ticker</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LastPrice</vt:lpstr>
      <vt:lpstr>LastPriceDate</vt:lpstr>
      <vt:lpstr>CFBS!LatestFiledQ</vt:lpstr>
      <vt:lpstr>DCF!LatestFiledQ</vt:lpstr>
      <vt:lpstr>DEBT!LatestFiledQ</vt:lpstr>
      <vt:lpstr>'IS-ANNUAL'!LatestFiledQ</vt:lpstr>
      <vt:lpstr>PIPELINE!LatestFiledQ</vt:lpstr>
      <vt:lpstr>PIPELINE_UNADJ!LatestFiledQ</vt:lpstr>
      <vt:lpstr>'REV-ANNUAL'!LatestFiledQ</vt:lpstr>
      <vt:lpstr>LatestFiledQ</vt:lpstr>
      <vt:lpstr>CFBS!LatestRpQ</vt:lpstr>
      <vt:lpstr>DCF!LatestRpQ</vt:lpstr>
      <vt:lpstr>DEBT!LatestRpQ</vt:lpstr>
      <vt:lpstr>'IS-ANNUAL'!LatestRpQ</vt:lpstr>
      <vt:lpstr>PIPELINE!LatestRpQ</vt:lpstr>
      <vt:lpstr>PIPELINE_UNADJ!LatestRpQ</vt:lpstr>
      <vt:lpstr>'REV-ANNUAL'!LatestRpQ</vt:lpstr>
      <vt:lpstr>LatestRpQ</vt:lpstr>
      <vt:lpstr>Linking_10</vt:lpstr>
      <vt:lpstr>Linking_12</vt:lpstr>
      <vt:lpstr>Linking_2</vt:lpstr>
      <vt:lpstr>Linking_3</vt:lpstr>
      <vt:lpstr>Linking_4</vt:lpstr>
      <vt:lpstr>Linking_5</vt:lpstr>
      <vt:lpstr>Linking_6</vt:lpstr>
      <vt:lpstr>Linking_7</vt:lpstr>
      <vt:lpstr>Linking_8</vt:lpstr>
      <vt:lpstr>Linking_9</vt:lpstr>
      <vt:lpstr>Linking_Range_10</vt:lpstr>
      <vt:lpstr>Linking_Range_11</vt:lpstr>
      <vt:lpstr>Linking_Range_12</vt:lpstr>
      <vt:lpstr>Linking_Range_13</vt:lpstr>
      <vt:lpstr>Linking_Range_14</vt:lpstr>
      <vt:lpstr>Linking_Range_20</vt:lpstr>
      <vt:lpstr>Linking_Range_24</vt:lpstr>
      <vt:lpstr>Linking_Range_29</vt:lpstr>
      <vt:lpstr>DCF!Linking_Range_3</vt:lpstr>
      <vt:lpstr>Linking_Range_30</vt:lpstr>
      <vt:lpstr>Linking_Range_31</vt:lpstr>
      <vt:lpstr>Linking_Range_37</vt:lpstr>
      <vt:lpstr>Linking_Range_38</vt:lpstr>
      <vt:lpstr>Linking_Range_39</vt:lpstr>
      <vt:lpstr>Linking_Range_48</vt:lpstr>
      <vt:lpstr>Linking_Range_49</vt:lpstr>
      <vt:lpstr>Linking_Range_50</vt:lpstr>
      <vt:lpstr>Linking_Range_51</vt:lpstr>
      <vt:lpstr>Linking_Range_58</vt:lpstr>
      <vt:lpstr>Linking_Range_59</vt:lpstr>
      <vt:lpstr>Linking_Range_6</vt:lpstr>
      <vt:lpstr>Linking_Range_60</vt:lpstr>
      <vt:lpstr>Linking_Range_61</vt:lpstr>
      <vt:lpstr>Linking_Range_62</vt:lpstr>
      <vt:lpstr>Linking_Range_70</vt:lpstr>
      <vt:lpstr>Linking_Range_71</vt:lpstr>
      <vt:lpstr>Linking_Range_72</vt:lpstr>
      <vt:lpstr>Linking_Range_77</vt:lpstr>
      <vt:lpstr>Linking_Range_9</vt:lpstr>
      <vt:lpstr>IndexInformation!MacroVersion</vt:lpstr>
      <vt:lpstr>ImportantDisclosures!ModelPrice</vt:lpstr>
      <vt:lpstr>IndexInformation!Multiplier</vt:lpstr>
      <vt:lpstr>MW_ticker</vt:lpstr>
      <vt:lpstr>IndexInformation!NextYearEPS</vt:lpstr>
      <vt:lpstr>IndexInformation!NextYearTotalRevenue</vt:lpstr>
      <vt:lpstr>IndexInformation!NextYearTotalRevenueActual</vt:lpstr>
      <vt:lpstr>IndexInformation!ObjectType</vt:lpstr>
      <vt:lpstr>ModPubIndex!PANA</vt:lpstr>
      <vt:lpstr>IndexInformation!PathName</vt:lpstr>
      <vt:lpstr>'COVER SHEET'!PriceTarget</vt:lpstr>
      <vt:lpstr>PriceTarget</vt:lpstr>
      <vt:lpstr>AGREEMENTS!Print_Area</vt:lpstr>
      <vt:lpstr>CFBS!Print_Area</vt:lpstr>
      <vt:lpstr>'COVER SHEET'!Print_Area</vt:lpstr>
      <vt:lpstr>DCF!Print_Area</vt:lpstr>
      <vt:lpstr>FOOTNOTES!Print_Area</vt:lpstr>
      <vt:lpstr>'IS-ANNUAL'!Print_Area</vt:lpstr>
      <vt:lpstr>PIPELINE!Print_Area</vt:lpstr>
      <vt:lpstr>PIPELINE_UNADJ!Print_Area</vt:lpstr>
      <vt:lpstr>'REV-ANNUAL'!Print_Area</vt:lpstr>
      <vt:lpstr>AGREEMENTS!Print_Titles</vt:lpstr>
      <vt:lpstr>DEBT!Print_Titles</vt:lpstr>
      <vt:lpstr>FOOTNOTES!Print_Titles</vt:lpstr>
      <vt:lpstr>'IS-ANNUAL'!Print_Titles</vt:lpstr>
      <vt:lpstr>PIPELINE_UNADJ!Print_Titles</vt:lpstr>
      <vt:lpstr>ModPubIndex!PRODUCT</vt:lpstr>
      <vt:lpstr>ModPubIndex!PSYM</vt:lpstr>
      <vt:lpstr>IndexInformation!PublishDate</vt:lpstr>
      <vt:lpstr>'COVER SHEET'!Rating</vt:lpstr>
      <vt:lpstr>IndexInformation!Rating</vt:lpstr>
      <vt:lpstr>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2009-07-15T22:31:45Z</dcterms:created>
  <dc:creator>yidana</dc:creator>
  <cp:lastModifiedBy>Agarwal, Saket (Research)</cp:lastModifiedBy>
  <cp:lastPrinted>2018-04-24T21:02:34Z</cp:lastPrinted>
  <dcterms:modified xsi:type="dcterms:W3CDTF">2018-04-25T11:58:29Z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LinkingAutoNameNumberLinking_Text_" pid="2">
    <vt:lpwstr>1</vt:lpwstr>
  </property>
  <property fmtid="{D5CDD505-2E9C-101B-9397-08002B2CF9AE}" name="LinkingAutoNameNumberLinking_Range_" pid="3">
    <vt:lpwstr>78</vt:lpwstr>
  </property>
  <property fmtid="{D5CDD505-2E9C-101B-9397-08002B2CF9AE}" name="ERModPubTicket" pid="4">
    <vt:lpwstr>NA</vt:lpwstr>
  </property>
  <property fmtid="{D5CDD505-2E9C-101B-9397-08002B2CF9AE}" name="ERCompanyUploadState" pid="5">
    <vt:lpwstr>P</vt:lpwstr>
  </property>
  <property fmtid="{D5CDD505-2E9C-101B-9397-08002B2CF9AE}" name="ModelId" pid="6">
    <vt:lpwstr>763960</vt:lpwstr>
  </property>
  <property fmtid="{D5CDD505-2E9C-101B-9397-08002B2CF9AE}" name="ERModPubCompanyName" pid="7">
    <vt:lpwstr>Eli Lilly &amp; Co.</vt:lpwstr>
  </property>
  <property fmtid="{D5CDD505-2E9C-101B-9397-08002B2CF9AE}" name="MSDH34TAG" pid="8">
    <vt:lpwstr>.TEZUF76X5TAHATHESADREYAK-00-INB160+*94600-06=fceb08e4/-487f/-11e8/-adef/-6a0a1ce82510,MD=20180425082529/-0400,ZZ=000Z-fd40.</vt:lpwstr>
  </property>
</Properties>
</file>